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slicerCaches/slicerCache9.xml" ContentType="application/vnd.ms-excel.slicerCache+xml"/>
  <Override PartName="/xl/slicerCaches/slicerCache10.xml" ContentType="application/vnd.ms-excel.slicerCache+xml"/>
  <Override PartName="/xl/slicerCaches/slicerCache11.xml" ContentType="application/vnd.ms-excel.slicerCache+xml"/>
  <Override PartName="/xl/slicerCaches/slicerCache12.xml" ContentType="application/vnd.ms-excel.slicerCache+xml"/>
  <Override PartName="/xl/slicerCaches/slicerCache13.xml" ContentType="application/vnd.ms-excel.slicerCache+xml"/>
  <Override PartName="/xl/slicerCaches/slicerCache14.xml" ContentType="application/vnd.ms-excel.slicerCache+xml"/>
  <Override PartName="/xl/slicerCaches/slicerCache15.xml" ContentType="application/vnd.ms-excel.slicerCache+xml"/>
  <Override PartName="/xl/slicerCaches/slicerCache16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tables/table1.xml" ContentType="application/vnd.openxmlformats-officedocument.spreadsheetml.table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trlProps/ctrlProp2.xml" ContentType="application/vnd.ms-excel.controlproperties+xml"/>
  <Override PartName="/xl/tables/table2.xml" ContentType="application/vnd.openxmlformats-officedocument.spreadsheetml.table+xml"/>
  <Override PartName="/xl/slicers/slicer2.xml" ContentType="application/vnd.ms-excel.slicer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trlProps/ctrlProp3.xml" ContentType="application/vnd.ms-excel.controlproperties+xml"/>
  <Override PartName="/xl/tables/table3.xml" ContentType="application/vnd.openxmlformats-officedocument.spreadsheetml.table+xml"/>
  <Override PartName="/xl/slicers/slicer3.xml" ContentType="application/vnd.ms-excel.slicer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ables/table4.xml" ContentType="application/vnd.openxmlformats-officedocument.spreadsheetml.tab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trlProps/ctrlProp4.xml" ContentType="application/vnd.ms-excel.controlproperties+xml"/>
  <Override PartName="/xl/tables/table5.xml" ContentType="application/vnd.openxmlformats-officedocument.spreadsheetml.table+xml"/>
  <Override PartName="/xl/slicers/slicer4.xml" ContentType="application/vnd.ms-excel.slicer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trlProps/ctrlProp5.xml" ContentType="application/vnd.ms-excel.controlproperties+xml"/>
  <Override PartName="/xl/slicers/slicer5.xml" ContentType="application/vnd.ms-excel.slicer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ivotTables/pivotTable5.xml" ContentType="application/vnd.openxmlformats-officedocument.spreadsheetml.pivotTable+xml"/>
  <Override PartName="/xl/drawings/drawing6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filterPrivacy="1" codeName="ЭтаКнига" hidePivotFieldList="1"/>
  <xr:revisionPtr revIDLastSave="0" documentId="8_{0C012025-8742-425B-A3CD-CCA5069E5610}" xr6:coauthVersionLast="45" xr6:coauthVersionMax="45" xr10:uidLastSave="{00000000-0000-0000-0000-000000000000}"/>
  <bookViews>
    <workbookView xWindow="16395" yWindow="5055" windowWidth="33660" windowHeight="23475" tabRatio="746" activeTab="7" xr2:uid="{00000000-000D-0000-FFFF-FFFF00000000}"/>
  </bookViews>
  <sheets>
    <sheet name="TOT" sheetId="58" r:id="rId1"/>
    <sheet name="Start" sheetId="60" r:id="rId2"/>
    <sheet name="Name" sheetId="61" r:id="rId3"/>
    <sheet name="Baza" sheetId="3" r:id="rId4"/>
    <sheet name="Data" sheetId="65" r:id="rId5"/>
    <sheet name="TOT1" sheetId="64" r:id="rId6"/>
    <sheet name="Report" sheetId="4" r:id="rId7"/>
    <sheet name="SETKA" sheetId="71" r:id="rId8"/>
  </sheets>
  <definedNames>
    <definedName name="G">#REF!</definedName>
    <definedName name="Grafik" localSheetId="4">#REF!:INDEX(#REF!,COUNT(#REF!))</definedName>
    <definedName name="Grafik" localSheetId="2">#REF!:INDEX(#REF!,COUNT(#REF!))</definedName>
    <definedName name="Grafik" localSheetId="1">#REF!:INDEX(#REF!,COUNT(#REF!))</definedName>
    <definedName name="Grafik" localSheetId="5">#REF!:INDEX(#REF!,COUNT(#REF!))</definedName>
    <definedName name="Grafik">#REF!:INDEX(#REF!,COUNT(#REF!))</definedName>
    <definedName name="K">#REF!</definedName>
    <definedName name="S">#REF!</definedName>
    <definedName name="T">#REF!</definedName>
    <definedName name="Срез_A11">#N/A</definedName>
    <definedName name="Срез_AFS2">#N/A</definedName>
    <definedName name="Срез_B2">#N/A</definedName>
    <definedName name="Срез_Date2">#N/A</definedName>
    <definedName name="Срез_DN2">#N/A</definedName>
    <definedName name="Срез_F11">#N/A</definedName>
    <definedName name="Срез_G2">#N/A</definedName>
    <definedName name="Срез_K2">#N/A</definedName>
    <definedName name="Срез_M2">#N/A</definedName>
    <definedName name="Срез_Name2">#N/A</definedName>
    <definedName name="Срез_NN1">#N/A</definedName>
    <definedName name="Срез_R1">#N/A</definedName>
    <definedName name="Срез_Room11">#N/A</definedName>
    <definedName name="Срез_Start2">#N/A</definedName>
    <definedName name="Срез_T11">#N/A</definedName>
    <definedName name="Срез_Y11">#N/A</definedName>
  </definedNames>
  <calcPr calcId="191029"/>
  <pivotCaches>
    <pivotCache cacheId="0" r:id="rId9"/>
    <pivotCache cacheId="1" r:id="rId10"/>
  </pivotCaches>
  <extLst>
    <ext xmlns:x14="http://schemas.microsoft.com/office/spreadsheetml/2009/9/main" uri="{BBE1A952-AA13-448e-AADC-164F8A28A991}">
      <x14:slicerCaches>
        <x14:slicerCache r:id="rId11"/>
        <x14:slicerCache r:id="rId12"/>
        <x14:slicerCache r:id="rId13"/>
        <x14:slicerCache r:id="rId14"/>
        <x14:slicerCache r:id="rId15"/>
        <x14:slicerCache r:id="rId16"/>
        <x14:slicerCache r:id="rId17"/>
        <x14:slicerCache r:id="rId18"/>
        <x14:slicerCache r:id="rId19"/>
        <x14:slicerCache r:id="rId20"/>
        <x14:slicerCache r:id="rId21"/>
        <x14:slicerCache r:id="rId22"/>
        <x14:slicerCache r:id="rId23"/>
        <x14:slicerCache r:id="rId24"/>
        <x14:slicerCache r:id="rId25"/>
        <x14:slicerCache r:id="rId26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" i="4" l="1" a="1"/>
  <c r="E1" i="4" s="1"/>
  <c r="P2" i="71"/>
  <c r="Q8" i="71"/>
  <c r="Q7" i="71"/>
  <c r="Q6" i="71"/>
  <c r="Q4" i="71"/>
  <c r="Q3" i="71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V3" i="3"/>
  <c r="V4" i="3"/>
  <c r="V5" i="3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W3" i="3"/>
  <c r="W4" i="3"/>
  <c r="W5" i="3"/>
  <c r="W6" i="3"/>
  <c r="W7" i="3"/>
  <c r="W8" i="3"/>
  <c r="Y8" i="3" s="1"/>
  <c r="W9" i="3"/>
  <c r="W10" i="3"/>
  <c r="W11" i="3"/>
  <c r="W12" i="3"/>
  <c r="W13" i="3"/>
  <c r="W14" i="3"/>
  <c r="W15" i="3"/>
  <c r="W16" i="3"/>
  <c r="W17" i="3"/>
  <c r="W18" i="3"/>
  <c r="W19" i="3"/>
  <c r="W20" i="3"/>
  <c r="W21" i="3"/>
  <c r="W22" i="3"/>
  <c r="W23" i="3"/>
  <c r="W24" i="3"/>
  <c r="X3" i="3"/>
  <c r="X4" i="3"/>
  <c r="X5" i="3"/>
  <c r="Y5" i="3" s="1"/>
  <c r="X6" i="3"/>
  <c r="X7" i="3"/>
  <c r="X8" i="3"/>
  <c r="X9" i="3"/>
  <c r="X10" i="3"/>
  <c r="X11" i="3"/>
  <c r="Y11" i="3" s="1"/>
  <c r="X12" i="3"/>
  <c r="X13" i="3"/>
  <c r="X14" i="3"/>
  <c r="X15" i="3"/>
  <c r="X16" i="3"/>
  <c r="X17" i="3"/>
  <c r="Y17" i="3" s="1"/>
  <c r="X18" i="3"/>
  <c r="X19" i="3"/>
  <c r="X20" i="3"/>
  <c r="Y20" i="3" s="1"/>
  <c r="X21" i="3"/>
  <c r="X22" i="3"/>
  <c r="X23" i="3"/>
  <c r="Y23" i="3" s="1"/>
  <c r="X24" i="3"/>
  <c r="Y14" i="3"/>
  <c r="Z3" i="3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Y24" i="3" l="1"/>
  <c r="Y18" i="3"/>
  <c r="Y12" i="3"/>
  <c r="Y6" i="3"/>
  <c r="Y22" i="3"/>
  <c r="Y16" i="3"/>
  <c r="Y10" i="3"/>
  <c r="Y4" i="3"/>
  <c r="Y21" i="3"/>
  <c r="Y15" i="3"/>
  <c r="Y9" i="3"/>
  <c r="Y3" i="3"/>
  <c r="Y19" i="3"/>
  <c r="Y13" i="3"/>
  <c r="Y7" i="3"/>
  <c r="F6" i="4"/>
  <c r="F7" i="4"/>
  <c r="F8" i="4"/>
  <c r="F9" i="4"/>
  <c r="F10" i="4"/>
  <c r="F11" i="4"/>
  <c r="F12" i="4"/>
  <c r="F13" i="4"/>
  <c r="F14" i="4"/>
  <c r="F15" i="4"/>
  <c r="F16" i="4"/>
  <c r="F18" i="4"/>
  <c r="F19" i="4"/>
  <c r="F20" i="4"/>
  <c r="F21" i="4"/>
  <c r="F22" i="4"/>
  <c r="F23" i="4"/>
  <c r="F24" i="4"/>
  <c r="F25" i="4"/>
  <c r="F26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5" i="4"/>
  <c r="AC55" i="71" l="1"/>
  <c r="AC59" i="71"/>
  <c r="AC63" i="71"/>
  <c r="AC66" i="71"/>
  <c r="AC68" i="71"/>
  <c r="AC71" i="71"/>
  <c r="AC74" i="71"/>
  <c r="AC52" i="71"/>
  <c r="AC44" i="71"/>
  <c r="AC53" i="71"/>
  <c r="AC41" i="71"/>
  <c r="AC46" i="71"/>
  <c r="AC57" i="71"/>
  <c r="AC78" i="71"/>
  <c r="AC79" i="71"/>
  <c r="AC58" i="71"/>
  <c r="AC80" i="71"/>
  <c r="AC70" i="71"/>
  <c r="AC40" i="71"/>
  <c r="AC75" i="71"/>
  <c r="AC81" i="71"/>
  <c r="AC39" i="71"/>
  <c r="AC82" i="71"/>
  <c r="AC43" i="71"/>
  <c r="AC83" i="71"/>
  <c r="AC50" i="71"/>
  <c r="AC86" i="71"/>
  <c r="AC88" i="71"/>
  <c r="AC54" i="71"/>
  <c r="AC62" i="71"/>
  <c r="AC93" i="71"/>
  <c r="AC94" i="71"/>
  <c r="AC65" i="71"/>
  <c r="AC96" i="71"/>
  <c r="AC97" i="71"/>
  <c r="AC69" i="71"/>
  <c r="AC76" i="71"/>
  <c r="AC102" i="71"/>
  <c r="AC84" i="71"/>
  <c r="AC85" i="71"/>
  <c r="AC89" i="71"/>
  <c r="AC90" i="71"/>
  <c r="AC98" i="71"/>
  <c r="AC92" i="71"/>
  <c r="AC95" i="71"/>
  <c r="AC103" i="71"/>
  <c r="AC101" i="71"/>
  <c r="AC100" i="71"/>
  <c r="AC47" i="71"/>
  <c r="AC87" i="71"/>
  <c r="AC91" i="71"/>
  <c r="AC67" i="71"/>
  <c r="AC99" i="71"/>
  <c r="AC73" i="71"/>
  <c r="AC56" i="71"/>
  <c r="AC42" i="71"/>
  <c r="AC61" i="71"/>
  <c r="AC48" i="71"/>
  <c r="AC51" i="71"/>
  <c r="AC64" i="71"/>
  <c r="AC60" i="71"/>
  <c r="AC49" i="71"/>
  <c r="AC72" i="71"/>
  <c r="AC45" i="71"/>
  <c r="AC77" i="71"/>
  <c r="AC104" i="71"/>
  <c r="AC105" i="71"/>
  <c r="AC106" i="71"/>
  <c r="AC107" i="71"/>
  <c r="AC108" i="71"/>
  <c r="AC109" i="71"/>
  <c r="AC110" i="71"/>
  <c r="AC111" i="71"/>
  <c r="AC112" i="71"/>
  <c r="AC113" i="71"/>
  <c r="AC114" i="71"/>
  <c r="AC115" i="71"/>
  <c r="AC116" i="71"/>
  <c r="AC117" i="71"/>
  <c r="AC118" i="71"/>
  <c r="AC119" i="71"/>
  <c r="AC120" i="71"/>
  <c r="AC121" i="71"/>
  <c r="AC122" i="71"/>
  <c r="AC123" i="71"/>
  <c r="AC124" i="71"/>
  <c r="AC125" i="71"/>
  <c r="AC126" i="71"/>
  <c r="AC127" i="71"/>
  <c r="AC128" i="71"/>
  <c r="AC129" i="71"/>
  <c r="AC130" i="71"/>
  <c r="AC131" i="71"/>
  <c r="AC132" i="71"/>
  <c r="AC133" i="71"/>
  <c r="AC134" i="71"/>
  <c r="AC135" i="71"/>
  <c r="AC136" i="71"/>
  <c r="AC137" i="71"/>
  <c r="AC138" i="71"/>
  <c r="AC139" i="71"/>
  <c r="AC140" i="71"/>
  <c r="AC141" i="71"/>
  <c r="AC142" i="71"/>
  <c r="AC143" i="71"/>
  <c r="AC144" i="71"/>
  <c r="AC145" i="71"/>
  <c r="AC146" i="71"/>
  <c r="AC147" i="71"/>
  <c r="AC148" i="71"/>
  <c r="AC149" i="71"/>
  <c r="AC150" i="71"/>
  <c r="AC151" i="71"/>
  <c r="AC152" i="71"/>
  <c r="AC153" i="71"/>
  <c r="AC154" i="71"/>
  <c r="AC155" i="71"/>
  <c r="AC156" i="71"/>
  <c r="AC157" i="71"/>
  <c r="AC158" i="71"/>
  <c r="AC159" i="71"/>
  <c r="AC160" i="71"/>
  <c r="AC161" i="71"/>
  <c r="AC162" i="71"/>
  <c r="AC163" i="71"/>
  <c r="AC164" i="71"/>
  <c r="AC165" i="71"/>
  <c r="AC166" i="71"/>
  <c r="AC167" i="71"/>
  <c r="AC168" i="71"/>
  <c r="AC169" i="71"/>
  <c r="AC170" i="71"/>
  <c r="AC171" i="71"/>
  <c r="AC172" i="71"/>
  <c r="AC173" i="71"/>
  <c r="AC174" i="71"/>
  <c r="AC175" i="71"/>
  <c r="AC176" i="71"/>
  <c r="AC177" i="71"/>
  <c r="AC178" i="71"/>
  <c r="AC179" i="71"/>
  <c r="AC180" i="71"/>
  <c r="AC181" i="71"/>
  <c r="AC182" i="71"/>
  <c r="AC183" i="71"/>
  <c r="AC184" i="71"/>
  <c r="AC185" i="71"/>
  <c r="AC186" i="71"/>
  <c r="AC187" i="71"/>
  <c r="AC188" i="71"/>
  <c r="AC189" i="71"/>
  <c r="AC190" i="71"/>
  <c r="AC191" i="71"/>
  <c r="AC192" i="71"/>
  <c r="AC193" i="71"/>
  <c r="AC194" i="71"/>
  <c r="AC195" i="71"/>
  <c r="AC196" i="71"/>
  <c r="AC197" i="71"/>
  <c r="AC198" i="71"/>
  <c r="AC199" i="71"/>
  <c r="AC200" i="71"/>
  <c r="AC201" i="71"/>
  <c r="AC202" i="71"/>
  <c r="AC203" i="71"/>
  <c r="AC204" i="71"/>
  <c r="AC205" i="71"/>
  <c r="AC206" i="71"/>
  <c r="AC207" i="71"/>
  <c r="AC208" i="71"/>
  <c r="AC209" i="71"/>
  <c r="AC210" i="71"/>
  <c r="AC211" i="71"/>
  <c r="AC212" i="71"/>
  <c r="AC213" i="71"/>
  <c r="AC214" i="71"/>
  <c r="AC215" i="71"/>
  <c r="AC216" i="71"/>
  <c r="AC217" i="71"/>
  <c r="AC218" i="71"/>
  <c r="AC219" i="71"/>
  <c r="AC220" i="71"/>
  <c r="AC221" i="71"/>
  <c r="AC222" i="71"/>
  <c r="AC223" i="71"/>
  <c r="AC224" i="71"/>
  <c r="AC225" i="71"/>
  <c r="AC226" i="71"/>
  <c r="AC227" i="71"/>
  <c r="AC228" i="71"/>
  <c r="AC229" i="71"/>
  <c r="AC230" i="71"/>
  <c r="AC231" i="71"/>
  <c r="AC232" i="71"/>
  <c r="AC233" i="71"/>
  <c r="AC234" i="71"/>
  <c r="AC235" i="71"/>
  <c r="AC236" i="71"/>
  <c r="AC237" i="71"/>
  <c r="AC238" i="71"/>
  <c r="C36" i="71"/>
  <c r="AG55" i="71" l="1"/>
  <c r="AG192" i="71"/>
  <c r="AG232" i="71"/>
  <c r="AG226" i="71"/>
  <c r="AG188" i="71"/>
  <c r="AG144" i="71"/>
  <c r="AG106" i="71"/>
  <c r="AG112" i="71"/>
  <c r="AG222" i="71"/>
  <c r="AG140" i="71"/>
  <c r="AG216" i="71"/>
  <c r="AG92" i="71"/>
  <c r="AG208" i="71"/>
  <c r="AG164" i="71"/>
  <c r="AG120" i="71"/>
  <c r="AG69" i="71"/>
  <c r="AG150" i="71"/>
  <c r="AG178" i="71"/>
  <c r="AG73" i="71"/>
  <c r="AG174" i="71"/>
  <c r="AG130" i="71"/>
  <c r="AG198" i="71"/>
  <c r="AG160" i="71"/>
  <c r="AG116" i="71"/>
  <c r="AG80" i="71"/>
  <c r="AG236" i="71"/>
  <c r="AG202" i="71"/>
  <c r="AG168" i="71"/>
  <c r="AG136" i="71"/>
  <c r="AG45" i="71"/>
  <c r="AG212" i="71"/>
  <c r="AG184" i="71"/>
  <c r="AG154" i="71"/>
  <c r="AG126" i="71"/>
  <c r="AG48" i="71"/>
  <c r="AG238" i="71"/>
  <c r="AG224" i="71"/>
  <c r="AG210" i="71"/>
  <c r="AG196" i="71"/>
  <c r="AG180" i="71"/>
  <c r="AG166" i="71"/>
  <c r="AG152" i="71"/>
  <c r="AG138" i="71"/>
  <c r="AG124" i="71"/>
  <c r="AG108" i="71"/>
  <c r="AG42" i="71"/>
  <c r="AG90" i="71"/>
  <c r="AG65" i="71"/>
  <c r="AG79" i="71"/>
  <c r="AG85" i="71"/>
  <c r="AG93" i="71"/>
  <c r="AG53" i="71"/>
  <c r="AG234" i="71"/>
  <c r="AG220" i="71"/>
  <c r="AG204" i="71"/>
  <c r="AG190" i="71"/>
  <c r="AG176" i="71"/>
  <c r="AG162" i="71"/>
  <c r="AG148" i="71"/>
  <c r="AG132" i="71"/>
  <c r="AG118" i="71"/>
  <c r="AG104" i="71"/>
  <c r="AG67" i="71"/>
  <c r="AG102" i="71"/>
  <c r="AG83" i="71"/>
  <c r="AG52" i="71"/>
  <c r="AG87" i="71"/>
  <c r="AG39" i="71"/>
  <c r="AG82" i="71"/>
  <c r="AG71" i="71"/>
  <c r="AG228" i="71"/>
  <c r="AG214" i="71"/>
  <c r="AG200" i="71"/>
  <c r="AG186" i="71"/>
  <c r="AG172" i="71"/>
  <c r="AG156" i="71"/>
  <c r="AG142" i="71"/>
  <c r="AG128" i="71"/>
  <c r="AG114" i="71"/>
  <c r="AG49" i="71"/>
  <c r="AG103" i="71"/>
  <c r="AG57" i="71"/>
  <c r="AG40" i="71"/>
  <c r="AG66" i="71"/>
  <c r="AG230" i="71"/>
  <c r="AG218" i="71"/>
  <c r="AG206" i="71"/>
  <c r="AG194" i="71"/>
  <c r="AG182" i="71"/>
  <c r="AG170" i="71"/>
  <c r="AG158" i="71"/>
  <c r="AG146" i="71"/>
  <c r="AG134" i="71"/>
  <c r="AG122" i="71"/>
  <c r="AG110" i="71"/>
  <c r="AG64" i="71"/>
  <c r="AG100" i="71"/>
  <c r="AG96" i="71"/>
  <c r="AG54" i="71"/>
  <c r="AG46" i="71"/>
  <c r="AG235" i="71"/>
  <c r="AG229" i="71"/>
  <c r="AG223" i="71"/>
  <c r="AG217" i="71"/>
  <c r="AG211" i="71"/>
  <c r="AG205" i="71"/>
  <c r="AG199" i="71"/>
  <c r="AG193" i="71"/>
  <c r="AG187" i="71"/>
  <c r="AG181" i="71"/>
  <c r="AG175" i="71"/>
  <c r="AG169" i="71"/>
  <c r="AG163" i="71"/>
  <c r="AG157" i="71"/>
  <c r="AG151" i="71"/>
  <c r="AG145" i="71"/>
  <c r="AG139" i="71"/>
  <c r="AG133" i="71"/>
  <c r="AG127" i="71"/>
  <c r="AG121" i="71"/>
  <c r="AG115" i="71"/>
  <c r="AG109" i="71"/>
  <c r="AG77" i="71"/>
  <c r="AG51" i="71"/>
  <c r="AG99" i="71"/>
  <c r="AG101" i="71"/>
  <c r="AG89" i="71"/>
  <c r="AG86" i="71"/>
  <c r="AG97" i="71"/>
  <c r="AG50" i="71"/>
  <c r="AG70" i="71"/>
  <c r="AG41" i="71"/>
  <c r="AG68" i="71"/>
  <c r="AG233" i="71"/>
  <c r="AG227" i="71"/>
  <c r="AG221" i="71"/>
  <c r="AG215" i="71"/>
  <c r="AG209" i="71"/>
  <c r="AG203" i="71"/>
  <c r="AG197" i="71"/>
  <c r="AG191" i="71"/>
  <c r="AG185" i="71"/>
  <c r="AG179" i="71"/>
  <c r="AG173" i="71"/>
  <c r="AG167" i="71"/>
  <c r="AG161" i="71"/>
  <c r="AG155" i="71"/>
  <c r="AG149" i="71"/>
  <c r="AG143" i="71"/>
  <c r="AG137" i="71"/>
  <c r="AG131" i="71"/>
  <c r="AG125" i="71"/>
  <c r="AG119" i="71"/>
  <c r="AG113" i="71"/>
  <c r="AG107" i="71"/>
  <c r="AG72" i="71"/>
  <c r="AG61" i="71"/>
  <c r="AG91" i="71"/>
  <c r="AG95" i="71"/>
  <c r="AG84" i="71"/>
  <c r="AG75" i="71"/>
  <c r="AG94" i="71"/>
  <c r="AG43" i="71"/>
  <c r="AG58" i="71"/>
  <c r="AG44" i="71"/>
  <c r="AG63" i="71"/>
  <c r="AG59" i="71"/>
  <c r="AG237" i="71"/>
  <c r="AG231" i="71"/>
  <c r="AG225" i="71"/>
  <c r="AG219" i="71"/>
  <c r="AG213" i="71"/>
  <c r="AG207" i="71"/>
  <c r="AG201" i="71"/>
  <c r="AG195" i="71"/>
  <c r="AG189" i="71"/>
  <c r="AG183" i="71"/>
  <c r="AG177" i="71"/>
  <c r="AG171" i="71"/>
  <c r="AG165" i="71"/>
  <c r="AG159" i="71"/>
  <c r="AG153" i="71"/>
  <c r="AG147" i="71"/>
  <c r="AG141" i="71"/>
  <c r="AG135" i="71"/>
  <c r="AG129" i="71"/>
  <c r="AG123" i="71"/>
  <c r="AG117" i="71"/>
  <c r="AG111" i="71"/>
  <c r="AG105" i="71"/>
  <c r="AG60" i="71"/>
  <c r="AG56" i="71"/>
  <c r="AG47" i="71"/>
  <c r="AG98" i="71"/>
  <c r="AG88" i="71"/>
  <c r="AG76" i="71"/>
  <c r="AG62" i="71"/>
  <c r="AG81" i="71"/>
  <c r="AG78" i="71"/>
  <c r="AG74" i="71"/>
  <c r="Y103" i="71" l="1"/>
  <c r="Y91" i="71"/>
  <c r="Y67" i="71"/>
  <c r="Y96" i="71"/>
  <c r="Y99" i="71"/>
  <c r="Y56" i="71"/>
  <c r="Y74" i="71"/>
  <c r="Y52" i="71"/>
  <c r="Y44" i="71"/>
  <c r="Y53" i="71"/>
  <c r="Y41" i="71"/>
  <c r="Y46" i="71"/>
  <c r="Y42" i="71"/>
  <c r="Y58" i="71"/>
  <c r="Y88" i="71"/>
  <c r="Y101" i="71"/>
  <c r="Y80" i="71"/>
  <c r="Y45" i="71"/>
  <c r="Y79" i="71"/>
  <c r="Y39" i="71"/>
  <c r="Y77" i="71"/>
  <c r="Y61" i="71"/>
  <c r="Y70" i="71"/>
  <c r="Y40" i="71"/>
  <c r="Y104" i="71"/>
  <c r="Y102" i="71"/>
  <c r="Y62" i="71"/>
  <c r="Y54" i="71"/>
  <c r="Y84" i="71"/>
  <c r="Y43" i="71"/>
  <c r="Y83" i="71"/>
  <c r="Y48" i="71"/>
  <c r="Y50" i="71"/>
  <c r="Y93" i="71"/>
  <c r="Y105" i="71"/>
  <c r="Y51" i="71"/>
  <c r="Y85" i="71"/>
  <c r="Y89" i="71"/>
  <c r="Y64" i="71"/>
  <c r="Y60" i="71"/>
  <c r="Y94" i="71"/>
  <c r="Y90" i="71"/>
  <c r="Y100" i="71"/>
  <c r="Y75" i="71"/>
  <c r="Y78" i="71"/>
  <c r="Y98" i="71"/>
  <c r="Y69" i="71"/>
  <c r="Y57" i="71"/>
  <c r="Y72" i="71"/>
  <c r="Y92" i="71"/>
  <c r="Y95" i="71"/>
  <c r="Y49" i="71"/>
  <c r="Y73" i="71"/>
  <c r="Y106" i="71"/>
  <c r="Y107" i="71"/>
  <c r="Y108" i="71"/>
  <c r="Y109" i="71"/>
  <c r="Y110" i="71"/>
  <c r="Y111" i="71"/>
  <c r="Y112" i="71"/>
  <c r="Y113" i="71"/>
  <c r="Y114" i="71"/>
  <c r="Y115" i="71"/>
  <c r="Y116" i="71"/>
  <c r="Y117" i="71"/>
  <c r="Y118" i="71"/>
  <c r="Y119" i="71"/>
  <c r="Y120" i="71"/>
  <c r="Y121" i="71"/>
  <c r="Y122" i="71"/>
  <c r="Y123" i="71"/>
  <c r="Y124" i="71"/>
  <c r="Y125" i="71"/>
  <c r="Y126" i="71"/>
  <c r="Y127" i="71"/>
  <c r="Y128" i="71"/>
  <c r="Y129" i="71"/>
  <c r="Y130" i="71"/>
  <c r="Y131" i="71"/>
  <c r="Y132" i="71"/>
  <c r="Y133" i="71"/>
  <c r="Y134" i="71"/>
  <c r="Y135" i="71"/>
  <c r="Y136" i="71"/>
  <c r="Y137" i="71"/>
  <c r="Y138" i="71"/>
  <c r="Y139" i="71"/>
  <c r="Y140" i="71"/>
  <c r="Y141" i="71"/>
  <c r="Y142" i="71"/>
  <c r="Y143" i="71"/>
  <c r="Y144" i="71"/>
  <c r="Y145" i="71"/>
  <c r="Y146" i="71"/>
  <c r="Y147" i="71"/>
  <c r="Y148" i="71"/>
  <c r="Y149" i="71"/>
  <c r="Y150" i="71"/>
  <c r="Y151" i="71"/>
  <c r="Y152" i="71"/>
  <c r="Y153" i="71"/>
  <c r="Y154" i="71"/>
  <c r="Y155" i="71"/>
  <c r="Y156" i="71"/>
  <c r="Y157" i="71"/>
  <c r="Y158" i="71"/>
  <c r="Y159" i="71"/>
  <c r="Y160" i="71"/>
  <c r="Y161" i="71"/>
  <c r="Y162" i="71"/>
  <c r="Y163" i="71"/>
  <c r="Y164" i="71"/>
  <c r="Y165" i="71"/>
  <c r="Y166" i="71"/>
  <c r="Y167" i="71"/>
  <c r="Y168" i="71"/>
  <c r="Y169" i="71"/>
  <c r="Y170" i="71"/>
  <c r="Y171" i="71"/>
  <c r="Y172" i="71"/>
  <c r="Y173" i="71"/>
  <c r="Y174" i="71"/>
  <c r="Y175" i="71"/>
  <c r="Y176" i="71"/>
  <c r="Y177" i="71"/>
  <c r="Y178" i="71"/>
  <c r="Y179" i="71"/>
  <c r="Y180" i="71"/>
  <c r="Y181" i="71"/>
  <c r="Y182" i="71"/>
  <c r="Y183" i="71"/>
  <c r="Y184" i="71"/>
  <c r="Y185" i="71"/>
  <c r="Y186" i="71"/>
  <c r="Y187" i="71"/>
  <c r="Y188" i="71"/>
  <c r="Y189" i="71"/>
  <c r="Y190" i="71"/>
  <c r="Y191" i="71"/>
  <c r="Y192" i="71"/>
  <c r="Y193" i="71"/>
  <c r="Y194" i="71"/>
  <c r="Y195" i="71"/>
  <c r="Y196" i="71"/>
  <c r="Y197" i="71"/>
  <c r="Y198" i="71"/>
  <c r="Y199" i="71"/>
  <c r="Y200" i="71"/>
  <c r="Y201" i="71"/>
  <c r="Y202" i="71"/>
  <c r="Y203" i="71"/>
  <c r="Y204" i="71"/>
  <c r="Y205" i="71"/>
  <c r="Y206" i="71"/>
  <c r="Y207" i="71"/>
  <c r="Y208" i="71"/>
  <c r="Y209" i="71"/>
  <c r="Y210" i="71"/>
  <c r="Y211" i="71"/>
  <c r="Y212" i="71"/>
  <c r="Y213" i="71"/>
  <c r="Y214" i="71"/>
  <c r="Y215" i="71"/>
  <c r="Y216" i="71"/>
  <c r="Y217" i="71"/>
  <c r="Y218" i="71"/>
  <c r="Y219" i="71"/>
  <c r="Y220" i="71"/>
  <c r="Y221" i="71"/>
  <c r="Y222" i="71"/>
  <c r="Y223" i="71"/>
  <c r="Y224" i="71"/>
  <c r="Y225" i="71"/>
  <c r="Y226" i="71"/>
  <c r="Y227" i="71"/>
  <c r="Y228" i="71"/>
  <c r="Y229" i="71"/>
  <c r="Y230" i="71"/>
  <c r="Y231" i="71"/>
  <c r="Y232" i="71"/>
  <c r="Y233" i="71"/>
  <c r="Y234" i="71"/>
  <c r="Y235" i="71"/>
  <c r="Y236" i="71"/>
  <c r="Y237" i="71"/>
  <c r="Y238" i="71"/>
  <c r="AD55" i="71" l="1"/>
  <c r="AD59" i="71" l="1"/>
  <c r="AD86" i="71"/>
  <c r="AD47" i="71"/>
  <c r="AD103" i="71"/>
  <c r="AD87" i="71"/>
  <c r="AD91" i="71"/>
  <c r="AD67" i="71"/>
  <c r="AD96" i="71"/>
  <c r="AD63" i="71"/>
  <c r="AD66" i="71"/>
  <c r="AD68" i="71"/>
  <c r="AD71" i="71"/>
  <c r="AD99" i="71"/>
  <c r="AD56" i="71"/>
  <c r="AD74" i="71"/>
  <c r="AD52" i="71"/>
  <c r="AD44" i="71"/>
  <c r="AD53" i="71"/>
  <c r="AD41" i="71"/>
  <c r="AD46" i="71"/>
  <c r="AD42" i="71"/>
  <c r="AD58" i="71"/>
  <c r="AD88" i="71"/>
  <c r="AD101" i="71"/>
  <c r="AD80" i="71"/>
  <c r="AD45" i="71"/>
  <c r="AD79" i="71"/>
  <c r="AD39" i="71"/>
  <c r="AD77" i="71"/>
  <c r="AD61" i="71"/>
  <c r="AD70" i="71"/>
  <c r="AD40" i="71"/>
  <c r="AD104" i="71"/>
  <c r="AD81" i="71"/>
  <c r="AD102" i="71"/>
  <c r="AD82" i="71"/>
  <c r="AD62" i="71"/>
  <c r="AD54" i="71"/>
  <c r="AD84" i="71"/>
  <c r="AD43" i="71"/>
  <c r="AD83" i="71"/>
  <c r="AD48" i="71"/>
  <c r="AD50" i="71"/>
  <c r="AD93" i="71"/>
  <c r="AD105" i="71"/>
  <c r="AD51" i="71"/>
  <c r="AD85" i="71"/>
  <c r="AD89" i="71"/>
  <c r="AD64" i="71"/>
  <c r="AD60" i="71"/>
  <c r="AD94" i="71"/>
  <c r="AD65" i="71"/>
  <c r="AD90" i="71"/>
  <c r="AD100" i="71"/>
  <c r="AD75" i="71"/>
  <c r="AD78" i="71"/>
  <c r="AD98" i="71"/>
  <c r="AD97" i="71"/>
  <c r="AD69" i="71"/>
  <c r="AD57" i="71"/>
  <c r="AD72" i="71"/>
  <c r="AD92" i="71"/>
  <c r="AD76" i="71"/>
  <c r="AD95" i="71"/>
  <c r="AD49" i="71"/>
  <c r="AD73" i="71"/>
  <c r="AD106" i="71"/>
  <c r="AD107" i="71"/>
  <c r="AD108" i="71"/>
  <c r="AD109" i="71"/>
  <c r="AD110" i="71"/>
  <c r="AD111" i="71"/>
  <c r="AD112" i="71"/>
  <c r="AD113" i="71"/>
  <c r="AD114" i="71"/>
  <c r="AD115" i="71"/>
  <c r="AD116" i="71"/>
  <c r="AD117" i="71"/>
  <c r="AD118" i="71"/>
  <c r="AD119" i="71"/>
  <c r="AD120" i="71"/>
  <c r="AD121" i="71"/>
  <c r="AD122" i="71"/>
  <c r="AD123" i="71"/>
  <c r="AD124" i="71"/>
  <c r="AD125" i="71"/>
  <c r="AD126" i="71"/>
  <c r="AD127" i="71"/>
  <c r="AD128" i="71"/>
  <c r="AD129" i="71"/>
  <c r="AD130" i="71"/>
  <c r="AD131" i="71"/>
  <c r="AD132" i="71"/>
  <c r="AD133" i="71"/>
  <c r="AD134" i="71"/>
  <c r="AD135" i="71"/>
  <c r="AD136" i="71"/>
  <c r="AD137" i="71"/>
  <c r="AD138" i="71"/>
  <c r="AD139" i="71"/>
  <c r="AD140" i="71"/>
  <c r="AD141" i="71"/>
  <c r="AD142" i="71"/>
  <c r="AD143" i="71"/>
  <c r="AD144" i="71"/>
  <c r="AD145" i="71"/>
  <c r="AD146" i="71"/>
  <c r="AD147" i="71"/>
  <c r="AD148" i="71"/>
  <c r="AD149" i="71"/>
  <c r="AD150" i="71"/>
  <c r="AD151" i="71"/>
  <c r="AD152" i="71"/>
  <c r="AD153" i="71"/>
  <c r="AD154" i="71"/>
  <c r="AD155" i="71"/>
  <c r="AD156" i="71"/>
  <c r="AD157" i="71"/>
  <c r="AD158" i="71"/>
  <c r="AD159" i="71"/>
  <c r="AD160" i="71"/>
  <c r="AD161" i="71"/>
  <c r="AD162" i="71"/>
  <c r="AD163" i="71"/>
  <c r="AD164" i="71"/>
  <c r="AD165" i="71"/>
  <c r="AD166" i="71"/>
  <c r="AD167" i="71"/>
  <c r="AD168" i="71"/>
  <c r="AD169" i="71"/>
  <c r="AD170" i="71"/>
  <c r="AD171" i="71"/>
  <c r="AD172" i="71"/>
  <c r="AD173" i="71"/>
  <c r="AD174" i="71"/>
  <c r="AD175" i="71"/>
  <c r="AD176" i="71"/>
  <c r="AD177" i="71"/>
  <c r="AD178" i="71"/>
  <c r="AD179" i="71"/>
  <c r="AD180" i="71"/>
  <c r="AD181" i="71"/>
  <c r="AD182" i="71"/>
  <c r="AD183" i="71"/>
  <c r="AD184" i="71"/>
  <c r="AD185" i="71"/>
  <c r="AD186" i="71"/>
  <c r="AD187" i="71"/>
  <c r="AD188" i="71"/>
  <c r="AD189" i="71"/>
  <c r="AD190" i="71"/>
  <c r="AD191" i="71"/>
  <c r="AD192" i="71"/>
  <c r="AD193" i="71"/>
  <c r="AD194" i="71"/>
  <c r="AD195" i="71"/>
  <c r="AD196" i="71"/>
  <c r="AD197" i="71"/>
  <c r="AD198" i="71"/>
  <c r="AD199" i="71"/>
  <c r="AD200" i="71"/>
  <c r="AD201" i="71"/>
  <c r="AD202" i="71"/>
  <c r="AD203" i="71"/>
  <c r="AD204" i="71"/>
  <c r="AD205" i="71"/>
  <c r="AD206" i="71"/>
  <c r="AD207" i="71"/>
  <c r="AD208" i="71"/>
  <c r="AD209" i="71"/>
  <c r="AD210" i="71"/>
  <c r="AD211" i="71"/>
  <c r="AD212" i="71"/>
  <c r="AD213" i="71"/>
  <c r="AD214" i="71"/>
  <c r="AD215" i="71"/>
  <c r="AD216" i="71"/>
  <c r="AD217" i="71"/>
  <c r="AD218" i="71"/>
  <c r="AD219" i="71"/>
  <c r="AD220" i="71"/>
  <c r="AD221" i="71"/>
  <c r="AD222" i="71"/>
  <c r="AD223" i="71"/>
  <c r="AD224" i="71"/>
  <c r="AD225" i="71"/>
  <c r="AD226" i="71"/>
  <c r="AD227" i="71"/>
  <c r="AD228" i="71"/>
  <c r="AD229" i="71"/>
  <c r="AD230" i="71"/>
  <c r="AD231" i="71"/>
  <c r="AD232" i="71"/>
  <c r="AD233" i="71"/>
  <c r="AD234" i="71"/>
  <c r="AD235" i="71"/>
  <c r="AD236" i="71"/>
  <c r="AD237" i="71"/>
  <c r="AD238" i="71"/>
  <c r="AE106" i="71" l="1"/>
  <c r="AE107" i="71"/>
  <c r="AE108" i="71"/>
  <c r="AE109" i="71"/>
  <c r="AE110" i="71"/>
  <c r="AE111" i="71"/>
  <c r="AE112" i="71"/>
  <c r="AE113" i="71"/>
  <c r="AE114" i="71"/>
  <c r="AE115" i="71"/>
  <c r="AE116" i="71"/>
  <c r="AE117" i="71"/>
  <c r="AE118" i="71"/>
  <c r="AE119" i="71"/>
  <c r="AE120" i="71"/>
  <c r="AE121" i="71"/>
  <c r="AE122" i="71"/>
  <c r="AE123" i="71"/>
  <c r="AE124" i="71"/>
  <c r="AE125" i="71"/>
  <c r="AE126" i="71"/>
  <c r="AE127" i="71"/>
  <c r="AE128" i="71"/>
  <c r="AE129" i="71"/>
  <c r="AE130" i="71"/>
  <c r="AE131" i="71"/>
  <c r="AE132" i="71"/>
  <c r="AE133" i="71"/>
  <c r="AE134" i="71"/>
  <c r="AE135" i="71"/>
  <c r="AE136" i="71"/>
  <c r="AE137" i="71"/>
  <c r="AE138" i="71"/>
  <c r="AE139" i="71"/>
  <c r="AE140" i="71"/>
  <c r="AE141" i="71"/>
  <c r="AE142" i="71"/>
  <c r="AE143" i="71"/>
  <c r="AE144" i="71"/>
  <c r="AE145" i="71"/>
  <c r="AE146" i="71"/>
  <c r="AE147" i="71"/>
  <c r="AE148" i="71"/>
  <c r="AE149" i="71"/>
  <c r="AE150" i="71"/>
  <c r="AE151" i="71"/>
  <c r="AE152" i="71"/>
  <c r="AE153" i="71"/>
  <c r="AE154" i="71"/>
  <c r="AE155" i="71"/>
  <c r="AE156" i="71"/>
  <c r="AE157" i="71"/>
  <c r="AE158" i="71"/>
  <c r="AE159" i="71"/>
  <c r="AE160" i="71"/>
  <c r="AE161" i="71"/>
  <c r="AE162" i="71"/>
  <c r="AE163" i="71"/>
  <c r="AE164" i="71"/>
  <c r="AE165" i="71"/>
  <c r="AE166" i="71"/>
  <c r="AE167" i="71"/>
  <c r="AE168" i="71"/>
  <c r="AE169" i="71"/>
  <c r="AE170" i="71"/>
  <c r="AE171" i="71"/>
  <c r="AE172" i="71"/>
  <c r="AE173" i="71"/>
  <c r="AE174" i="71"/>
  <c r="AE175" i="71"/>
  <c r="AE176" i="71"/>
  <c r="AE177" i="71"/>
  <c r="AE178" i="71"/>
  <c r="AE179" i="71"/>
  <c r="AE180" i="71"/>
  <c r="AE181" i="71"/>
  <c r="AE182" i="71"/>
  <c r="AE183" i="71"/>
  <c r="AE184" i="71"/>
  <c r="AE185" i="71"/>
  <c r="AE186" i="71"/>
  <c r="AE187" i="71"/>
  <c r="AE188" i="71"/>
  <c r="AE189" i="71"/>
  <c r="AE190" i="71"/>
  <c r="AE191" i="71"/>
  <c r="AE192" i="71"/>
  <c r="AE193" i="71"/>
  <c r="AE194" i="71"/>
  <c r="AE195" i="71"/>
  <c r="AE196" i="71"/>
  <c r="AE197" i="71"/>
  <c r="AE198" i="71"/>
  <c r="AE199" i="71"/>
  <c r="AE200" i="71"/>
  <c r="AE201" i="71"/>
  <c r="AE202" i="71"/>
  <c r="AE203" i="71"/>
  <c r="AE204" i="71"/>
  <c r="AE205" i="71"/>
  <c r="AE206" i="71"/>
  <c r="AE207" i="71"/>
  <c r="AE208" i="71"/>
  <c r="AE209" i="71"/>
  <c r="AE210" i="71"/>
  <c r="AE211" i="71"/>
  <c r="AE212" i="71"/>
  <c r="AE213" i="71"/>
  <c r="AE214" i="71"/>
  <c r="AE215" i="71"/>
  <c r="AE216" i="71"/>
  <c r="AE217" i="71"/>
  <c r="AE218" i="71"/>
  <c r="AE219" i="71"/>
  <c r="AE220" i="71"/>
  <c r="AE221" i="71"/>
  <c r="AE222" i="71"/>
  <c r="AE223" i="71"/>
  <c r="AE224" i="71"/>
  <c r="AE225" i="71"/>
  <c r="AE226" i="71"/>
  <c r="AE227" i="71"/>
  <c r="AE228" i="71"/>
  <c r="AE229" i="71"/>
  <c r="AE230" i="71"/>
  <c r="AE231" i="71"/>
  <c r="AE232" i="71"/>
  <c r="AE233" i="71"/>
  <c r="AE234" i="71"/>
  <c r="AE235" i="71"/>
  <c r="AE236" i="71"/>
  <c r="AE237" i="71"/>
  <c r="AE238" i="71"/>
  <c r="R35" i="71"/>
  <c r="Z55" i="71"/>
  <c r="Z59" i="71"/>
  <c r="Z86" i="71"/>
  <c r="Z47" i="71"/>
  <c r="Z103" i="71"/>
  <c r="Z87" i="71"/>
  <c r="Z91" i="71"/>
  <c r="Z67" i="71"/>
  <c r="Z96" i="71"/>
  <c r="Z63" i="71"/>
  <c r="Z66" i="71"/>
  <c r="Z68" i="71"/>
  <c r="Z71" i="71"/>
  <c r="Z99" i="71"/>
  <c r="Z56" i="71"/>
  <c r="Z74" i="71"/>
  <c r="Z52" i="71"/>
  <c r="Z44" i="71"/>
  <c r="Z53" i="71"/>
  <c r="Z41" i="71"/>
  <c r="Z46" i="71"/>
  <c r="Z42" i="71"/>
  <c r="Z58" i="71"/>
  <c r="Z88" i="71"/>
  <c r="Z101" i="71"/>
  <c r="Z80" i="71"/>
  <c r="Z45" i="71"/>
  <c r="Z79" i="71"/>
  <c r="Z39" i="71"/>
  <c r="Z77" i="71"/>
  <c r="Z61" i="71"/>
  <c r="Z70" i="71"/>
  <c r="Z40" i="71"/>
  <c r="Z104" i="71"/>
  <c r="Z81" i="71"/>
  <c r="Z102" i="71"/>
  <c r="Z82" i="71"/>
  <c r="Z62" i="71"/>
  <c r="Z54" i="71"/>
  <c r="Z84" i="71"/>
  <c r="Z43" i="71"/>
  <c r="Z83" i="71"/>
  <c r="Z48" i="71"/>
  <c r="Z50" i="71"/>
  <c r="Z93" i="71"/>
  <c r="Z105" i="71"/>
  <c r="Z51" i="71"/>
  <c r="Z85" i="71"/>
  <c r="Z89" i="71"/>
  <c r="Z64" i="71"/>
  <c r="Z60" i="71"/>
  <c r="Z94" i="71"/>
  <c r="Z65" i="71"/>
  <c r="Z90" i="71"/>
  <c r="Z100" i="71"/>
  <c r="Z75" i="71"/>
  <c r="Z78" i="71"/>
  <c r="Z98" i="71"/>
  <c r="Z97" i="71"/>
  <c r="Z69" i="71"/>
  <c r="Z57" i="71"/>
  <c r="Z72" i="71"/>
  <c r="Z92" i="71"/>
  <c r="Z76" i="71"/>
  <c r="Z95" i="71"/>
  <c r="Z49" i="71"/>
  <c r="Z73" i="71"/>
  <c r="Z106" i="71"/>
  <c r="Z107" i="71"/>
  <c r="Z108" i="71"/>
  <c r="Z109" i="71"/>
  <c r="Z110" i="71"/>
  <c r="Z111" i="71"/>
  <c r="Z112" i="71"/>
  <c r="Z113" i="71"/>
  <c r="Z114" i="71"/>
  <c r="Z115" i="71"/>
  <c r="Z116" i="71"/>
  <c r="Z117" i="71"/>
  <c r="Z118" i="71"/>
  <c r="Z119" i="71"/>
  <c r="Z120" i="71"/>
  <c r="Z121" i="71"/>
  <c r="Z122" i="71"/>
  <c r="Z123" i="71"/>
  <c r="Z124" i="71"/>
  <c r="Z125" i="71"/>
  <c r="Z126" i="71"/>
  <c r="Z127" i="71"/>
  <c r="Z128" i="71"/>
  <c r="Z129" i="71"/>
  <c r="Z130" i="71"/>
  <c r="Z131" i="71"/>
  <c r="Z132" i="71"/>
  <c r="Z133" i="71"/>
  <c r="Z134" i="71"/>
  <c r="Z135" i="71"/>
  <c r="Z136" i="71"/>
  <c r="Z137" i="71"/>
  <c r="Z138" i="71"/>
  <c r="Z139" i="71"/>
  <c r="Z140" i="71"/>
  <c r="Z141" i="71"/>
  <c r="Z142" i="71"/>
  <c r="Z143" i="71"/>
  <c r="Z144" i="71"/>
  <c r="Z145" i="71"/>
  <c r="Z146" i="71"/>
  <c r="Z147" i="71"/>
  <c r="Z148" i="71"/>
  <c r="Z149" i="71"/>
  <c r="Z150" i="71"/>
  <c r="Z151" i="71"/>
  <c r="Z152" i="71"/>
  <c r="Z153" i="71"/>
  <c r="Z154" i="71"/>
  <c r="Z155" i="71"/>
  <c r="Z156" i="71"/>
  <c r="Z157" i="71"/>
  <c r="Z158" i="71"/>
  <c r="Z159" i="71"/>
  <c r="Z160" i="71"/>
  <c r="Z161" i="71"/>
  <c r="Z162" i="71"/>
  <c r="Z163" i="71"/>
  <c r="Z164" i="71"/>
  <c r="Z165" i="71"/>
  <c r="Z166" i="71"/>
  <c r="Z167" i="71"/>
  <c r="Z168" i="71"/>
  <c r="Z169" i="71"/>
  <c r="Z170" i="71"/>
  <c r="Z171" i="71"/>
  <c r="Z172" i="71"/>
  <c r="Z173" i="71"/>
  <c r="Z174" i="71"/>
  <c r="Z175" i="71"/>
  <c r="Z176" i="71"/>
  <c r="Z177" i="71"/>
  <c r="Z178" i="71"/>
  <c r="Z179" i="71"/>
  <c r="Z180" i="71"/>
  <c r="Z181" i="71"/>
  <c r="Z182" i="71"/>
  <c r="Z183" i="71"/>
  <c r="Z184" i="71"/>
  <c r="Z185" i="71"/>
  <c r="Z186" i="71"/>
  <c r="Z187" i="71"/>
  <c r="Z188" i="71"/>
  <c r="Z189" i="71"/>
  <c r="Z190" i="71"/>
  <c r="Z191" i="71"/>
  <c r="Z192" i="71"/>
  <c r="Z193" i="71"/>
  <c r="Z194" i="71"/>
  <c r="Z195" i="71"/>
  <c r="Z196" i="71"/>
  <c r="Z197" i="71"/>
  <c r="Z198" i="71"/>
  <c r="Z199" i="71"/>
  <c r="Z200" i="71"/>
  <c r="Z201" i="71"/>
  <c r="Z202" i="71"/>
  <c r="Z203" i="71"/>
  <c r="Z204" i="71"/>
  <c r="Z205" i="71"/>
  <c r="Z206" i="71"/>
  <c r="Z207" i="71"/>
  <c r="Z208" i="71"/>
  <c r="Z209" i="71"/>
  <c r="Z210" i="71"/>
  <c r="Z211" i="71"/>
  <c r="Z212" i="71"/>
  <c r="Z213" i="71"/>
  <c r="Z214" i="71"/>
  <c r="Z215" i="71"/>
  <c r="Z216" i="71"/>
  <c r="Z217" i="71"/>
  <c r="Z218" i="71"/>
  <c r="Z219" i="71"/>
  <c r="Z220" i="71"/>
  <c r="Z221" i="71"/>
  <c r="Z222" i="71"/>
  <c r="Z223" i="71"/>
  <c r="Z224" i="71"/>
  <c r="Z225" i="71"/>
  <c r="Z226" i="71"/>
  <c r="Z227" i="71"/>
  <c r="Z228" i="71"/>
  <c r="Z229" i="71"/>
  <c r="Z230" i="71"/>
  <c r="Z231" i="71"/>
  <c r="Z232" i="71"/>
  <c r="Z233" i="71"/>
  <c r="Z234" i="71"/>
  <c r="Z235" i="71"/>
  <c r="Z236" i="71"/>
  <c r="Z237" i="71"/>
  <c r="Z238" i="71"/>
  <c r="AA55" i="71"/>
  <c r="AA59" i="71"/>
  <c r="AA86" i="71"/>
  <c r="AA47" i="71"/>
  <c r="AA103" i="71"/>
  <c r="AA87" i="71"/>
  <c r="AA91" i="71"/>
  <c r="AA67" i="71"/>
  <c r="AA96" i="71"/>
  <c r="AA63" i="71"/>
  <c r="AA66" i="71"/>
  <c r="AA68" i="71"/>
  <c r="AA71" i="71"/>
  <c r="AA99" i="71"/>
  <c r="AA56" i="71"/>
  <c r="AA74" i="71"/>
  <c r="AA52" i="71"/>
  <c r="AA44" i="71"/>
  <c r="AA53" i="71"/>
  <c r="AA41" i="71"/>
  <c r="AA46" i="71"/>
  <c r="AA42" i="71"/>
  <c r="AA58" i="71"/>
  <c r="AA88" i="71"/>
  <c r="AA101" i="71"/>
  <c r="AA80" i="71"/>
  <c r="AA45" i="71"/>
  <c r="AA79" i="71"/>
  <c r="AA39" i="71"/>
  <c r="AA77" i="71"/>
  <c r="AA61" i="71"/>
  <c r="AA70" i="71"/>
  <c r="AA40" i="71"/>
  <c r="AA104" i="71"/>
  <c r="AA81" i="71"/>
  <c r="AA102" i="71"/>
  <c r="AA82" i="71"/>
  <c r="AA62" i="71"/>
  <c r="AA54" i="71"/>
  <c r="AA84" i="71"/>
  <c r="AA43" i="71"/>
  <c r="AA83" i="71"/>
  <c r="AA48" i="71"/>
  <c r="AA50" i="71"/>
  <c r="AA93" i="71"/>
  <c r="AA105" i="71"/>
  <c r="AA51" i="71"/>
  <c r="AA85" i="71"/>
  <c r="AA89" i="71"/>
  <c r="AA64" i="71"/>
  <c r="AA60" i="71"/>
  <c r="AA94" i="71"/>
  <c r="AA65" i="71"/>
  <c r="AA90" i="71"/>
  <c r="AA100" i="71"/>
  <c r="AA75" i="71"/>
  <c r="AA78" i="71"/>
  <c r="AA98" i="71"/>
  <c r="AA97" i="71"/>
  <c r="AA69" i="71"/>
  <c r="AA57" i="71"/>
  <c r="AA72" i="71"/>
  <c r="AA92" i="71"/>
  <c r="AA76" i="71"/>
  <c r="AA95" i="71"/>
  <c r="AA49" i="71"/>
  <c r="AA73" i="71"/>
  <c r="AA106" i="71"/>
  <c r="AA107" i="71"/>
  <c r="AA108" i="71"/>
  <c r="AA109" i="71"/>
  <c r="AA110" i="71"/>
  <c r="AA111" i="71"/>
  <c r="AA112" i="71"/>
  <c r="AA113" i="71"/>
  <c r="AA114" i="71"/>
  <c r="AA115" i="71"/>
  <c r="AA116" i="71"/>
  <c r="AA117" i="71"/>
  <c r="AA118" i="71"/>
  <c r="AA119" i="71"/>
  <c r="AA120" i="71"/>
  <c r="AA121" i="71"/>
  <c r="AA122" i="71"/>
  <c r="AA123" i="71"/>
  <c r="AA124" i="71"/>
  <c r="AA125" i="71"/>
  <c r="AA126" i="71"/>
  <c r="AA127" i="71"/>
  <c r="AA128" i="71"/>
  <c r="AA129" i="71"/>
  <c r="AA130" i="71"/>
  <c r="AA131" i="71"/>
  <c r="AA132" i="71"/>
  <c r="AA133" i="71"/>
  <c r="AA134" i="71"/>
  <c r="AA135" i="71"/>
  <c r="AA136" i="71"/>
  <c r="AA137" i="71"/>
  <c r="AA138" i="71"/>
  <c r="AA139" i="71"/>
  <c r="AA140" i="71"/>
  <c r="AA141" i="71"/>
  <c r="AA142" i="71"/>
  <c r="AA143" i="71"/>
  <c r="AA144" i="71"/>
  <c r="AA145" i="71"/>
  <c r="AA146" i="71"/>
  <c r="AA147" i="71"/>
  <c r="AA148" i="71"/>
  <c r="AA149" i="71"/>
  <c r="AA150" i="71"/>
  <c r="AA151" i="71"/>
  <c r="AA152" i="71"/>
  <c r="AA153" i="71"/>
  <c r="AA154" i="71"/>
  <c r="AA155" i="71"/>
  <c r="AA156" i="71"/>
  <c r="AA157" i="71"/>
  <c r="AA158" i="71"/>
  <c r="AA159" i="71"/>
  <c r="AA160" i="71"/>
  <c r="AA161" i="71"/>
  <c r="AA162" i="71"/>
  <c r="AA163" i="71"/>
  <c r="AA164" i="71"/>
  <c r="AA165" i="71"/>
  <c r="AA166" i="71"/>
  <c r="AA167" i="71"/>
  <c r="AA168" i="71"/>
  <c r="AA169" i="71"/>
  <c r="AA170" i="71"/>
  <c r="AA171" i="71"/>
  <c r="AA172" i="71"/>
  <c r="AA173" i="71"/>
  <c r="AA174" i="71"/>
  <c r="AA175" i="71"/>
  <c r="AA176" i="71"/>
  <c r="AA177" i="71"/>
  <c r="AA178" i="71"/>
  <c r="AA179" i="71"/>
  <c r="AA180" i="71"/>
  <c r="AA181" i="71"/>
  <c r="AA182" i="71"/>
  <c r="AA183" i="71"/>
  <c r="AA184" i="71"/>
  <c r="AA185" i="71"/>
  <c r="AA186" i="71"/>
  <c r="AA187" i="71"/>
  <c r="AA188" i="71"/>
  <c r="AA189" i="71"/>
  <c r="AA190" i="71"/>
  <c r="AA191" i="71"/>
  <c r="AA192" i="71"/>
  <c r="AA193" i="71"/>
  <c r="AA194" i="71"/>
  <c r="AA195" i="71"/>
  <c r="AA196" i="71"/>
  <c r="AA197" i="71"/>
  <c r="AA198" i="71"/>
  <c r="AA199" i="71"/>
  <c r="AA200" i="71"/>
  <c r="AA201" i="71"/>
  <c r="AA202" i="71"/>
  <c r="AA203" i="71"/>
  <c r="AA204" i="71"/>
  <c r="AA205" i="71"/>
  <c r="AA206" i="71"/>
  <c r="AA207" i="71"/>
  <c r="AA208" i="71"/>
  <c r="AA209" i="71"/>
  <c r="AA210" i="71"/>
  <c r="AA211" i="71"/>
  <c r="AA212" i="71"/>
  <c r="AA213" i="71"/>
  <c r="AA214" i="71"/>
  <c r="AA215" i="71"/>
  <c r="AA216" i="71"/>
  <c r="AA217" i="71"/>
  <c r="AA218" i="71"/>
  <c r="AA219" i="71"/>
  <c r="AA220" i="71"/>
  <c r="AA221" i="71"/>
  <c r="AA222" i="71"/>
  <c r="AA223" i="71"/>
  <c r="AA224" i="71"/>
  <c r="AA225" i="71"/>
  <c r="AA226" i="71"/>
  <c r="AA227" i="71"/>
  <c r="AA228" i="71"/>
  <c r="AA229" i="71"/>
  <c r="AA230" i="71"/>
  <c r="AA231" i="71"/>
  <c r="AA232" i="71"/>
  <c r="AA233" i="71"/>
  <c r="AA234" i="71"/>
  <c r="AA235" i="71"/>
  <c r="AA236" i="71"/>
  <c r="AA237" i="71"/>
  <c r="AA238" i="71"/>
  <c r="AB55" i="71"/>
  <c r="AB59" i="71"/>
  <c r="AB86" i="71"/>
  <c r="AB47" i="71"/>
  <c r="AB103" i="71"/>
  <c r="AB87" i="71"/>
  <c r="AB91" i="71"/>
  <c r="AB67" i="71"/>
  <c r="AB96" i="71"/>
  <c r="AB63" i="71"/>
  <c r="AB66" i="71"/>
  <c r="AB68" i="71"/>
  <c r="AB71" i="71"/>
  <c r="AB99" i="71"/>
  <c r="AB56" i="71"/>
  <c r="AB74" i="71"/>
  <c r="AB52" i="71"/>
  <c r="AB44" i="71"/>
  <c r="AB53" i="71"/>
  <c r="AB41" i="71"/>
  <c r="AB46" i="71"/>
  <c r="AB42" i="71"/>
  <c r="AB58" i="71"/>
  <c r="AB88" i="71"/>
  <c r="AB101" i="71"/>
  <c r="AB80" i="71"/>
  <c r="AB45" i="71"/>
  <c r="AB79" i="71"/>
  <c r="AB39" i="71"/>
  <c r="AB77" i="71"/>
  <c r="AB61" i="71"/>
  <c r="AB70" i="71"/>
  <c r="AB40" i="71"/>
  <c r="AB104" i="71"/>
  <c r="AB81" i="71"/>
  <c r="AB102" i="71"/>
  <c r="AB82" i="71"/>
  <c r="AB62" i="71"/>
  <c r="AB54" i="71"/>
  <c r="AB84" i="71"/>
  <c r="AB43" i="71"/>
  <c r="AB83" i="71"/>
  <c r="AB48" i="71"/>
  <c r="AB50" i="71"/>
  <c r="AB93" i="71"/>
  <c r="AB105" i="71"/>
  <c r="AB51" i="71"/>
  <c r="AB85" i="71"/>
  <c r="AB89" i="71"/>
  <c r="AB64" i="71"/>
  <c r="AB60" i="71"/>
  <c r="AB94" i="71"/>
  <c r="AB65" i="71"/>
  <c r="AB90" i="71"/>
  <c r="AB100" i="71"/>
  <c r="AB75" i="71"/>
  <c r="AB78" i="71"/>
  <c r="AB98" i="71"/>
  <c r="AB97" i="71"/>
  <c r="AB69" i="71"/>
  <c r="AB57" i="71"/>
  <c r="AB72" i="71"/>
  <c r="AB92" i="71"/>
  <c r="AB76" i="71"/>
  <c r="AB95" i="71"/>
  <c r="AB49" i="71"/>
  <c r="AB73" i="71"/>
  <c r="AB106" i="71"/>
  <c r="B106" i="71" s="1"/>
  <c r="C106" i="71" s="1"/>
  <c r="AB107" i="71"/>
  <c r="B107" i="71" s="1"/>
  <c r="C107" i="71" s="1"/>
  <c r="AB108" i="71"/>
  <c r="B108" i="71" s="1"/>
  <c r="C108" i="71" s="1"/>
  <c r="AB109" i="71"/>
  <c r="B109" i="71" s="1"/>
  <c r="C109" i="71" s="1"/>
  <c r="AB110" i="71"/>
  <c r="B110" i="71" s="1"/>
  <c r="C110" i="71" s="1"/>
  <c r="AB111" i="71"/>
  <c r="B111" i="71" s="1"/>
  <c r="C111" i="71" s="1"/>
  <c r="AB112" i="71"/>
  <c r="B112" i="71" s="1"/>
  <c r="C112" i="71" s="1"/>
  <c r="AB113" i="71"/>
  <c r="B113" i="71" s="1"/>
  <c r="C113" i="71" s="1"/>
  <c r="AB114" i="71"/>
  <c r="B114" i="71" s="1"/>
  <c r="C114" i="71" s="1"/>
  <c r="AB115" i="71"/>
  <c r="B115" i="71" s="1"/>
  <c r="C115" i="71" s="1"/>
  <c r="AB116" i="71"/>
  <c r="B116" i="71" s="1"/>
  <c r="C116" i="71" s="1"/>
  <c r="AB117" i="71"/>
  <c r="B117" i="71" s="1"/>
  <c r="C117" i="71" s="1"/>
  <c r="AB118" i="71"/>
  <c r="B118" i="71" s="1"/>
  <c r="C118" i="71" s="1"/>
  <c r="AB119" i="71"/>
  <c r="B119" i="71" s="1"/>
  <c r="C119" i="71" s="1"/>
  <c r="AB120" i="71"/>
  <c r="B120" i="71" s="1"/>
  <c r="C120" i="71" s="1"/>
  <c r="AB121" i="71"/>
  <c r="B121" i="71" s="1"/>
  <c r="C121" i="71" s="1"/>
  <c r="AB122" i="71"/>
  <c r="B122" i="71" s="1"/>
  <c r="C122" i="71" s="1"/>
  <c r="AB123" i="71"/>
  <c r="B123" i="71" s="1"/>
  <c r="C123" i="71" s="1"/>
  <c r="AB124" i="71"/>
  <c r="B124" i="71" s="1"/>
  <c r="C124" i="71" s="1"/>
  <c r="AB125" i="71"/>
  <c r="B125" i="71" s="1"/>
  <c r="C125" i="71" s="1"/>
  <c r="AB126" i="71"/>
  <c r="B126" i="71" s="1"/>
  <c r="C126" i="71" s="1"/>
  <c r="AB127" i="71"/>
  <c r="B127" i="71" s="1"/>
  <c r="C127" i="71" s="1"/>
  <c r="AB128" i="71"/>
  <c r="B128" i="71" s="1"/>
  <c r="C128" i="71" s="1"/>
  <c r="AB129" i="71"/>
  <c r="B129" i="71" s="1"/>
  <c r="C129" i="71" s="1"/>
  <c r="AB130" i="71"/>
  <c r="B130" i="71" s="1"/>
  <c r="C130" i="71" s="1"/>
  <c r="AB131" i="71"/>
  <c r="B131" i="71" s="1"/>
  <c r="C131" i="71" s="1"/>
  <c r="AB132" i="71"/>
  <c r="B132" i="71" s="1"/>
  <c r="C132" i="71" s="1"/>
  <c r="AB133" i="71"/>
  <c r="B133" i="71" s="1"/>
  <c r="C133" i="71" s="1"/>
  <c r="AB134" i="71"/>
  <c r="B134" i="71" s="1"/>
  <c r="C134" i="71" s="1"/>
  <c r="AB135" i="71"/>
  <c r="B135" i="71" s="1"/>
  <c r="C135" i="71" s="1"/>
  <c r="AB136" i="71"/>
  <c r="B136" i="71" s="1"/>
  <c r="C136" i="71" s="1"/>
  <c r="AB137" i="71"/>
  <c r="B137" i="71" s="1"/>
  <c r="C137" i="71" s="1"/>
  <c r="AB138" i="71"/>
  <c r="B138" i="71" s="1"/>
  <c r="C138" i="71" s="1"/>
  <c r="AB139" i="71"/>
  <c r="B139" i="71" s="1"/>
  <c r="C139" i="71" s="1"/>
  <c r="AB140" i="71"/>
  <c r="B140" i="71" s="1"/>
  <c r="C140" i="71" s="1"/>
  <c r="AB141" i="71"/>
  <c r="B141" i="71" s="1"/>
  <c r="C141" i="71" s="1"/>
  <c r="AB142" i="71"/>
  <c r="B142" i="71" s="1"/>
  <c r="C142" i="71" s="1"/>
  <c r="AB143" i="71"/>
  <c r="B143" i="71" s="1"/>
  <c r="C143" i="71" s="1"/>
  <c r="AB144" i="71"/>
  <c r="B144" i="71" s="1"/>
  <c r="C144" i="71" s="1"/>
  <c r="AB145" i="71"/>
  <c r="B145" i="71" s="1"/>
  <c r="C145" i="71" s="1"/>
  <c r="AB146" i="71"/>
  <c r="B146" i="71" s="1"/>
  <c r="C146" i="71" s="1"/>
  <c r="AB147" i="71"/>
  <c r="B147" i="71" s="1"/>
  <c r="C147" i="71" s="1"/>
  <c r="AB148" i="71"/>
  <c r="B148" i="71" s="1"/>
  <c r="C148" i="71" s="1"/>
  <c r="AB149" i="71"/>
  <c r="B149" i="71" s="1"/>
  <c r="C149" i="71" s="1"/>
  <c r="AB150" i="71"/>
  <c r="B150" i="71" s="1"/>
  <c r="C150" i="71" s="1"/>
  <c r="AB151" i="71"/>
  <c r="B151" i="71" s="1"/>
  <c r="C151" i="71" s="1"/>
  <c r="AB152" i="71"/>
  <c r="B152" i="71" s="1"/>
  <c r="C152" i="71" s="1"/>
  <c r="AB153" i="71"/>
  <c r="B153" i="71" s="1"/>
  <c r="C153" i="71" s="1"/>
  <c r="AB154" i="71"/>
  <c r="B154" i="71" s="1"/>
  <c r="C154" i="71" s="1"/>
  <c r="AB155" i="71"/>
  <c r="B155" i="71" s="1"/>
  <c r="C155" i="71" s="1"/>
  <c r="AB156" i="71"/>
  <c r="B156" i="71" s="1"/>
  <c r="C156" i="71" s="1"/>
  <c r="AB157" i="71"/>
  <c r="B157" i="71" s="1"/>
  <c r="C157" i="71" s="1"/>
  <c r="AB158" i="71"/>
  <c r="B158" i="71" s="1"/>
  <c r="C158" i="71" s="1"/>
  <c r="AB159" i="71"/>
  <c r="B159" i="71" s="1"/>
  <c r="C159" i="71" s="1"/>
  <c r="AB160" i="71"/>
  <c r="B160" i="71" s="1"/>
  <c r="C160" i="71" s="1"/>
  <c r="AB161" i="71"/>
  <c r="B161" i="71" s="1"/>
  <c r="C161" i="71" s="1"/>
  <c r="AB162" i="71"/>
  <c r="B162" i="71" s="1"/>
  <c r="C162" i="71" s="1"/>
  <c r="AB163" i="71"/>
  <c r="B163" i="71" s="1"/>
  <c r="C163" i="71" s="1"/>
  <c r="AB164" i="71"/>
  <c r="B164" i="71" s="1"/>
  <c r="C164" i="71" s="1"/>
  <c r="AB165" i="71"/>
  <c r="B165" i="71" s="1"/>
  <c r="C165" i="71" s="1"/>
  <c r="AB166" i="71"/>
  <c r="B166" i="71" s="1"/>
  <c r="C166" i="71" s="1"/>
  <c r="AB167" i="71"/>
  <c r="B167" i="71" s="1"/>
  <c r="C167" i="71" s="1"/>
  <c r="AB168" i="71"/>
  <c r="B168" i="71" s="1"/>
  <c r="C168" i="71" s="1"/>
  <c r="AB169" i="71"/>
  <c r="B169" i="71" s="1"/>
  <c r="C169" i="71" s="1"/>
  <c r="AB170" i="71"/>
  <c r="B170" i="71" s="1"/>
  <c r="C170" i="71" s="1"/>
  <c r="AB171" i="71"/>
  <c r="B171" i="71" s="1"/>
  <c r="C171" i="71" s="1"/>
  <c r="AB172" i="71"/>
  <c r="B172" i="71" s="1"/>
  <c r="C172" i="71" s="1"/>
  <c r="AB173" i="71"/>
  <c r="B173" i="71" s="1"/>
  <c r="C173" i="71" s="1"/>
  <c r="AB174" i="71"/>
  <c r="B174" i="71" s="1"/>
  <c r="C174" i="71" s="1"/>
  <c r="AB175" i="71"/>
  <c r="B175" i="71" s="1"/>
  <c r="C175" i="71" s="1"/>
  <c r="AB176" i="71"/>
  <c r="B176" i="71" s="1"/>
  <c r="C176" i="71" s="1"/>
  <c r="AB177" i="71"/>
  <c r="B177" i="71" s="1"/>
  <c r="C177" i="71" s="1"/>
  <c r="AB178" i="71"/>
  <c r="B178" i="71" s="1"/>
  <c r="C178" i="71" s="1"/>
  <c r="AB179" i="71"/>
  <c r="B179" i="71" s="1"/>
  <c r="C179" i="71" s="1"/>
  <c r="AB180" i="71"/>
  <c r="B180" i="71" s="1"/>
  <c r="C180" i="71" s="1"/>
  <c r="AB181" i="71"/>
  <c r="B181" i="71" s="1"/>
  <c r="C181" i="71" s="1"/>
  <c r="AB182" i="71"/>
  <c r="B182" i="71" s="1"/>
  <c r="C182" i="71" s="1"/>
  <c r="AB183" i="71"/>
  <c r="B183" i="71" s="1"/>
  <c r="C183" i="71" s="1"/>
  <c r="AB184" i="71"/>
  <c r="B184" i="71" s="1"/>
  <c r="C184" i="71" s="1"/>
  <c r="AB185" i="71"/>
  <c r="B185" i="71" s="1"/>
  <c r="C185" i="71" s="1"/>
  <c r="AB186" i="71"/>
  <c r="B186" i="71" s="1"/>
  <c r="C186" i="71" s="1"/>
  <c r="AB187" i="71"/>
  <c r="B187" i="71" s="1"/>
  <c r="C187" i="71" s="1"/>
  <c r="AB188" i="71"/>
  <c r="B188" i="71" s="1"/>
  <c r="C188" i="71" s="1"/>
  <c r="AB189" i="71"/>
  <c r="B189" i="71" s="1"/>
  <c r="C189" i="71" s="1"/>
  <c r="AB190" i="71"/>
  <c r="B190" i="71" s="1"/>
  <c r="C190" i="71" s="1"/>
  <c r="AB191" i="71"/>
  <c r="B191" i="71" s="1"/>
  <c r="C191" i="71" s="1"/>
  <c r="AB192" i="71"/>
  <c r="B192" i="71" s="1"/>
  <c r="C192" i="71" s="1"/>
  <c r="AB193" i="71"/>
  <c r="B193" i="71" s="1"/>
  <c r="C193" i="71" s="1"/>
  <c r="AB194" i="71"/>
  <c r="B194" i="71" s="1"/>
  <c r="C194" i="71" s="1"/>
  <c r="AB195" i="71"/>
  <c r="B195" i="71" s="1"/>
  <c r="C195" i="71" s="1"/>
  <c r="AB196" i="71"/>
  <c r="B196" i="71" s="1"/>
  <c r="C196" i="71" s="1"/>
  <c r="AB197" i="71"/>
  <c r="B197" i="71" s="1"/>
  <c r="C197" i="71" s="1"/>
  <c r="AB198" i="71"/>
  <c r="B198" i="71" s="1"/>
  <c r="C198" i="71" s="1"/>
  <c r="AB199" i="71"/>
  <c r="B199" i="71" s="1"/>
  <c r="C199" i="71" s="1"/>
  <c r="AB200" i="71"/>
  <c r="B200" i="71" s="1"/>
  <c r="C200" i="71" s="1"/>
  <c r="AB201" i="71"/>
  <c r="B201" i="71" s="1"/>
  <c r="C201" i="71" s="1"/>
  <c r="AB202" i="71"/>
  <c r="B202" i="71" s="1"/>
  <c r="C202" i="71" s="1"/>
  <c r="AB203" i="71"/>
  <c r="B203" i="71" s="1"/>
  <c r="C203" i="71" s="1"/>
  <c r="AB204" i="71"/>
  <c r="B204" i="71" s="1"/>
  <c r="C204" i="71" s="1"/>
  <c r="AB205" i="71"/>
  <c r="B205" i="71" s="1"/>
  <c r="C205" i="71" s="1"/>
  <c r="AB206" i="71"/>
  <c r="B206" i="71" s="1"/>
  <c r="C206" i="71" s="1"/>
  <c r="AB207" i="71"/>
  <c r="B207" i="71" s="1"/>
  <c r="C207" i="71" s="1"/>
  <c r="AB208" i="71"/>
  <c r="B208" i="71" s="1"/>
  <c r="C208" i="71" s="1"/>
  <c r="AB209" i="71"/>
  <c r="B209" i="71" s="1"/>
  <c r="C209" i="71" s="1"/>
  <c r="AB210" i="71"/>
  <c r="B210" i="71" s="1"/>
  <c r="C210" i="71" s="1"/>
  <c r="AB211" i="71"/>
  <c r="B211" i="71" s="1"/>
  <c r="C211" i="71" s="1"/>
  <c r="AB212" i="71"/>
  <c r="B212" i="71" s="1"/>
  <c r="C212" i="71" s="1"/>
  <c r="AB213" i="71"/>
  <c r="B213" i="71" s="1"/>
  <c r="C213" i="71" s="1"/>
  <c r="AB214" i="71"/>
  <c r="B214" i="71" s="1"/>
  <c r="C214" i="71" s="1"/>
  <c r="AB215" i="71"/>
  <c r="B215" i="71" s="1"/>
  <c r="C215" i="71" s="1"/>
  <c r="AB216" i="71"/>
  <c r="B216" i="71" s="1"/>
  <c r="C216" i="71" s="1"/>
  <c r="AB217" i="71"/>
  <c r="B217" i="71" s="1"/>
  <c r="C217" i="71" s="1"/>
  <c r="AB218" i="71"/>
  <c r="B218" i="71" s="1"/>
  <c r="C218" i="71" s="1"/>
  <c r="AB219" i="71"/>
  <c r="B219" i="71" s="1"/>
  <c r="C219" i="71" s="1"/>
  <c r="AB220" i="71"/>
  <c r="B220" i="71" s="1"/>
  <c r="C220" i="71" s="1"/>
  <c r="AB221" i="71"/>
  <c r="B221" i="71" s="1"/>
  <c r="C221" i="71" s="1"/>
  <c r="AB222" i="71"/>
  <c r="B222" i="71" s="1"/>
  <c r="C222" i="71" s="1"/>
  <c r="AB223" i="71"/>
  <c r="B223" i="71" s="1"/>
  <c r="C223" i="71" s="1"/>
  <c r="AB224" i="71"/>
  <c r="B224" i="71" s="1"/>
  <c r="C224" i="71" s="1"/>
  <c r="AB225" i="71"/>
  <c r="B225" i="71" s="1"/>
  <c r="C225" i="71" s="1"/>
  <c r="AB226" i="71"/>
  <c r="B226" i="71" s="1"/>
  <c r="C226" i="71" s="1"/>
  <c r="AB227" i="71"/>
  <c r="B227" i="71" s="1"/>
  <c r="C227" i="71" s="1"/>
  <c r="AB228" i="71"/>
  <c r="B228" i="71" s="1"/>
  <c r="C228" i="71" s="1"/>
  <c r="AB229" i="71"/>
  <c r="B229" i="71" s="1"/>
  <c r="C229" i="71" s="1"/>
  <c r="AB230" i="71"/>
  <c r="B230" i="71" s="1"/>
  <c r="C230" i="71" s="1"/>
  <c r="AB231" i="71"/>
  <c r="B231" i="71" s="1"/>
  <c r="C231" i="71" s="1"/>
  <c r="AB232" i="71"/>
  <c r="B232" i="71" s="1"/>
  <c r="C232" i="71" s="1"/>
  <c r="AB233" i="71"/>
  <c r="B233" i="71" s="1"/>
  <c r="C233" i="71" s="1"/>
  <c r="AB234" i="71"/>
  <c r="B234" i="71" s="1"/>
  <c r="C234" i="71" s="1"/>
  <c r="AB235" i="71"/>
  <c r="B235" i="71" s="1"/>
  <c r="C235" i="71" s="1"/>
  <c r="AB236" i="71"/>
  <c r="B236" i="71" s="1"/>
  <c r="C236" i="71" s="1"/>
  <c r="AB237" i="71"/>
  <c r="B237" i="71" s="1"/>
  <c r="C237" i="71" s="1"/>
  <c r="AB238" i="71"/>
  <c r="B238" i="71" s="1"/>
  <c r="C238" i="71" s="1"/>
  <c r="AF106" i="71"/>
  <c r="AF107" i="71"/>
  <c r="AF108" i="71"/>
  <c r="AF109" i="71"/>
  <c r="AF110" i="71"/>
  <c r="AF111" i="71"/>
  <c r="AF112" i="71"/>
  <c r="AF113" i="71"/>
  <c r="AF114" i="71"/>
  <c r="AF115" i="71"/>
  <c r="AF116" i="71"/>
  <c r="AF117" i="71"/>
  <c r="AF118" i="71"/>
  <c r="AF119" i="71"/>
  <c r="AF120" i="71"/>
  <c r="AF121" i="71"/>
  <c r="AF122" i="71"/>
  <c r="AF123" i="71"/>
  <c r="AF124" i="71"/>
  <c r="AF125" i="71"/>
  <c r="AF126" i="71"/>
  <c r="AF127" i="71"/>
  <c r="AF128" i="71"/>
  <c r="AF129" i="71"/>
  <c r="AF130" i="71"/>
  <c r="AF131" i="71"/>
  <c r="AF132" i="71"/>
  <c r="AF133" i="71"/>
  <c r="AF134" i="71"/>
  <c r="AF135" i="71"/>
  <c r="AF136" i="71"/>
  <c r="AF137" i="71"/>
  <c r="AF138" i="71"/>
  <c r="AF139" i="71"/>
  <c r="AF140" i="71"/>
  <c r="AF141" i="71"/>
  <c r="AF142" i="71"/>
  <c r="AF143" i="71"/>
  <c r="AF144" i="71"/>
  <c r="AF145" i="71"/>
  <c r="AF146" i="71"/>
  <c r="AF147" i="71"/>
  <c r="AF148" i="71"/>
  <c r="AF149" i="71"/>
  <c r="AF150" i="71"/>
  <c r="AF151" i="71"/>
  <c r="AF152" i="71"/>
  <c r="AF153" i="71"/>
  <c r="AF154" i="71"/>
  <c r="AF155" i="71"/>
  <c r="AF156" i="71"/>
  <c r="AF157" i="71"/>
  <c r="AF158" i="71"/>
  <c r="AF159" i="71"/>
  <c r="AF160" i="71"/>
  <c r="AF161" i="71"/>
  <c r="AF162" i="71"/>
  <c r="AF163" i="71"/>
  <c r="AF164" i="71"/>
  <c r="AF165" i="71"/>
  <c r="AF166" i="71"/>
  <c r="AF167" i="71"/>
  <c r="AF168" i="71"/>
  <c r="AF169" i="71"/>
  <c r="AF170" i="71"/>
  <c r="AF171" i="71"/>
  <c r="AF172" i="71"/>
  <c r="AF173" i="71"/>
  <c r="AF174" i="71"/>
  <c r="AF175" i="71"/>
  <c r="AF176" i="71"/>
  <c r="AF177" i="71"/>
  <c r="AF178" i="71"/>
  <c r="AF179" i="71"/>
  <c r="AF180" i="71"/>
  <c r="AF181" i="71"/>
  <c r="AF182" i="71"/>
  <c r="AF183" i="71"/>
  <c r="AF184" i="71"/>
  <c r="AF185" i="71"/>
  <c r="AF186" i="71"/>
  <c r="AF187" i="71"/>
  <c r="AF188" i="71"/>
  <c r="AF189" i="71"/>
  <c r="AF190" i="71"/>
  <c r="AF191" i="71"/>
  <c r="AF192" i="71"/>
  <c r="AF193" i="71"/>
  <c r="AF194" i="71"/>
  <c r="AF195" i="71"/>
  <c r="AF196" i="71"/>
  <c r="AF197" i="71"/>
  <c r="AF198" i="71"/>
  <c r="AF199" i="71"/>
  <c r="AF200" i="71"/>
  <c r="AF201" i="71"/>
  <c r="AF202" i="71"/>
  <c r="AF203" i="71"/>
  <c r="AF204" i="71"/>
  <c r="AF205" i="71"/>
  <c r="AF206" i="71"/>
  <c r="AF207" i="71"/>
  <c r="AF208" i="71"/>
  <c r="AF209" i="71"/>
  <c r="AF210" i="71"/>
  <c r="AF211" i="71"/>
  <c r="AF212" i="71"/>
  <c r="AF213" i="71"/>
  <c r="AF214" i="71"/>
  <c r="AF215" i="71"/>
  <c r="AF216" i="71"/>
  <c r="AF217" i="71"/>
  <c r="AF218" i="71"/>
  <c r="AF219" i="71"/>
  <c r="AF220" i="71"/>
  <c r="AF221" i="71"/>
  <c r="AF222" i="71"/>
  <c r="AF223" i="71"/>
  <c r="AF224" i="71"/>
  <c r="AF225" i="71"/>
  <c r="AF226" i="71"/>
  <c r="AF227" i="71"/>
  <c r="AF228" i="71"/>
  <c r="AF229" i="71"/>
  <c r="AF230" i="71"/>
  <c r="AF231" i="71"/>
  <c r="AF232" i="71"/>
  <c r="AF233" i="71"/>
  <c r="AF234" i="71"/>
  <c r="AF235" i="71"/>
  <c r="AF236" i="71"/>
  <c r="AF237" i="71"/>
  <c r="AF238" i="71"/>
  <c r="B104" i="71" l="1"/>
  <c r="C104" i="71" s="1"/>
  <c r="B103" i="71"/>
  <c r="C103" i="71" s="1"/>
  <c r="B102" i="71"/>
  <c r="C102" i="71" s="1"/>
  <c r="B105" i="71"/>
  <c r="C105" i="71" s="1"/>
  <c r="P35" i="71"/>
  <c r="N36" i="71"/>
  <c r="N35" i="71"/>
  <c r="L36" i="71"/>
  <c r="C35" i="71"/>
  <c r="L35" i="71"/>
  <c r="H35" i="71"/>
  <c r="P36" i="71"/>
  <c r="R36" i="71"/>
  <c r="X61" i="71"/>
  <c r="X104" i="71"/>
  <c r="X102" i="71"/>
  <c r="X84" i="71"/>
  <c r="X64" i="71"/>
  <c r="X90" i="71"/>
  <c r="X92" i="71"/>
  <c r="X73" i="71"/>
  <c r="X106" i="71"/>
  <c r="X107" i="71"/>
  <c r="X108" i="71"/>
  <c r="X109" i="71"/>
  <c r="X110" i="71"/>
  <c r="X111" i="71"/>
  <c r="X112" i="71"/>
  <c r="X113" i="71"/>
  <c r="X114" i="71"/>
  <c r="X115" i="71"/>
  <c r="X116" i="71"/>
  <c r="X117" i="71"/>
  <c r="X118" i="71"/>
  <c r="X119" i="71"/>
  <c r="X120" i="71"/>
  <c r="X121" i="71"/>
  <c r="X122" i="71"/>
  <c r="X123" i="71"/>
  <c r="X124" i="71"/>
  <c r="X125" i="71"/>
  <c r="X126" i="71"/>
  <c r="X127" i="71"/>
  <c r="X128" i="71"/>
  <c r="X129" i="71"/>
  <c r="X130" i="71"/>
  <c r="X131" i="71"/>
  <c r="X132" i="71"/>
  <c r="X133" i="71"/>
  <c r="X134" i="71"/>
  <c r="X135" i="71"/>
  <c r="X136" i="71"/>
  <c r="X137" i="71"/>
  <c r="X138" i="71"/>
  <c r="X139" i="71"/>
  <c r="X140" i="71"/>
  <c r="X141" i="71"/>
  <c r="X142" i="71"/>
  <c r="X143" i="71"/>
  <c r="X144" i="71"/>
  <c r="X145" i="71"/>
  <c r="X146" i="71"/>
  <c r="X147" i="71"/>
  <c r="X148" i="71"/>
  <c r="X149" i="71"/>
  <c r="X150" i="71"/>
  <c r="X151" i="71"/>
  <c r="X152" i="71"/>
  <c r="X153" i="71"/>
  <c r="X154" i="71"/>
  <c r="X155" i="71"/>
  <c r="X156" i="71"/>
  <c r="X157" i="71"/>
  <c r="X158" i="71"/>
  <c r="X159" i="71"/>
  <c r="X160" i="71"/>
  <c r="X161" i="71"/>
  <c r="X162" i="71"/>
  <c r="X163" i="71"/>
  <c r="X164" i="71"/>
  <c r="X165" i="71"/>
  <c r="X166" i="71"/>
  <c r="X167" i="71"/>
  <c r="X168" i="71"/>
  <c r="X169" i="71"/>
  <c r="X170" i="71"/>
  <c r="X171" i="71"/>
  <c r="X172" i="71"/>
  <c r="X173" i="71"/>
  <c r="X174" i="71"/>
  <c r="X175" i="71"/>
  <c r="X176" i="71"/>
  <c r="X177" i="71"/>
  <c r="X178" i="71"/>
  <c r="X179" i="71"/>
  <c r="X180" i="71"/>
  <c r="X181" i="71"/>
  <c r="X182" i="71"/>
  <c r="X183" i="71"/>
  <c r="X184" i="71"/>
  <c r="X185" i="71"/>
  <c r="X186" i="71"/>
  <c r="X187" i="71"/>
  <c r="X188" i="71"/>
  <c r="X189" i="71"/>
  <c r="X190" i="71"/>
  <c r="X191" i="71"/>
  <c r="X192" i="71"/>
  <c r="X193" i="71"/>
  <c r="X194" i="71"/>
  <c r="X195" i="71"/>
  <c r="X196" i="71"/>
  <c r="X197" i="71"/>
  <c r="X198" i="71"/>
  <c r="X199" i="71"/>
  <c r="X200" i="71"/>
  <c r="X201" i="71"/>
  <c r="X202" i="71"/>
  <c r="X203" i="71"/>
  <c r="X204" i="71"/>
  <c r="X205" i="71"/>
  <c r="X206" i="71"/>
  <c r="X207" i="71"/>
  <c r="X208" i="71"/>
  <c r="X209" i="71"/>
  <c r="X210" i="71"/>
  <c r="X211" i="71"/>
  <c r="X212" i="71"/>
  <c r="X213" i="71"/>
  <c r="X214" i="71"/>
  <c r="X215" i="71"/>
  <c r="X216" i="71"/>
  <c r="X217" i="71"/>
  <c r="X218" i="71"/>
  <c r="X219" i="71"/>
  <c r="X220" i="71"/>
  <c r="X221" i="71"/>
  <c r="X222" i="71"/>
  <c r="X223" i="71"/>
  <c r="X224" i="71"/>
  <c r="X225" i="71"/>
  <c r="X226" i="71"/>
  <c r="X227" i="71"/>
  <c r="X228" i="71"/>
  <c r="X229" i="71"/>
  <c r="X230" i="71"/>
  <c r="X231" i="71"/>
  <c r="X232" i="71"/>
  <c r="X233" i="71"/>
  <c r="X234" i="71"/>
  <c r="X235" i="71"/>
  <c r="X236" i="71"/>
  <c r="X237" i="71"/>
  <c r="X238" i="71"/>
  <c r="AH9" i="71" l="1"/>
  <c r="S9" i="71"/>
  <c r="H36" i="71" l="1"/>
  <c r="Y97" i="71" l="1"/>
  <c r="Y68" i="71" l="1"/>
  <c r="Y65" i="71"/>
  <c r="Y63" i="71"/>
  <c r="Y66" i="71"/>
  <c r="Y81" i="71"/>
  <c r="Y76" i="71"/>
  <c r="Y86" i="71"/>
  <c r="Y82" i="71"/>
  <c r="Y87" i="71"/>
  <c r="Y47" i="71"/>
  <c r="Y71" i="71"/>
  <c r="AE73" i="71"/>
  <c r="AF73" i="71"/>
  <c r="Y55" i="71"/>
  <c r="Y59" i="71"/>
  <c r="N1" i="71"/>
  <c r="X49" i="71" s="1"/>
  <c r="T34" i="71"/>
  <c r="T35" i="71"/>
  <c r="AE55" i="71"/>
  <c r="AE71" i="71"/>
  <c r="AE53" i="71"/>
  <c r="AE101" i="71"/>
  <c r="AE61" i="71"/>
  <c r="AE48" i="71"/>
  <c r="AE100" i="71"/>
  <c r="AE59" i="71"/>
  <c r="AE67" i="71"/>
  <c r="AE99" i="71"/>
  <c r="AE41" i="71"/>
  <c r="AE80" i="71"/>
  <c r="AE70" i="71"/>
  <c r="AE62" i="71"/>
  <c r="AE50" i="71"/>
  <c r="AE64" i="71"/>
  <c r="AE75" i="71"/>
  <c r="AE72" i="71"/>
  <c r="AE86" i="71"/>
  <c r="AE96" i="71"/>
  <c r="AE56" i="71"/>
  <c r="AE46" i="71"/>
  <c r="AE45" i="71"/>
  <c r="AE40" i="71"/>
  <c r="AE54" i="71"/>
  <c r="AE93" i="71"/>
  <c r="AE60" i="71"/>
  <c r="AE78" i="71"/>
  <c r="AE92" i="71"/>
  <c r="AE47" i="71"/>
  <c r="AE63" i="71"/>
  <c r="AE74" i="71"/>
  <c r="AE42" i="71"/>
  <c r="AE79" i="71"/>
  <c r="AE104" i="71"/>
  <c r="AE84" i="71"/>
  <c r="AE105" i="71"/>
  <c r="AE94" i="71"/>
  <c r="AE98" i="71"/>
  <c r="AE76" i="71"/>
  <c r="AE66" i="71"/>
  <c r="AE95" i="71"/>
  <c r="AE103" i="71"/>
  <c r="AE52" i="71"/>
  <c r="AE58" i="71"/>
  <c r="AE39" i="71"/>
  <c r="AE81" i="71"/>
  <c r="AE43" i="71"/>
  <c r="AE51" i="71"/>
  <c r="AE65" i="71"/>
  <c r="AE97" i="71"/>
  <c r="AE87" i="71"/>
  <c r="AE68" i="71"/>
  <c r="AE44" i="71"/>
  <c r="AE88" i="71"/>
  <c r="AE77" i="71"/>
  <c r="AE102" i="71"/>
  <c r="AE83" i="71"/>
  <c r="AE85" i="71"/>
  <c r="AE90" i="71"/>
  <c r="AE69" i="71"/>
  <c r="AE49" i="71"/>
  <c r="AE91" i="71"/>
  <c r="AE82" i="71"/>
  <c r="AE89" i="71"/>
  <c r="AE57" i="71"/>
  <c r="Q9" i="71"/>
  <c r="AF103" i="71"/>
  <c r="AF66" i="71"/>
  <c r="AF52" i="71"/>
  <c r="AF58" i="71"/>
  <c r="AF39" i="71"/>
  <c r="AF81" i="71"/>
  <c r="AF43" i="71"/>
  <c r="AF51" i="71"/>
  <c r="AF65" i="71"/>
  <c r="AF97" i="71"/>
  <c r="AF95" i="71"/>
  <c r="AF90" i="71"/>
  <c r="AF53" i="71"/>
  <c r="AF48" i="71"/>
  <c r="AF46" i="71"/>
  <c r="AF93" i="71"/>
  <c r="AF87" i="71"/>
  <c r="AF68" i="71"/>
  <c r="AF44" i="71"/>
  <c r="AF88" i="71"/>
  <c r="AF77" i="71"/>
  <c r="AF102" i="71"/>
  <c r="AF85" i="71"/>
  <c r="AF69" i="71"/>
  <c r="AF55" i="71"/>
  <c r="AF101" i="71"/>
  <c r="AF89" i="71"/>
  <c r="AF96" i="71"/>
  <c r="AF92" i="71"/>
  <c r="AF91" i="71"/>
  <c r="AF61" i="71"/>
  <c r="AF57" i="71"/>
  <c r="AF86" i="71"/>
  <c r="AF54" i="71"/>
  <c r="AF59" i="71"/>
  <c r="AF67" i="71"/>
  <c r="AF99" i="71"/>
  <c r="AF41" i="71"/>
  <c r="AF80" i="71"/>
  <c r="AF70" i="71"/>
  <c r="AF62" i="71"/>
  <c r="AF50" i="71"/>
  <c r="AF64" i="71"/>
  <c r="AF75" i="71"/>
  <c r="AF72" i="71"/>
  <c r="AF56" i="71"/>
  <c r="AF78" i="71"/>
  <c r="AF40" i="71"/>
  <c r="AF47" i="71"/>
  <c r="AF63" i="71"/>
  <c r="AF74" i="71"/>
  <c r="AF42" i="71"/>
  <c r="AF79" i="71"/>
  <c r="AF104" i="71"/>
  <c r="AF84" i="71"/>
  <c r="AF105" i="71"/>
  <c r="AF94" i="71"/>
  <c r="AF98" i="71"/>
  <c r="AF76" i="71"/>
  <c r="AF83" i="71"/>
  <c r="AF49" i="71"/>
  <c r="AF71" i="71"/>
  <c r="AF82" i="71"/>
  <c r="AF100" i="71"/>
  <c r="AF45" i="71"/>
  <c r="AF60" i="71"/>
  <c r="E163" i="71"/>
  <c r="E238" i="71"/>
  <c r="E237" i="71"/>
  <c r="E236" i="71"/>
  <c r="E235" i="71"/>
  <c r="E234" i="71"/>
  <c r="E233" i="71"/>
  <c r="E232" i="71"/>
  <c r="E231" i="71"/>
  <c r="E227" i="71"/>
  <c r="E221" i="71"/>
  <c r="E215" i="71"/>
  <c r="E209" i="71"/>
  <c r="E203" i="71"/>
  <c r="E197" i="71"/>
  <c r="E228" i="71"/>
  <c r="E222" i="71"/>
  <c r="E216" i="71"/>
  <c r="E210" i="71"/>
  <c r="E204" i="71"/>
  <c r="E198" i="71"/>
  <c r="E192" i="71"/>
  <c r="E186" i="71"/>
  <c r="E180" i="71"/>
  <c r="E174" i="71"/>
  <c r="E168" i="71"/>
  <c r="E162" i="71"/>
  <c r="E229" i="71"/>
  <c r="E223" i="71"/>
  <c r="E217" i="71"/>
  <c r="E211" i="71"/>
  <c r="E205" i="71"/>
  <c r="E199" i="71"/>
  <c r="E193" i="71"/>
  <c r="E187" i="71"/>
  <c r="E181" i="71"/>
  <c r="E226" i="71"/>
  <c r="E220" i="71"/>
  <c r="E214" i="71"/>
  <c r="E208" i="71"/>
  <c r="E202" i="71"/>
  <c r="E196" i="71"/>
  <c r="E190" i="71"/>
  <c r="E184" i="71"/>
  <c r="E178" i="71"/>
  <c r="E172" i="71"/>
  <c r="E166" i="71"/>
  <c r="E160" i="71"/>
  <c r="E154" i="71"/>
  <c r="E153" i="71"/>
  <c r="E152" i="71"/>
  <c r="E151" i="71"/>
  <c r="E150" i="71"/>
  <c r="E149" i="71"/>
  <c r="E148" i="71"/>
  <c r="E147" i="71"/>
  <c r="E146" i="71"/>
  <c r="E145" i="71"/>
  <c r="E144" i="71"/>
  <c r="E143" i="71"/>
  <c r="E142" i="71"/>
  <c r="E141" i="71"/>
  <c r="E140" i="71"/>
  <c r="E139" i="71"/>
  <c r="E138" i="71"/>
  <c r="E137" i="71"/>
  <c r="E136" i="71"/>
  <c r="E135" i="71"/>
  <c r="E134" i="71"/>
  <c r="E133" i="71"/>
  <c r="E132" i="71"/>
  <c r="E131" i="71"/>
  <c r="E130" i="71"/>
  <c r="E129" i="71"/>
  <c r="E128" i="71"/>
  <c r="E127" i="71"/>
  <c r="E126" i="71"/>
  <c r="E125" i="71"/>
  <c r="E124" i="71"/>
  <c r="E123" i="71"/>
  <c r="E230" i="71"/>
  <c r="E218" i="71"/>
  <c r="E206" i="71"/>
  <c r="E194" i="71"/>
  <c r="E188" i="71"/>
  <c r="E182" i="71"/>
  <c r="E173" i="71"/>
  <c r="E165" i="71"/>
  <c r="E122" i="71"/>
  <c r="E121" i="71"/>
  <c r="E120" i="71"/>
  <c r="E119" i="71"/>
  <c r="E118" i="71"/>
  <c r="E117" i="71"/>
  <c r="E116" i="71"/>
  <c r="E115" i="71"/>
  <c r="E114" i="71"/>
  <c r="E113" i="71"/>
  <c r="E112" i="71"/>
  <c r="E111" i="71"/>
  <c r="E110" i="71"/>
  <c r="E109" i="71"/>
  <c r="E108" i="71"/>
  <c r="E107" i="71"/>
  <c r="E106" i="71"/>
  <c r="E105" i="71"/>
  <c r="E104" i="71"/>
  <c r="E103" i="71"/>
  <c r="E102" i="71"/>
  <c r="E101" i="71"/>
  <c r="E100" i="71"/>
  <c r="E99" i="71"/>
  <c r="E98" i="71"/>
  <c r="E97" i="71"/>
  <c r="E96" i="71"/>
  <c r="E95" i="71"/>
  <c r="E94" i="71"/>
  <c r="E93" i="71"/>
  <c r="E92" i="71"/>
  <c r="E91" i="71"/>
  <c r="E90" i="71"/>
  <c r="E89" i="71"/>
  <c r="E88" i="71"/>
  <c r="E87" i="71"/>
  <c r="E86" i="71"/>
  <c r="E85" i="71"/>
  <c r="E84" i="71"/>
  <c r="E83" i="71"/>
  <c r="E82" i="71"/>
  <c r="E81" i="71"/>
  <c r="E80" i="71"/>
  <c r="E79" i="71"/>
  <c r="E78" i="71"/>
  <c r="E77" i="71"/>
  <c r="E76" i="71"/>
  <c r="E75" i="71"/>
  <c r="E74" i="71"/>
  <c r="E73" i="71"/>
  <c r="E72" i="71"/>
  <c r="E71" i="71"/>
  <c r="E70" i="71"/>
  <c r="E69" i="71"/>
  <c r="E68" i="71"/>
  <c r="E67" i="71"/>
  <c r="E66" i="71"/>
  <c r="E65" i="71"/>
  <c r="E64" i="71"/>
  <c r="E63" i="71"/>
  <c r="E62" i="71"/>
  <c r="E61" i="71"/>
  <c r="E60" i="71"/>
  <c r="E59" i="71"/>
  <c r="E58" i="71"/>
  <c r="E57" i="71"/>
  <c r="E56" i="71"/>
  <c r="E55" i="71"/>
  <c r="E54" i="71"/>
  <c r="E53" i="71"/>
  <c r="E52" i="71"/>
  <c r="E51" i="71"/>
  <c r="E50" i="71"/>
  <c r="E49" i="71"/>
  <c r="E48" i="71"/>
  <c r="E47" i="71"/>
  <c r="E46" i="71"/>
  <c r="E45" i="71"/>
  <c r="E44" i="71"/>
  <c r="E43" i="71"/>
  <c r="E42" i="71"/>
  <c r="E41" i="71"/>
  <c r="E40" i="71"/>
  <c r="E39" i="71"/>
  <c r="E225" i="71"/>
  <c r="E213" i="71"/>
  <c r="E201" i="71"/>
  <c r="E176" i="71"/>
  <c r="E224" i="71"/>
  <c r="E212" i="71"/>
  <c r="E200" i="71"/>
  <c r="E191" i="71"/>
  <c r="E185" i="71"/>
  <c r="E179" i="71"/>
  <c r="E169" i="71"/>
  <c r="E164" i="71"/>
  <c r="E155" i="71"/>
  <c r="E171" i="71"/>
  <c r="E159" i="71"/>
  <c r="E219" i="71"/>
  <c r="E157" i="71"/>
  <c r="E207" i="71"/>
  <c r="E175" i="71"/>
  <c r="E195" i="71"/>
  <c r="E189" i="71"/>
  <c r="E183" i="71"/>
  <c r="E177" i="71"/>
  <c r="E170" i="71"/>
  <c r="E158" i="71"/>
  <c r="E167" i="71"/>
  <c r="E161" i="71"/>
  <c r="E156" i="71"/>
  <c r="X95" i="71" l="1"/>
  <c r="X77" i="71"/>
  <c r="X78" i="71"/>
  <c r="X62" i="71"/>
  <c r="X76" i="71"/>
  <c r="X54" i="71"/>
  <c r="X43" i="71"/>
  <c r="P1" i="71"/>
  <c r="X72" i="71"/>
  <c r="X69" i="71"/>
  <c r="X97" i="71"/>
  <c r="X100" i="71"/>
  <c r="X89" i="71"/>
  <c r="X98" i="71"/>
  <c r="X75" i="71"/>
  <c r="X60" i="71"/>
  <c r="X65" i="71"/>
  <c r="X94" i="71"/>
  <c r="X105" i="71"/>
  <c r="X85" i="71"/>
  <c r="X93" i="71"/>
  <c r="X48" i="71"/>
  <c r="X101" i="71"/>
  <c r="X51" i="71"/>
  <c r="X58" i="71"/>
  <c r="X88" i="71"/>
  <c r="X56" i="71"/>
  <c r="X99" i="71"/>
  <c r="X91" i="71"/>
  <c r="X67" i="71"/>
  <c r="X39" i="71"/>
  <c r="X87" i="71"/>
  <c r="X80" i="71"/>
  <c r="X45" i="71"/>
  <c r="X42" i="71"/>
  <c r="X96" i="71"/>
  <c r="C1" i="71"/>
  <c r="O9" i="71"/>
  <c r="X83" i="71"/>
  <c r="X50" i="71"/>
  <c r="X82" i="71"/>
  <c r="X40" i="71"/>
  <c r="X81" i="71"/>
  <c r="X79" i="71"/>
  <c r="X70" i="71"/>
  <c r="X47" i="71"/>
  <c r="X103" i="71"/>
  <c r="X57" i="71"/>
  <c r="X86" i="71"/>
  <c r="X55" i="71"/>
  <c r="X71" i="71"/>
  <c r="X53" i="71"/>
  <c r="X59" i="71"/>
  <c r="X46" i="71"/>
  <c r="X52" i="71"/>
  <c r="X63" i="71"/>
  <c r="X66" i="71"/>
  <c r="X68" i="71"/>
  <c r="X44" i="71"/>
  <c r="X41" i="71"/>
  <c r="X74" i="71"/>
  <c r="O7" i="71" l="1"/>
  <c r="AH7" i="71" s="1"/>
  <c r="O3" i="71"/>
  <c r="AH3" i="71" s="1"/>
  <c r="O4" i="71"/>
  <c r="O6" i="71"/>
  <c r="AH6" i="71" s="1"/>
  <c r="A1" i="3"/>
  <c r="S4" i="71" l="1"/>
  <c r="AH4" i="71"/>
  <c r="S7" i="71"/>
  <c r="S6" i="71"/>
  <c r="S3" i="71"/>
  <c r="O8" i="71"/>
  <c r="AH8" i="71" s="1"/>
  <c r="O5" i="71"/>
  <c r="S8" i="71" l="1"/>
  <c r="S5" i="71"/>
  <c r="Q5" i="71"/>
  <c r="D87" i="65"/>
  <c r="D88" i="65"/>
  <c r="D89" i="65"/>
  <c r="D90" i="65"/>
  <c r="D91" i="65"/>
  <c r="D92" i="65"/>
  <c r="D93" i="65"/>
  <c r="D94" i="65"/>
  <c r="D95" i="65"/>
  <c r="D96" i="65"/>
  <c r="D97" i="65"/>
  <c r="D98" i="65"/>
  <c r="D99" i="65"/>
  <c r="D100" i="65"/>
  <c r="D101" i="65"/>
  <c r="D102" i="65"/>
  <c r="D103" i="65"/>
  <c r="D104" i="65"/>
  <c r="D105" i="65"/>
  <c r="D106" i="65"/>
  <c r="D107" i="65"/>
  <c r="D108" i="65"/>
  <c r="D109" i="65"/>
  <c r="D110" i="65"/>
  <c r="D111" i="65"/>
  <c r="D112" i="65"/>
  <c r="D113" i="65"/>
  <c r="D114" i="65"/>
  <c r="D115" i="65"/>
  <c r="D116" i="65"/>
  <c r="D117" i="65"/>
  <c r="D118" i="65"/>
  <c r="D119" i="65"/>
  <c r="D120" i="65"/>
  <c r="D121" i="65"/>
  <c r="D122" i="65"/>
  <c r="D123" i="65"/>
  <c r="D124" i="65"/>
  <c r="D125" i="65"/>
  <c r="D126" i="65"/>
  <c r="D127" i="65"/>
  <c r="D128" i="65"/>
  <c r="D129" i="65"/>
  <c r="D130" i="65"/>
  <c r="D131" i="65"/>
  <c r="D132" i="65"/>
  <c r="D133" i="65"/>
  <c r="D134" i="65"/>
  <c r="D135" i="65"/>
  <c r="D136" i="65"/>
  <c r="D137" i="65"/>
  <c r="D138" i="65"/>
  <c r="D139" i="65"/>
  <c r="D140" i="65"/>
  <c r="D141" i="65"/>
  <c r="D142" i="65"/>
  <c r="D143" i="65"/>
  <c r="D144" i="65"/>
  <c r="D145" i="65"/>
  <c r="D146" i="65"/>
  <c r="D147" i="65"/>
  <c r="D148" i="65"/>
  <c r="D149" i="65"/>
  <c r="D150" i="65"/>
  <c r="D151" i="65"/>
  <c r="D152" i="65"/>
  <c r="D153" i="65"/>
  <c r="D154" i="65"/>
  <c r="D155" i="65"/>
  <c r="D156" i="65"/>
  <c r="D157" i="65"/>
  <c r="D158" i="65"/>
  <c r="D159" i="65"/>
  <c r="D160" i="65"/>
  <c r="D161" i="65"/>
  <c r="D162" i="65"/>
  <c r="D163" i="65"/>
  <c r="D164" i="65"/>
  <c r="D165" i="65"/>
  <c r="D166" i="65"/>
  <c r="D167" i="65"/>
  <c r="D168" i="65"/>
  <c r="D169" i="65"/>
  <c r="D170" i="65"/>
  <c r="D171" i="65"/>
  <c r="D172" i="65"/>
  <c r="D173" i="65"/>
  <c r="D174" i="65"/>
  <c r="D175" i="65"/>
  <c r="D176" i="65"/>
  <c r="D177" i="65"/>
  <c r="D178" i="65"/>
  <c r="D179" i="65"/>
  <c r="D180" i="65"/>
  <c r="D181" i="65"/>
  <c r="D182" i="65"/>
  <c r="D183" i="65"/>
  <c r="D184" i="65"/>
  <c r="D185" i="65"/>
  <c r="D186" i="65"/>
  <c r="D187" i="65"/>
  <c r="D188" i="65"/>
  <c r="D189" i="65"/>
  <c r="D190" i="65"/>
  <c r="D191" i="65"/>
  <c r="D192" i="65"/>
  <c r="D193" i="65"/>
  <c r="D194" i="65"/>
  <c r="D195" i="65"/>
  <c r="D196" i="65"/>
  <c r="D197" i="65"/>
  <c r="D198" i="65"/>
  <c r="D199" i="65"/>
  <c r="D200" i="65"/>
  <c r="D201" i="65"/>
  <c r="D202" i="65"/>
  <c r="D203" i="65"/>
  <c r="D204" i="65"/>
  <c r="D205" i="65"/>
  <c r="D206" i="65"/>
  <c r="D207" i="65"/>
  <c r="D208" i="65"/>
  <c r="D209" i="65"/>
  <c r="D210" i="65"/>
  <c r="D211" i="65"/>
  <c r="D212" i="65"/>
  <c r="D213" i="65"/>
  <c r="D214" i="65"/>
  <c r="D215" i="65"/>
  <c r="D216" i="65"/>
  <c r="D217" i="65"/>
  <c r="D218" i="65"/>
  <c r="D219" i="65"/>
  <c r="D220" i="65"/>
  <c r="D221" i="65"/>
  <c r="D222" i="65"/>
  <c r="D223" i="65"/>
  <c r="D224" i="65"/>
  <c r="D225" i="65"/>
  <c r="D226" i="65"/>
  <c r="D227" i="65"/>
  <c r="D228" i="65"/>
  <c r="D229" i="65"/>
  <c r="D230" i="65"/>
  <c r="D231" i="65"/>
  <c r="D232" i="65"/>
  <c r="D233" i="65"/>
  <c r="D234" i="65"/>
  <c r="D235" i="65"/>
  <c r="D236" i="65"/>
  <c r="D237" i="65"/>
  <c r="D238" i="65"/>
  <c r="D239" i="65"/>
  <c r="D240" i="65"/>
  <c r="D241" i="65"/>
  <c r="D242" i="65"/>
  <c r="D243" i="65"/>
  <c r="D244" i="65"/>
  <c r="D245" i="65"/>
  <c r="D246" i="65"/>
  <c r="D247" i="65"/>
  <c r="D248" i="65"/>
  <c r="D249" i="65"/>
  <c r="D250" i="65"/>
  <c r="D251" i="65"/>
  <c r="D252" i="65"/>
  <c r="D253" i="65"/>
  <c r="D254" i="65"/>
  <c r="D255" i="65"/>
  <c r="D256" i="65"/>
  <c r="D257" i="65"/>
  <c r="D258" i="65"/>
  <c r="D259" i="65"/>
  <c r="D260" i="65"/>
  <c r="D261" i="65"/>
  <c r="D262" i="65"/>
  <c r="D263" i="65"/>
  <c r="D264" i="65"/>
  <c r="D265" i="65"/>
  <c r="D266" i="65"/>
  <c r="D267" i="65"/>
  <c r="D268" i="65"/>
  <c r="D269" i="65"/>
  <c r="D270" i="65"/>
  <c r="D271" i="65"/>
  <c r="D272" i="65"/>
  <c r="D273" i="65"/>
  <c r="D274" i="65"/>
  <c r="D275" i="65"/>
  <c r="D276" i="65"/>
  <c r="D277" i="65"/>
  <c r="D278" i="65"/>
  <c r="D279" i="65"/>
  <c r="D280" i="65"/>
  <c r="D281" i="65"/>
  <c r="D282" i="65"/>
  <c r="D283" i="65"/>
  <c r="D284" i="65"/>
  <c r="D285" i="65"/>
  <c r="D286" i="65"/>
  <c r="D287" i="65"/>
  <c r="D288" i="65"/>
  <c r="D289" i="65"/>
  <c r="D290" i="65"/>
  <c r="D291" i="65"/>
  <c r="D292" i="65"/>
  <c r="D293" i="65"/>
  <c r="D294" i="65"/>
  <c r="D295" i="65"/>
  <c r="D296" i="65"/>
  <c r="D297" i="65"/>
  <c r="D298" i="65"/>
  <c r="D299" i="65"/>
  <c r="D300" i="65"/>
  <c r="D301" i="65"/>
  <c r="D302" i="65"/>
  <c r="D303" i="65"/>
  <c r="D304" i="65"/>
  <c r="D305" i="65"/>
  <c r="D306" i="65"/>
  <c r="D307" i="65"/>
  <c r="D308" i="65"/>
  <c r="D309" i="65"/>
  <c r="D310" i="65"/>
  <c r="D311" i="65"/>
  <c r="D312" i="65"/>
  <c r="D313" i="65"/>
  <c r="D314" i="65"/>
  <c r="D315" i="65"/>
  <c r="D316" i="65"/>
  <c r="D317" i="65"/>
  <c r="D318" i="65"/>
  <c r="D319" i="65"/>
  <c r="D320" i="65"/>
  <c r="D321" i="65"/>
  <c r="D322" i="65"/>
  <c r="D323" i="65"/>
  <c r="D324" i="65"/>
  <c r="D325" i="65"/>
  <c r="D326" i="65"/>
  <c r="D327" i="65"/>
  <c r="D328" i="65"/>
  <c r="D329" i="65"/>
  <c r="D330" i="65"/>
  <c r="D331" i="65"/>
  <c r="D332" i="65"/>
  <c r="D333" i="65"/>
  <c r="D334" i="65"/>
  <c r="D335" i="65"/>
  <c r="D336" i="65"/>
  <c r="D337" i="65"/>
  <c r="D338" i="65"/>
  <c r="D339" i="65"/>
  <c r="D340" i="65"/>
  <c r="D341" i="65"/>
  <c r="D342" i="65"/>
  <c r="D343" i="65"/>
  <c r="D344" i="65"/>
  <c r="D345" i="65"/>
  <c r="D346" i="65"/>
  <c r="D347" i="65"/>
  <c r="D348" i="65"/>
  <c r="D349" i="65"/>
  <c r="D350" i="65"/>
  <c r="D351" i="65"/>
  <c r="D352" i="65"/>
  <c r="D353" i="65"/>
  <c r="D354" i="65"/>
  <c r="D355" i="65"/>
  <c r="D356" i="65"/>
  <c r="D357" i="65"/>
  <c r="D358" i="65"/>
  <c r="D359" i="65"/>
  <c r="D360" i="65"/>
  <c r="D361" i="65"/>
  <c r="D362" i="65"/>
  <c r="D363" i="65"/>
  <c r="D364" i="65"/>
  <c r="D365" i="65"/>
  <c r="D366" i="65"/>
  <c r="D367" i="65"/>
  <c r="D368" i="65"/>
  <c r="D369" i="65"/>
  <c r="D370" i="65"/>
  <c r="D371" i="65"/>
  <c r="D372" i="65"/>
  <c r="D373" i="65"/>
  <c r="D374" i="65"/>
  <c r="D375" i="65"/>
  <c r="D376" i="65"/>
  <c r="D377" i="65"/>
  <c r="D378" i="65"/>
  <c r="D379" i="65"/>
  <c r="D380" i="65"/>
  <c r="A87" i="65" l="1"/>
  <c r="A88" i="65" s="1"/>
  <c r="A89" i="65" s="1"/>
  <c r="A90" i="65" s="1"/>
  <c r="A91" i="65" s="1"/>
  <c r="A92" i="65" s="1"/>
  <c r="A93" i="65" s="1"/>
  <c r="A94" i="65" s="1"/>
  <c r="A95" i="65" s="1"/>
  <c r="A96" i="65" s="1"/>
  <c r="A97" i="65" s="1"/>
  <c r="A98" i="65" s="1"/>
  <c r="A99" i="65" s="1"/>
  <c r="A100" i="65" s="1"/>
  <c r="A101" i="65" s="1"/>
  <c r="A102" i="65" s="1"/>
  <c r="A103" i="65" s="1"/>
  <c r="A104" i="65" s="1"/>
  <c r="A105" i="65" s="1"/>
  <c r="A106" i="65" s="1"/>
  <c r="A107" i="65" s="1"/>
  <c r="A108" i="65" s="1"/>
  <c r="A109" i="65" s="1"/>
  <c r="A110" i="65" s="1"/>
  <c r="A111" i="65" s="1"/>
  <c r="A112" i="65" s="1"/>
  <c r="A113" i="65" s="1"/>
  <c r="A114" i="65" s="1"/>
  <c r="A115" i="65" s="1"/>
  <c r="A116" i="65" s="1"/>
  <c r="A117" i="65" s="1"/>
  <c r="A118" i="65" s="1"/>
  <c r="A119" i="65" s="1"/>
  <c r="A120" i="65" s="1"/>
  <c r="A121" i="65" s="1"/>
  <c r="A122" i="65" s="1"/>
  <c r="A123" i="65" s="1"/>
  <c r="A124" i="65" s="1"/>
  <c r="A125" i="65" s="1"/>
  <c r="A126" i="65" s="1"/>
  <c r="A127" i="65" s="1"/>
  <c r="A128" i="65" s="1"/>
  <c r="A129" i="65" s="1"/>
  <c r="A130" i="65" s="1"/>
  <c r="A131" i="65" s="1"/>
  <c r="A132" i="65" s="1"/>
  <c r="A133" i="65" s="1"/>
  <c r="A134" i="65" s="1"/>
  <c r="A135" i="65" s="1"/>
  <c r="A136" i="65" s="1"/>
  <c r="A137" i="65" s="1"/>
  <c r="A138" i="65" s="1"/>
  <c r="A139" i="65" s="1"/>
  <c r="A140" i="65" s="1"/>
  <c r="A141" i="65" s="1"/>
  <c r="A142" i="65" s="1"/>
  <c r="A143" i="65" s="1"/>
  <c r="A144" i="65" s="1"/>
  <c r="A145" i="65" s="1"/>
  <c r="A146" i="65" s="1"/>
  <c r="A147" i="65" s="1"/>
  <c r="A148" i="65" s="1"/>
  <c r="A149" i="65" s="1"/>
  <c r="A150" i="65" s="1"/>
  <c r="A151" i="65" s="1"/>
  <c r="A152" i="65" s="1"/>
  <c r="A153" i="65" s="1"/>
  <c r="A154" i="65" s="1"/>
  <c r="A155" i="65" s="1"/>
  <c r="A156" i="65" s="1"/>
  <c r="A157" i="65" s="1"/>
  <c r="A158" i="65" s="1"/>
  <c r="A159" i="65" s="1"/>
  <c r="A160" i="65" s="1"/>
  <c r="A161" i="65" s="1"/>
  <c r="A162" i="65" s="1"/>
  <c r="A163" i="65" s="1"/>
  <c r="A164" i="65" s="1"/>
  <c r="A165" i="65" s="1"/>
  <c r="A166" i="65" s="1"/>
  <c r="A167" i="65" s="1"/>
  <c r="A168" i="65" s="1"/>
  <c r="A169" i="65" s="1"/>
  <c r="A170" i="65" s="1"/>
  <c r="A171" i="65" s="1"/>
  <c r="A172" i="65" s="1"/>
  <c r="A173" i="65" s="1"/>
  <c r="A174" i="65" s="1"/>
  <c r="A175" i="65" s="1"/>
  <c r="A176" i="65" s="1"/>
  <c r="A177" i="65" s="1"/>
  <c r="A178" i="65" s="1"/>
  <c r="A179" i="65" s="1"/>
  <c r="A180" i="65" s="1"/>
  <c r="A181" i="65" s="1"/>
  <c r="A182" i="65" s="1"/>
  <c r="A183" i="65" s="1"/>
  <c r="A184" i="65" s="1"/>
  <c r="A185" i="65" s="1"/>
  <c r="A186" i="65" s="1"/>
  <c r="A187" i="65" s="1"/>
  <c r="A188" i="65" s="1"/>
  <c r="A189" i="65" s="1"/>
  <c r="A190" i="65" s="1"/>
  <c r="A191" i="65" s="1"/>
  <c r="A192" i="65" s="1"/>
  <c r="A193" i="65" s="1"/>
  <c r="A194" i="65" s="1"/>
  <c r="A195" i="65" s="1"/>
  <c r="A196" i="65" s="1"/>
  <c r="A197" i="65" s="1"/>
  <c r="A198" i="65" s="1"/>
  <c r="A199" i="65" s="1"/>
  <c r="A200" i="65" s="1"/>
  <c r="A201" i="65" s="1"/>
  <c r="A202" i="65" s="1"/>
  <c r="A203" i="65" s="1"/>
  <c r="A204" i="65" s="1"/>
  <c r="A205" i="65" s="1"/>
  <c r="A206" i="65" s="1"/>
  <c r="A207" i="65" s="1"/>
  <c r="A208" i="65" s="1"/>
  <c r="A209" i="65" s="1"/>
  <c r="A210" i="65" s="1"/>
  <c r="A211" i="65" s="1"/>
  <c r="A212" i="65" s="1"/>
  <c r="A213" i="65" s="1"/>
  <c r="A214" i="65" s="1"/>
  <c r="A215" i="65" s="1"/>
  <c r="A216" i="65" s="1"/>
  <c r="A217" i="65" s="1"/>
  <c r="A218" i="65" s="1"/>
  <c r="A219" i="65" s="1"/>
  <c r="A220" i="65" s="1"/>
  <c r="A221" i="65" s="1"/>
  <c r="A222" i="65" s="1"/>
  <c r="A223" i="65" s="1"/>
  <c r="A224" i="65" s="1"/>
  <c r="A225" i="65" s="1"/>
  <c r="A226" i="65" s="1"/>
  <c r="A227" i="65" s="1"/>
  <c r="A228" i="65" s="1"/>
  <c r="A229" i="65" s="1"/>
  <c r="A230" i="65" s="1"/>
  <c r="A231" i="65" s="1"/>
  <c r="A232" i="65" s="1"/>
  <c r="A233" i="65" s="1"/>
  <c r="A234" i="65" s="1"/>
  <c r="A235" i="65" s="1"/>
  <c r="A236" i="65" s="1"/>
  <c r="A237" i="65" s="1"/>
  <c r="A238" i="65" s="1"/>
  <c r="A239" i="65" s="1"/>
  <c r="A240" i="65" s="1"/>
  <c r="A241" i="65" s="1"/>
  <c r="A242" i="65" s="1"/>
  <c r="A243" i="65" s="1"/>
  <c r="A244" i="65" s="1"/>
  <c r="A245" i="65" s="1"/>
  <c r="A246" i="65" s="1"/>
  <c r="A247" i="65" s="1"/>
  <c r="A248" i="65" s="1"/>
  <c r="A249" i="65" s="1"/>
  <c r="A250" i="65" s="1"/>
  <c r="A251" i="65" s="1"/>
  <c r="A252" i="65" s="1"/>
  <c r="A253" i="65" s="1"/>
  <c r="A254" i="65" s="1"/>
  <c r="A255" i="65" s="1"/>
  <c r="A256" i="65" s="1"/>
  <c r="A257" i="65" s="1"/>
  <c r="A258" i="65" s="1"/>
  <c r="A259" i="65" s="1"/>
  <c r="A260" i="65" s="1"/>
  <c r="A261" i="65" s="1"/>
  <c r="A262" i="65" s="1"/>
  <c r="A263" i="65" s="1"/>
  <c r="A264" i="65" s="1"/>
  <c r="A265" i="65" s="1"/>
  <c r="A266" i="65" s="1"/>
  <c r="A267" i="65" s="1"/>
  <c r="A268" i="65" s="1"/>
  <c r="A269" i="65" s="1"/>
  <c r="A270" i="65" s="1"/>
  <c r="A271" i="65" s="1"/>
  <c r="A272" i="65" s="1"/>
  <c r="A273" i="65" s="1"/>
  <c r="A274" i="65" s="1"/>
  <c r="A275" i="65" s="1"/>
  <c r="A276" i="65" s="1"/>
  <c r="A277" i="65" s="1"/>
  <c r="A278" i="65" s="1"/>
  <c r="A279" i="65" s="1"/>
  <c r="A280" i="65" s="1"/>
  <c r="A281" i="65" s="1"/>
  <c r="A282" i="65" s="1"/>
  <c r="A283" i="65" s="1"/>
  <c r="A284" i="65" s="1"/>
  <c r="A285" i="65" s="1"/>
  <c r="A286" i="65" s="1"/>
  <c r="A287" i="65" s="1"/>
  <c r="A288" i="65" s="1"/>
  <c r="A289" i="65" s="1"/>
  <c r="A290" i="65" s="1"/>
  <c r="A291" i="65" s="1"/>
  <c r="A292" i="65" s="1"/>
  <c r="A293" i="65" s="1"/>
  <c r="A294" i="65" s="1"/>
  <c r="A295" i="65" s="1"/>
  <c r="A296" i="65" s="1"/>
  <c r="A297" i="65" s="1"/>
  <c r="A298" i="65" s="1"/>
  <c r="A299" i="65" s="1"/>
  <c r="A300" i="65" s="1"/>
  <c r="A301" i="65" s="1"/>
  <c r="A302" i="65" s="1"/>
  <c r="A303" i="65" s="1"/>
  <c r="A304" i="65" s="1"/>
  <c r="A305" i="65" s="1"/>
  <c r="A306" i="65" s="1"/>
  <c r="A307" i="65" s="1"/>
  <c r="A308" i="65" s="1"/>
  <c r="A309" i="65" s="1"/>
  <c r="A310" i="65" s="1"/>
  <c r="A311" i="65" s="1"/>
  <c r="A312" i="65" s="1"/>
  <c r="A313" i="65" s="1"/>
  <c r="A314" i="65" s="1"/>
  <c r="A315" i="65" s="1"/>
  <c r="A316" i="65" s="1"/>
  <c r="A317" i="65" s="1"/>
  <c r="A318" i="65" s="1"/>
  <c r="A319" i="65" s="1"/>
  <c r="A320" i="65" s="1"/>
  <c r="A321" i="65" s="1"/>
  <c r="A322" i="65" s="1"/>
  <c r="A323" i="65" s="1"/>
  <c r="A324" i="65" s="1"/>
  <c r="A325" i="65" s="1"/>
  <c r="A326" i="65" s="1"/>
  <c r="A327" i="65" s="1"/>
  <c r="A328" i="65" s="1"/>
  <c r="A329" i="65" s="1"/>
  <c r="A330" i="65" s="1"/>
  <c r="A331" i="65" s="1"/>
  <c r="A332" i="65" s="1"/>
  <c r="A333" i="65" s="1"/>
  <c r="A334" i="65" s="1"/>
  <c r="A335" i="65" s="1"/>
  <c r="A336" i="65" s="1"/>
  <c r="A337" i="65" s="1"/>
  <c r="A338" i="65" s="1"/>
  <c r="A339" i="65" s="1"/>
  <c r="A340" i="65" s="1"/>
  <c r="A341" i="65" s="1"/>
  <c r="A342" i="65" s="1"/>
  <c r="A343" i="65" s="1"/>
  <c r="A344" i="65" s="1"/>
  <c r="A345" i="65" s="1"/>
  <c r="A346" i="65" s="1"/>
  <c r="A347" i="65" s="1"/>
  <c r="A348" i="65" s="1"/>
  <c r="A349" i="65" s="1"/>
  <c r="A350" i="65" s="1"/>
  <c r="A351" i="65" s="1"/>
  <c r="A352" i="65" s="1"/>
  <c r="A353" i="65" s="1"/>
  <c r="A354" i="65" s="1"/>
  <c r="A355" i="65" s="1"/>
  <c r="A356" i="65" s="1"/>
  <c r="A357" i="65" s="1"/>
  <c r="A358" i="65" s="1"/>
  <c r="A359" i="65" s="1"/>
  <c r="A360" i="65" s="1"/>
  <c r="A361" i="65" s="1"/>
  <c r="A362" i="65" s="1"/>
  <c r="A363" i="65" s="1"/>
  <c r="A364" i="65" s="1"/>
  <c r="A365" i="65" s="1"/>
  <c r="A366" i="65" s="1"/>
  <c r="A367" i="65" s="1"/>
  <c r="A368" i="65" s="1"/>
  <c r="A369" i="65" s="1"/>
  <c r="A370" i="65" s="1"/>
  <c r="A371" i="65" s="1"/>
  <c r="A372" i="65" s="1"/>
  <c r="A373" i="65" s="1"/>
  <c r="A374" i="65" s="1"/>
  <c r="A375" i="65" s="1"/>
  <c r="A376" i="65" s="1"/>
  <c r="A377" i="65" s="1"/>
  <c r="A378" i="65" s="1"/>
  <c r="A379" i="65" s="1"/>
  <c r="A380" i="65" s="1"/>
  <c r="A381" i="65" s="1"/>
  <c r="A382" i="65" s="1"/>
  <c r="A383" i="65" s="1"/>
  <c r="A384" i="65" s="1"/>
  <c r="A1" i="65"/>
  <c r="L143" i="64" l="1"/>
  <c r="K143" i="64"/>
  <c r="J143" i="64"/>
  <c r="H143" i="64"/>
  <c r="F143" i="64"/>
  <c r="D143" i="64"/>
  <c r="C143" i="64"/>
  <c r="I143" i="64" s="1"/>
  <c r="L142" i="64"/>
  <c r="K142" i="64"/>
  <c r="J142" i="64"/>
  <c r="H142" i="64"/>
  <c r="F142" i="64"/>
  <c r="D142" i="64"/>
  <c r="C142" i="64"/>
  <c r="I142" i="64" s="1"/>
  <c r="L141" i="64"/>
  <c r="K141" i="64"/>
  <c r="J141" i="64"/>
  <c r="H141" i="64"/>
  <c r="F141" i="64"/>
  <c r="D141" i="64"/>
  <c r="C141" i="64"/>
  <c r="I141" i="64" s="1"/>
  <c r="L140" i="64"/>
  <c r="K140" i="64"/>
  <c r="J140" i="64"/>
  <c r="H140" i="64"/>
  <c r="F140" i="64"/>
  <c r="D140" i="64"/>
  <c r="C140" i="64"/>
  <c r="I140" i="64" s="1"/>
  <c r="L139" i="64"/>
  <c r="K139" i="64"/>
  <c r="J139" i="64"/>
  <c r="H139" i="64"/>
  <c r="F139" i="64"/>
  <c r="D139" i="64"/>
  <c r="C139" i="64"/>
  <c r="I139" i="64" s="1"/>
  <c r="L138" i="64"/>
  <c r="K138" i="64"/>
  <c r="J138" i="64"/>
  <c r="H138" i="64"/>
  <c r="F138" i="64"/>
  <c r="D138" i="64"/>
  <c r="C138" i="64"/>
  <c r="I138" i="64" s="1"/>
  <c r="L137" i="64"/>
  <c r="K137" i="64"/>
  <c r="J137" i="64"/>
  <c r="H137" i="64"/>
  <c r="F137" i="64"/>
  <c r="D137" i="64"/>
  <c r="C137" i="64"/>
  <c r="I137" i="64" s="1"/>
  <c r="L136" i="64"/>
  <c r="K136" i="64"/>
  <c r="J136" i="64"/>
  <c r="H136" i="64"/>
  <c r="F136" i="64"/>
  <c r="D136" i="64"/>
  <c r="C136" i="64"/>
  <c r="I136" i="64" s="1"/>
  <c r="L135" i="64"/>
  <c r="K135" i="64"/>
  <c r="J135" i="64"/>
  <c r="H135" i="64"/>
  <c r="F135" i="64"/>
  <c r="D135" i="64"/>
  <c r="C135" i="64"/>
  <c r="I135" i="64" s="1"/>
  <c r="L134" i="64"/>
  <c r="K134" i="64"/>
  <c r="J134" i="64"/>
  <c r="H134" i="64"/>
  <c r="F134" i="64"/>
  <c r="D134" i="64"/>
  <c r="C134" i="64"/>
  <c r="I134" i="64" s="1"/>
  <c r="L133" i="64"/>
  <c r="K133" i="64"/>
  <c r="J133" i="64"/>
  <c r="H133" i="64"/>
  <c r="F133" i="64"/>
  <c r="D133" i="64"/>
  <c r="C133" i="64"/>
  <c r="I133" i="64" s="1"/>
  <c r="L132" i="64"/>
  <c r="K132" i="64"/>
  <c r="J132" i="64"/>
  <c r="H132" i="64"/>
  <c r="F132" i="64"/>
  <c r="D132" i="64"/>
  <c r="C132" i="64"/>
  <c r="I132" i="64" s="1"/>
  <c r="L129" i="64"/>
  <c r="K129" i="64"/>
  <c r="J129" i="64"/>
  <c r="H129" i="64"/>
  <c r="F129" i="64"/>
  <c r="D129" i="64"/>
  <c r="C129" i="64"/>
  <c r="I129" i="64" s="1"/>
  <c r="L128" i="64"/>
  <c r="K128" i="64"/>
  <c r="J128" i="64"/>
  <c r="H128" i="64"/>
  <c r="F128" i="64"/>
  <c r="D128" i="64"/>
  <c r="C128" i="64"/>
  <c r="I128" i="64" s="1"/>
  <c r="L127" i="64"/>
  <c r="K127" i="64"/>
  <c r="M127" i="64" s="1"/>
  <c r="J127" i="64"/>
  <c r="H127" i="64"/>
  <c r="F127" i="64"/>
  <c r="D127" i="64"/>
  <c r="E127" i="64" s="1"/>
  <c r="C127" i="64"/>
  <c r="I127" i="64" s="1"/>
  <c r="L124" i="64"/>
  <c r="K124" i="64"/>
  <c r="M124" i="64" s="1"/>
  <c r="J124" i="64"/>
  <c r="H124" i="64"/>
  <c r="F124" i="64"/>
  <c r="D124" i="64"/>
  <c r="E124" i="64" s="1"/>
  <c r="C124" i="64"/>
  <c r="I124" i="64" s="1"/>
  <c r="L123" i="64"/>
  <c r="K123" i="64"/>
  <c r="J123" i="64"/>
  <c r="H123" i="64"/>
  <c r="F123" i="64"/>
  <c r="D123" i="64"/>
  <c r="E123" i="64" s="1"/>
  <c r="C123" i="64"/>
  <c r="I123" i="64" s="1"/>
  <c r="L120" i="64"/>
  <c r="K120" i="64"/>
  <c r="J120" i="64"/>
  <c r="H120" i="64"/>
  <c r="F120" i="64"/>
  <c r="D120" i="64"/>
  <c r="E120" i="64" s="1"/>
  <c r="C120" i="64"/>
  <c r="I120" i="64" s="1"/>
  <c r="L119" i="64"/>
  <c r="K119" i="64"/>
  <c r="M119" i="64" s="1"/>
  <c r="J119" i="64"/>
  <c r="H119" i="64"/>
  <c r="F119" i="64"/>
  <c r="D119" i="64"/>
  <c r="E119" i="64" s="1"/>
  <c r="C119" i="64"/>
  <c r="I119" i="64" s="1"/>
  <c r="A1" i="64"/>
  <c r="A106" i="61"/>
  <c r="A107" i="61"/>
  <c r="A108" i="61" s="1"/>
  <c r="A109" i="61" s="1"/>
  <c r="A110" i="61" s="1"/>
  <c r="A111" i="61" s="1"/>
  <c r="A112" i="61" s="1"/>
  <c r="A113" i="61" s="1"/>
  <c r="A114" i="61" s="1"/>
  <c r="A115" i="61" s="1"/>
  <c r="A116" i="61" s="1"/>
  <c r="A117" i="61" s="1"/>
  <c r="A118" i="61" s="1"/>
  <c r="A119" i="61" s="1"/>
  <c r="A120" i="61" s="1"/>
  <c r="A121" i="61" s="1"/>
  <c r="A122" i="61" s="1"/>
  <c r="A123" i="61" s="1"/>
  <c r="A124" i="61" s="1"/>
  <c r="A125" i="61" s="1"/>
  <c r="A126" i="61" s="1"/>
  <c r="A127" i="61" s="1"/>
  <c r="A128" i="61" s="1"/>
  <c r="A129" i="61" s="1"/>
  <c r="A130" i="61" s="1"/>
  <c r="A131" i="61" s="1"/>
  <c r="A132" i="61" s="1"/>
  <c r="A133" i="61" s="1"/>
  <c r="A134" i="61" s="1"/>
  <c r="A135" i="61" s="1"/>
  <c r="A136" i="61" s="1"/>
  <c r="A137" i="61" s="1"/>
  <c r="A138" i="61" s="1"/>
  <c r="A139" i="61" s="1"/>
  <c r="A140" i="61" s="1"/>
  <c r="A141" i="61" s="1"/>
  <c r="A142" i="61" s="1"/>
  <c r="A143" i="61" s="1"/>
  <c r="A144" i="61" s="1"/>
  <c r="A145" i="61" s="1"/>
  <c r="A146" i="61" s="1"/>
  <c r="A147" i="61" s="1"/>
  <c r="A148" i="61" s="1"/>
  <c r="A149" i="61" s="1"/>
  <c r="A150" i="61" s="1"/>
  <c r="A151" i="61" s="1"/>
  <c r="A152" i="61" s="1"/>
  <c r="A153" i="61" s="1"/>
  <c r="A154" i="61" s="1"/>
  <c r="A155" i="61" s="1"/>
  <c r="A156" i="61" s="1"/>
  <c r="A157" i="61" s="1"/>
  <c r="A158" i="61" s="1"/>
  <c r="A159" i="61" s="1"/>
  <c r="A160" i="61" s="1"/>
  <c r="A161" i="61" s="1"/>
  <c r="A162" i="61" s="1"/>
  <c r="A163" i="61" s="1"/>
  <c r="A164" i="61" s="1"/>
  <c r="A165" i="61" s="1"/>
  <c r="A166" i="61" s="1"/>
  <c r="A167" i="61" s="1"/>
  <c r="A168" i="61" s="1"/>
  <c r="A169" i="61" s="1"/>
  <c r="A170" i="61" s="1"/>
  <c r="A171" i="61" s="1"/>
  <c r="A172" i="61" s="1"/>
  <c r="A173" i="61" s="1"/>
  <c r="A174" i="61" s="1"/>
  <c r="A175" i="61" s="1"/>
  <c r="A176" i="61" s="1"/>
  <c r="A177" i="61" s="1"/>
  <c r="A178" i="61" s="1"/>
  <c r="A179" i="61" s="1"/>
  <c r="A180" i="61" s="1"/>
  <c r="A181" i="61" s="1"/>
  <c r="A182" i="61" s="1"/>
  <c r="A183" i="61" s="1"/>
  <c r="A184" i="61" s="1"/>
  <c r="A185" i="61" s="1"/>
  <c r="A186" i="61" s="1"/>
  <c r="A187" i="61" s="1"/>
  <c r="A188" i="61" s="1"/>
  <c r="A189" i="61" s="1"/>
  <c r="A190" i="61" s="1"/>
  <c r="A191" i="61" s="1"/>
  <c r="A192" i="61" s="1"/>
  <c r="A193" i="61" s="1"/>
  <c r="A194" i="61" s="1"/>
  <c r="A195" i="61" s="1"/>
  <c r="A196" i="61" s="1"/>
  <c r="A197" i="61" s="1"/>
  <c r="A198" i="61" s="1"/>
  <c r="A199" i="61" s="1"/>
  <c r="A200" i="61" s="1"/>
  <c r="A201" i="61" s="1"/>
  <c r="A202" i="61" s="1"/>
  <c r="A203" i="61" s="1"/>
  <c r="A204" i="61" s="1"/>
  <c r="A205" i="61" s="1"/>
  <c r="A206" i="61" s="1"/>
  <c r="A207" i="61" s="1"/>
  <c r="A208" i="61" s="1"/>
  <c r="A209" i="61" s="1"/>
  <c r="A210" i="61" s="1"/>
  <c r="A211" i="61" s="1"/>
  <c r="A212" i="61" s="1"/>
  <c r="A213" i="61" s="1"/>
  <c r="A214" i="61" s="1"/>
  <c r="A215" i="61" s="1"/>
  <c r="A216" i="61" s="1"/>
  <c r="A217" i="61" s="1"/>
  <c r="A218" i="61" s="1"/>
  <c r="A219" i="61" s="1"/>
  <c r="A220" i="61" s="1"/>
  <c r="A221" i="61" s="1"/>
  <c r="A222" i="61" s="1"/>
  <c r="A223" i="61" s="1"/>
  <c r="A224" i="61" s="1"/>
  <c r="A225" i="61" s="1"/>
  <c r="A226" i="61" s="1"/>
  <c r="A227" i="61" s="1"/>
  <c r="A228" i="61" s="1"/>
  <c r="A229" i="61" s="1"/>
  <c r="A230" i="61" s="1"/>
  <c r="A231" i="61" s="1"/>
  <c r="A232" i="61" s="1"/>
  <c r="A233" i="61" s="1"/>
  <c r="A234" i="61" s="1"/>
  <c r="A235" i="61" s="1"/>
  <c r="A236" i="61" s="1"/>
  <c r="A237" i="61" s="1"/>
  <c r="A238" i="61" s="1"/>
  <c r="A239" i="61" s="1"/>
  <c r="A240" i="61" s="1"/>
  <c r="A241" i="61" s="1"/>
  <c r="A242" i="61" s="1"/>
  <c r="A243" i="61" s="1"/>
  <c r="A244" i="61" s="1"/>
  <c r="A245" i="61" s="1"/>
  <c r="A246" i="61" s="1"/>
  <c r="A247" i="61" s="1"/>
  <c r="M132" i="64" l="1"/>
  <c r="E132" i="64"/>
  <c r="M133" i="64"/>
  <c r="E133" i="64"/>
  <c r="M123" i="64"/>
  <c r="M129" i="64"/>
  <c r="E129" i="64"/>
  <c r="M137" i="64"/>
  <c r="E137" i="64"/>
  <c r="M143" i="64"/>
  <c r="E143" i="64"/>
  <c r="N124" i="64"/>
  <c r="G124" i="64"/>
  <c r="M138" i="64"/>
  <c r="E138" i="64"/>
  <c r="M134" i="64"/>
  <c r="E134" i="64"/>
  <c r="M140" i="64"/>
  <c r="E140" i="64"/>
  <c r="N127" i="64"/>
  <c r="G127" i="64"/>
  <c r="M139" i="64"/>
  <c r="E139" i="64"/>
  <c r="N119" i="64"/>
  <c r="G119" i="64"/>
  <c r="M135" i="64"/>
  <c r="E135" i="64"/>
  <c r="M141" i="64"/>
  <c r="E141" i="64"/>
  <c r="M120" i="64"/>
  <c r="M128" i="64"/>
  <c r="E128" i="64"/>
  <c r="M136" i="64"/>
  <c r="E136" i="64"/>
  <c r="M142" i="64"/>
  <c r="E142" i="64"/>
  <c r="C593" i="58"/>
  <c r="C594" i="58"/>
  <c r="C595" i="58"/>
  <c r="C596" i="58"/>
  <c r="C597" i="58"/>
  <c r="C598" i="58"/>
  <c r="C599" i="58"/>
  <c r="C600" i="58"/>
  <c r="C601" i="58"/>
  <c r="C602" i="58"/>
  <c r="C603" i="58"/>
  <c r="C604" i="58"/>
  <c r="C605" i="58"/>
  <c r="C606" i="58"/>
  <c r="C607" i="58"/>
  <c r="C608" i="58"/>
  <c r="C609" i="58"/>
  <c r="C610" i="58"/>
  <c r="C611" i="58"/>
  <c r="C612" i="58"/>
  <c r="C613" i="58"/>
  <c r="C614" i="58"/>
  <c r="C615" i="58"/>
  <c r="C616" i="58"/>
  <c r="C617" i="58"/>
  <c r="C618" i="58"/>
  <c r="C619" i="58"/>
  <c r="C620" i="58"/>
  <c r="C621" i="58"/>
  <c r="C622" i="58"/>
  <c r="C623" i="58"/>
  <c r="C624" i="58"/>
  <c r="C625" i="58"/>
  <c r="C626" i="58"/>
  <c r="C627" i="58"/>
  <c r="C628" i="58"/>
  <c r="C629" i="58"/>
  <c r="C630" i="58"/>
  <c r="C631" i="58"/>
  <c r="C632" i="58"/>
  <c r="C633" i="58"/>
  <c r="C634" i="58"/>
  <c r="C635" i="58"/>
  <c r="C636" i="58"/>
  <c r="C637" i="58"/>
  <c r="C638" i="58"/>
  <c r="C639" i="58"/>
  <c r="C640" i="58"/>
  <c r="C641" i="58"/>
  <c r="C642" i="58"/>
  <c r="C643" i="58"/>
  <c r="C644" i="58"/>
  <c r="C645" i="58"/>
  <c r="C646" i="58"/>
  <c r="C647" i="58"/>
  <c r="C648" i="58"/>
  <c r="C649" i="58"/>
  <c r="C650" i="58"/>
  <c r="C651" i="58"/>
  <c r="C652" i="58"/>
  <c r="C653" i="58"/>
  <c r="C654" i="58"/>
  <c r="C655" i="58"/>
  <c r="C656" i="58"/>
  <c r="C657" i="58"/>
  <c r="C658" i="58"/>
  <c r="C659" i="58"/>
  <c r="C660" i="58"/>
  <c r="C661" i="58"/>
  <c r="C662" i="58"/>
  <c r="C663" i="58"/>
  <c r="C664" i="58"/>
  <c r="C665" i="58"/>
  <c r="C666" i="58"/>
  <c r="C667" i="58"/>
  <c r="C668" i="58"/>
  <c r="C669" i="58"/>
  <c r="C670" i="58"/>
  <c r="C671" i="58"/>
  <c r="C672" i="58"/>
  <c r="C673" i="58"/>
  <c r="C674" i="58"/>
  <c r="C675" i="58"/>
  <c r="C676" i="58"/>
  <c r="C677" i="58"/>
  <c r="C678" i="58"/>
  <c r="C679" i="58"/>
  <c r="C680" i="58"/>
  <c r="C681" i="58"/>
  <c r="C682" i="58"/>
  <c r="C683" i="58"/>
  <c r="C684" i="58"/>
  <c r="C685" i="58"/>
  <c r="C686" i="58"/>
  <c r="C687" i="58"/>
  <c r="C688" i="58"/>
  <c r="C689" i="58"/>
  <c r="C690" i="58"/>
  <c r="C691" i="58"/>
  <c r="C692" i="58"/>
  <c r="C693" i="58"/>
  <c r="C694" i="58"/>
  <c r="C695" i="58"/>
  <c r="C696" i="58"/>
  <c r="C697" i="58"/>
  <c r="C698" i="58"/>
  <c r="C699" i="58"/>
  <c r="C700" i="58"/>
  <c r="C701" i="58"/>
  <c r="C702" i="58"/>
  <c r="C703" i="58"/>
  <c r="C704" i="58"/>
  <c r="C705" i="58"/>
  <c r="C706" i="58"/>
  <c r="C707" i="58"/>
  <c r="C708" i="58"/>
  <c r="C709" i="58"/>
  <c r="C710" i="58"/>
  <c r="C711" i="58"/>
  <c r="C712" i="58"/>
  <c r="C713" i="58"/>
  <c r="C714" i="58"/>
  <c r="C715" i="58"/>
  <c r="C716" i="58"/>
  <c r="C717" i="58"/>
  <c r="C718" i="58"/>
  <c r="C719" i="58"/>
  <c r="C720" i="58"/>
  <c r="C721" i="58"/>
  <c r="C722" i="58"/>
  <c r="C723" i="58"/>
  <c r="C724" i="58"/>
  <c r="C725" i="58"/>
  <c r="C726" i="58"/>
  <c r="C727" i="58"/>
  <c r="C728" i="58"/>
  <c r="C729" i="58"/>
  <c r="C730" i="58"/>
  <c r="C731" i="58"/>
  <c r="C732" i="58"/>
  <c r="C733" i="58"/>
  <c r="C734" i="58"/>
  <c r="C735" i="58"/>
  <c r="C736" i="58"/>
  <c r="C737" i="58"/>
  <c r="C738" i="58"/>
  <c r="C739" i="58"/>
  <c r="C740" i="58"/>
  <c r="C741" i="58"/>
  <c r="C742" i="58"/>
  <c r="C743" i="58"/>
  <c r="C744" i="58"/>
  <c r="C745" i="58"/>
  <c r="C746" i="58"/>
  <c r="C747" i="58"/>
  <c r="C748" i="58"/>
  <c r="C749" i="58"/>
  <c r="C750" i="58"/>
  <c r="C751" i="58"/>
  <c r="C752" i="58"/>
  <c r="C753" i="58"/>
  <c r="C754" i="58"/>
  <c r="C755" i="58"/>
  <c r="C756" i="58"/>
  <c r="C757" i="58"/>
  <c r="C758" i="58"/>
  <c r="C759" i="58"/>
  <c r="C760" i="58"/>
  <c r="C761" i="58"/>
  <c r="C762" i="58"/>
  <c r="C763" i="58"/>
  <c r="C764" i="58"/>
  <c r="C765" i="58"/>
  <c r="C766" i="58"/>
  <c r="C767" i="58"/>
  <c r="C768" i="58"/>
  <c r="C769" i="58"/>
  <c r="C770" i="58"/>
  <c r="C771" i="58"/>
  <c r="C772" i="58"/>
  <c r="C773" i="58"/>
  <c r="C774" i="58"/>
  <c r="C775" i="58"/>
  <c r="C776" i="58"/>
  <c r="C777" i="58"/>
  <c r="C778" i="58"/>
  <c r="C779" i="58"/>
  <c r="C780" i="58"/>
  <c r="C781" i="58"/>
  <c r="C782" i="58"/>
  <c r="C783" i="58"/>
  <c r="C784" i="58"/>
  <c r="C785" i="58"/>
  <c r="C786" i="58"/>
  <c r="C787" i="58"/>
  <c r="C788" i="58"/>
  <c r="C789" i="58"/>
  <c r="C790" i="58"/>
  <c r="C791" i="58"/>
  <c r="C792" i="58"/>
  <c r="C793" i="58"/>
  <c r="C794" i="58"/>
  <c r="C795" i="58"/>
  <c r="C796" i="58"/>
  <c r="C797" i="58"/>
  <c r="C798" i="58"/>
  <c r="C799" i="58"/>
  <c r="C800" i="58"/>
  <c r="C801" i="58"/>
  <c r="C802" i="58"/>
  <c r="C803" i="58"/>
  <c r="C804" i="58"/>
  <c r="C805" i="58"/>
  <c r="C806" i="58"/>
  <c r="C807" i="58"/>
  <c r="C808" i="58"/>
  <c r="C809" i="58"/>
  <c r="C810" i="58"/>
  <c r="C811" i="58"/>
  <c r="C812" i="58"/>
  <c r="C813" i="58"/>
  <c r="C814" i="58"/>
  <c r="C815" i="58"/>
  <c r="C816" i="58"/>
  <c r="C817" i="58"/>
  <c r="C818" i="58"/>
  <c r="C819" i="58"/>
  <c r="C820" i="58"/>
  <c r="C821" i="58"/>
  <c r="C822" i="58"/>
  <c r="C823" i="58"/>
  <c r="C824" i="58"/>
  <c r="C825" i="58"/>
  <c r="C826" i="58"/>
  <c r="C827" i="58"/>
  <c r="C828" i="58"/>
  <c r="C829" i="58"/>
  <c r="C830" i="58"/>
  <c r="C831" i="58"/>
  <c r="C832" i="58"/>
  <c r="C833" i="58"/>
  <c r="C834" i="58"/>
  <c r="C835" i="58"/>
  <c r="C836" i="58"/>
  <c r="C837" i="58"/>
  <c r="C838" i="58"/>
  <c r="C839" i="58"/>
  <c r="C840" i="58"/>
  <c r="C841" i="58"/>
  <c r="C842" i="58"/>
  <c r="C843" i="58"/>
  <c r="C844" i="58"/>
  <c r="C845" i="58"/>
  <c r="C846" i="58"/>
  <c r="C847" i="58"/>
  <c r="C848" i="58"/>
  <c r="C849" i="58"/>
  <c r="C850" i="58"/>
  <c r="C851" i="58"/>
  <c r="C852" i="58"/>
  <c r="C853" i="58"/>
  <c r="C854" i="58"/>
  <c r="C855" i="58"/>
  <c r="C856" i="58"/>
  <c r="C857" i="58"/>
  <c r="C858" i="58"/>
  <c r="C859" i="58"/>
  <c r="C860" i="58"/>
  <c r="C861" i="58"/>
  <c r="C862" i="58"/>
  <c r="C863" i="58"/>
  <c r="C864" i="58"/>
  <c r="C865" i="58"/>
  <c r="C866" i="58"/>
  <c r="C867" i="58"/>
  <c r="C868" i="58"/>
  <c r="C869" i="58"/>
  <c r="C870" i="58"/>
  <c r="C871" i="58"/>
  <c r="C872" i="58"/>
  <c r="C873" i="58"/>
  <c r="C874" i="58"/>
  <c r="C875" i="58"/>
  <c r="C876" i="58"/>
  <c r="C877" i="58"/>
  <c r="C878" i="58"/>
  <c r="C879" i="58"/>
  <c r="C880" i="58"/>
  <c r="C881" i="58"/>
  <c r="C882" i="58"/>
  <c r="C883" i="58"/>
  <c r="C884" i="58"/>
  <c r="C885" i="58"/>
  <c r="C886" i="58"/>
  <c r="C887" i="58"/>
  <c r="C888" i="58"/>
  <c r="C889" i="58"/>
  <c r="C890" i="58"/>
  <c r="C891" i="58"/>
  <c r="C892" i="58"/>
  <c r="C893" i="58"/>
  <c r="C894" i="58"/>
  <c r="C895" i="58"/>
  <c r="C896" i="58"/>
  <c r="C897" i="58"/>
  <c r="C898" i="58"/>
  <c r="C899" i="58"/>
  <c r="C900" i="58"/>
  <c r="C901" i="58"/>
  <c r="C902" i="58"/>
  <c r="C903" i="58"/>
  <c r="C904" i="58"/>
  <c r="C905" i="58"/>
  <c r="C906" i="58"/>
  <c r="C907" i="58"/>
  <c r="C908" i="58"/>
  <c r="C909" i="58"/>
  <c r="C910" i="58"/>
  <c r="C911" i="58"/>
  <c r="C912" i="58"/>
  <c r="C913" i="58"/>
  <c r="C914" i="58"/>
  <c r="C915" i="58"/>
  <c r="C916" i="58"/>
  <c r="C917" i="58"/>
  <c r="C918" i="58"/>
  <c r="C919" i="58"/>
  <c r="C920" i="58"/>
  <c r="C921" i="58"/>
  <c r="C922" i="58"/>
  <c r="C923" i="58"/>
  <c r="C924" i="58"/>
  <c r="C925" i="58"/>
  <c r="C926" i="58"/>
  <c r="C927" i="58"/>
  <c r="C928" i="58"/>
  <c r="C929" i="58"/>
  <c r="C930" i="58"/>
  <c r="C931" i="58"/>
  <c r="C932" i="58"/>
  <c r="C933" i="58"/>
  <c r="C934" i="58"/>
  <c r="C935" i="58"/>
  <c r="C936" i="58"/>
  <c r="C937" i="58"/>
  <c r="C938" i="58"/>
  <c r="C939" i="58"/>
  <c r="C940" i="58"/>
  <c r="C941" i="58"/>
  <c r="C942" i="58"/>
  <c r="C943" i="58"/>
  <c r="C944" i="58"/>
  <c r="C945" i="58"/>
  <c r="C946" i="58"/>
  <c r="C947" i="58"/>
  <c r="C948" i="58"/>
  <c r="C949" i="58"/>
  <c r="C950" i="58"/>
  <c r="C951" i="58"/>
  <c r="C952" i="58"/>
  <c r="C953" i="58"/>
  <c r="C954" i="58"/>
  <c r="C955" i="58"/>
  <c r="C956" i="58"/>
  <c r="C957" i="58"/>
  <c r="C958" i="58"/>
  <c r="C959" i="58"/>
  <c r="C960" i="58"/>
  <c r="C961" i="58"/>
  <c r="C962" i="58"/>
  <c r="C963" i="58"/>
  <c r="C964" i="58"/>
  <c r="C965" i="58"/>
  <c r="C966" i="58"/>
  <c r="C967" i="58"/>
  <c r="C968" i="58"/>
  <c r="C969" i="58"/>
  <c r="C970" i="58"/>
  <c r="C971" i="58"/>
  <c r="C972" i="58"/>
  <c r="C973" i="58"/>
  <c r="C974" i="58"/>
  <c r="C975" i="58"/>
  <c r="C976" i="58"/>
  <c r="C977" i="58"/>
  <c r="C978" i="58"/>
  <c r="C979" i="58"/>
  <c r="C980" i="58"/>
  <c r="C981" i="58"/>
  <c r="C982" i="58"/>
  <c r="C983" i="58"/>
  <c r="C984" i="58"/>
  <c r="C985" i="58"/>
  <c r="C986" i="58"/>
  <c r="C987" i="58"/>
  <c r="C988" i="58"/>
  <c r="C989" i="58"/>
  <c r="C990" i="58"/>
  <c r="C991" i="58"/>
  <c r="C992" i="58"/>
  <c r="C993" i="58"/>
  <c r="C994" i="58"/>
  <c r="C995" i="58"/>
  <c r="C996" i="58"/>
  <c r="C997" i="58"/>
  <c r="C998" i="58"/>
  <c r="C999" i="58"/>
  <c r="C1000" i="58"/>
  <c r="C1001" i="58"/>
  <c r="C1002" i="58"/>
  <c r="C1003" i="58"/>
  <c r="C1004" i="58"/>
  <c r="C1005" i="58"/>
  <c r="C1006" i="58"/>
  <c r="C1007" i="58"/>
  <c r="C1008" i="58"/>
  <c r="C1009" i="58"/>
  <c r="C1010" i="58"/>
  <c r="C1011" i="58"/>
  <c r="C1012" i="58"/>
  <c r="C1013" i="58"/>
  <c r="C1014" i="58"/>
  <c r="C1015" i="58"/>
  <c r="C1016" i="58"/>
  <c r="C1017" i="58"/>
  <c r="C1018" i="58"/>
  <c r="C1019" i="58"/>
  <c r="C1020" i="58"/>
  <c r="C1021" i="58"/>
  <c r="C1022" i="58"/>
  <c r="C1023" i="58"/>
  <c r="C1024" i="58"/>
  <c r="C1025" i="58"/>
  <c r="C1026" i="58"/>
  <c r="C1027" i="58"/>
  <c r="C1028" i="58"/>
  <c r="C1029" i="58"/>
  <c r="C1030" i="58"/>
  <c r="C1031" i="58"/>
  <c r="C1032" i="58"/>
  <c r="C1033" i="58"/>
  <c r="C1034" i="58"/>
  <c r="C1035" i="58"/>
  <c r="C1036" i="58"/>
  <c r="F593" i="58"/>
  <c r="F594" i="58"/>
  <c r="F595" i="58"/>
  <c r="F596" i="58"/>
  <c r="F597" i="58"/>
  <c r="F598" i="58"/>
  <c r="F599" i="58"/>
  <c r="F600" i="58"/>
  <c r="F601" i="58"/>
  <c r="F602" i="58"/>
  <c r="F603" i="58"/>
  <c r="F604" i="58"/>
  <c r="F605" i="58"/>
  <c r="F606" i="58"/>
  <c r="F607" i="58"/>
  <c r="F608" i="58"/>
  <c r="F609" i="58"/>
  <c r="F610" i="58"/>
  <c r="F611" i="58"/>
  <c r="F612" i="58"/>
  <c r="F613" i="58"/>
  <c r="F614" i="58"/>
  <c r="F615" i="58"/>
  <c r="F616" i="58"/>
  <c r="F617" i="58"/>
  <c r="F618" i="58"/>
  <c r="F619" i="58"/>
  <c r="F620" i="58"/>
  <c r="F621" i="58"/>
  <c r="F622" i="58"/>
  <c r="F623" i="58"/>
  <c r="F624" i="58"/>
  <c r="F625" i="58"/>
  <c r="F626" i="58"/>
  <c r="F627" i="58"/>
  <c r="F628" i="58"/>
  <c r="F629" i="58"/>
  <c r="F630" i="58"/>
  <c r="F631" i="58"/>
  <c r="F632" i="58"/>
  <c r="F633" i="58"/>
  <c r="F634" i="58"/>
  <c r="F635" i="58"/>
  <c r="F636" i="58"/>
  <c r="F637" i="58"/>
  <c r="F638" i="58"/>
  <c r="F639" i="58"/>
  <c r="F640" i="58"/>
  <c r="F641" i="58"/>
  <c r="F642" i="58"/>
  <c r="F643" i="58"/>
  <c r="F644" i="58"/>
  <c r="F645" i="58"/>
  <c r="F646" i="58"/>
  <c r="F647" i="58"/>
  <c r="F648" i="58"/>
  <c r="F649" i="58"/>
  <c r="F650" i="58"/>
  <c r="F651" i="58"/>
  <c r="F652" i="58"/>
  <c r="F653" i="58"/>
  <c r="F654" i="58"/>
  <c r="F655" i="58"/>
  <c r="F656" i="58"/>
  <c r="F657" i="58"/>
  <c r="F658" i="58"/>
  <c r="F659" i="58"/>
  <c r="F660" i="58"/>
  <c r="F661" i="58"/>
  <c r="F662" i="58"/>
  <c r="F663" i="58"/>
  <c r="F664" i="58"/>
  <c r="F665" i="58"/>
  <c r="F666" i="58"/>
  <c r="F667" i="58"/>
  <c r="F668" i="58"/>
  <c r="F669" i="58"/>
  <c r="F670" i="58"/>
  <c r="F671" i="58"/>
  <c r="F672" i="58"/>
  <c r="F673" i="58"/>
  <c r="F674" i="58"/>
  <c r="F675" i="58"/>
  <c r="F676" i="58"/>
  <c r="F677" i="58"/>
  <c r="F678" i="58"/>
  <c r="F679" i="58"/>
  <c r="F680" i="58"/>
  <c r="F681" i="58"/>
  <c r="F682" i="58"/>
  <c r="F683" i="58"/>
  <c r="F684" i="58"/>
  <c r="F685" i="58"/>
  <c r="F686" i="58"/>
  <c r="F687" i="58"/>
  <c r="F688" i="58"/>
  <c r="F689" i="58"/>
  <c r="F690" i="58"/>
  <c r="F691" i="58"/>
  <c r="F692" i="58"/>
  <c r="F693" i="58"/>
  <c r="F694" i="58"/>
  <c r="F695" i="58"/>
  <c r="F696" i="58"/>
  <c r="F697" i="58"/>
  <c r="F698" i="58"/>
  <c r="F699" i="58"/>
  <c r="F700" i="58"/>
  <c r="F701" i="58"/>
  <c r="F702" i="58"/>
  <c r="F703" i="58"/>
  <c r="F704" i="58"/>
  <c r="F705" i="58"/>
  <c r="F706" i="58"/>
  <c r="F707" i="58"/>
  <c r="F708" i="58"/>
  <c r="F709" i="58"/>
  <c r="F710" i="58"/>
  <c r="F711" i="58"/>
  <c r="F712" i="58"/>
  <c r="F713" i="58"/>
  <c r="F714" i="58"/>
  <c r="F715" i="58"/>
  <c r="F716" i="58"/>
  <c r="F717" i="58"/>
  <c r="F718" i="58"/>
  <c r="F719" i="58"/>
  <c r="F720" i="58"/>
  <c r="F721" i="58"/>
  <c r="F722" i="58"/>
  <c r="F723" i="58"/>
  <c r="F724" i="58"/>
  <c r="F725" i="58"/>
  <c r="F726" i="58"/>
  <c r="F727" i="58"/>
  <c r="F728" i="58"/>
  <c r="F729" i="58"/>
  <c r="F730" i="58"/>
  <c r="F731" i="58"/>
  <c r="F732" i="58"/>
  <c r="F733" i="58"/>
  <c r="F734" i="58"/>
  <c r="F735" i="58"/>
  <c r="F736" i="58"/>
  <c r="F737" i="58"/>
  <c r="F738" i="58"/>
  <c r="F739" i="58"/>
  <c r="F740" i="58"/>
  <c r="F741" i="58"/>
  <c r="F742" i="58"/>
  <c r="F743" i="58"/>
  <c r="F744" i="58"/>
  <c r="F745" i="58"/>
  <c r="F746" i="58"/>
  <c r="F747" i="58"/>
  <c r="F748" i="58"/>
  <c r="F749" i="58"/>
  <c r="F750" i="58"/>
  <c r="F751" i="58"/>
  <c r="F752" i="58"/>
  <c r="F753" i="58"/>
  <c r="F754" i="58"/>
  <c r="F755" i="58"/>
  <c r="F756" i="58"/>
  <c r="F757" i="58"/>
  <c r="F758" i="58"/>
  <c r="F759" i="58"/>
  <c r="F760" i="58"/>
  <c r="F761" i="58"/>
  <c r="F762" i="58"/>
  <c r="F763" i="58"/>
  <c r="F764" i="58"/>
  <c r="F765" i="58"/>
  <c r="F766" i="58"/>
  <c r="F767" i="58"/>
  <c r="F768" i="58"/>
  <c r="F769" i="58"/>
  <c r="F770" i="58"/>
  <c r="F771" i="58"/>
  <c r="F772" i="58"/>
  <c r="F773" i="58"/>
  <c r="F774" i="58"/>
  <c r="F775" i="58"/>
  <c r="F776" i="58"/>
  <c r="F777" i="58"/>
  <c r="F778" i="58"/>
  <c r="F779" i="58"/>
  <c r="F780" i="58"/>
  <c r="F781" i="58"/>
  <c r="F782" i="58"/>
  <c r="F783" i="58"/>
  <c r="F784" i="58"/>
  <c r="F785" i="58"/>
  <c r="F786" i="58"/>
  <c r="F787" i="58"/>
  <c r="F788" i="58"/>
  <c r="F789" i="58"/>
  <c r="F790" i="58"/>
  <c r="F791" i="58"/>
  <c r="F792" i="58"/>
  <c r="F793" i="58"/>
  <c r="F794" i="58"/>
  <c r="F795" i="58"/>
  <c r="F796" i="58"/>
  <c r="F797" i="58"/>
  <c r="F798" i="58"/>
  <c r="F799" i="58"/>
  <c r="F800" i="58"/>
  <c r="F801" i="58"/>
  <c r="F802" i="58"/>
  <c r="F803" i="58"/>
  <c r="F804" i="58"/>
  <c r="F805" i="58"/>
  <c r="F806" i="58"/>
  <c r="F807" i="58"/>
  <c r="D807" i="58" s="1"/>
  <c r="F808" i="58"/>
  <c r="F809" i="58"/>
  <c r="F810" i="58"/>
  <c r="F811" i="58"/>
  <c r="E811" i="58" s="1"/>
  <c r="F812" i="58"/>
  <c r="F813" i="58"/>
  <c r="F814" i="58"/>
  <c r="D814" i="58" s="1"/>
  <c r="F815" i="58"/>
  <c r="F816" i="58"/>
  <c r="D816" i="58" s="1"/>
  <c r="F817" i="58"/>
  <c r="F818" i="58"/>
  <c r="F819" i="58"/>
  <c r="F820" i="58"/>
  <c r="F821" i="58"/>
  <c r="F822" i="58"/>
  <c r="D822" i="58" s="1"/>
  <c r="F823" i="58"/>
  <c r="D823" i="58" s="1"/>
  <c r="F824" i="58"/>
  <c r="F825" i="58"/>
  <c r="F826" i="58"/>
  <c r="F827" i="58"/>
  <c r="E827" i="58" s="1"/>
  <c r="F828" i="58"/>
  <c r="F829" i="58"/>
  <c r="D829" i="58" s="1"/>
  <c r="F830" i="58"/>
  <c r="D830" i="58" s="1"/>
  <c r="F831" i="58"/>
  <c r="F832" i="58"/>
  <c r="F833" i="58"/>
  <c r="F834" i="58"/>
  <c r="F835" i="58"/>
  <c r="F836" i="58"/>
  <c r="D836" i="58" s="1"/>
  <c r="F837" i="58"/>
  <c r="D837" i="58" s="1"/>
  <c r="F838" i="58"/>
  <c r="F839" i="58"/>
  <c r="E839" i="58" s="1"/>
  <c r="F840" i="58"/>
  <c r="F841" i="58"/>
  <c r="F842" i="58"/>
  <c r="F843" i="58"/>
  <c r="D843" i="58" s="1"/>
  <c r="F844" i="58"/>
  <c r="D844" i="58" s="1"/>
  <c r="F845" i="58"/>
  <c r="F846" i="58"/>
  <c r="F847" i="58"/>
  <c r="F848" i="58"/>
  <c r="F849" i="58"/>
  <c r="F850" i="58"/>
  <c r="D850" i="58" s="1"/>
  <c r="F851" i="58"/>
  <c r="F852" i="58"/>
  <c r="D852" i="58" s="1"/>
  <c r="F853" i="58"/>
  <c r="E853" i="58" s="1"/>
  <c r="F854" i="58"/>
  <c r="F855" i="58"/>
  <c r="F856" i="58"/>
  <c r="F857" i="58"/>
  <c r="F858" i="58"/>
  <c r="D858" i="58" s="1"/>
  <c r="F859" i="58"/>
  <c r="D859" i="58" s="1"/>
  <c r="F860" i="58"/>
  <c r="F861" i="58"/>
  <c r="F862" i="58"/>
  <c r="F863" i="58"/>
  <c r="F864" i="58"/>
  <c r="F865" i="58"/>
  <c r="D865" i="58" s="1"/>
  <c r="F866" i="58"/>
  <c r="D866" i="58" s="1"/>
  <c r="F867" i="58"/>
  <c r="F868" i="58"/>
  <c r="F869" i="58"/>
  <c r="F870" i="58"/>
  <c r="F871" i="58"/>
  <c r="F872" i="58"/>
  <c r="D872" i="58" s="1"/>
  <c r="F873" i="58"/>
  <c r="D873" i="58" s="1"/>
  <c r="F874" i="58"/>
  <c r="F875" i="58"/>
  <c r="F876" i="58"/>
  <c r="F877" i="58"/>
  <c r="F878" i="58"/>
  <c r="F879" i="58"/>
  <c r="D879" i="58" s="1"/>
  <c r="F880" i="58"/>
  <c r="D880" i="58" s="1"/>
  <c r="F881" i="58"/>
  <c r="E881" i="58" s="1"/>
  <c r="F882" i="58"/>
  <c r="F883" i="58"/>
  <c r="F884" i="58"/>
  <c r="F885" i="58"/>
  <c r="F886" i="58"/>
  <c r="D886" i="58" s="1"/>
  <c r="F887" i="58"/>
  <c r="F888" i="58"/>
  <c r="D888" i="58" s="1"/>
  <c r="F889" i="58"/>
  <c r="D889" i="58" s="1"/>
  <c r="F890" i="58"/>
  <c r="F891" i="58"/>
  <c r="F892" i="58"/>
  <c r="F893" i="58"/>
  <c r="E893" i="58" s="1"/>
  <c r="F894" i="58"/>
  <c r="D894" i="58" s="1"/>
  <c r="F895" i="58"/>
  <c r="D895" i="58" s="1"/>
  <c r="F896" i="58"/>
  <c r="D896" i="58" s="1"/>
  <c r="F897" i="58"/>
  <c r="F898" i="58"/>
  <c r="F899" i="58"/>
  <c r="F900" i="58"/>
  <c r="F901" i="58"/>
  <c r="D901" i="58" s="1"/>
  <c r="F902" i="58"/>
  <c r="D902" i="58" s="1"/>
  <c r="F903" i="58"/>
  <c r="D903" i="58" s="1"/>
  <c r="F904" i="58"/>
  <c r="F905" i="58"/>
  <c r="F906" i="58"/>
  <c r="F907" i="58"/>
  <c r="E907" i="58" s="1"/>
  <c r="F908" i="58"/>
  <c r="D908" i="58" s="1"/>
  <c r="F909" i="58"/>
  <c r="D909" i="58" s="1"/>
  <c r="F910" i="58"/>
  <c r="D910" i="58" s="1"/>
  <c r="F911" i="58"/>
  <c r="F912" i="58"/>
  <c r="F913" i="58"/>
  <c r="F914" i="58"/>
  <c r="F915" i="58"/>
  <c r="D915" i="58" s="1"/>
  <c r="F916" i="58"/>
  <c r="D916" i="58" s="1"/>
  <c r="F917" i="58"/>
  <c r="F918" i="58"/>
  <c r="D918" i="58" s="1"/>
  <c r="F919" i="58"/>
  <c r="E919" i="58" s="1"/>
  <c r="F920" i="58"/>
  <c r="F921" i="58"/>
  <c r="F922" i="58"/>
  <c r="D922" i="58" s="1"/>
  <c r="F923" i="58"/>
  <c r="F924" i="58"/>
  <c r="D924" i="58" s="1"/>
  <c r="F925" i="58"/>
  <c r="D925" i="58" s="1"/>
  <c r="F926" i="58"/>
  <c r="F927" i="58"/>
  <c r="F928" i="58"/>
  <c r="F929" i="58"/>
  <c r="F930" i="58"/>
  <c r="D930" i="58" s="1"/>
  <c r="F931" i="58"/>
  <c r="D931" i="58" s="1"/>
  <c r="F932" i="58"/>
  <c r="D932" i="58" s="1"/>
  <c r="F933" i="58"/>
  <c r="F934" i="58"/>
  <c r="F935" i="58"/>
  <c r="E935" i="58" s="1"/>
  <c r="F936" i="58"/>
  <c r="F937" i="58"/>
  <c r="D937" i="58" s="1"/>
  <c r="F938" i="58"/>
  <c r="D938" i="58" s="1"/>
  <c r="F939" i="58"/>
  <c r="D939" i="58" s="1"/>
  <c r="F940" i="58"/>
  <c r="F941" i="58"/>
  <c r="F942" i="58"/>
  <c r="F943" i="58"/>
  <c r="F944" i="58"/>
  <c r="D944" i="58" s="1"/>
  <c r="F945" i="58"/>
  <c r="D945" i="58" s="1"/>
  <c r="F946" i="58"/>
  <c r="D946" i="58" s="1"/>
  <c r="F947" i="58"/>
  <c r="E947" i="58" s="1"/>
  <c r="F948" i="58"/>
  <c r="F949" i="58"/>
  <c r="F950" i="58"/>
  <c r="F951" i="58"/>
  <c r="D951" i="58" s="1"/>
  <c r="F952" i="58"/>
  <c r="D952" i="58" s="1"/>
  <c r="F953" i="58"/>
  <c r="F954" i="58"/>
  <c r="D954" i="58" s="1"/>
  <c r="F955" i="58"/>
  <c r="F956" i="58"/>
  <c r="F957" i="58"/>
  <c r="F958" i="58"/>
  <c r="D958" i="58" s="1"/>
  <c r="F959" i="58"/>
  <c r="F960" i="58"/>
  <c r="D960" i="58" s="1"/>
  <c r="F961" i="58"/>
  <c r="D961" i="58" s="1"/>
  <c r="F962" i="58"/>
  <c r="F963" i="58"/>
  <c r="F964" i="58"/>
  <c r="F965" i="58"/>
  <c r="F966" i="58"/>
  <c r="D966" i="58" s="1"/>
  <c r="F967" i="58"/>
  <c r="D967" i="58" s="1"/>
  <c r="F968" i="58"/>
  <c r="D968" i="58" s="1"/>
  <c r="F969" i="58"/>
  <c r="F970" i="58"/>
  <c r="F971" i="58"/>
  <c r="F972" i="58"/>
  <c r="F973" i="58"/>
  <c r="E973" i="58" s="1"/>
  <c r="F974" i="58"/>
  <c r="D974" i="58" s="1"/>
  <c r="F975" i="58"/>
  <c r="D975" i="58" s="1"/>
  <c r="F976" i="58"/>
  <c r="F977" i="58"/>
  <c r="F978" i="58"/>
  <c r="F979" i="58"/>
  <c r="F980" i="58"/>
  <c r="D980" i="58" s="1"/>
  <c r="F981" i="58"/>
  <c r="D981" i="58" s="1"/>
  <c r="F982" i="58"/>
  <c r="D982" i="58" s="1"/>
  <c r="F983" i="58"/>
  <c r="F984" i="58"/>
  <c r="F985" i="58"/>
  <c r="F986" i="58"/>
  <c r="F987" i="58"/>
  <c r="D987" i="58" s="1"/>
  <c r="F988" i="58"/>
  <c r="D988" i="58" s="1"/>
  <c r="F989" i="58"/>
  <c r="E989" i="58" s="1"/>
  <c r="F990" i="58"/>
  <c r="D990" i="58" s="1"/>
  <c r="F991" i="58"/>
  <c r="F992" i="58"/>
  <c r="F993" i="58"/>
  <c r="F994" i="58"/>
  <c r="D994" i="58" s="1"/>
  <c r="F995" i="58"/>
  <c r="F996" i="58"/>
  <c r="D996" i="58" s="1"/>
  <c r="F997" i="58"/>
  <c r="D997" i="58" s="1"/>
  <c r="F998" i="58"/>
  <c r="F999" i="58"/>
  <c r="F1000" i="58"/>
  <c r="E1000" i="58" s="1"/>
  <c r="F1001" i="58"/>
  <c r="F1002" i="58"/>
  <c r="D1002" i="58" s="1"/>
  <c r="F1003" i="58"/>
  <c r="D1003" i="58" s="1"/>
  <c r="F1004" i="58"/>
  <c r="D1004" i="58" s="1"/>
  <c r="F1005" i="58"/>
  <c r="F1006" i="58"/>
  <c r="F1007" i="58"/>
  <c r="F1008" i="58"/>
  <c r="F1009" i="58"/>
  <c r="D1009" i="58" s="1"/>
  <c r="F1010" i="58"/>
  <c r="D1010" i="58" s="1"/>
  <c r="F1011" i="58"/>
  <c r="D1011" i="58" s="1"/>
  <c r="F1012" i="58"/>
  <c r="E1012" i="58" s="1"/>
  <c r="F1013" i="58"/>
  <c r="F1014" i="58"/>
  <c r="F1015" i="58"/>
  <c r="F1016" i="58"/>
  <c r="D1016" i="58" s="1"/>
  <c r="F1017" i="58"/>
  <c r="D1017" i="58" s="1"/>
  <c r="F1018" i="58"/>
  <c r="D1018" i="58" s="1"/>
  <c r="F1019" i="58"/>
  <c r="F1020" i="58"/>
  <c r="F1021" i="58"/>
  <c r="E1021" i="58" s="1"/>
  <c r="F1022" i="58"/>
  <c r="F1023" i="58"/>
  <c r="D1023" i="58" s="1"/>
  <c r="F1024" i="58"/>
  <c r="D1024" i="58" s="1"/>
  <c r="F1025" i="58"/>
  <c r="F1026" i="58"/>
  <c r="D1026" i="58" s="1"/>
  <c r="F1027" i="58"/>
  <c r="F1028" i="58"/>
  <c r="F1029" i="58"/>
  <c r="D1029" i="58" s="1"/>
  <c r="F1030" i="58"/>
  <c r="D1030" i="58" s="1"/>
  <c r="F1031" i="58"/>
  <c r="F1032" i="58"/>
  <c r="D1032" i="58" s="1"/>
  <c r="F1033" i="58"/>
  <c r="D1033" i="58" s="1"/>
  <c r="F1034" i="58"/>
  <c r="F1035" i="58"/>
  <c r="F1036" i="58"/>
  <c r="D1036" i="58" s="1"/>
  <c r="G593" i="58"/>
  <c r="G594" i="58"/>
  <c r="G595" i="58"/>
  <c r="G596" i="58"/>
  <c r="G597" i="58"/>
  <c r="G598" i="58"/>
  <c r="G599" i="58"/>
  <c r="G600" i="58"/>
  <c r="G601" i="58"/>
  <c r="G602" i="58"/>
  <c r="G603" i="58"/>
  <c r="G604" i="58"/>
  <c r="G605" i="58"/>
  <c r="G606" i="58"/>
  <c r="G607" i="58"/>
  <c r="G608" i="58"/>
  <c r="G609" i="58"/>
  <c r="G610" i="58"/>
  <c r="G611" i="58"/>
  <c r="G612" i="58"/>
  <c r="G613" i="58"/>
  <c r="G614" i="58"/>
  <c r="G615" i="58"/>
  <c r="G616" i="58"/>
  <c r="G617" i="58"/>
  <c r="G618" i="58"/>
  <c r="G619" i="58"/>
  <c r="G620" i="58"/>
  <c r="G621" i="58"/>
  <c r="G622" i="58"/>
  <c r="G623" i="58"/>
  <c r="G624" i="58"/>
  <c r="G625" i="58"/>
  <c r="G626" i="58"/>
  <c r="G627" i="58"/>
  <c r="G628" i="58"/>
  <c r="G629" i="58"/>
  <c r="G630" i="58"/>
  <c r="G631" i="58"/>
  <c r="G632" i="58"/>
  <c r="G633" i="58"/>
  <c r="G634" i="58"/>
  <c r="G635" i="58"/>
  <c r="G636" i="58"/>
  <c r="G637" i="58"/>
  <c r="G638" i="58"/>
  <c r="G639" i="58"/>
  <c r="G640" i="58"/>
  <c r="G641" i="58"/>
  <c r="G642" i="58"/>
  <c r="G643" i="58"/>
  <c r="G644" i="58"/>
  <c r="G645" i="58"/>
  <c r="G646" i="58"/>
  <c r="G647" i="58"/>
  <c r="G648" i="58"/>
  <c r="G649" i="58"/>
  <c r="G650" i="58"/>
  <c r="G651" i="58"/>
  <c r="G652" i="58"/>
  <c r="G653" i="58"/>
  <c r="G654" i="58"/>
  <c r="G655" i="58"/>
  <c r="G656" i="58"/>
  <c r="G657" i="58"/>
  <c r="G658" i="58"/>
  <c r="G659" i="58"/>
  <c r="G660" i="58"/>
  <c r="G661" i="58"/>
  <c r="G662" i="58"/>
  <c r="G663" i="58"/>
  <c r="G664" i="58"/>
  <c r="G665" i="58"/>
  <c r="G666" i="58"/>
  <c r="G667" i="58"/>
  <c r="G668" i="58"/>
  <c r="G669" i="58"/>
  <c r="G670" i="58"/>
  <c r="G671" i="58"/>
  <c r="G672" i="58"/>
  <c r="G673" i="58"/>
  <c r="G674" i="58"/>
  <c r="G675" i="58"/>
  <c r="G676" i="58"/>
  <c r="G677" i="58"/>
  <c r="G678" i="58"/>
  <c r="G679" i="58"/>
  <c r="G680" i="58"/>
  <c r="G681" i="58"/>
  <c r="G682" i="58"/>
  <c r="G683" i="58"/>
  <c r="G684" i="58"/>
  <c r="G685" i="58"/>
  <c r="G686" i="58"/>
  <c r="G687" i="58"/>
  <c r="G688" i="58"/>
  <c r="G689" i="58"/>
  <c r="G690" i="58"/>
  <c r="G691" i="58"/>
  <c r="G692" i="58"/>
  <c r="G693" i="58"/>
  <c r="G694" i="58"/>
  <c r="G695" i="58"/>
  <c r="G696" i="58"/>
  <c r="G697" i="58"/>
  <c r="G698" i="58"/>
  <c r="G699" i="58"/>
  <c r="G700" i="58"/>
  <c r="G701" i="58"/>
  <c r="G702" i="58"/>
  <c r="G703" i="58"/>
  <c r="G704" i="58"/>
  <c r="G705" i="58"/>
  <c r="G706" i="58"/>
  <c r="G707" i="58"/>
  <c r="G708" i="58"/>
  <c r="G709" i="58"/>
  <c r="G710" i="58"/>
  <c r="G711" i="58"/>
  <c r="G712" i="58"/>
  <c r="G713" i="58"/>
  <c r="G714" i="58"/>
  <c r="G715" i="58"/>
  <c r="G716" i="58"/>
  <c r="G717" i="58"/>
  <c r="G718" i="58"/>
  <c r="G719" i="58"/>
  <c r="G720" i="58"/>
  <c r="G721" i="58"/>
  <c r="G722" i="58"/>
  <c r="G723" i="58"/>
  <c r="G724" i="58"/>
  <c r="G725" i="58"/>
  <c r="G726" i="58"/>
  <c r="G727" i="58"/>
  <c r="G728" i="58"/>
  <c r="G729" i="58"/>
  <c r="G730" i="58"/>
  <c r="G731" i="58"/>
  <c r="G732" i="58"/>
  <c r="G733" i="58"/>
  <c r="G734" i="58"/>
  <c r="G735" i="58"/>
  <c r="G736" i="58"/>
  <c r="G737" i="58"/>
  <c r="G738" i="58"/>
  <c r="G739" i="58"/>
  <c r="G740" i="58"/>
  <c r="G741" i="58"/>
  <c r="G742" i="58"/>
  <c r="G743" i="58"/>
  <c r="G744" i="58"/>
  <c r="G745" i="58"/>
  <c r="G746" i="58"/>
  <c r="G747" i="58"/>
  <c r="G748" i="58"/>
  <c r="G749" i="58"/>
  <c r="G750" i="58"/>
  <c r="G751" i="58"/>
  <c r="G752" i="58"/>
  <c r="G753" i="58"/>
  <c r="G754" i="58"/>
  <c r="G755" i="58"/>
  <c r="G756" i="58"/>
  <c r="G757" i="58"/>
  <c r="G758" i="58"/>
  <c r="G759" i="58"/>
  <c r="G760" i="58"/>
  <c r="G761" i="58"/>
  <c r="G762" i="58"/>
  <c r="G763" i="58"/>
  <c r="G764" i="58"/>
  <c r="G765" i="58"/>
  <c r="G766" i="58"/>
  <c r="G767" i="58"/>
  <c r="G768" i="58"/>
  <c r="G769" i="58"/>
  <c r="G770" i="58"/>
  <c r="G771" i="58"/>
  <c r="G772" i="58"/>
  <c r="G773" i="58"/>
  <c r="G774" i="58"/>
  <c r="G775" i="58"/>
  <c r="G776" i="58"/>
  <c r="G777" i="58"/>
  <c r="G778" i="58"/>
  <c r="G779" i="58"/>
  <c r="G780" i="58"/>
  <c r="G781" i="58"/>
  <c r="G782" i="58"/>
  <c r="G783" i="58"/>
  <c r="G784" i="58"/>
  <c r="G785" i="58"/>
  <c r="G786" i="58"/>
  <c r="G787" i="58"/>
  <c r="G788" i="58"/>
  <c r="G789" i="58"/>
  <c r="G790" i="58"/>
  <c r="G791" i="58"/>
  <c r="G792" i="58"/>
  <c r="G793" i="58"/>
  <c r="G794" i="58"/>
  <c r="G795" i="58"/>
  <c r="G796" i="58"/>
  <c r="G797" i="58"/>
  <c r="G798" i="58"/>
  <c r="G799" i="58"/>
  <c r="G800" i="58"/>
  <c r="G801" i="58"/>
  <c r="G802" i="58"/>
  <c r="G803" i="58"/>
  <c r="G804" i="58"/>
  <c r="G805" i="58"/>
  <c r="G806" i="58"/>
  <c r="G807" i="58"/>
  <c r="G808" i="58"/>
  <c r="G809" i="58"/>
  <c r="G810" i="58"/>
  <c r="G811" i="58"/>
  <c r="G812" i="58"/>
  <c r="G813" i="58"/>
  <c r="G814" i="58"/>
  <c r="G815" i="58"/>
  <c r="G816" i="58"/>
  <c r="G817" i="58"/>
  <c r="G818" i="58"/>
  <c r="G819" i="58"/>
  <c r="G820" i="58"/>
  <c r="G821" i="58"/>
  <c r="G822" i="58"/>
  <c r="G823" i="58"/>
  <c r="G824" i="58"/>
  <c r="G825" i="58"/>
  <c r="G826" i="58"/>
  <c r="G827" i="58"/>
  <c r="G828" i="58"/>
  <c r="G829" i="58"/>
  <c r="G830" i="58"/>
  <c r="G831" i="58"/>
  <c r="G832" i="58"/>
  <c r="G833" i="58"/>
  <c r="G834" i="58"/>
  <c r="G835" i="58"/>
  <c r="G836" i="58"/>
  <c r="G837" i="58"/>
  <c r="G838" i="58"/>
  <c r="G839" i="58"/>
  <c r="G840" i="58"/>
  <c r="G841" i="58"/>
  <c r="G842" i="58"/>
  <c r="G843" i="58"/>
  <c r="G844" i="58"/>
  <c r="G845" i="58"/>
  <c r="G846" i="58"/>
  <c r="G847" i="58"/>
  <c r="G848" i="58"/>
  <c r="G849" i="58"/>
  <c r="G850" i="58"/>
  <c r="G851" i="58"/>
  <c r="G852" i="58"/>
  <c r="G853" i="58"/>
  <c r="G854" i="58"/>
  <c r="G855" i="58"/>
  <c r="G856" i="58"/>
  <c r="G857" i="58"/>
  <c r="G858" i="58"/>
  <c r="G859" i="58"/>
  <c r="G860" i="58"/>
  <c r="G861" i="58"/>
  <c r="G862" i="58"/>
  <c r="G863" i="58"/>
  <c r="G864" i="58"/>
  <c r="G865" i="58"/>
  <c r="G866" i="58"/>
  <c r="G867" i="58"/>
  <c r="G868" i="58"/>
  <c r="G869" i="58"/>
  <c r="G870" i="58"/>
  <c r="G871" i="58"/>
  <c r="G872" i="58"/>
  <c r="G873" i="58"/>
  <c r="G874" i="58"/>
  <c r="G875" i="58"/>
  <c r="G876" i="58"/>
  <c r="G877" i="58"/>
  <c r="G878" i="58"/>
  <c r="G879" i="58"/>
  <c r="G880" i="58"/>
  <c r="G881" i="58"/>
  <c r="G882" i="58"/>
  <c r="G883" i="58"/>
  <c r="G884" i="58"/>
  <c r="G885" i="58"/>
  <c r="G886" i="58"/>
  <c r="G887" i="58"/>
  <c r="G888" i="58"/>
  <c r="G889" i="58"/>
  <c r="G890" i="58"/>
  <c r="G891" i="58"/>
  <c r="G892" i="58"/>
  <c r="G893" i="58"/>
  <c r="G894" i="58"/>
  <c r="G895" i="58"/>
  <c r="G896" i="58"/>
  <c r="G897" i="58"/>
  <c r="G898" i="58"/>
  <c r="G899" i="58"/>
  <c r="G900" i="58"/>
  <c r="G901" i="58"/>
  <c r="G902" i="58"/>
  <c r="G903" i="58"/>
  <c r="G904" i="58"/>
  <c r="G905" i="58"/>
  <c r="G906" i="58"/>
  <c r="G907" i="58"/>
  <c r="G908" i="58"/>
  <c r="G909" i="58"/>
  <c r="G910" i="58"/>
  <c r="G911" i="58"/>
  <c r="G912" i="58"/>
  <c r="G913" i="58"/>
  <c r="G914" i="58"/>
  <c r="G915" i="58"/>
  <c r="G916" i="58"/>
  <c r="G917" i="58"/>
  <c r="G918" i="58"/>
  <c r="G919" i="58"/>
  <c r="G920" i="58"/>
  <c r="G921" i="58"/>
  <c r="G922" i="58"/>
  <c r="G923" i="58"/>
  <c r="G924" i="58"/>
  <c r="G925" i="58"/>
  <c r="G926" i="58"/>
  <c r="G927" i="58"/>
  <c r="G928" i="58"/>
  <c r="G929" i="58"/>
  <c r="G930" i="58"/>
  <c r="G931" i="58"/>
  <c r="G932" i="58"/>
  <c r="G933" i="58"/>
  <c r="G934" i="58"/>
  <c r="G935" i="58"/>
  <c r="G936" i="58"/>
  <c r="G937" i="58"/>
  <c r="G938" i="58"/>
  <c r="G939" i="58"/>
  <c r="G940" i="58"/>
  <c r="G941" i="58"/>
  <c r="G942" i="58"/>
  <c r="G943" i="58"/>
  <c r="G944" i="58"/>
  <c r="G945" i="58"/>
  <c r="G946" i="58"/>
  <c r="G947" i="58"/>
  <c r="G948" i="58"/>
  <c r="G949" i="58"/>
  <c r="G950" i="58"/>
  <c r="G951" i="58"/>
  <c r="G952" i="58"/>
  <c r="G953" i="58"/>
  <c r="G954" i="58"/>
  <c r="G955" i="58"/>
  <c r="G956" i="58"/>
  <c r="G957" i="58"/>
  <c r="G958" i="58"/>
  <c r="G959" i="58"/>
  <c r="G960" i="58"/>
  <c r="G961" i="58"/>
  <c r="G962" i="58"/>
  <c r="G963" i="58"/>
  <c r="G964" i="58"/>
  <c r="G965" i="58"/>
  <c r="G966" i="58"/>
  <c r="G967" i="58"/>
  <c r="G968" i="58"/>
  <c r="G969" i="58"/>
  <c r="G970" i="58"/>
  <c r="G971" i="58"/>
  <c r="G972" i="58"/>
  <c r="G973" i="58"/>
  <c r="G974" i="58"/>
  <c r="G975" i="58"/>
  <c r="G976" i="58"/>
  <c r="G977" i="58"/>
  <c r="G978" i="58"/>
  <c r="G979" i="58"/>
  <c r="G980" i="58"/>
  <c r="G981" i="58"/>
  <c r="G982" i="58"/>
  <c r="G983" i="58"/>
  <c r="G984" i="58"/>
  <c r="G985" i="58"/>
  <c r="G986" i="58"/>
  <c r="G987" i="58"/>
  <c r="G988" i="58"/>
  <c r="G989" i="58"/>
  <c r="G990" i="58"/>
  <c r="G991" i="58"/>
  <c r="G992" i="58"/>
  <c r="G993" i="58"/>
  <c r="G994" i="58"/>
  <c r="G995" i="58"/>
  <c r="G996" i="58"/>
  <c r="G997" i="58"/>
  <c r="G998" i="58"/>
  <c r="G999" i="58"/>
  <c r="G1000" i="58"/>
  <c r="G1001" i="58"/>
  <c r="G1002" i="58"/>
  <c r="G1003" i="58"/>
  <c r="G1004" i="58"/>
  <c r="G1005" i="58"/>
  <c r="G1006" i="58"/>
  <c r="G1007" i="58"/>
  <c r="G1008" i="58"/>
  <c r="G1009" i="58"/>
  <c r="G1010" i="58"/>
  <c r="G1011" i="58"/>
  <c r="G1012" i="58"/>
  <c r="G1013" i="58"/>
  <c r="G1014" i="58"/>
  <c r="G1015" i="58"/>
  <c r="G1016" i="58"/>
  <c r="G1017" i="58"/>
  <c r="G1018" i="58"/>
  <c r="G1019" i="58"/>
  <c r="G1020" i="58"/>
  <c r="G1021" i="58"/>
  <c r="G1022" i="58"/>
  <c r="G1023" i="58"/>
  <c r="G1024" i="58"/>
  <c r="G1025" i="58"/>
  <c r="G1026" i="58"/>
  <c r="G1027" i="58"/>
  <c r="G1028" i="58"/>
  <c r="G1029" i="58"/>
  <c r="G1030" i="58"/>
  <c r="G1031" i="58"/>
  <c r="G1032" i="58"/>
  <c r="G1033" i="58"/>
  <c r="G1034" i="58"/>
  <c r="G1035" i="58"/>
  <c r="G1036" i="58"/>
  <c r="H593" i="58"/>
  <c r="H594" i="58"/>
  <c r="H595" i="58"/>
  <c r="H596" i="58"/>
  <c r="H597" i="58"/>
  <c r="H598" i="58"/>
  <c r="H599" i="58"/>
  <c r="H600" i="58"/>
  <c r="H601" i="58"/>
  <c r="H602" i="58"/>
  <c r="H603" i="58"/>
  <c r="H604" i="58"/>
  <c r="H605" i="58"/>
  <c r="H606" i="58"/>
  <c r="H607" i="58"/>
  <c r="H608" i="58"/>
  <c r="H609" i="58"/>
  <c r="H610" i="58"/>
  <c r="H611" i="58"/>
  <c r="H612" i="58"/>
  <c r="H613" i="58"/>
  <c r="H614" i="58"/>
  <c r="H615" i="58"/>
  <c r="H616" i="58"/>
  <c r="H617" i="58"/>
  <c r="H618" i="58"/>
  <c r="H619" i="58"/>
  <c r="H620" i="58"/>
  <c r="H621" i="58"/>
  <c r="H622" i="58"/>
  <c r="H623" i="58"/>
  <c r="H624" i="58"/>
  <c r="H625" i="58"/>
  <c r="H626" i="58"/>
  <c r="H627" i="58"/>
  <c r="H628" i="58"/>
  <c r="H629" i="58"/>
  <c r="H630" i="58"/>
  <c r="H631" i="58"/>
  <c r="H632" i="58"/>
  <c r="H633" i="58"/>
  <c r="H634" i="58"/>
  <c r="H635" i="58"/>
  <c r="H636" i="58"/>
  <c r="H637" i="58"/>
  <c r="H638" i="58"/>
  <c r="H639" i="58"/>
  <c r="H640" i="58"/>
  <c r="H641" i="58"/>
  <c r="H642" i="58"/>
  <c r="H643" i="58"/>
  <c r="H644" i="58"/>
  <c r="H645" i="58"/>
  <c r="H646" i="58"/>
  <c r="H647" i="58"/>
  <c r="H648" i="58"/>
  <c r="H649" i="58"/>
  <c r="H650" i="58"/>
  <c r="H651" i="58"/>
  <c r="H652" i="58"/>
  <c r="H653" i="58"/>
  <c r="H654" i="58"/>
  <c r="H655" i="58"/>
  <c r="H656" i="58"/>
  <c r="H657" i="58"/>
  <c r="H658" i="58"/>
  <c r="H659" i="58"/>
  <c r="H660" i="58"/>
  <c r="H661" i="58"/>
  <c r="H662" i="58"/>
  <c r="H663" i="58"/>
  <c r="H664" i="58"/>
  <c r="H665" i="58"/>
  <c r="H666" i="58"/>
  <c r="H667" i="58"/>
  <c r="H668" i="58"/>
  <c r="H669" i="58"/>
  <c r="H670" i="58"/>
  <c r="H671" i="58"/>
  <c r="H672" i="58"/>
  <c r="H673" i="58"/>
  <c r="H674" i="58"/>
  <c r="H675" i="58"/>
  <c r="H676" i="58"/>
  <c r="H677" i="58"/>
  <c r="H678" i="58"/>
  <c r="H679" i="58"/>
  <c r="H680" i="58"/>
  <c r="H681" i="58"/>
  <c r="H682" i="58"/>
  <c r="H683" i="58"/>
  <c r="H684" i="58"/>
  <c r="H685" i="58"/>
  <c r="H686" i="58"/>
  <c r="H687" i="58"/>
  <c r="H688" i="58"/>
  <c r="H689" i="58"/>
  <c r="H690" i="58"/>
  <c r="H691" i="58"/>
  <c r="H692" i="58"/>
  <c r="H693" i="58"/>
  <c r="H694" i="58"/>
  <c r="H695" i="58"/>
  <c r="H696" i="58"/>
  <c r="H697" i="58"/>
  <c r="H698" i="58"/>
  <c r="H699" i="58"/>
  <c r="H700" i="58"/>
  <c r="H701" i="58"/>
  <c r="H702" i="58"/>
  <c r="H703" i="58"/>
  <c r="H704" i="58"/>
  <c r="H705" i="58"/>
  <c r="H706" i="58"/>
  <c r="H707" i="58"/>
  <c r="H708" i="58"/>
  <c r="H709" i="58"/>
  <c r="H710" i="58"/>
  <c r="H711" i="58"/>
  <c r="H712" i="58"/>
  <c r="H713" i="58"/>
  <c r="H714" i="58"/>
  <c r="H715" i="58"/>
  <c r="H716" i="58"/>
  <c r="H717" i="58"/>
  <c r="H718" i="58"/>
  <c r="H719" i="58"/>
  <c r="H720" i="58"/>
  <c r="H721" i="58"/>
  <c r="H722" i="58"/>
  <c r="H723" i="58"/>
  <c r="H724" i="58"/>
  <c r="H725" i="58"/>
  <c r="H726" i="58"/>
  <c r="H727" i="58"/>
  <c r="H728" i="58"/>
  <c r="H729" i="58"/>
  <c r="H730" i="58"/>
  <c r="H731" i="58"/>
  <c r="H732" i="58"/>
  <c r="H733" i="58"/>
  <c r="H734" i="58"/>
  <c r="H735" i="58"/>
  <c r="H736" i="58"/>
  <c r="H737" i="58"/>
  <c r="H738" i="58"/>
  <c r="H739" i="58"/>
  <c r="H740" i="58"/>
  <c r="H741" i="58"/>
  <c r="H742" i="58"/>
  <c r="H743" i="58"/>
  <c r="H744" i="58"/>
  <c r="H745" i="58"/>
  <c r="H746" i="58"/>
  <c r="H747" i="58"/>
  <c r="H748" i="58"/>
  <c r="H749" i="58"/>
  <c r="H750" i="58"/>
  <c r="H751" i="58"/>
  <c r="H752" i="58"/>
  <c r="H753" i="58"/>
  <c r="H754" i="58"/>
  <c r="H755" i="58"/>
  <c r="H756" i="58"/>
  <c r="H757" i="58"/>
  <c r="H758" i="58"/>
  <c r="H759" i="58"/>
  <c r="H760" i="58"/>
  <c r="H761" i="58"/>
  <c r="H762" i="58"/>
  <c r="H763" i="58"/>
  <c r="H764" i="58"/>
  <c r="H765" i="58"/>
  <c r="H766" i="58"/>
  <c r="H767" i="58"/>
  <c r="H768" i="58"/>
  <c r="H769" i="58"/>
  <c r="H770" i="58"/>
  <c r="H771" i="58"/>
  <c r="H772" i="58"/>
  <c r="H773" i="58"/>
  <c r="H774" i="58"/>
  <c r="H775" i="58"/>
  <c r="H776" i="58"/>
  <c r="H777" i="58"/>
  <c r="H778" i="58"/>
  <c r="H779" i="58"/>
  <c r="H780" i="58"/>
  <c r="H781" i="58"/>
  <c r="H782" i="58"/>
  <c r="H783" i="58"/>
  <c r="H784" i="58"/>
  <c r="H785" i="58"/>
  <c r="H786" i="58"/>
  <c r="H787" i="58"/>
  <c r="H788" i="58"/>
  <c r="H789" i="58"/>
  <c r="H790" i="58"/>
  <c r="H791" i="58"/>
  <c r="H792" i="58"/>
  <c r="H793" i="58"/>
  <c r="H794" i="58"/>
  <c r="H795" i="58"/>
  <c r="H796" i="58"/>
  <c r="H797" i="58"/>
  <c r="H798" i="58"/>
  <c r="H799" i="58"/>
  <c r="H800" i="58"/>
  <c r="H801" i="58"/>
  <c r="H802" i="58"/>
  <c r="H803" i="58"/>
  <c r="H804" i="58"/>
  <c r="H805" i="58"/>
  <c r="H806" i="58"/>
  <c r="H807" i="58"/>
  <c r="H808" i="58"/>
  <c r="H809" i="58"/>
  <c r="H810" i="58"/>
  <c r="H811" i="58"/>
  <c r="H812" i="58"/>
  <c r="H813" i="58"/>
  <c r="H814" i="58"/>
  <c r="H815" i="58"/>
  <c r="H816" i="58"/>
  <c r="H817" i="58"/>
  <c r="H818" i="58"/>
  <c r="H819" i="58"/>
  <c r="H820" i="58"/>
  <c r="H821" i="58"/>
  <c r="H822" i="58"/>
  <c r="H823" i="58"/>
  <c r="H824" i="58"/>
  <c r="H825" i="58"/>
  <c r="H826" i="58"/>
  <c r="H827" i="58"/>
  <c r="H828" i="58"/>
  <c r="H829" i="58"/>
  <c r="H830" i="58"/>
  <c r="H831" i="58"/>
  <c r="H832" i="58"/>
  <c r="H833" i="58"/>
  <c r="H834" i="58"/>
  <c r="H835" i="58"/>
  <c r="H836" i="58"/>
  <c r="H837" i="58"/>
  <c r="H838" i="58"/>
  <c r="H839" i="58"/>
  <c r="H840" i="58"/>
  <c r="H841" i="58"/>
  <c r="H842" i="58"/>
  <c r="H843" i="58"/>
  <c r="H844" i="58"/>
  <c r="H845" i="58"/>
  <c r="H846" i="58"/>
  <c r="H847" i="58"/>
  <c r="H848" i="58"/>
  <c r="H849" i="58"/>
  <c r="H850" i="58"/>
  <c r="H851" i="58"/>
  <c r="H852" i="58"/>
  <c r="H853" i="58"/>
  <c r="H854" i="58"/>
  <c r="H855" i="58"/>
  <c r="H856" i="58"/>
  <c r="H857" i="58"/>
  <c r="H858" i="58"/>
  <c r="H859" i="58"/>
  <c r="H860" i="58"/>
  <c r="H861" i="58"/>
  <c r="H862" i="58"/>
  <c r="H863" i="58"/>
  <c r="H864" i="58"/>
  <c r="H865" i="58"/>
  <c r="H866" i="58"/>
  <c r="H867" i="58"/>
  <c r="H868" i="58"/>
  <c r="H869" i="58"/>
  <c r="H870" i="58"/>
  <c r="H871" i="58"/>
  <c r="H872" i="58"/>
  <c r="H873" i="58"/>
  <c r="H874" i="58"/>
  <c r="H875" i="58"/>
  <c r="H876" i="58"/>
  <c r="H877" i="58"/>
  <c r="H878" i="58"/>
  <c r="H879" i="58"/>
  <c r="H880" i="58"/>
  <c r="H881" i="58"/>
  <c r="H882" i="58"/>
  <c r="H883" i="58"/>
  <c r="H884" i="58"/>
  <c r="H885" i="58"/>
  <c r="H886" i="58"/>
  <c r="H887" i="58"/>
  <c r="H888" i="58"/>
  <c r="H889" i="58"/>
  <c r="H890" i="58"/>
  <c r="H891" i="58"/>
  <c r="H892" i="58"/>
  <c r="H893" i="58"/>
  <c r="H894" i="58"/>
  <c r="H895" i="58"/>
  <c r="H896" i="58"/>
  <c r="H897" i="58"/>
  <c r="H898" i="58"/>
  <c r="H899" i="58"/>
  <c r="H900" i="58"/>
  <c r="H901" i="58"/>
  <c r="H902" i="58"/>
  <c r="H903" i="58"/>
  <c r="H904" i="58"/>
  <c r="H905" i="58"/>
  <c r="H906" i="58"/>
  <c r="H907" i="58"/>
  <c r="H908" i="58"/>
  <c r="H909" i="58"/>
  <c r="H910" i="58"/>
  <c r="H911" i="58"/>
  <c r="H912" i="58"/>
  <c r="H913" i="58"/>
  <c r="H914" i="58"/>
  <c r="H915" i="58"/>
  <c r="H916" i="58"/>
  <c r="H917" i="58"/>
  <c r="H918" i="58"/>
  <c r="H919" i="58"/>
  <c r="H920" i="58"/>
  <c r="H921" i="58"/>
  <c r="H922" i="58"/>
  <c r="H923" i="58"/>
  <c r="H924" i="58"/>
  <c r="H925" i="58"/>
  <c r="H926" i="58"/>
  <c r="H927" i="58"/>
  <c r="H928" i="58"/>
  <c r="H929" i="58"/>
  <c r="H930" i="58"/>
  <c r="H931" i="58"/>
  <c r="H932" i="58"/>
  <c r="H933" i="58"/>
  <c r="H934" i="58"/>
  <c r="H935" i="58"/>
  <c r="H936" i="58"/>
  <c r="H937" i="58"/>
  <c r="H938" i="58"/>
  <c r="H939" i="58"/>
  <c r="H940" i="58"/>
  <c r="H941" i="58"/>
  <c r="H942" i="58"/>
  <c r="H943" i="58"/>
  <c r="H944" i="58"/>
  <c r="H945" i="58"/>
  <c r="H946" i="58"/>
  <c r="H947" i="58"/>
  <c r="H948" i="58"/>
  <c r="H949" i="58"/>
  <c r="H950" i="58"/>
  <c r="H951" i="58"/>
  <c r="H952" i="58"/>
  <c r="H953" i="58"/>
  <c r="H954" i="58"/>
  <c r="H955" i="58"/>
  <c r="H956" i="58"/>
  <c r="H957" i="58"/>
  <c r="H958" i="58"/>
  <c r="H959" i="58"/>
  <c r="H960" i="58"/>
  <c r="H961" i="58"/>
  <c r="H962" i="58"/>
  <c r="H963" i="58"/>
  <c r="H964" i="58"/>
  <c r="H965" i="58"/>
  <c r="H966" i="58"/>
  <c r="H967" i="58"/>
  <c r="H968" i="58"/>
  <c r="H969" i="58"/>
  <c r="H970" i="58"/>
  <c r="H971" i="58"/>
  <c r="H972" i="58"/>
  <c r="H973" i="58"/>
  <c r="H974" i="58"/>
  <c r="H975" i="58"/>
  <c r="H976" i="58"/>
  <c r="H977" i="58"/>
  <c r="H978" i="58"/>
  <c r="H979" i="58"/>
  <c r="H980" i="58"/>
  <c r="H981" i="58"/>
  <c r="H982" i="58"/>
  <c r="H983" i="58"/>
  <c r="H984" i="58"/>
  <c r="H985" i="58"/>
  <c r="H986" i="58"/>
  <c r="H987" i="58"/>
  <c r="H988" i="58"/>
  <c r="H989" i="58"/>
  <c r="H990" i="58"/>
  <c r="H991" i="58"/>
  <c r="H992" i="58"/>
  <c r="H993" i="58"/>
  <c r="H994" i="58"/>
  <c r="H995" i="58"/>
  <c r="H996" i="58"/>
  <c r="H997" i="58"/>
  <c r="H998" i="58"/>
  <c r="H999" i="58"/>
  <c r="H1000" i="58"/>
  <c r="H1001" i="58"/>
  <c r="H1002" i="58"/>
  <c r="H1003" i="58"/>
  <c r="H1004" i="58"/>
  <c r="H1005" i="58"/>
  <c r="H1006" i="58"/>
  <c r="H1007" i="58"/>
  <c r="H1008" i="58"/>
  <c r="H1009" i="58"/>
  <c r="H1010" i="58"/>
  <c r="H1011" i="58"/>
  <c r="H1012" i="58"/>
  <c r="H1013" i="58"/>
  <c r="H1014" i="58"/>
  <c r="H1015" i="58"/>
  <c r="H1016" i="58"/>
  <c r="H1017" i="58"/>
  <c r="H1018" i="58"/>
  <c r="H1019" i="58"/>
  <c r="H1020" i="58"/>
  <c r="H1021" i="58"/>
  <c r="H1022" i="58"/>
  <c r="H1023" i="58"/>
  <c r="H1024" i="58"/>
  <c r="H1025" i="58"/>
  <c r="H1026" i="58"/>
  <c r="H1027" i="58"/>
  <c r="H1028" i="58"/>
  <c r="H1029" i="58"/>
  <c r="H1030" i="58"/>
  <c r="H1031" i="58"/>
  <c r="H1032" i="58"/>
  <c r="H1033" i="58"/>
  <c r="H1034" i="58"/>
  <c r="H1035" i="58"/>
  <c r="H1036" i="58"/>
  <c r="I593" i="58"/>
  <c r="I594" i="58"/>
  <c r="I595" i="58"/>
  <c r="I596" i="58"/>
  <c r="I597" i="58"/>
  <c r="I598" i="58"/>
  <c r="I599" i="58"/>
  <c r="I600" i="58"/>
  <c r="I601" i="58"/>
  <c r="I602" i="58"/>
  <c r="I603" i="58"/>
  <c r="I604" i="58"/>
  <c r="I605" i="58"/>
  <c r="I606" i="58"/>
  <c r="I607" i="58"/>
  <c r="I608" i="58"/>
  <c r="I609" i="58"/>
  <c r="I610" i="58"/>
  <c r="I611" i="58"/>
  <c r="I612" i="58"/>
  <c r="I613" i="58"/>
  <c r="I614" i="58"/>
  <c r="I615" i="58"/>
  <c r="I616" i="58"/>
  <c r="I617" i="58"/>
  <c r="I618" i="58"/>
  <c r="I619" i="58"/>
  <c r="I620" i="58"/>
  <c r="I621" i="58"/>
  <c r="I622" i="58"/>
  <c r="I623" i="58"/>
  <c r="I624" i="58"/>
  <c r="I625" i="58"/>
  <c r="I626" i="58"/>
  <c r="I627" i="58"/>
  <c r="I628" i="58"/>
  <c r="I629" i="58"/>
  <c r="I630" i="58"/>
  <c r="I631" i="58"/>
  <c r="I632" i="58"/>
  <c r="I633" i="58"/>
  <c r="I634" i="58"/>
  <c r="I635" i="58"/>
  <c r="I636" i="58"/>
  <c r="I637" i="58"/>
  <c r="I638" i="58"/>
  <c r="I639" i="58"/>
  <c r="I640" i="58"/>
  <c r="I641" i="58"/>
  <c r="I642" i="58"/>
  <c r="I643" i="58"/>
  <c r="I644" i="58"/>
  <c r="I645" i="58"/>
  <c r="I646" i="58"/>
  <c r="I647" i="58"/>
  <c r="I648" i="58"/>
  <c r="I649" i="58"/>
  <c r="I650" i="58"/>
  <c r="I651" i="58"/>
  <c r="I652" i="58"/>
  <c r="I653" i="58"/>
  <c r="I654" i="58"/>
  <c r="I655" i="58"/>
  <c r="I656" i="58"/>
  <c r="I657" i="58"/>
  <c r="I658" i="58"/>
  <c r="I659" i="58"/>
  <c r="I660" i="58"/>
  <c r="I661" i="58"/>
  <c r="I662" i="58"/>
  <c r="I663" i="58"/>
  <c r="I664" i="58"/>
  <c r="I665" i="58"/>
  <c r="I666" i="58"/>
  <c r="I667" i="58"/>
  <c r="I668" i="58"/>
  <c r="I669" i="58"/>
  <c r="I670" i="58"/>
  <c r="I671" i="58"/>
  <c r="I672" i="58"/>
  <c r="I673" i="58"/>
  <c r="I674" i="58"/>
  <c r="I675" i="58"/>
  <c r="I676" i="58"/>
  <c r="I677" i="58"/>
  <c r="I678" i="58"/>
  <c r="I679" i="58"/>
  <c r="I680" i="58"/>
  <c r="I681" i="58"/>
  <c r="I682" i="58"/>
  <c r="I683" i="58"/>
  <c r="I684" i="58"/>
  <c r="I685" i="58"/>
  <c r="I686" i="58"/>
  <c r="I687" i="58"/>
  <c r="I688" i="58"/>
  <c r="I689" i="58"/>
  <c r="I690" i="58"/>
  <c r="I691" i="58"/>
  <c r="I692" i="58"/>
  <c r="I693" i="58"/>
  <c r="I694" i="58"/>
  <c r="I695" i="58"/>
  <c r="I696" i="58"/>
  <c r="I697" i="58"/>
  <c r="I698" i="58"/>
  <c r="I699" i="58"/>
  <c r="I700" i="58"/>
  <c r="I701" i="58"/>
  <c r="I702" i="58"/>
  <c r="I703" i="58"/>
  <c r="I704" i="58"/>
  <c r="I705" i="58"/>
  <c r="I706" i="58"/>
  <c r="I707" i="58"/>
  <c r="I708" i="58"/>
  <c r="I709" i="58"/>
  <c r="I710" i="58"/>
  <c r="I711" i="58"/>
  <c r="I712" i="58"/>
  <c r="I713" i="58"/>
  <c r="I714" i="58"/>
  <c r="I715" i="58"/>
  <c r="I716" i="58"/>
  <c r="I717" i="58"/>
  <c r="I718" i="58"/>
  <c r="I719" i="58"/>
  <c r="I720" i="58"/>
  <c r="I721" i="58"/>
  <c r="I722" i="58"/>
  <c r="I723" i="58"/>
  <c r="I724" i="58"/>
  <c r="I725" i="58"/>
  <c r="I726" i="58"/>
  <c r="I727" i="58"/>
  <c r="I728" i="58"/>
  <c r="I729" i="58"/>
  <c r="I730" i="58"/>
  <c r="I731" i="58"/>
  <c r="I732" i="58"/>
  <c r="I733" i="58"/>
  <c r="I734" i="58"/>
  <c r="I735" i="58"/>
  <c r="I736" i="58"/>
  <c r="I737" i="58"/>
  <c r="I738" i="58"/>
  <c r="I739" i="58"/>
  <c r="I740" i="58"/>
  <c r="I741" i="58"/>
  <c r="I742" i="58"/>
  <c r="I743" i="58"/>
  <c r="I744" i="58"/>
  <c r="I745" i="58"/>
  <c r="I746" i="58"/>
  <c r="I747" i="58"/>
  <c r="I748" i="58"/>
  <c r="I749" i="58"/>
  <c r="I750" i="58"/>
  <c r="I751" i="58"/>
  <c r="I752" i="58"/>
  <c r="I753" i="58"/>
  <c r="I754" i="58"/>
  <c r="I755" i="58"/>
  <c r="I756" i="58"/>
  <c r="I757" i="58"/>
  <c r="I758" i="58"/>
  <c r="I759" i="58"/>
  <c r="I760" i="58"/>
  <c r="I761" i="58"/>
  <c r="I762" i="58"/>
  <c r="I763" i="58"/>
  <c r="I764" i="58"/>
  <c r="I765" i="58"/>
  <c r="I766" i="58"/>
  <c r="I767" i="58"/>
  <c r="I768" i="58"/>
  <c r="I769" i="58"/>
  <c r="I770" i="58"/>
  <c r="I771" i="58"/>
  <c r="I772" i="58"/>
  <c r="I773" i="58"/>
  <c r="I774" i="58"/>
  <c r="I775" i="58"/>
  <c r="I776" i="58"/>
  <c r="I777" i="58"/>
  <c r="I778" i="58"/>
  <c r="I779" i="58"/>
  <c r="I780" i="58"/>
  <c r="I781" i="58"/>
  <c r="I782" i="58"/>
  <c r="I783" i="58"/>
  <c r="I784" i="58"/>
  <c r="I785" i="58"/>
  <c r="I786" i="58"/>
  <c r="I787" i="58"/>
  <c r="I788" i="58"/>
  <c r="I789" i="58"/>
  <c r="I790" i="58"/>
  <c r="I791" i="58"/>
  <c r="I792" i="58"/>
  <c r="I793" i="58"/>
  <c r="I794" i="58"/>
  <c r="I795" i="58"/>
  <c r="I796" i="58"/>
  <c r="I797" i="58"/>
  <c r="I798" i="58"/>
  <c r="I799" i="58"/>
  <c r="I800" i="58"/>
  <c r="I801" i="58"/>
  <c r="I802" i="58"/>
  <c r="I803" i="58"/>
  <c r="I804" i="58"/>
  <c r="I805" i="58"/>
  <c r="I806" i="58"/>
  <c r="I807" i="58"/>
  <c r="I808" i="58"/>
  <c r="I809" i="58"/>
  <c r="I810" i="58"/>
  <c r="I811" i="58"/>
  <c r="I812" i="58"/>
  <c r="I813" i="58"/>
  <c r="I814" i="58"/>
  <c r="I815" i="58"/>
  <c r="I816" i="58"/>
  <c r="I817" i="58"/>
  <c r="I818" i="58"/>
  <c r="I819" i="58"/>
  <c r="I820" i="58"/>
  <c r="I821" i="58"/>
  <c r="I822" i="58"/>
  <c r="I823" i="58"/>
  <c r="I824" i="58"/>
  <c r="I825" i="58"/>
  <c r="I826" i="58"/>
  <c r="I827" i="58"/>
  <c r="I828" i="58"/>
  <c r="I829" i="58"/>
  <c r="I830" i="58"/>
  <c r="I831" i="58"/>
  <c r="I832" i="58"/>
  <c r="I833" i="58"/>
  <c r="I834" i="58"/>
  <c r="I835" i="58"/>
  <c r="I836" i="58"/>
  <c r="I837" i="58"/>
  <c r="I838" i="58"/>
  <c r="I839" i="58"/>
  <c r="I840" i="58"/>
  <c r="I841" i="58"/>
  <c r="I842" i="58"/>
  <c r="I843" i="58"/>
  <c r="I844" i="58"/>
  <c r="I845" i="58"/>
  <c r="I846" i="58"/>
  <c r="I847" i="58"/>
  <c r="I848" i="58"/>
  <c r="I849" i="58"/>
  <c r="I850" i="58"/>
  <c r="I851" i="58"/>
  <c r="I852" i="58"/>
  <c r="I853" i="58"/>
  <c r="I854" i="58"/>
  <c r="I855" i="58"/>
  <c r="I856" i="58"/>
  <c r="I857" i="58"/>
  <c r="I858" i="58"/>
  <c r="I859" i="58"/>
  <c r="I860" i="58"/>
  <c r="I861" i="58"/>
  <c r="I862" i="58"/>
  <c r="I863" i="58"/>
  <c r="I864" i="58"/>
  <c r="I865" i="58"/>
  <c r="I866" i="58"/>
  <c r="I867" i="58"/>
  <c r="I868" i="58"/>
  <c r="I869" i="58"/>
  <c r="I870" i="58"/>
  <c r="I871" i="58"/>
  <c r="I872" i="58"/>
  <c r="I873" i="58"/>
  <c r="I874" i="58"/>
  <c r="I875" i="58"/>
  <c r="I876" i="58"/>
  <c r="I877" i="58"/>
  <c r="I878" i="58"/>
  <c r="I879" i="58"/>
  <c r="I880" i="58"/>
  <c r="I881" i="58"/>
  <c r="I882" i="58"/>
  <c r="I883" i="58"/>
  <c r="I884" i="58"/>
  <c r="I885" i="58"/>
  <c r="I886" i="58"/>
  <c r="I887" i="58"/>
  <c r="I888" i="58"/>
  <c r="I889" i="58"/>
  <c r="I890" i="58"/>
  <c r="I891" i="58"/>
  <c r="I892" i="58"/>
  <c r="I893" i="58"/>
  <c r="I894" i="58"/>
  <c r="I895" i="58"/>
  <c r="I896" i="58"/>
  <c r="I897" i="58"/>
  <c r="I898" i="58"/>
  <c r="I899" i="58"/>
  <c r="I900" i="58"/>
  <c r="I901" i="58"/>
  <c r="I902" i="58"/>
  <c r="I903" i="58"/>
  <c r="I904" i="58"/>
  <c r="I905" i="58"/>
  <c r="I906" i="58"/>
  <c r="I907" i="58"/>
  <c r="I908" i="58"/>
  <c r="I909" i="58"/>
  <c r="I910" i="58"/>
  <c r="I911" i="58"/>
  <c r="I912" i="58"/>
  <c r="I913" i="58"/>
  <c r="I914" i="58"/>
  <c r="I915" i="58"/>
  <c r="I916" i="58"/>
  <c r="I917" i="58"/>
  <c r="I918" i="58"/>
  <c r="I919" i="58"/>
  <c r="I920" i="58"/>
  <c r="I921" i="58"/>
  <c r="I922" i="58"/>
  <c r="I923" i="58"/>
  <c r="I924" i="58"/>
  <c r="I925" i="58"/>
  <c r="I926" i="58"/>
  <c r="I927" i="58"/>
  <c r="I928" i="58"/>
  <c r="I929" i="58"/>
  <c r="I930" i="58"/>
  <c r="I931" i="58"/>
  <c r="I932" i="58"/>
  <c r="I933" i="58"/>
  <c r="I934" i="58"/>
  <c r="I935" i="58"/>
  <c r="I936" i="58"/>
  <c r="I937" i="58"/>
  <c r="I938" i="58"/>
  <c r="I939" i="58"/>
  <c r="I940" i="58"/>
  <c r="I941" i="58"/>
  <c r="I942" i="58"/>
  <c r="I943" i="58"/>
  <c r="I944" i="58"/>
  <c r="I945" i="58"/>
  <c r="I946" i="58"/>
  <c r="I947" i="58"/>
  <c r="I948" i="58"/>
  <c r="I949" i="58"/>
  <c r="I950" i="58"/>
  <c r="I951" i="58"/>
  <c r="I952" i="58"/>
  <c r="I953" i="58"/>
  <c r="I954" i="58"/>
  <c r="I955" i="58"/>
  <c r="I956" i="58"/>
  <c r="I957" i="58"/>
  <c r="I958" i="58"/>
  <c r="I959" i="58"/>
  <c r="I960" i="58"/>
  <c r="I961" i="58"/>
  <c r="I962" i="58"/>
  <c r="I963" i="58"/>
  <c r="I964" i="58"/>
  <c r="I965" i="58"/>
  <c r="I966" i="58"/>
  <c r="I967" i="58"/>
  <c r="I968" i="58"/>
  <c r="I969" i="58"/>
  <c r="I970" i="58"/>
  <c r="I971" i="58"/>
  <c r="I972" i="58"/>
  <c r="I973" i="58"/>
  <c r="I974" i="58"/>
  <c r="I975" i="58"/>
  <c r="I976" i="58"/>
  <c r="I977" i="58"/>
  <c r="I978" i="58"/>
  <c r="I979" i="58"/>
  <c r="I980" i="58"/>
  <c r="I981" i="58"/>
  <c r="I982" i="58"/>
  <c r="I983" i="58"/>
  <c r="I984" i="58"/>
  <c r="I985" i="58"/>
  <c r="I986" i="58"/>
  <c r="I987" i="58"/>
  <c r="I988" i="58"/>
  <c r="I989" i="58"/>
  <c r="I990" i="58"/>
  <c r="I991" i="58"/>
  <c r="I992" i="58"/>
  <c r="I993" i="58"/>
  <c r="I994" i="58"/>
  <c r="I995" i="58"/>
  <c r="I996" i="58"/>
  <c r="I997" i="58"/>
  <c r="I998" i="58"/>
  <c r="I999" i="58"/>
  <c r="I1000" i="58"/>
  <c r="I1001" i="58"/>
  <c r="I1002" i="58"/>
  <c r="I1003" i="58"/>
  <c r="I1004" i="58"/>
  <c r="I1005" i="58"/>
  <c r="I1006" i="58"/>
  <c r="I1007" i="58"/>
  <c r="I1008" i="58"/>
  <c r="I1009" i="58"/>
  <c r="I1010" i="58"/>
  <c r="I1011" i="58"/>
  <c r="I1012" i="58"/>
  <c r="I1013" i="58"/>
  <c r="I1014" i="58"/>
  <c r="I1015" i="58"/>
  <c r="I1016" i="58"/>
  <c r="I1017" i="58"/>
  <c r="I1018" i="58"/>
  <c r="I1019" i="58"/>
  <c r="I1020" i="58"/>
  <c r="I1021" i="58"/>
  <c r="I1022" i="58"/>
  <c r="I1023" i="58"/>
  <c r="I1024" i="58"/>
  <c r="I1025" i="58"/>
  <c r="I1026" i="58"/>
  <c r="I1027" i="58"/>
  <c r="I1028" i="58"/>
  <c r="I1029" i="58"/>
  <c r="I1030" i="58"/>
  <c r="I1031" i="58"/>
  <c r="I1032" i="58"/>
  <c r="I1033" i="58"/>
  <c r="I1034" i="58"/>
  <c r="I1035" i="58"/>
  <c r="I1036" i="58"/>
  <c r="J593" i="58"/>
  <c r="J594" i="58"/>
  <c r="J595" i="58"/>
  <c r="J596" i="58"/>
  <c r="J597" i="58"/>
  <c r="J598" i="58"/>
  <c r="J599" i="58"/>
  <c r="J600" i="58"/>
  <c r="J601" i="58"/>
  <c r="J602" i="58"/>
  <c r="J603" i="58"/>
  <c r="J604" i="58"/>
  <c r="J605" i="58"/>
  <c r="J606" i="58"/>
  <c r="J607" i="58"/>
  <c r="J608" i="58"/>
  <c r="J609" i="58"/>
  <c r="J610" i="58"/>
  <c r="J611" i="58"/>
  <c r="J612" i="58"/>
  <c r="J613" i="58"/>
  <c r="J614" i="58"/>
  <c r="J615" i="58"/>
  <c r="J616" i="58"/>
  <c r="J617" i="58"/>
  <c r="J618" i="58"/>
  <c r="J619" i="58"/>
  <c r="J620" i="58"/>
  <c r="J621" i="58"/>
  <c r="J622" i="58"/>
  <c r="J623" i="58"/>
  <c r="J624" i="58"/>
  <c r="J625" i="58"/>
  <c r="J626" i="58"/>
  <c r="J627" i="58"/>
  <c r="J628" i="58"/>
  <c r="J629" i="58"/>
  <c r="J630" i="58"/>
  <c r="J631" i="58"/>
  <c r="J632" i="58"/>
  <c r="J633" i="58"/>
  <c r="J634" i="58"/>
  <c r="J635" i="58"/>
  <c r="J636" i="58"/>
  <c r="J637" i="58"/>
  <c r="J638" i="58"/>
  <c r="J639" i="58"/>
  <c r="J640" i="58"/>
  <c r="J641" i="58"/>
  <c r="J642" i="58"/>
  <c r="J643" i="58"/>
  <c r="J644" i="58"/>
  <c r="J645" i="58"/>
  <c r="J646" i="58"/>
  <c r="J647" i="58"/>
  <c r="J648" i="58"/>
  <c r="J649" i="58"/>
  <c r="J650" i="58"/>
  <c r="J651" i="58"/>
  <c r="J652" i="58"/>
  <c r="J653" i="58"/>
  <c r="J654" i="58"/>
  <c r="J655" i="58"/>
  <c r="J656" i="58"/>
  <c r="J657" i="58"/>
  <c r="J658" i="58"/>
  <c r="J659" i="58"/>
  <c r="J660" i="58"/>
  <c r="J661" i="58"/>
  <c r="J662" i="58"/>
  <c r="J663" i="58"/>
  <c r="J664" i="58"/>
  <c r="J665" i="58"/>
  <c r="J666" i="58"/>
  <c r="J667" i="58"/>
  <c r="J668" i="58"/>
  <c r="J669" i="58"/>
  <c r="J670" i="58"/>
  <c r="J671" i="58"/>
  <c r="J672" i="58"/>
  <c r="J673" i="58"/>
  <c r="J674" i="58"/>
  <c r="J675" i="58"/>
  <c r="J676" i="58"/>
  <c r="J677" i="58"/>
  <c r="J678" i="58"/>
  <c r="J679" i="58"/>
  <c r="J680" i="58"/>
  <c r="J681" i="58"/>
  <c r="J682" i="58"/>
  <c r="J683" i="58"/>
  <c r="J684" i="58"/>
  <c r="J685" i="58"/>
  <c r="J686" i="58"/>
  <c r="J687" i="58"/>
  <c r="J688" i="58"/>
  <c r="J689" i="58"/>
  <c r="J690" i="58"/>
  <c r="J691" i="58"/>
  <c r="J692" i="58"/>
  <c r="J693" i="58"/>
  <c r="J694" i="58"/>
  <c r="J695" i="58"/>
  <c r="J696" i="58"/>
  <c r="J697" i="58"/>
  <c r="J698" i="58"/>
  <c r="J699" i="58"/>
  <c r="J700" i="58"/>
  <c r="J701" i="58"/>
  <c r="J702" i="58"/>
  <c r="J703" i="58"/>
  <c r="J704" i="58"/>
  <c r="J705" i="58"/>
  <c r="J706" i="58"/>
  <c r="J707" i="58"/>
  <c r="J708" i="58"/>
  <c r="J709" i="58"/>
  <c r="J710" i="58"/>
  <c r="J711" i="58"/>
  <c r="J712" i="58"/>
  <c r="J713" i="58"/>
  <c r="J714" i="58"/>
  <c r="J715" i="58"/>
  <c r="J716" i="58"/>
  <c r="J717" i="58"/>
  <c r="J718" i="58"/>
  <c r="J719" i="58"/>
  <c r="J720" i="58"/>
  <c r="J721" i="58"/>
  <c r="J722" i="58"/>
  <c r="J723" i="58"/>
  <c r="J724" i="58"/>
  <c r="J725" i="58"/>
  <c r="J726" i="58"/>
  <c r="J727" i="58"/>
  <c r="J728" i="58"/>
  <c r="J729" i="58"/>
  <c r="J730" i="58"/>
  <c r="J731" i="58"/>
  <c r="J732" i="58"/>
  <c r="J733" i="58"/>
  <c r="J734" i="58"/>
  <c r="J735" i="58"/>
  <c r="J736" i="58"/>
  <c r="J737" i="58"/>
  <c r="J738" i="58"/>
  <c r="J739" i="58"/>
  <c r="J740" i="58"/>
  <c r="J741" i="58"/>
  <c r="J742" i="58"/>
  <c r="J743" i="58"/>
  <c r="J744" i="58"/>
  <c r="J745" i="58"/>
  <c r="J746" i="58"/>
  <c r="J747" i="58"/>
  <c r="J748" i="58"/>
  <c r="J749" i="58"/>
  <c r="J750" i="58"/>
  <c r="J751" i="58"/>
  <c r="J752" i="58"/>
  <c r="J753" i="58"/>
  <c r="J754" i="58"/>
  <c r="J755" i="58"/>
  <c r="J756" i="58"/>
  <c r="J757" i="58"/>
  <c r="J758" i="58"/>
  <c r="J759" i="58"/>
  <c r="J760" i="58"/>
  <c r="J761" i="58"/>
  <c r="J762" i="58"/>
  <c r="J763" i="58"/>
  <c r="J764" i="58"/>
  <c r="J765" i="58"/>
  <c r="J766" i="58"/>
  <c r="J767" i="58"/>
  <c r="J768" i="58"/>
  <c r="J769" i="58"/>
  <c r="J770" i="58"/>
  <c r="J771" i="58"/>
  <c r="J772" i="58"/>
  <c r="J773" i="58"/>
  <c r="J774" i="58"/>
  <c r="J775" i="58"/>
  <c r="J776" i="58"/>
  <c r="J777" i="58"/>
  <c r="J778" i="58"/>
  <c r="J779" i="58"/>
  <c r="J780" i="58"/>
  <c r="J781" i="58"/>
  <c r="J782" i="58"/>
  <c r="J783" i="58"/>
  <c r="J784" i="58"/>
  <c r="J785" i="58"/>
  <c r="J786" i="58"/>
  <c r="J787" i="58"/>
  <c r="J788" i="58"/>
  <c r="J789" i="58"/>
  <c r="J790" i="58"/>
  <c r="J791" i="58"/>
  <c r="J792" i="58"/>
  <c r="J793" i="58"/>
  <c r="J794" i="58"/>
  <c r="J795" i="58"/>
  <c r="J796" i="58"/>
  <c r="J797" i="58"/>
  <c r="J798" i="58"/>
  <c r="J799" i="58"/>
  <c r="J800" i="58"/>
  <c r="J801" i="58"/>
  <c r="J802" i="58"/>
  <c r="J803" i="58"/>
  <c r="J804" i="58"/>
  <c r="J805" i="58"/>
  <c r="J806" i="58"/>
  <c r="J807" i="58"/>
  <c r="J808" i="58"/>
  <c r="J809" i="58"/>
  <c r="J810" i="58"/>
  <c r="J811" i="58"/>
  <c r="J812" i="58"/>
  <c r="J813" i="58"/>
  <c r="J814" i="58"/>
  <c r="J815" i="58"/>
  <c r="J816" i="58"/>
  <c r="J817" i="58"/>
  <c r="J818" i="58"/>
  <c r="J819" i="58"/>
  <c r="J820" i="58"/>
  <c r="J821" i="58"/>
  <c r="J822" i="58"/>
  <c r="J823" i="58"/>
  <c r="J824" i="58"/>
  <c r="J825" i="58"/>
  <c r="J826" i="58"/>
  <c r="J827" i="58"/>
  <c r="J828" i="58"/>
  <c r="J829" i="58"/>
  <c r="J830" i="58"/>
  <c r="J831" i="58"/>
  <c r="J832" i="58"/>
  <c r="J833" i="58"/>
  <c r="J834" i="58"/>
  <c r="J835" i="58"/>
  <c r="J836" i="58"/>
  <c r="J837" i="58"/>
  <c r="J838" i="58"/>
  <c r="J839" i="58"/>
  <c r="J840" i="58"/>
  <c r="J841" i="58"/>
  <c r="J842" i="58"/>
  <c r="J843" i="58"/>
  <c r="J844" i="58"/>
  <c r="J845" i="58"/>
  <c r="J846" i="58"/>
  <c r="J847" i="58"/>
  <c r="J848" i="58"/>
  <c r="J849" i="58"/>
  <c r="J850" i="58"/>
  <c r="J851" i="58"/>
  <c r="J852" i="58"/>
  <c r="J853" i="58"/>
  <c r="J854" i="58"/>
  <c r="J855" i="58"/>
  <c r="J856" i="58"/>
  <c r="J857" i="58"/>
  <c r="J858" i="58"/>
  <c r="J859" i="58"/>
  <c r="J860" i="58"/>
  <c r="J861" i="58"/>
  <c r="J862" i="58"/>
  <c r="J863" i="58"/>
  <c r="J864" i="58"/>
  <c r="J865" i="58"/>
  <c r="J866" i="58"/>
  <c r="J867" i="58"/>
  <c r="J868" i="58"/>
  <c r="J869" i="58"/>
  <c r="J870" i="58"/>
  <c r="J871" i="58"/>
  <c r="J872" i="58"/>
  <c r="J873" i="58"/>
  <c r="J874" i="58"/>
  <c r="J875" i="58"/>
  <c r="J876" i="58"/>
  <c r="J877" i="58"/>
  <c r="J878" i="58"/>
  <c r="J879" i="58"/>
  <c r="J880" i="58"/>
  <c r="J881" i="58"/>
  <c r="J882" i="58"/>
  <c r="J883" i="58"/>
  <c r="J884" i="58"/>
  <c r="J885" i="58"/>
  <c r="J886" i="58"/>
  <c r="J887" i="58"/>
  <c r="J888" i="58"/>
  <c r="J889" i="58"/>
  <c r="J890" i="58"/>
  <c r="J891" i="58"/>
  <c r="J892" i="58"/>
  <c r="J893" i="58"/>
  <c r="J894" i="58"/>
  <c r="J895" i="58"/>
  <c r="J896" i="58"/>
  <c r="J897" i="58"/>
  <c r="J898" i="58"/>
  <c r="J899" i="58"/>
  <c r="J900" i="58"/>
  <c r="J901" i="58"/>
  <c r="J902" i="58"/>
  <c r="J903" i="58"/>
  <c r="J904" i="58"/>
  <c r="J905" i="58"/>
  <c r="J906" i="58"/>
  <c r="J907" i="58"/>
  <c r="J908" i="58"/>
  <c r="J909" i="58"/>
  <c r="J910" i="58"/>
  <c r="J911" i="58"/>
  <c r="J912" i="58"/>
  <c r="J913" i="58"/>
  <c r="J914" i="58"/>
  <c r="J915" i="58"/>
  <c r="J916" i="58"/>
  <c r="J917" i="58"/>
  <c r="J918" i="58"/>
  <c r="J919" i="58"/>
  <c r="J920" i="58"/>
  <c r="J921" i="58"/>
  <c r="J922" i="58"/>
  <c r="J923" i="58"/>
  <c r="J924" i="58"/>
  <c r="J925" i="58"/>
  <c r="J926" i="58"/>
  <c r="J927" i="58"/>
  <c r="J928" i="58"/>
  <c r="J929" i="58"/>
  <c r="J930" i="58"/>
  <c r="J931" i="58"/>
  <c r="J932" i="58"/>
  <c r="J933" i="58"/>
  <c r="J934" i="58"/>
  <c r="J935" i="58"/>
  <c r="J936" i="58"/>
  <c r="J937" i="58"/>
  <c r="J938" i="58"/>
  <c r="J939" i="58"/>
  <c r="J940" i="58"/>
  <c r="J941" i="58"/>
  <c r="J942" i="58"/>
  <c r="J943" i="58"/>
  <c r="J944" i="58"/>
  <c r="J945" i="58"/>
  <c r="J946" i="58"/>
  <c r="J947" i="58"/>
  <c r="J948" i="58"/>
  <c r="J949" i="58"/>
  <c r="J950" i="58"/>
  <c r="J951" i="58"/>
  <c r="J952" i="58"/>
  <c r="J953" i="58"/>
  <c r="J954" i="58"/>
  <c r="J955" i="58"/>
  <c r="J956" i="58"/>
  <c r="J957" i="58"/>
  <c r="J958" i="58"/>
  <c r="J959" i="58"/>
  <c r="J960" i="58"/>
  <c r="J961" i="58"/>
  <c r="J962" i="58"/>
  <c r="J963" i="58"/>
  <c r="J964" i="58"/>
  <c r="J965" i="58"/>
  <c r="J966" i="58"/>
  <c r="J967" i="58"/>
  <c r="J968" i="58"/>
  <c r="J969" i="58"/>
  <c r="J970" i="58"/>
  <c r="J971" i="58"/>
  <c r="J972" i="58"/>
  <c r="J973" i="58"/>
  <c r="J974" i="58"/>
  <c r="J975" i="58"/>
  <c r="J976" i="58"/>
  <c r="J977" i="58"/>
  <c r="J978" i="58"/>
  <c r="J979" i="58"/>
  <c r="J980" i="58"/>
  <c r="J981" i="58"/>
  <c r="J982" i="58"/>
  <c r="J983" i="58"/>
  <c r="J984" i="58"/>
  <c r="J985" i="58"/>
  <c r="J986" i="58"/>
  <c r="J987" i="58"/>
  <c r="J988" i="58"/>
  <c r="J989" i="58"/>
  <c r="J990" i="58"/>
  <c r="J991" i="58"/>
  <c r="J992" i="58"/>
  <c r="J993" i="58"/>
  <c r="J994" i="58"/>
  <c r="J995" i="58"/>
  <c r="J996" i="58"/>
  <c r="J997" i="58"/>
  <c r="J998" i="58"/>
  <c r="J999" i="58"/>
  <c r="J1000" i="58"/>
  <c r="J1001" i="58"/>
  <c r="J1002" i="58"/>
  <c r="J1003" i="58"/>
  <c r="J1004" i="58"/>
  <c r="J1005" i="58"/>
  <c r="J1006" i="58"/>
  <c r="J1007" i="58"/>
  <c r="J1008" i="58"/>
  <c r="J1009" i="58"/>
  <c r="J1010" i="58"/>
  <c r="J1011" i="58"/>
  <c r="J1012" i="58"/>
  <c r="J1013" i="58"/>
  <c r="J1014" i="58"/>
  <c r="J1015" i="58"/>
  <c r="J1016" i="58"/>
  <c r="J1017" i="58"/>
  <c r="J1018" i="58"/>
  <c r="J1019" i="58"/>
  <c r="J1020" i="58"/>
  <c r="J1021" i="58"/>
  <c r="J1022" i="58"/>
  <c r="J1023" i="58"/>
  <c r="J1024" i="58"/>
  <c r="J1025" i="58"/>
  <c r="J1026" i="58"/>
  <c r="J1027" i="58"/>
  <c r="J1028" i="58"/>
  <c r="J1029" i="58"/>
  <c r="J1030" i="58"/>
  <c r="J1031" i="58"/>
  <c r="J1032" i="58"/>
  <c r="J1033" i="58"/>
  <c r="J1034" i="58"/>
  <c r="J1035" i="58"/>
  <c r="J1036" i="58"/>
  <c r="K593" i="58"/>
  <c r="K594" i="58"/>
  <c r="K595" i="58"/>
  <c r="K596" i="58"/>
  <c r="K597" i="58"/>
  <c r="K598" i="58"/>
  <c r="K599" i="58"/>
  <c r="K600" i="58"/>
  <c r="K601" i="58"/>
  <c r="K602" i="58"/>
  <c r="K603" i="58"/>
  <c r="K604" i="58"/>
  <c r="K605" i="58"/>
  <c r="K606" i="58"/>
  <c r="K607" i="58"/>
  <c r="K608" i="58"/>
  <c r="K609" i="58"/>
  <c r="K610" i="58"/>
  <c r="K611" i="58"/>
  <c r="K612" i="58"/>
  <c r="K613" i="58"/>
  <c r="K614" i="58"/>
  <c r="K615" i="58"/>
  <c r="K616" i="58"/>
  <c r="K617" i="58"/>
  <c r="K618" i="58"/>
  <c r="K619" i="58"/>
  <c r="K620" i="58"/>
  <c r="K621" i="58"/>
  <c r="K622" i="58"/>
  <c r="K623" i="58"/>
  <c r="K624" i="58"/>
  <c r="K625" i="58"/>
  <c r="K626" i="58"/>
  <c r="K627" i="58"/>
  <c r="K628" i="58"/>
  <c r="K629" i="58"/>
  <c r="K630" i="58"/>
  <c r="K631" i="58"/>
  <c r="K632" i="58"/>
  <c r="K633" i="58"/>
  <c r="K634" i="58"/>
  <c r="K635" i="58"/>
  <c r="K636" i="58"/>
  <c r="K637" i="58"/>
  <c r="K638" i="58"/>
  <c r="K639" i="58"/>
  <c r="K640" i="58"/>
  <c r="K641" i="58"/>
  <c r="K642" i="58"/>
  <c r="K643" i="58"/>
  <c r="K644" i="58"/>
  <c r="K645" i="58"/>
  <c r="K646" i="58"/>
  <c r="K647" i="58"/>
  <c r="K648" i="58"/>
  <c r="K649" i="58"/>
  <c r="K650" i="58"/>
  <c r="K651" i="58"/>
  <c r="K652" i="58"/>
  <c r="K653" i="58"/>
  <c r="K654" i="58"/>
  <c r="K655" i="58"/>
  <c r="K656" i="58"/>
  <c r="K657" i="58"/>
  <c r="K658" i="58"/>
  <c r="K659" i="58"/>
  <c r="K660" i="58"/>
  <c r="K661" i="58"/>
  <c r="K662" i="58"/>
  <c r="K663" i="58"/>
  <c r="K664" i="58"/>
  <c r="K665" i="58"/>
  <c r="K666" i="58"/>
  <c r="K667" i="58"/>
  <c r="K668" i="58"/>
  <c r="K669" i="58"/>
  <c r="K670" i="58"/>
  <c r="K671" i="58"/>
  <c r="K672" i="58"/>
  <c r="K673" i="58"/>
  <c r="K674" i="58"/>
  <c r="K675" i="58"/>
  <c r="K676" i="58"/>
  <c r="K677" i="58"/>
  <c r="K678" i="58"/>
  <c r="K679" i="58"/>
  <c r="K680" i="58"/>
  <c r="K681" i="58"/>
  <c r="K682" i="58"/>
  <c r="K683" i="58"/>
  <c r="K684" i="58"/>
  <c r="K685" i="58"/>
  <c r="K686" i="58"/>
  <c r="K687" i="58"/>
  <c r="K688" i="58"/>
  <c r="K689" i="58"/>
  <c r="K690" i="58"/>
  <c r="K691" i="58"/>
  <c r="K692" i="58"/>
  <c r="K693" i="58"/>
  <c r="K694" i="58"/>
  <c r="K695" i="58"/>
  <c r="K696" i="58"/>
  <c r="K697" i="58"/>
  <c r="K698" i="58"/>
  <c r="K699" i="58"/>
  <c r="K700" i="58"/>
  <c r="K701" i="58"/>
  <c r="K702" i="58"/>
  <c r="K703" i="58"/>
  <c r="K704" i="58"/>
  <c r="K705" i="58"/>
  <c r="K706" i="58"/>
  <c r="K707" i="58"/>
  <c r="K708" i="58"/>
  <c r="K709" i="58"/>
  <c r="K710" i="58"/>
  <c r="K711" i="58"/>
  <c r="K712" i="58"/>
  <c r="K713" i="58"/>
  <c r="K714" i="58"/>
  <c r="K715" i="58"/>
  <c r="K716" i="58"/>
  <c r="K717" i="58"/>
  <c r="K718" i="58"/>
  <c r="K719" i="58"/>
  <c r="K720" i="58"/>
  <c r="K721" i="58"/>
  <c r="K722" i="58"/>
  <c r="K723" i="58"/>
  <c r="K724" i="58"/>
  <c r="K725" i="58"/>
  <c r="K726" i="58"/>
  <c r="K727" i="58"/>
  <c r="K728" i="58"/>
  <c r="K729" i="58"/>
  <c r="K730" i="58"/>
  <c r="K731" i="58"/>
  <c r="K732" i="58"/>
  <c r="K733" i="58"/>
  <c r="K734" i="58"/>
  <c r="K735" i="58"/>
  <c r="K736" i="58"/>
  <c r="K737" i="58"/>
  <c r="K738" i="58"/>
  <c r="K739" i="58"/>
  <c r="K740" i="58"/>
  <c r="K741" i="58"/>
  <c r="K742" i="58"/>
  <c r="K743" i="58"/>
  <c r="K744" i="58"/>
  <c r="K745" i="58"/>
  <c r="K746" i="58"/>
  <c r="K747" i="58"/>
  <c r="K748" i="58"/>
  <c r="K749" i="58"/>
  <c r="K750" i="58"/>
  <c r="K751" i="58"/>
  <c r="K752" i="58"/>
  <c r="K753" i="58"/>
  <c r="K754" i="58"/>
  <c r="K755" i="58"/>
  <c r="K756" i="58"/>
  <c r="K757" i="58"/>
  <c r="K758" i="58"/>
  <c r="K759" i="58"/>
  <c r="K760" i="58"/>
  <c r="K761" i="58"/>
  <c r="K762" i="58"/>
  <c r="K763" i="58"/>
  <c r="K764" i="58"/>
  <c r="K765" i="58"/>
  <c r="K766" i="58"/>
  <c r="K767" i="58"/>
  <c r="K768" i="58"/>
  <c r="K769" i="58"/>
  <c r="K770" i="58"/>
  <c r="K771" i="58"/>
  <c r="K772" i="58"/>
  <c r="K773" i="58"/>
  <c r="K774" i="58"/>
  <c r="K775" i="58"/>
  <c r="K776" i="58"/>
  <c r="K777" i="58"/>
  <c r="K778" i="58"/>
  <c r="K779" i="58"/>
  <c r="K780" i="58"/>
  <c r="K781" i="58"/>
  <c r="K782" i="58"/>
  <c r="K783" i="58"/>
  <c r="K784" i="58"/>
  <c r="K785" i="58"/>
  <c r="K786" i="58"/>
  <c r="K787" i="58"/>
  <c r="K788" i="58"/>
  <c r="K789" i="58"/>
  <c r="K790" i="58"/>
  <c r="K791" i="58"/>
  <c r="K792" i="58"/>
  <c r="K793" i="58"/>
  <c r="K794" i="58"/>
  <c r="K795" i="58"/>
  <c r="K796" i="58"/>
  <c r="K797" i="58"/>
  <c r="K798" i="58"/>
  <c r="K799" i="58"/>
  <c r="K800" i="58"/>
  <c r="K801" i="58"/>
  <c r="K802" i="58"/>
  <c r="K803" i="58"/>
  <c r="K804" i="58"/>
  <c r="K805" i="58"/>
  <c r="K806" i="58"/>
  <c r="K807" i="58"/>
  <c r="K808" i="58"/>
  <c r="K809" i="58"/>
  <c r="K810" i="58"/>
  <c r="K811" i="58"/>
  <c r="K812" i="58"/>
  <c r="K813" i="58"/>
  <c r="K814" i="58"/>
  <c r="K815" i="58"/>
  <c r="K816" i="58"/>
  <c r="K817" i="58"/>
  <c r="K818" i="58"/>
  <c r="K819" i="58"/>
  <c r="K820" i="58"/>
  <c r="K821" i="58"/>
  <c r="K822" i="58"/>
  <c r="K823" i="58"/>
  <c r="K824" i="58"/>
  <c r="K825" i="58"/>
  <c r="K826" i="58"/>
  <c r="K827" i="58"/>
  <c r="K828" i="58"/>
  <c r="K829" i="58"/>
  <c r="K830" i="58"/>
  <c r="K831" i="58"/>
  <c r="K832" i="58"/>
  <c r="K833" i="58"/>
  <c r="K834" i="58"/>
  <c r="K835" i="58"/>
  <c r="K836" i="58"/>
  <c r="K837" i="58"/>
  <c r="K838" i="58"/>
  <c r="K839" i="58"/>
  <c r="K840" i="58"/>
  <c r="K841" i="58"/>
  <c r="K842" i="58"/>
  <c r="K843" i="58"/>
  <c r="K844" i="58"/>
  <c r="K845" i="58"/>
  <c r="K846" i="58"/>
  <c r="K847" i="58"/>
  <c r="K848" i="58"/>
  <c r="K849" i="58"/>
  <c r="K850" i="58"/>
  <c r="K851" i="58"/>
  <c r="K852" i="58"/>
  <c r="K853" i="58"/>
  <c r="K854" i="58"/>
  <c r="K855" i="58"/>
  <c r="K856" i="58"/>
  <c r="K857" i="58"/>
  <c r="K858" i="58"/>
  <c r="K859" i="58"/>
  <c r="K860" i="58"/>
  <c r="K861" i="58"/>
  <c r="K862" i="58"/>
  <c r="K863" i="58"/>
  <c r="K864" i="58"/>
  <c r="K865" i="58"/>
  <c r="K866" i="58"/>
  <c r="K867" i="58"/>
  <c r="K868" i="58"/>
  <c r="K869" i="58"/>
  <c r="K870" i="58"/>
  <c r="K871" i="58"/>
  <c r="K872" i="58"/>
  <c r="K873" i="58"/>
  <c r="K874" i="58"/>
  <c r="K875" i="58"/>
  <c r="K876" i="58"/>
  <c r="K877" i="58"/>
  <c r="K878" i="58"/>
  <c r="K879" i="58"/>
  <c r="K880" i="58"/>
  <c r="K881" i="58"/>
  <c r="K882" i="58"/>
  <c r="K883" i="58"/>
  <c r="K884" i="58"/>
  <c r="K885" i="58"/>
  <c r="K886" i="58"/>
  <c r="K887" i="58"/>
  <c r="K888" i="58"/>
  <c r="K889" i="58"/>
  <c r="K890" i="58"/>
  <c r="K891" i="58"/>
  <c r="K892" i="58"/>
  <c r="K893" i="58"/>
  <c r="K894" i="58"/>
  <c r="K895" i="58"/>
  <c r="K896" i="58"/>
  <c r="K897" i="58"/>
  <c r="K898" i="58"/>
  <c r="K899" i="58"/>
  <c r="K900" i="58"/>
  <c r="K901" i="58"/>
  <c r="K902" i="58"/>
  <c r="K903" i="58"/>
  <c r="K904" i="58"/>
  <c r="K905" i="58"/>
  <c r="K906" i="58"/>
  <c r="K907" i="58"/>
  <c r="K908" i="58"/>
  <c r="K909" i="58"/>
  <c r="K910" i="58"/>
  <c r="K911" i="58"/>
  <c r="K912" i="58"/>
  <c r="K913" i="58"/>
  <c r="K914" i="58"/>
  <c r="K915" i="58"/>
  <c r="K916" i="58"/>
  <c r="K917" i="58"/>
  <c r="K918" i="58"/>
  <c r="K919" i="58"/>
  <c r="K920" i="58"/>
  <c r="K921" i="58"/>
  <c r="K922" i="58"/>
  <c r="K923" i="58"/>
  <c r="K924" i="58"/>
  <c r="K925" i="58"/>
  <c r="K926" i="58"/>
  <c r="K927" i="58"/>
  <c r="K928" i="58"/>
  <c r="K929" i="58"/>
  <c r="K930" i="58"/>
  <c r="K931" i="58"/>
  <c r="K932" i="58"/>
  <c r="K933" i="58"/>
  <c r="K934" i="58"/>
  <c r="K935" i="58"/>
  <c r="K936" i="58"/>
  <c r="K937" i="58"/>
  <c r="K938" i="58"/>
  <c r="K939" i="58"/>
  <c r="K940" i="58"/>
  <c r="K941" i="58"/>
  <c r="K942" i="58"/>
  <c r="K943" i="58"/>
  <c r="K944" i="58"/>
  <c r="K945" i="58"/>
  <c r="K946" i="58"/>
  <c r="K947" i="58"/>
  <c r="K948" i="58"/>
  <c r="K949" i="58"/>
  <c r="K950" i="58"/>
  <c r="K951" i="58"/>
  <c r="K952" i="58"/>
  <c r="K953" i="58"/>
  <c r="K954" i="58"/>
  <c r="K955" i="58"/>
  <c r="K956" i="58"/>
  <c r="K957" i="58"/>
  <c r="K958" i="58"/>
  <c r="K959" i="58"/>
  <c r="K960" i="58"/>
  <c r="K961" i="58"/>
  <c r="K962" i="58"/>
  <c r="K963" i="58"/>
  <c r="K964" i="58"/>
  <c r="K965" i="58"/>
  <c r="K966" i="58"/>
  <c r="K967" i="58"/>
  <c r="K968" i="58"/>
  <c r="K969" i="58"/>
  <c r="K970" i="58"/>
  <c r="K971" i="58"/>
  <c r="K972" i="58"/>
  <c r="K973" i="58"/>
  <c r="K974" i="58"/>
  <c r="K975" i="58"/>
  <c r="K976" i="58"/>
  <c r="K977" i="58"/>
  <c r="K978" i="58"/>
  <c r="K979" i="58"/>
  <c r="K980" i="58"/>
  <c r="K981" i="58"/>
  <c r="K982" i="58"/>
  <c r="K983" i="58"/>
  <c r="K984" i="58"/>
  <c r="K985" i="58"/>
  <c r="K986" i="58"/>
  <c r="K987" i="58"/>
  <c r="K988" i="58"/>
  <c r="K989" i="58"/>
  <c r="K990" i="58"/>
  <c r="K991" i="58"/>
  <c r="K992" i="58"/>
  <c r="K993" i="58"/>
  <c r="K994" i="58"/>
  <c r="K995" i="58"/>
  <c r="K996" i="58"/>
  <c r="K997" i="58"/>
  <c r="K998" i="58"/>
  <c r="K999" i="58"/>
  <c r="K1000" i="58"/>
  <c r="K1001" i="58"/>
  <c r="K1002" i="58"/>
  <c r="K1003" i="58"/>
  <c r="K1004" i="58"/>
  <c r="K1005" i="58"/>
  <c r="K1006" i="58"/>
  <c r="K1007" i="58"/>
  <c r="K1008" i="58"/>
  <c r="K1009" i="58"/>
  <c r="K1010" i="58"/>
  <c r="K1011" i="58"/>
  <c r="K1012" i="58"/>
  <c r="K1013" i="58"/>
  <c r="K1014" i="58"/>
  <c r="K1015" i="58"/>
  <c r="K1016" i="58"/>
  <c r="K1017" i="58"/>
  <c r="K1018" i="58"/>
  <c r="K1019" i="58"/>
  <c r="K1020" i="58"/>
  <c r="K1021" i="58"/>
  <c r="K1022" i="58"/>
  <c r="K1023" i="58"/>
  <c r="K1024" i="58"/>
  <c r="K1025" i="58"/>
  <c r="K1026" i="58"/>
  <c r="K1027" i="58"/>
  <c r="K1028" i="58"/>
  <c r="K1029" i="58"/>
  <c r="K1030" i="58"/>
  <c r="K1031" i="58"/>
  <c r="K1032" i="58"/>
  <c r="K1033" i="58"/>
  <c r="K1034" i="58"/>
  <c r="K1035" i="58"/>
  <c r="K1036" i="58"/>
  <c r="L593" i="58"/>
  <c r="L594" i="58"/>
  <c r="L595" i="58"/>
  <c r="L596" i="58"/>
  <c r="L597" i="58"/>
  <c r="L598" i="58"/>
  <c r="L599" i="58"/>
  <c r="L600" i="58"/>
  <c r="L601" i="58"/>
  <c r="L602" i="58"/>
  <c r="L603" i="58"/>
  <c r="L604" i="58"/>
  <c r="L605" i="58"/>
  <c r="L606" i="58"/>
  <c r="L607" i="58"/>
  <c r="L608" i="58"/>
  <c r="L609" i="58"/>
  <c r="L610" i="58"/>
  <c r="L611" i="58"/>
  <c r="L612" i="58"/>
  <c r="L613" i="58"/>
  <c r="L614" i="58"/>
  <c r="L615" i="58"/>
  <c r="L616" i="58"/>
  <c r="L617" i="58"/>
  <c r="L618" i="58"/>
  <c r="L619" i="58"/>
  <c r="L620" i="58"/>
  <c r="L621" i="58"/>
  <c r="L622" i="58"/>
  <c r="L623" i="58"/>
  <c r="L624" i="58"/>
  <c r="L625" i="58"/>
  <c r="L626" i="58"/>
  <c r="L627" i="58"/>
  <c r="L628" i="58"/>
  <c r="L629" i="58"/>
  <c r="L630" i="58"/>
  <c r="L631" i="58"/>
  <c r="L632" i="58"/>
  <c r="L633" i="58"/>
  <c r="L634" i="58"/>
  <c r="L635" i="58"/>
  <c r="L636" i="58"/>
  <c r="L637" i="58"/>
  <c r="L638" i="58"/>
  <c r="L639" i="58"/>
  <c r="L640" i="58"/>
  <c r="L641" i="58"/>
  <c r="L642" i="58"/>
  <c r="L643" i="58"/>
  <c r="L644" i="58"/>
  <c r="L645" i="58"/>
  <c r="L646" i="58"/>
  <c r="L647" i="58"/>
  <c r="L648" i="58"/>
  <c r="L649" i="58"/>
  <c r="L650" i="58"/>
  <c r="L651" i="58"/>
  <c r="L652" i="58"/>
  <c r="L653" i="58"/>
  <c r="L654" i="58"/>
  <c r="L655" i="58"/>
  <c r="L656" i="58"/>
  <c r="L657" i="58"/>
  <c r="L658" i="58"/>
  <c r="L659" i="58"/>
  <c r="L660" i="58"/>
  <c r="L661" i="58"/>
  <c r="L662" i="58"/>
  <c r="L663" i="58"/>
  <c r="L664" i="58"/>
  <c r="L665" i="58"/>
  <c r="L666" i="58"/>
  <c r="L667" i="58"/>
  <c r="L668" i="58"/>
  <c r="L669" i="58"/>
  <c r="L670" i="58"/>
  <c r="L671" i="58"/>
  <c r="L672" i="58"/>
  <c r="L673" i="58"/>
  <c r="L674" i="58"/>
  <c r="L675" i="58"/>
  <c r="L676" i="58"/>
  <c r="L677" i="58"/>
  <c r="L678" i="58"/>
  <c r="L679" i="58"/>
  <c r="L680" i="58"/>
  <c r="L681" i="58"/>
  <c r="L682" i="58"/>
  <c r="L683" i="58"/>
  <c r="L684" i="58"/>
  <c r="L685" i="58"/>
  <c r="L686" i="58"/>
  <c r="L687" i="58"/>
  <c r="L688" i="58"/>
  <c r="L689" i="58"/>
  <c r="L690" i="58"/>
  <c r="L691" i="58"/>
  <c r="L692" i="58"/>
  <c r="L693" i="58"/>
  <c r="L694" i="58"/>
  <c r="L695" i="58"/>
  <c r="L696" i="58"/>
  <c r="L697" i="58"/>
  <c r="L698" i="58"/>
  <c r="L699" i="58"/>
  <c r="L700" i="58"/>
  <c r="L701" i="58"/>
  <c r="L702" i="58"/>
  <c r="L703" i="58"/>
  <c r="L704" i="58"/>
  <c r="L705" i="58"/>
  <c r="L706" i="58"/>
  <c r="L707" i="58"/>
  <c r="L708" i="58"/>
  <c r="L709" i="58"/>
  <c r="L710" i="58"/>
  <c r="L711" i="58"/>
  <c r="L712" i="58"/>
  <c r="L713" i="58"/>
  <c r="L714" i="58"/>
  <c r="L715" i="58"/>
  <c r="L716" i="58"/>
  <c r="L717" i="58"/>
  <c r="L718" i="58"/>
  <c r="L719" i="58"/>
  <c r="L720" i="58"/>
  <c r="L721" i="58"/>
  <c r="L722" i="58"/>
  <c r="L723" i="58"/>
  <c r="L724" i="58"/>
  <c r="L725" i="58"/>
  <c r="L726" i="58"/>
  <c r="L727" i="58"/>
  <c r="L728" i="58"/>
  <c r="L729" i="58"/>
  <c r="L730" i="58"/>
  <c r="L731" i="58"/>
  <c r="L732" i="58"/>
  <c r="L733" i="58"/>
  <c r="L734" i="58"/>
  <c r="L735" i="58"/>
  <c r="L736" i="58"/>
  <c r="L737" i="58"/>
  <c r="L738" i="58"/>
  <c r="L739" i="58"/>
  <c r="L740" i="58"/>
  <c r="L741" i="58"/>
  <c r="L742" i="58"/>
  <c r="L743" i="58"/>
  <c r="L744" i="58"/>
  <c r="L745" i="58"/>
  <c r="L746" i="58"/>
  <c r="L747" i="58"/>
  <c r="L748" i="58"/>
  <c r="L749" i="58"/>
  <c r="L750" i="58"/>
  <c r="L751" i="58"/>
  <c r="L752" i="58"/>
  <c r="L753" i="58"/>
  <c r="L754" i="58"/>
  <c r="L755" i="58"/>
  <c r="L756" i="58"/>
  <c r="L757" i="58"/>
  <c r="L758" i="58"/>
  <c r="L759" i="58"/>
  <c r="L760" i="58"/>
  <c r="L761" i="58"/>
  <c r="L762" i="58"/>
  <c r="L763" i="58"/>
  <c r="L764" i="58"/>
  <c r="L765" i="58"/>
  <c r="L766" i="58"/>
  <c r="L767" i="58"/>
  <c r="L768" i="58"/>
  <c r="L769" i="58"/>
  <c r="L770" i="58"/>
  <c r="L771" i="58"/>
  <c r="L772" i="58"/>
  <c r="L773" i="58"/>
  <c r="L774" i="58"/>
  <c r="L775" i="58"/>
  <c r="L776" i="58"/>
  <c r="L777" i="58"/>
  <c r="L778" i="58"/>
  <c r="L779" i="58"/>
  <c r="L780" i="58"/>
  <c r="L781" i="58"/>
  <c r="L782" i="58"/>
  <c r="L783" i="58"/>
  <c r="L784" i="58"/>
  <c r="L785" i="58"/>
  <c r="L786" i="58"/>
  <c r="L787" i="58"/>
  <c r="L788" i="58"/>
  <c r="L789" i="58"/>
  <c r="L790" i="58"/>
  <c r="L791" i="58"/>
  <c r="L792" i="58"/>
  <c r="L793" i="58"/>
  <c r="L794" i="58"/>
  <c r="L795" i="58"/>
  <c r="L796" i="58"/>
  <c r="L797" i="58"/>
  <c r="L798" i="58"/>
  <c r="L799" i="58"/>
  <c r="L800" i="58"/>
  <c r="L801" i="58"/>
  <c r="L802" i="58"/>
  <c r="L803" i="58"/>
  <c r="L804" i="58"/>
  <c r="L805" i="58"/>
  <c r="L806" i="58"/>
  <c r="L807" i="58"/>
  <c r="L808" i="58"/>
  <c r="L809" i="58"/>
  <c r="L810" i="58"/>
  <c r="L811" i="58"/>
  <c r="L812" i="58"/>
  <c r="L813" i="58"/>
  <c r="L814" i="58"/>
  <c r="L815" i="58"/>
  <c r="L816" i="58"/>
  <c r="L817" i="58"/>
  <c r="L818" i="58"/>
  <c r="L819" i="58"/>
  <c r="L820" i="58"/>
  <c r="L821" i="58"/>
  <c r="L822" i="58"/>
  <c r="L823" i="58"/>
  <c r="L824" i="58"/>
  <c r="L825" i="58"/>
  <c r="L826" i="58"/>
  <c r="L827" i="58"/>
  <c r="L828" i="58"/>
  <c r="L829" i="58"/>
  <c r="L830" i="58"/>
  <c r="L831" i="58"/>
  <c r="L832" i="58"/>
  <c r="L833" i="58"/>
  <c r="L834" i="58"/>
  <c r="L835" i="58"/>
  <c r="L836" i="58"/>
  <c r="L837" i="58"/>
  <c r="L838" i="58"/>
  <c r="L839" i="58"/>
  <c r="L840" i="58"/>
  <c r="L841" i="58"/>
  <c r="L842" i="58"/>
  <c r="L843" i="58"/>
  <c r="L844" i="58"/>
  <c r="L845" i="58"/>
  <c r="L846" i="58"/>
  <c r="L847" i="58"/>
  <c r="L848" i="58"/>
  <c r="L849" i="58"/>
  <c r="L850" i="58"/>
  <c r="L851" i="58"/>
  <c r="L852" i="58"/>
  <c r="L853" i="58"/>
  <c r="L854" i="58"/>
  <c r="L855" i="58"/>
  <c r="L856" i="58"/>
  <c r="L857" i="58"/>
  <c r="L858" i="58"/>
  <c r="L859" i="58"/>
  <c r="L860" i="58"/>
  <c r="L861" i="58"/>
  <c r="L862" i="58"/>
  <c r="L863" i="58"/>
  <c r="L864" i="58"/>
  <c r="L865" i="58"/>
  <c r="L866" i="58"/>
  <c r="L867" i="58"/>
  <c r="L868" i="58"/>
  <c r="L869" i="58"/>
  <c r="L870" i="58"/>
  <c r="L871" i="58"/>
  <c r="L872" i="58"/>
  <c r="L873" i="58"/>
  <c r="L874" i="58"/>
  <c r="L875" i="58"/>
  <c r="L876" i="58"/>
  <c r="L877" i="58"/>
  <c r="L878" i="58"/>
  <c r="L879" i="58"/>
  <c r="L880" i="58"/>
  <c r="L881" i="58"/>
  <c r="L882" i="58"/>
  <c r="L883" i="58"/>
  <c r="L884" i="58"/>
  <c r="L885" i="58"/>
  <c r="L886" i="58"/>
  <c r="L887" i="58"/>
  <c r="L888" i="58"/>
  <c r="L889" i="58"/>
  <c r="L890" i="58"/>
  <c r="L891" i="58"/>
  <c r="L892" i="58"/>
  <c r="L893" i="58"/>
  <c r="L894" i="58"/>
  <c r="L895" i="58"/>
  <c r="L896" i="58"/>
  <c r="L897" i="58"/>
  <c r="L898" i="58"/>
  <c r="L899" i="58"/>
  <c r="L900" i="58"/>
  <c r="L901" i="58"/>
  <c r="L902" i="58"/>
  <c r="L903" i="58"/>
  <c r="L904" i="58"/>
  <c r="L905" i="58"/>
  <c r="L906" i="58"/>
  <c r="L907" i="58"/>
  <c r="L908" i="58"/>
  <c r="L909" i="58"/>
  <c r="L910" i="58"/>
  <c r="L911" i="58"/>
  <c r="L912" i="58"/>
  <c r="L913" i="58"/>
  <c r="L914" i="58"/>
  <c r="L915" i="58"/>
  <c r="L916" i="58"/>
  <c r="L917" i="58"/>
  <c r="L918" i="58"/>
  <c r="L919" i="58"/>
  <c r="L920" i="58"/>
  <c r="L921" i="58"/>
  <c r="L922" i="58"/>
  <c r="L923" i="58"/>
  <c r="L924" i="58"/>
  <c r="L925" i="58"/>
  <c r="L926" i="58"/>
  <c r="L927" i="58"/>
  <c r="L928" i="58"/>
  <c r="L929" i="58"/>
  <c r="L930" i="58"/>
  <c r="L931" i="58"/>
  <c r="L932" i="58"/>
  <c r="L933" i="58"/>
  <c r="L934" i="58"/>
  <c r="L935" i="58"/>
  <c r="L936" i="58"/>
  <c r="L937" i="58"/>
  <c r="L938" i="58"/>
  <c r="L939" i="58"/>
  <c r="L940" i="58"/>
  <c r="L941" i="58"/>
  <c r="L942" i="58"/>
  <c r="L943" i="58"/>
  <c r="L944" i="58"/>
  <c r="L945" i="58"/>
  <c r="L946" i="58"/>
  <c r="L947" i="58"/>
  <c r="L948" i="58"/>
  <c r="L949" i="58"/>
  <c r="L950" i="58"/>
  <c r="L951" i="58"/>
  <c r="L952" i="58"/>
  <c r="L953" i="58"/>
  <c r="L954" i="58"/>
  <c r="L955" i="58"/>
  <c r="L956" i="58"/>
  <c r="L957" i="58"/>
  <c r="L958" i="58"/>
  <c r="L959" i="58"/>
  <c r="L960" i="58"/>
  <c r="L961" i="58"/>
  <c r="L962" i="58"/>
  <c r="L963" i="58"/>
  <c r="L964" i="58"/>
  <c r="L965" i="58"/>
  <c r="L966" i="58"/>
  <c r="L967" i="58"/>
  <c r="L968" i="58"/>
  <c r="L969" i="58"/>
  <c r="L970" i="58"/>
  <c r="L971" i="58"/>
  <c r="L972" i="58"/>
  <c r="L973" i="58"/>
  <c r="L974" i="58"/>
  <c r="L975" i="58"/>
  <c r="L976" i="58"/>
  <c r="L977" i="58"/>
  <c r="L978" i="58"/>
  <c r="L979" i="58"/>
  <c r="L980" i="58"/>
  <c r="L981" i="58"/>
  <c r="L982" i="58"/>
  <c r="L983" i="58"/>
  <c r="L984" i="58"/>
  <c r="L985" i="58"/>
  <c r="L986" i="58"/>
  <c r="L987" i="58"/>
  <c r="L988" i="58"/>
  <c r="L989" i="58"/>
  <c r="L990" i="58"/>
  <c r="L991" i="58"/>
  <c r="L992" i="58"/>
  <c r="L993" i="58"/>
  <c r="L994" i="58"/>
  <c r="L995" i="58"/>
  <c r="L996" i="58"/>
  <c r="L997" i="58"/>
  <c r="L998" i="58"/>
  <c r="L999" i="58"/>
  <c r="L1000" i="58"/>
  <c r="L1001" i="58"/>
  <c r="L1002" i="58"/>
  <c r="L1003" i="58"/>
  <c r="L1004" i="58"/>
  <c r="L1005" i="58"/>
  <c r="L1006" i="58"/>
  <c r="L1007" i="58"/>
  <c r="L1008" i="58"/>
  <c r="L1009" i="58"/>
  <c r="L1010" i="58"/>
  <c r="L1011" i="58"/>
  <c r="L1012" i="58"/>
  <c r="L1013" i="58"/>
  <c r="L1014" i="58"/>
  <c r="L1015" i="58"/>
  <c r="L1016" i="58"/>
  <c r="L1017" i="58"/>
  <c r="L1018" i="58"/>
  <c r="L1019" i="58"/>
  <c r="L1020" i="58"/>
  <c r="L1021" i="58"/>
  <c r="L1022" i="58"/>
  <c r="L1023" i="58"/>
  <c r="L1024" i="58"/>
  <c r="L1025" i="58"/>
  <c r="L1026" i="58"/>
  <c r="L1027" i="58"/>
  <c r="L1028" i="58"/>
  <c r="L1029" i="58"/>
  <c r="L1030" i="58"/>
  <c r="L1031" i="58"/>
  <c r="L1032" i="58"/>
  <c r="L1033" i="58"/>
  <c r="L1034" i="58"/>
  <c r="L1035" i="58"/>
  <c r="L1036" i="58"/>
  <c r="M593" i="58"/>
  <c r="M594" i="58"/>
  <c r="M595" i="58"/>
  <c r="M596" i="58"/>
  <c r="M597" i="58"/>
  <c r="M598" i="58"/>
  <c r="M599" i="58"/>
  <c r="M600" i="58"/>
  <c r="M601" i="58"/>
  <c r="M602" i="58"/>
  <c r="M603" i="58"/>
  <c r="M604" i="58"/>
  <c r="M605" i="58"/>
  <c r="M606" i="58"/>
  <c r="M607" i="58"/>
  <c r="M608" i="58"/>
  <c r="M609" i="58"/>
  <c r="M610" i="58"/>
  <c r="M611" i="58"/>
  <c r="M612" i="58"/>
  <c r="M613" i="58"/>
  <c r="M614" i="58"/>
  <c r="M615" i="58"/>
  <c r="M616" i="58"/>
  <c r="M617" i="58"/>
  <c r="M618" i="58"/>
  <c r="M619" i="58"/>
  <c r="M620" i="58"/>
  <c r="M621" i="58"/>
  <c r="M622" i="58"/>
  <c r="M623" i="58"/>
  <c r="M624" i="58"/>
  <c r="M625" i="58"/>
  <c r="M626" i="58"/>
  <c r="M627" i="58"/>
  <c r="M628" i="58"/>
  <c r="M629" i="58"/>
  <c r="M630" i="58"/>
  <c r="M631" i="58"/>
  <c r="M632" i="58"/>
  <c r="M633" i="58"/>
  <c r="M634" i="58"/>
  <c r="M635" i="58"/>
  <c r="M636" i="58"/>
  <c r="M637" i="58"/>
  <c r="M638" i="58"/>
  <c r="M639" i="58"/>
  <c r="M640" i="58"/>
  <c r="M641" i="58"/>
  <c r="M642" i="58"/>
  <c r="M643" i="58"/>
  <c r="M644" i="58"/>
  <c r="M645" i="58"/>
  <c r="M646" i="58"/>
  <c r="M647" i="58"/>
  <c r="M648" i="58"/>
  <c r="M649" i="58"/>
  <c r="M650" i="58"/>
  <c r="M651" i="58"/>
  <c r="M652" i="58"/>
  <c r="M653" i="58"/>
  <c r="M654" i="58"/>
  <c r="M655" i="58"/>
  <c r="M656" i="58"/>
  <c r="M657" i="58"/>
  <c r="M658" i="58"/>
  <c r="M659" i="58"/>
  <c r="M660" i="58"/>
  <c r="M661" i="58"/>
  <c r="M662" i="58"/>
  <c r="M663" i="58"/>
  <c r="M664" i="58"/>
  <c r="M665" i="58"/>
  <c r="M666" i="58"/>
  <c r="M667" i="58"/>
  <c r="M668" i="58"/>
  <c r="M669" i="58"/>
  <c r="M670" i="58"/>
  <c r="M671" i="58"/>
  <c r="M672" i="58"/>
  <c r="M673" i="58"/>
  <c r="M674" i="58"/>
  <c r="M675" i="58"/>
  <c r="M676" i="58"/>
  <c r="M677" i="58"/>
  <c r="M678" i="58"/>
  <c r="M679" i="58"/>
  <c r="M680" i="58"/>
  <c r="M681" i="58"/>
  <c r="M682" i="58"/>
  <c r="M683" i="58"/>
  <c r="M684" i="58"/>
  <c r="M685" i="58"/>
  <c r="M686" i="58"/>
  <c r="M687" i="58"/>
  <c r="M688" i="58"/>
  <c r="M689" i="58"/>
  <c r="M690" i="58"/>
  <c r="M691" i="58"/>
  <c r="M692" i="58"/>
  <c r="M693" i="58"/>
  <c r="M694" i="58"/>
  <c r="M695" i="58"/>
  <c r="M696" i="58"/>
  <c r="M697" i="58"/>
  <c r="M698" i="58"/>
  <c r="M699" i="58"/>
  <c r="M700" i="58"/>
  <c r="M701" i="58"/>
  <c r="M702" i="58"/>
  <c r="M703" i="58"/>
  <c r="M704" i="58"/>
  <c r="M705" i="58"/>
  <c r="M706" i="58"/>
  <c r="M707" i="58"/>
  <c r="M708" i="58"/>
  <c r="M709" i="58"/>
  <c r="M710" i="58"/>
  <c r="M711" i="58"/>
  <c r="M712" i="58"/>
  <c r="M713" i="58"/>
  <c r="M714" i="58"/>
  <c r="M715" i="58"/>
  <c r="M716" i="58"/>
  <c r="M717" i="58"/>
  <c r="M718" i="58"/>
  <c r="M719" i="58"/>
  <c r="M720" i="58"/>
  <c r="M721" i="58"/>
  <c r="M722" i="58"/>
  <c r="M723" i="58"/>
  <c r="M724" i="58"/>
  <c r="M725" i="58"/>
  <c r="M726" i="58"/>
  <c r="M727" i="58"/>
  <c r="M728" i="58"/>
  <c r="M729" i="58"/>
  <c r="M730" i="58"/>
  <c r="M731" i="58"/>
  <c r="M732" i="58"/>
  <c r="M733" i="58"/>
  <c r="M734" i="58"/>
  <c r="M735" i="58"/>
  <c r="M736" i="58"/>
  <c r="M737" i="58"/>
  <c r="M738" i="58"/>
  <c r="M739" i="58"/>
  <c r="M740" i="58"/>
  <c r="M741" i="58"/>
  <c r="M742" i="58"/>
  <c r="M743" i="58"/>
  <c r="M744" i="58"/>
  <c r="M745" i="58"/>
  <c r="M746" i="58"/>
  <c r="M747" i="58"/>
  <c r="M748" i="58"/>
  <c r="M749" i="58"/>
  <c r="M750" i="58"/>
  <c r="M751" i="58"/>
  <c r="M752" i="58"/>
  <c r="M753" i="58"/>
  <c r="M754" i="58"/>
  <c r="M755" i="58"/>
  <c r="M756" i="58"/>
  <c r="M757" i="58"/>
  <c r="M758" i="58"/>
  <c r="M759" i="58"/>
  <c r="M760" i="58"/>
  <c r="M761" i="58"/>
  <c r="M762" i="58"/>
  <c r="M763" i="58"/>
  <c r="M764" i="58"/>
  <c r="M765" i="58"/>
  <c r="M766" i="58"/>
  <c r="M767" i="58"/>
  <c r="M768" i="58"/>
  <c r="M769" i="58"/>
  <c r="M770" i="58"/>
  <c r="M771" i="58"/>
  <c r="M772" i="58"/>
  <c r="M773" i="58"/>
  <c r="M774" i="58"/>
  <c r="M775" i="58"/>
  <c r="M776" i="58"/>
  <c r="M777" i="58"/>
  <c r="M778" i="58"/>
  <c r="M779" i="58"/>
  <c r="M780" i="58"/>
  <c r="M781" i="58"/>
  <c r="M782" i="58"/>
  <c r="M783" i="58"/>
  <c r="M784" i="58"/>
  <c r="M785" i="58"/>
  <c r="M786" i="58"/>
  <c r="M787" i="58"/>
  <c r="M788" i="58"/>
  <c r="M789" i="58"/>
  <c r="M790" i="58"/>
  <c r="M791" i="58"/>
  <c r="M792" i="58"/>
  <c r="M793" i="58"/>
  <c r="M794" i="58"/>
  <c r="M795" i="58"/>
  <c r="M796" i="58"/>
  <c r="M797" i="58"/>
  <c r="M798" i="58"/>
  <c r="M799" i="58"/>
  <c r="M800" i="58"/>
  <c r="M801" i="58"/>
  <c r="M802" i="58"/>
  <c r="M803" i="58"/>
  <c r="M804" i="58"/>
  <c r="M805" i="58"/>
  <c r="M806" i="58"/>
  <c r="M807" i="58"/>
  <c r="M808" i="58"/>
  <c r="M809" i="58"/>
  <c r="M810" i="58"/>
  <c r="M811" i="58"/>
  <c r="M812" i="58"/>
  <c r="M813" i="58"/>
  <c r="M814" i="58"/>
  <c r="M815" i="58"/>
  <c r="M816" i="58"/>
  <c r="M817" i="58"/>
  <c r="M818" i="58"/>
  <c r="M819" i="58"/>
  <c r="M820" i="58"/>
  <c r="M821" i="58"/>
  <c r="M822" i="58"/>
  <c r="M823" i="58"/>
  <c r="M824" i="58"/>
  <c r="M825" i="58"/>
  <c r="M826" i="58"/>
  <c r="M827" i="58"/>
  <c r="M828" i="58"/>
  <c r="M829" i="58"/>
  <c r="M830" i="58"/>
  <c r="M831" i="58"/>
  <c r="M832" i="58"/>
  <c r="M833" i="58"/>
  <c r="M834" i="58"/>
  <c r="M835" i="58"/>
  <c r="M836" i="58"/>
  <c r="M837" i="58"/>
  <c r="M838" i="58"/>
  <c r="M839" i="58"/>
  <c r="M840" i="58"/>
  <c r="M841" i="58"/>
  <c r="M842" i="58"/>
  <c r="M843" i="58"/>
  <c r="M844" i="58"/>
  <c r="M845" i="58"/>
  <c r="M846" i="58"/>
  <c r="M847" i="58"/>
  <c r="M848" i="58"/>
  <c r="M849" i="58"/>
  <c r="M850" i="58"/>
  <c r="M851" i="58"/>
  <c r="M852" i="58"/>
  <c r="M853" i="58"/>
  <c r="M854" i="58"/>
  <c r="M855" i="58"/>
  <c r="M856" i="58"/>
  <c r="M857" i="58"/>
  <c r="M858" i="58"/>
  <c r="M859" i="58"/>
  <c r="M860" i="58"/>
  <c r="M861" i="58"/>
  <c r="M862" i="58"/>
  <c r="M863" i="58"/>
  <c r="M864" i="58"/>
  <c r="M865" i="58"/>
  <c r="M866" i="58"/>
  <c r="M867" i="58"/>
  <c r="M868" i="58"/>
  <c r="M869" i="58"/>
  <c r="M870" i="58"/>
  <c r="M871" i="58"/>
  <c r="M872" i="58"/>
  <c r="M873" i="58"/>
  <c r="M874" i="58"/>
  <c r="M875" i="58"/>
  <c r="M876" i="58"/>
  <c r="M877" i="58"/>
  <c r="M878" i="58"/>
  <c r="M879" i="58"/>
  <c r="M880" i="58"/>
  <c r="M881" i="58"/>
  <c r="M882" i="58"/>
  <c r="M883" i="58"/>
  <c r="M884" i="58"/>
  <c r="M885" i="58"/>
  <c r="M886" i="58"/>
  <c r="M887" i="58"/>
  <c r="M888" i="58"/>
  <c r="M889" i="58"/>
  <c r="M890" i="58"/>
  <c r="M891" i="58"/>
  <c r="M892" i="58"/>
  <c r="M893" i="58"/>
  <c r="M894" i="58"/>
  <c r="M895" i="58"/>
  <c r="M896" i="58"/>
  <c r="M897" i="58"/>
  <c r="M898" i="58"/>
  <c r="M899" i="58"/>
  <c r="M900" i="58"/>
  <c r="M901" i="58"/>
  <c r="M902" i="58"/>
  <c r="M903" i="58"/>
  <c r="M904" i="58"/>
  <c r="M905" i="58"/>
  <c r="M906" i="58"/>
  <c r="M907" i="58"/>
  <c r="M908" i="58"/>
  <c r="M909" i="58"/>
  <c r="M910" i="58"/>
  <c r="M911" i="58"/>
  <c r="M912" i="58"/>
  <c r="M913" i="58"/>
  <c r="M914" i="58"/>
  <c r="M915" i="58"/>
  <c r="M916" i="58"/>
  <c r="M917" i="58"/>
  <c r="M918" i="58"/>
  <c r="M919" i="58"/>
  <c r="M920" i="58"/>
  <c r="M921" i="58"/>
  <c r="M922" i="58"/>
  <c r="M923" i="58"/>
  <c r="M924" i="58"/>
  <c r="M925" i="58"/>
  <c r="M926" i="58"/>
  <c r="M927" i="58"/>
  <c r="M928" i="58"/>
  <c r="M929" i="58"/>
  <c r="M930" i="58"/>
  <c r="M931" i="58"/>
  <c r="M932" i="58"/>
  <c r="M933" i="58"/>
  <c r="M934" i="58"/>
  <c r="M935" i="58"/>
  <c r="M936" i="58"/>
  <c r="M937" i="58"/>
  <c r="M938" i="58"/>
  <c r="M939" i="58"/>
  <c r="M940" i="58"/>
  <c r="M941" i="58"/>
  <c r="M942" i="58"/>
  <c r="M943" i="58"/>
  <c r="M944" i="58"/>
  <c r="M945" i="58"/>
  <c r="M946" i="58"/>
  <c r="M947" i="58"/>
  <c r="M948" i="58"/>
  <c r="M949" i="58"/>
  <c r="M950" i="58"/>
  <c r="M951" i="58"/>
  <c r="M952" i="58"/>
  <c r="M953" i="58"/>
  <c r="M954" i="58"/>
  <c r="M955" i="58"/>
  <c r="M956" i="58"/>
  <c r="M957" i="58"/>
  <c r="M958" i="58"/>
  <c r="M959" i="58"/>
  <c r="M960" i="58"/>
  <c r="M961" i="58"/>
  <c r="M962" i="58"/>
  <c r="M963" i="58"/>
  <c r="M964" i="58"/>
  <c r="M965" i="58"/>
  <c r="M966" i="58"/>
  <c r="M967" i="58"/>
  <c r="M968" i="58"/>
  <c r="M969" i="58"/>
  <c r="M970" i="58"/>
  <c r="M971" i="58"/>
  <c r="M972" i="58"/>
  <c r="M973" i="58"/>
  <c r="M974" i="58"/>
  <c r="M975" i="58"/>
  <c r="M976" i="58"/>
  <c r="M977" i="58"/>
  <c r="M978" i="58"/>
  <c r="M979" i="58"/>
  <c r="M980" i="58"/>
  <c r="M981" i="58"/>
  <c r="M982" i="58"/>
  <c r="M983" i="58"/>
  <c r="M984" i="58"/>
  <c r="M985" i="58"/>
  <c r="M986" i="58"/>
  <c r="M987" i="58"/>
  <c r="M988" i="58"/>
  <c r="M989" i="58"/>
  <c r="M990" i="58"/>
  <c r="M991" i="58"/>
  <c r="M992" i="58"/>
  <c r="M993" i="58"/>
  <c r="M994" i="58"/>
  <c r="M995" i="58"/>
  <c r="M996" i="58"/>
  <c r="M997" i="58"/>
  <c r="M998" i="58"/>
  <c r="M999" i="58"/>
  <c r="M1000" i="58"/>
  <c r="M1001" i="58"/>
  <c r="M1002" i="58"/>
  <c r="M1003" i="58"/>
  <c r="M1004" i="58"/>
  <c r="M1005" i="58"/>
  <c r="M1006" i="58"/>
  <c r="M1007" i="58"/>
  <c r="M1008" i="58"/>
  <c r="M1009" i="58"/>
  <c r="M1010" i="58"/>
  <c r="M1011" i="58"/>
  <c r="M1012" i="58"/>
  <c r="M1013" i="58"/>
  <c r="M1014" i="58"/>
  <c r="M1015" i="58"/>
  <c r="M1016" i="58"/>
  <c r="M1017" i="58"/>
  <c r="M1018" i="58"/>
  <c r="M1019" i="58"/>
  <c r="M1020" i="58"/>
  <c r="M1021" i="58"/>
  <c r="M1022" i="58"/>
  <c r="M1023" i="58"/>
  <c r="M1024" i="58"/>
  <c r="M1025" i="58"/>
  <c r="M1026" i="58"/>
  <c r="M1027" i="58"/>
  <c r="M1028" i="58"/>
  <c r="M1029" i="58"/>
  <c r="M1030" i="58"/>
  <c r="M1031" i="58"/>
  <c r="M1032" i="58"/>
  <c r="M1033" i="58"/>
  <c r="M1034" i="58"/>
  <c r="M1035" i="58"/>
  <c r="M1036" i="58"/>
  <c r="N593" i="58"/>
  <c r="N594" i="58"/>
  <c r="N595" i="58"/>
  <c r="N596" i="58"/>
  <c r="N597" i="58"/>
  <c r="N598" i="58"/>
  <c r="N599" i="58"/>
  <c r="N600" i="58"/>
  <c r="N601" i="58"/>
  <c r="N602" i="58"/>
  <c r="N603" i="58"/>
  <c r="N604" i="58"/>
  <c r="N605" i="58"/>
  <c r="N606" i="58"/>
  <c r="N607" i="58"/>
  <c r="N608" i="58"/>
  <c r="N609" i="58"/>
  <c r="N610" i="58"/>
  <c r="N611" i="58"/>
  <c r="N612" i="58"/>
  <c r="N613" i="58"/>
  <c r="N614" i="58"/>
  <c r="N615" i="58"/>
  <c r="N616" i="58"/>
  <c r="N617" i="58"/>
  <c r="N618" i="58"/>
  <c r="N619" i="58"/>
  <c r="N620" i="58"/>
  <c r="N621" i="58"/>
  <c r="N622" i="58"/>
  <c r="N623" i="58"/>
  <c r="N624" i="58"/>
  <c r="N625" i="58"/>
  <c r="N626" i="58"/>
  <c r="N627" i="58"/>
  <c r="N628" i="58"/>
  <c r="N629" i="58"/>
  <c r="N630" i="58"/>
  <c r="N631" i="58"/>
  <c r="N632" i="58"/>
  <c r="N633" i="58"/>
  <c r="N634" i="58"/>
  <c r="N635" i="58"/>
  <c r="N636" i="58"/>
  <c r="N637" i="58"/>
  <c r="N638" i="58"/>
  <c r="N639" i="58"/>
  <c r="N640" i="58"/>
  <c r="N641" i="58"/>
  <c r="N642" i="58"/>
  <c r="N643" i="58"/>
  <c r="N644" i="58"/>
  <c r="N645" i="58"/>
  <c r="N646" i="58"/>
  <c r="N647" i="58"/>
  <c r="N648" i="58"/>
  <c r="N649" i="58"/>
  <c r="N650" i="58"/>
  <c r="N651" i="58"/>
  <c r="N652" i="58"/>
  <c r="N653" i="58"/>
  <c r="N654" i="58"/>
  <c r="N655" i="58"/>
  <c r="N656" i="58"/>
  <c r="N657" i="58"/>
  <c r="N658" i="58"/>
  <c r="N659" i="58"/>
  <c r="N660" i="58"/>
  <c r="N661" i="58"/>
  <c r="N662" i="58"/>
  <c r="N663" i="58"/>
  <c r="N664" i="58"/>
  <c r="N665" i="58"/>
  <c r="N666" i="58"/>
  <c r="N667" i="58"/>
  <c r="N668" i="58"/>
  <c r="N669" i="58"/>
  <c r="N670" i="58"/>
  <c r="N671" i="58"/>
  <c r="N672" i="58"/>
  <c r="N673" i="58"/>
  <c r="N674" i="58"/>
  <c r="N675" i="58"/>
  <c r="N676" i="58"/>
  <c r="N677" i="58"/>
  <c r="N678" i="58"/>
  <c r="N679" i="58"/>
  <c r="N680" i="58"/>
  <c r="N681" i="58"/>
  <c r="N682" i="58"/>
  <c r="N683" i="58"/>
  <c r="N684" i="58"/>
  <c r="N685" i="58"/>
  <c r="N686" i="58"/>
  <c r="N687" i="58"/>
  <c r="N688" i="58"/>
  <c r="N689" i="58"/>
  <c r="N690" i="58"/>
  <c r="N691" i="58"/>
  <c r="N692" i="58"/>
  <c r="N693" i="58"/>
  <c r="N694" i="58"/>
  <c r="N695" i="58"/>
  <c r="N696" i="58"/>
  <c r="N697" i="58"/>
  <c r="N698" i="58"/>
  <c r="N699" i="58"/>
  <c r="N700" i="58"/>
  <c r="N701" i="58"/>
  <c r="N702" i="58"/>
  <c r="N703" i="58"/>
  <c r="N704" i="58"/>
  <c r="N705" i="58"/>
  <c r="N706" i="58"/>
  <c r="N707" i="58"/>
  <c r="N708" i="58"/>
  <c r="N709" i="58"/>
  <c r="N710" i="58"/>
  <c r="N711" i="58"/>
  <c r="N712" i="58"/>
  <c r="N713" i="58"/>
  <c r="N714" i="58"/>
  <c r="N715" i="58"/>
  <c r="N716" i="58"/>
  <c r="N717" i="58"/>
  <c r="N718" i="58"/>
  <c r="N719" i="58"/>
  <c r="N720" i="58"/>
  <c r="N721" i="58"/>
  <c r="N722" i="58"/>
  <c r="N723" i="58"/>
  <c r="N724" i="58"/>
  <c r="N725" i="58"/>
  <c r="N726" i="58"/>
  <c r="N727" i="58"/>
  <c r="N728" i="58"/>
  <c r="N729" i="58"/>
  <c r="N730" i="58"/>
  <c r="N731" i="58"/>
  <c r="N732" i="58"/>
  <c r="N733" i="58"/>
  <c r="N734" i="58"/>
  <c r="N735" i="58"/>
  <c r="N736" i="58"/>
  <c r="N737" i="58"/>
  <c r="N738" i="58"/>
  <c r="N739" i="58"/>
  <c r="N740" i="58"/>
  <c r="N741" i="58"/>
  <c r="N742" i="58"/>
  <c r="N743" i="58"/>
  <c r="N744" i="58"/>
  <c r="N745" i="58"/>
  <c r="N746" i="58"/>
  <c r="N747" i="58"/>
  <c r="N748" i="58"/>
  <c r="N749" i="58"/>
  <c r="N750" i="58"/>
  <c r="N751" i="58"/>
  <c r="N752" i="58"/>
  <c r="N753" i="58"/>
  <c r="N754" i="58"/>
  <c r="N755" i="58"/>
  <c r="N756" i="58"/>
  <c r="N757" i="58"/>
  <c r="N758" i="58"/>
  <c r="N759" i="58"/>
  <c r="N760" i="58"/>
  <c r="N761" i="58"/>
  <c r="N762" i="58"/>
  <c r="N763" i="58"/>
  <c r="N764" i="58"/>
  <c r="N765" i="58"/>
  <c r="N766" i="58"/>
  <c r="N767" i="58"/>
  <c r="N768" i="58"/>
  <c r="N769" i="58"/>
  <c r="N770" i="58"/>
  <c r="N771" i="58"/>
  <c r="N772" i="58"/>
  <c r="N773" i="58"/>
  <c r="N774" i="58"/>
  <c r="N775" i="58"/>
  <c r="N776" i="58"/>
  <c r="N777" i="58"/>
  <c r="N778" i="58"/>
  <c r="N779" i="58"/>
  <c r="N780" i="58"/>
  <c r="N781" i="58"/>
  <c r="N782" i="58"/>
  <c r="N783" i="58"/>
  <c r="N784" i="58"/>
  <c r="N785" i="58"/>
  <c r="N786" i="58"/>
  <c r="N787" i="58"/>
  <c r="N788" i="58"/>
  <c r="N789" i="58"/>
  <c r="N790" i="58"/>
  <c r="N791" i="58"/>
  <c r="N792" i="58"/>
  <c r="N793" i="58"/>
  <c r="N794" i="58"/>
  <c r="N795" i="58"/>
  <c r="N796" i="58"/>
  <c r="N797" i="58"/>
  <c r="N798" i="58"/>
  <c r="N799" i="58"/>
  <c r="N800" i="58"/>
  <c r="N801" i="58"/>
  <c r="N802" i="58"/>
  <c r="N803" i="58"/>
  <c r="N804" i="58"/>
  <c r="N805" i="58"/>
  <c r="N806" i="58"/>
  <c r="N807" i="58"/>
  <c r="N808" i="58"/>
  <c r="N809" i="58"/>
  <c r="N810" i="58"/>
  <c r="N811" i="58"/>
  <c r="N812" i="58"/>
  <c r="N813" i="58"/>
  <c r="N814" i="58"/>
  <c r="N815" i="58"/>
  <c r="N816" i="58"/>
  <c r="N817" i="58"/>
  <c r="N818" i="58"/>
  <c r="N819" i="58"/>
  <c r="N820" i="58"/>
  <c r="N821" i="58"/>
  <c r="N822" i="58"/>
  <c r="N823" i="58"/>
  <c r="N824" i="58"/>
  <c r="N825" i="58"/>
  <c r="N826" i="58"/>
  <c r="N827" i="58"/>
  <c r="N828" i="58"/>
  <c r="N829" i="58"/>
  <c r="N830" i="58"/>
  <c r="N831" i="58"/>
  <c r="N832" i="58"/>
  <c r="N833" i="58"/>
  <c r="N834" i="58"/>
  <c r="N835" i="58"/>
  <c r="N836" i="58"/>
  <c r="N837" i="58"/>
  <c r="N838" i="58"/>
  <c r="N839" i="58"/>
  <c r="N840" i="58"/>
  <c r="N841" i="58"/>
  <c r="N842" i="58"/>
  <c r="N843" i="58"/>
  <c r="N844" i="58"/>
  <c r="N845" i="58"/>
  <c r="N846" i="58"/>
  <c r="N847" i="58"/>
  <c r="N848" i="58"/>
  <c r="N849" i="58"/>
  <c r="N850" i="58"/>
  <c r="N851" i="58"/>
  <c r="N852" i="58"/>
  <c r="N853" i="58"/>
  <c r="N854" i="58"/>
  <c r="N855" i="58"/>
  <c r="N856" i="58"/>
  <c r="N857" i="58"/>
  <c r="N858" i="58"/>
  <c r="N859" i="58"/>
  <c r="N860" i="58"/>
  <c r="N861" i="58"/>
  <c r="N862" i="58"/>
  <c r="N863" i="58"/>
  <c r="N864" i="58"/>
  <c r="N865" i="58"/>
  <c r="N866" i="58"/>
  <c r="N867" i="58"/>
  <c r="N868" i="58"/>
  <c r="N869" i="58"/>
  <c r="N870" i="58"/>
  <c r="N871" i="58"/>
  <c r="N872" i="58"/>
  <c r="N873" i="58"/>
  <c r="N874" i="58"/>
  <c r="N875" i="58"/>
  <c r="N876" i="58"/>
  <c r="N877" i="58"/>
  <c r="N878" i="58"/>
  <c r="N879" i="58"/>
  <c r="N880" i="58"/>
  <c r="N881" i="58"/>
  <c r="N882" i="58"/>
  <c r="N883" i="58"/>
  <c r="N884" i="58"/>
  <c r="N885" i="58"/>
  <c r="N886" i="58"/>
  <c r="N887" i="58"/>
  <c r="N888" i="58"/>
  <c r="N889" i="58"/>
  <c r="N890" i="58"/>
  <c r="N891" i="58"/>
  <c r="N892" i="58"/>
  <c r="N893" i="58"/>
  <c r="N894" i="58"/>
  <c r="N895" i="58"/>
  <c r="N896" i="58"/>
  <c r="N897" i="58"/>
  <c r="N898" i="58"/>
  <c r="N899" i="58"/>
  <c r="N900" i="58"/>
  <c r="N901" i="58"/>
  <c r="N902" i="58"/>
  <c r="N903" i="58"/>
  <c r="N904" i="58"/>
  <c r="N905" i="58"/>
  <c r="N906" i="58"/>
  <c r="N907" i="58"/>
  <c r="N908" i="58"/>
  <c r="N909" i="58"/>
  <c r="N910" i="58"/>
  <c r="N911" i="58"/>
  <c r="N912" i="58"/>
  <c r="N913" i="58"/>
  <c r="N914" i="58"/>
  <c r="N915" i="58"/>
  <c r="N916" i="58"/>
  <c r="N917" i="58"/>
  <c r="N918" i="58"/>
  <c r="N919" i="58"/>
  <c r="N920" i="58"/>
  <c r="N921" i="58"/>
  <c r="N922" i="58"/>
  <c r="N923" i="58"/>
  <c r="N924" i="58"/>
  <c r="N925" i="58"/>
  <c r="N926" i="58"/>
  <c r="N927" i="58"/>
  <c r="N928" i="58"/>
  <c r="N929" i="58"/>
  <c r="N930" i="58"/>
  <c r="N931" i="58"/>
  <c r="N932" i="58"/>
  <c r="N933" i="58"/>
  <c r="N934" i="58"/>
  <c r="N935" i="58"/>
  <c r="N936" i="58"/>
  <c r="N937" i="58"/>
  <c r="N938" i="58"/>
  <c r="N939" i="58"/>
  <c r="N940" i="58"/>
  <c r="N941" i="58"/>
  <c r="N942" i="58"/>
  <c r="N943" i="58"/>
  <c r="N944" i="58"/>
  <c r="N945" i="58"/>
  <c r="N946" i="58"/>
  <c r="N947" i="58"/>
  <c r="N948" i="58"/>
  <c r="N949" i="58"/>
  <c r="N950" i="58"/>
  <c r="N951" i="58"/>
  <c r="N952" i="58"/>
  <c r="N953" i="58"/>
  <c r="N954" i="58"/>
  <c r="N955" i="58"/>
  <c r="N956" i="58"/>
  <c r="N957" i="58"/>
  <c r="N958" i="58"/>
  <c r="N959" i="58"/>
  <c r="N960" i="58"/>
  <c r="N961" i="58"/>
  <c r="N962" i="58"/>
  <c r="N963" i="58"/>
  <c r="N964" i="58"/>
  <c r="N965" i="58"/>
  <c r="N966" i="58"/>
  <c r="N967" i="58"/>
  <c r="N968" i="58"/>
  <c r="N969" i="58"/>
  <c r="N970" i="58"/>
  <c r="N971" i="58"/>
  <c r="N972" i="58"/>
  <c r="N973" i="58"/>
  <c r="N974" i="58"/>
  <c r="N975" i="58"/>
  <c r="N976" i="58"/>
  <c r="N977" i="58"/>
  <c r="N978" i="58"/>
  <c r="N979" i="58"/>
  <c r="N980" i="58"/>
  <c r="N981" i="58"/>
  <c r="N982" i="58"/>
  <c r="N983" i="58"/>
  <c r="N984" i="58"/>
  <c r="N985" i="58"/>
  <c r="N986" i="58"/>
  <c r="N987" i="58"/>
  <c r="N988" i="58"/>
  <c r="N989" i="58"/>
  <c r="N990" i="58"/>
  <c r="N991" i="58"/>
  <c r="N992" i="58"/>
  <c r="N993" i="58"/>
  <c r="N994" i="58"/>
  <c r="N995" i="58"/>
  <c r="N996" i="58"/>
  <c r="N997" i="58"/>
  <c r="N998" i="58"/>
  <c r="N999" i="58"/>
  <c r="N1000" i="58"/>
  <c r="N1001" i="58"/>
  <c r="N1002" i="58"/>
  <c r="N1003" i="58"/>
  <c r="N1004" i="58"/>
  <c r="N1005" i="58"/>
  <c r="N1006" i="58"/>
  <c r="N1007" i="58"/>
  <c r="N1008" i="58"/>
  <c r="N1009" i="58"/>
  <c r="N1010" i="58"/>
  <c r="N1011" i="58"/>
  <c r="N1012" i="58"/>
  <c r="N1013" i="58"/>
  <c r="N1014" i="58"/>
  <c r="N1015" i="58"/>
  <c r="N1016" i="58"/>
  <c r="N1017" i="58"/>
  <c r="N1018" i="58"/>
  <c r="N1019" i="58"/>
  <c r="N1020" i="58"/>
  <c r="N1021" i="58"/>
  <c r="N1022" i="58"/>
  <c r="N1023" i="58"/>
  <c r="N1024" i="58"/>
  <c r="N1025" i="58"/>
  <c r="N1026" i="58"/>
  <c r="N1027" i="58"/>
  <c r="N1028" i="58"/>
  <c r="N1029" i="58"/>
  <c r="N1030" i="58"/>
  <c r="N1031" i="58"/>
  <c r="N1032" i="58"/>
  <c r="N1033" i="58"/>
  <c r="N1034" i="58"/>
  <c r="N1035" i="58"/>
  <c r="N1036" i="58"/>
  <c r="O593" i="58"/>
  <c r="O594" i="58"/>
  <c r="O595" i="58"/>
  <c r="O596" i="58"/>
  <c r="O597" i="58"/>
  <c r="O598" i="58"/>
  <c r="O599" i="58"/>
  <c r="O600" i="58"/>
  <c r="O601" i="58"/>
  <c r="O602" i="58"/>
  <c r="O603" i="58"/>
  <c r="O604" i="58"/>
  <c r="O605" i="58"/>
  <c r="O606" i="58"/>
  <c r="O607" i="58"/>
  <c r="O608" i="58"/>
  <c r="O609" i="58"/>
  <c r="O610" i="58"/>
  <c r="O611" i="58"/>
  <c r="O612" i="58"/>
  <c r="O613" i="58"/>
  <c r="O614" i="58"/>
  <c r="O615" i="58"/>
  <c r="O616" i="58"/>
  <c r="O617" i="58"/>
  <c r="O618" i="58"/>
  <c r="O619" i="58"/>
  <c r="O620" i="58"/>
  <c r="O621" i="58"/>
  <c r="O622" i="58"/>
  <c r="O623" i="58"/>
  <c r="O624" i="58"/>
  <c r="O625" i="58"/>
  <c r="O626" i="58"/>
  <c r="O627" i="58"/>
  <c r="O628" i="58"/>
  <c r="O629" i="58"/>
  <c r="O630" i="58"/>
  <c r="O631" i="58"/>
  <c r="O632" i="58"/>
  <c r="O633" i="58"/>
  <c r="O634" i="58"/>
  <c r="O635" i="58"/>
  <c r="O636" i="58"/>
  <c r="O637" i="58"/>
  <c r="O638" i="58"/>
  <c r="O639" i="58"/>
  <c r="O640" i="58"/>
  <c r="O641" i="58"/>
  <c r="O642" i="58"/>
  <c r="O643" i="58"/>
  <c r="O644" i="58"/>
  <c r="O645" i="58"/>
  <c r="O646" i="58"/>
  <c r="O647" i="58"/>
  <c r="O648" i="58"/>
  <c r="O649" i="58"/>
  <c r="O650" i="58"/>
  <c r="O651" i="58"/>
  <c r="O652" i="58"/>
  <c r="O653" i="58"/>
  <c r="O654" i="58"/>
  <c r="O655" i="58"/>
  <c r="O656" i="58"/>
  <c r="O657" i="58"/>
  <c r="O658" i="58"/>
  <c r="O659" i="58"/>
  <c r="O660" i="58"/>
  <c r="O661" i="58"/>
  <c r="O662" i="58"/>
  <c r="O663" i="58"/>
  <c r="O664" i="58"/>
  <c r="O665" i="58"/>
  <c r="O666" i="58"/>
  <c r="O667" i="58"/>
  <c r="O668" i="58"/>
  <c r="O669" i="58"/>
  <c r="O670" i="58"/>
  <c r="O671" i="58"/>
  <c r="O672" i="58"/>
  <c r="O673" i="58"/>
  <c r="O674" i="58"/>
  <c r="O675" i="58"/>
  <c r="O676" i="58"/>
  <c r="O677" i="58"/>
  <c r="O678" i="58"/>
  <c r="O679" i="58"/>
  <c r="O680" i="58"/>
  <c r="O681" i="58"/>
  <c r="O682" i="58"/>
  <c r="O683" i="58"/>
  <c r="O684" i="58"/>
  <c r="O685" i="58"/>
  <c r="O686" i="58"/>
  <c r="O687" i="58"/>
  <c r="O688" i="58"/>
  <c r="O689" i="58"/>
  <c r="O690" i="58"/>
  <c r="O691" i="58"/>
  <c r="O692" i="58"/>
  <c r="O693" i="58"/>
  <c r="O694" i="58"/>
  <c r="O695" i="58"/>
  <c r="O696" i="58"/>
  <c r="O697" i="58"/>
  <c r="O698" i="58"/>
  <c r="O699" i="58"/>
  <c r="O700" i="58"/>
  <c r="O701" i="58"/>
  <c r="O702" i="58"/>
  <c r="O703" i="58"/>
  <c r="O704" i="58"/>
  <c r="O705" i="58"/>
  <c r="O706" i="58"/>
  <c r="O707" i="58"/>
  <c r="O708" i="58"/>
  <c r="O709" i="58"/>
  <c r="O710" i="58"/>
  <c r="O711" i="58"/>
  <c r="O712" i="58"/>
  <c r="O713" i="58"/>
  <c r="O714" i="58"/>
  <c r="O715" i="58"/>
  <c r="O716" i="58"/>
  <c r="O717" i="58"/>
  <c r="O718" i="58"/>
  <c r="O719" i="58"/>
  <c r="O720" i="58"/>
  <c r="O721" i="58"/>
  <c r="O722" i="58"/>
  <c r="O723" i="58"/>
  <c r="O724" i="58"/>
  <c r="O725" i="58"/>
  <c r="O726" i="58"/>
  <c r="O727" i="58"/>
  <c r="O728" i="58"/>
  <c r="O729" i="58"/>
  <c r="O730" i="58"/>
  <c r="O731" i="58"/>
  <c r="O732" i="58"/>
  <c r="O733" i="58"/>
  <c r="O734" i="58"/>
  <c r="O735" i="58"/>
  <c r="O736" i="58"/>
  <c r="O737" i="58"/>
  <c r="O738" i="58"/>
  <c r="O739" i="58"/>
  <c r="O740" i="58"/>
  <c r="O741" i="58"/>
  <c r="O742" i="58"/>
  <c r="O743" i="58"/>
  <c r="O744" i="58"/>
  <c r="O745" i="58"/>
  <c r="O746" i="58"/>
  <c r="O747" i="58"/>
  <c r="O748" i="58"/>
  <c r="O749" i="58"/>
  <c r="O750" i="58"/>
  <c r="O751" i="58"/>
  <c r="O752" i="58"/>
  <c r="O753" i="58"/>
  <c r="O754" i="58"/>
  <c r="O755" i="58"/>
  <c r="O756" i="58"/>
  <c r="O757" i="58"/>
  <c r="O758" i="58"/>
  <c r="O759" i="58"/>
  <c r="O760" i="58"/>
  <c r="O761" i="58"/>
  <c r="O762" i="58"/>
  <c r="O763" i="58"/>
  <c r="O764" i="58"/>
  <c r="O765" i="58"/>
  <c r="O766" i="58"/>
  <c r="O767" i="58"/>
  <c r="O768" i="58"/>
  <c r="O769" i="58"/>
  <c r="O770" i="58"/>
  <c r="O771" i="58"/>
  <c r="O772" i="58"/>
  <c r="O773" i="58"/>
  <c r="O774" i="58"/>
  <c r="O775" i="58"/>
  <c r="O776" i="58"/>
  <c r="O777" i="58"/>
  <c r="O778" i="58"/>
  <c r="O779" i="58"/>
  <c r="O780" i="58"/>
  <c r="O781" i="58"/>
  <c r="O782" i="58"/>
  <c r="O783" i="58"/>
  <c r="O784" i="58"/>
  <c r="O785" i="58"/>
  <c r="O786" i="58"/>
  <c r="O787" i="58"/>
  <c r="O788" i="58"/>
  <c r="O789" i="58"/>
  <c r="O790" i="58"/>
  <c r="O791" i="58"/>
  <c r="O792" i="58"/>
  <c r="O793" i="58"/>
  <c r="O794" i="58"/>
  <c r="O795" i="58"/>
  <c r="O796" i="58"/>
  <c r="O797" i="58"/>
  <c r="O798" i="58"/>
  <c r="O799" i="58"/>
  <c r="O800" i="58"/>
  <c r="O801" i="58"/>
  <c r="O802" i="58"/>
  <c r="O803" i="58"/>
  <c r="O804" i="58"/>
  <c r="O805" i="58"/>
  <c r="O806" i="58"/>
  <c r="O807" i="58"/>
  <c r="O808" i="58"/>
  <c r="O809" i="58"/>
  <c r="O810" i="58"/>
  <c r="O811" i="58"/>
  <c r="O812" i="58"/>
  <c r="O813" i="58"/>
  <c r="O814" i="58"/>
  <c r="O815" i="58"/>
  <c r="O816" i="58"/>
  <c r="O817" i="58"/>
  <c r="O818" i="58"/>
  <c r="O819" i="58"/>
  <c r="O820" i="58"/>
  <c r="O821" i="58"/>
  <c r="O822" i="58"/>
  <c r="O823" i="58"/>
  <c r="O824" i="58"/>
  <c r="O825" i="58"/>
  <c r="O826" i="58"/>
  <c r="O827" i="58"/>
  <c r="O828" i="58"/>
  <c r="O829" i="58"/>
  <c r="O830" i="58"/>
  <c r="O831" i="58"/>
  <c r="O832" i="58"/>
  <c r="O833" i="58"/>
  <c r="O834" i="58"/>
  <c r="O835" i="58"/>
  <c r="O836" i="58"/>
  <c r="O837" i="58"/>
  <c r="O838" i="58"/>
  <c r="O839" i="58"/>
  <c r="O840" i="58"/>
  <c r="O841" i="58"/>
  <c r="O842" i="58"/>
  <c r="O843" i="58"/>
  <c r="O844" i="58"/>
  <c r="O845" i="58"/>
  <c r="O846" i="58"/>
  <c r="O847" i="58"/>
  <c r="O848" i="58"/>
  <c r="O849" i="58"/>
  <c r="O850" i="58"/>
  <c r="O851" i="58"/>
  <c r="O852" i="58"/>
  <c r="O853" i="58"/>
  <c r="O854" i="58"/>
  <c r="O855" i="58"/>
  <c r="O856" i="58"/>
  <c r="O857" i="58"/>
  <c r="O858" i="58"/>
  <c r="O859" i="58"/>
  <c r="O860" i="58"/>
  <c r="O861" i="58"/>
  <c r="O862" i="58"/>
  <c r="O863" i="58"/>
  <c r="O864" i="58"/>
  <c r="O865" i="58"/>
  <c r="O866" i="58"/>
  <c r="O867" i="58"/>
  <c r="O868" i="58"/>
  <c r="O869" i="58"/>
  <c r="O870" i="58"/>
  <c r="O871" i="58"/>
  <c r="O872" i="58"/>
  <c r="O873" i="58"/>
  <c r="O874" i="58"/>
  <c r="O875" i="58"/>
  <c r="O876" i="58"/>
  <c r="O877" i="58"/>
  <c r="O878" i="58"/>
  <c r="O879" i="58"/>
  <c r="O880" i="58"/>
  <c r="O881" i="58"/>
  <c r="O882" i="58"/>
  <c r="O883" i="58"/>
  <c r="O884" i="58"/>
  <c r="O885" i="58"/>
  <c r="O886" i="58"/>
  <c r="O887" i="58"/>
  <c r="O888" i="58"/>
  <c r="O889" i="58"/>
  <c r="O890" i="58"/>
  <c r="O891" i="58"/>
  <c r="O892" i="58"/>
  <c r="O893" i="58"/>
  <c r="O894" i="58"/>
  <c r="O895" i="58"/>
  <c r="O896" i="58"/>
  <c r="O897" i="58"/>
  <c r="O898" i="58"/>
  <c r="O899" i="58"/>
  <c r="O900" i="58"/>
  <c r="O901" i="58"/>
  <c r="O902" i="58"/>
  <c r="O903" i="58"/>
  <c r="O904" i="58"/>
  <c r="O905" i="58"/>
  <c r="O906" i="58"/>
  <c r="O907" i="58"/>
  <c r="O908" i="58"/>
  <c r="O909" i="58"/>
  <c r="O910" i="58"/>
  <c r="O911" i="58"/>
  <c r="O912" i="58"/>
  <c r="O913" i="58"/>
  <c r="O914" i="58"/>
  <c r="O915" i="58"/>
  <c r="O916" i="58"/>
  <c r="O917" i="58"/>
  <c r="O918" i="58"/>
  <c r="O919" i="58"/>
  <c r="O920" i="58"/>
  <c r="O921" i="58"/>
  <c r="O922" i="58"/>
  <c r="O923" i="58"/>
  <c r="O924" i="58"/>
  <c r="O925" i="58"/>
  <c r="O926" i="58"/>
  <c r="O927" i="58"/>
  <c r="O928" i="58"/>
  <c r="O929" i="58"/>
  <c r="O930" i="58"/>
  <c r="O931" i="58"/>
  <c r="O932" i="58"/>
  <c r="O933" i="58"/>
  <c r="O934" i="58"/>
  <c r="O935" i="58"/>
  <c r="O936" i="58"/>
  <c r="O937" i="58"/>
  <c r="O938" i="58"/>
  <c r="O939" i="58"/>
  <c r="O940" i="58"/>
  <c r="O941" i="58"/>
  <c r="O942" i="58"/>
  <c r="O943" i="58"/>
  <c r="O944" i="58"/>
  <c r="O945" i="58"/>
  <c r="O946" i="58"/>
  <c r="O947" i="58"/>
  <c r="O948" i="58"/>
  <c r="O949" i="58"/>
  <c r="O950" i="58"/>
  <c r="O951" i="58"/>
  <c r="O952" i="58"/>
  <c r="O953" i="58"/>
  <c r="O954" i="58"/>
  <c r="O955" i="58"/>
  <c r="O956" i="58"/>
  <c r="O957" i="58"/>
  <c r="O958" i="58"/>
  <c r="O959" i="58"/>
  <c r="O960" i="58"/>
  <c r="O961" i="58"/>
  <c r="O962" i="58"/>
  <c r="O963" i="58"/>
  <c r="O964" i="58"/>
  <c r="O965" i="58"/>
  <c r="O966" i="58"/>
  <c r="O967" i="58"/>
  <c r="O968" i="58"/>
  <c r="O969" i="58"/>
  <c r="O970" i="58"/>
  <c r="O971" i="58"/>
  <c r="O972" i="58"/>
  <c r="O973" i="58"/>
  <c r="O974" i="58"/>
  <c r="O975" i="58"/>
  <c r="O976" i="58"/>
  <c r="O977" i="58"/>
  <c r="O978" i="58"/>
  <c r="O979" i="58"/>
  <c r="O980" i="58"/>
  <c r="O981" i="58"/>
  <c r="O982" i="58"/>
  <c r="O983" i="58"/>
  <c r="O984" i="58"/>
  <c r="O985" i="58"/>
  <c r="O986" i="58"/>
  <c r="O987" i="58"/>
  <c r="O988" i="58"/>
  <c r="O989" i="58"/>
  <c r="O990" i="58"/>
  <c r="O991" i="58"/>
  <c r="O992" i="58"/>
  <c r="O993" i="58"/>
  <c r="O994" i="58"/>
  <c r="O995" i="58"/>
  <c r="O996" i="58"/>
  <c r="O997" i="58"/>
  <c r="O998" i="58"/>
  <c r="O999" i="58"/>
  <c r="O1000" i="58"/>
  <c r="O1001" i="58"/>
  <c r="O1002" i="58"/>
  <c r="O1003" i="58"/>
  <c r="O1004" i="58"/>
  <c r="O1005" i="58"/>
  <c r="O1006" i="58"/>
  <c r="O1007" i="58"/>
  <c r="O1008" i="58"/>
  <c r="O1009" i="58"/>
  <c r="O1010" i="58"/>
  <c r="O1011" i="58"/>
  <c r="O1012" i="58"/>
  <c r="O1013" i="58"/>
  <c r="O1014" i="58"/>
  <c r="O1015" i="58"/>
  <c r="O1016" i="58"/>
  <c r="O1017" i="58"/>
  <c r="O1018" i="58"/>
  <c r="O1019" i="58"/>
  <c r="O1020" i="58"/>
  <c r="O1021" i="58"/>
  <c r="O1022" i="58"/>
  <c r="O1023" i="58"/>
  <c r="O1024" i="58"/>
  <c r="O1025" i="58"/>
  <c r="O1026" i="58"/>
  <c r="O1027" i="58"/>
  <c r="O1028" i="58"/>
  <c r="O1029" i="58"/>
  <c r="O1030" i="58"/>
  <c r="O1031" i="58"/>
  <c r="O1032" i="58"/>
  <c r="O1033" i="58"/>
  <c r="O1034" i="58"/>
  <c r="O1035" i="58"/>
  <c r="O1036" i="58"/>
  <c r="P593" i="58"/>
  <c r="P594" i="58"/>
  <c r="P595" i="58"/>
  <c r="P596" i="58"/>
  <c r="P597" i="58"/>
  <c r="P598" i="58"/>
  <c r="P599" i="58"/>
  <c r="P600" i="58"/>
  <c r="P601" i="58"/>
  <c r="P602" i="58"/>
  <c r="P603" i="58"/>
  <c r="P604" i="58"/>
  <c r="P605" i="58"/>
  <c r="P606" i="58"/>
  <c r="P607" i="58"/>
  <c r="P608" i="58"/>
  <c r="P609" i="58"/>
  <c r="P610" i="58"/>
  <c r="P611" i="58"/>
  <c r="P612" i="58"/>
  <c r="P613" i="58"/>
  <c r="P614" i="58"/>
  <c r="P615" i="58"/>
  <c r="P616" i="58"/>
  <c r="P617" i="58"/>
  <c r="P618" i="58"/>
  <c r="P619" i="58"/>
  <c r="P620" i="58"/>
  <c r="P621" i="58"/>
  <c r="P622" i="58"/>
  <c r="P623" i="58"/>
  <c r="P624" i="58"/>
  <c r="P625" i="58"/>
  <c r="P626" i="58"/>
  <c r="P627" i="58"/>
  <c r="P628" i="58"/>
  <c r="P629" i="58"/>
  <c r="P630" i="58"/>
  <c r="P631" i="58"/>
  <c r="P632" i="58"/>
  <c r="P633" i="58"/>
  <c r="P634" i="58"/>
  <c r="P635" i="58"/>
  <c r="P636" i="58"/>
  <c r="P637" i="58"/>
  <c r="P638" i="58"/>
  <c r="P639" i="58"/>
  <c r="P640" i="58"/>
  <c r="P641" i="58"/>
  <c r="P642" i="58"/>
  <c r="P643" i="58"/>
  <c r="P644" i="58"/>
  <c r="P645" i="58"/>
  <c r="P646" i="58"/>
  <c r="P647" i="58"/>
  <c r="P648" i="58"/>
  <c r="P649" i="58"/>
  <c r="P650" i="58"/>
  <c r="P651" i="58"/>
  <c r="P652" i="58"/>
  <c r="P653" i="58"/>
  <c r="P654" i="58"/>
  <c r="P655" i="58"/>
  <c r="P656" i="58"/>
  <c r="P657" i="58"/>
  <c r="P658" i="58"/>
  <c r="P659" i="58"/>
  <c r="P660" i="58"/>
  <c r="P661" i="58"/>
  <c r="P662" i="58"/>
  <c r="P663" i="58"/>
  <c r="P664" i="58"/>
  <c r="P665" i="58"/>
  <c r="P666" i="58"/>
  <c r="P667" i="58"/>
  <c r="P668" i="58"/>
  <c r="P669" i="58"/>
  <c r="P670" i="58"/>
  <c r="P671" i="58"/>
  <c r="P672" i="58"/>
  <c r="P673" i="58"/>
  <c r="P674" i="58"/>
  <c r="P675" i="58"/>
  <c r="P676" i="58"/>
  <c r="P677" i="58"/>
  <c r="P678" i="58"/>
  <c r="P679" i="58"/>
  <c r="P680" i="58"/>
  <c r="P681" i="58"/>
  <c r="P682" i="58"/>
  <c r="P683" i="58"/>
  <c r="P684" i="58"/>
  <c r="P685" i="58"/>
  <c r="P686" i="58"/>
  <c r="P687" i="58"/>
  <c r="P688" i="58"/>
  <c r="P689" i="58"/>
  <c r="P690" i="58"/>
  <c r="P691" i="58"/>
  <c r="P692" i="58"/>
  <c r="P693" i="58"/>
  <c r="P694" i="58"/>
  <c r="P695" i="58"/>
  <c r="P696" i="58"/>
  <c r="P697" i="58"/>
  <c r="P698" i="58"/>
  <c r="P699" i="58"/>
  <c r="P700" i="58"/>
  <c r="P701" i="58"/>
  <c r="P702" i="58"/>
  <c r="P703" i="58"/>
  <c r="P704" i="58"/>
  <c r="P705" i="58"/>
  <c r="P706" i="58"/>
  <c r="P707" i="58"/>
  <c r="P708" i="58"/>
  <c r="P709" i="58"/>
  <c r="P710" i="58"/>
  <c r="P711" i="58"/>
  <c r="P712" i="58"/>
  <c r="P713" i="58"/>
  <c r="P714" i="58"/>
  <c r="P715" i="58"/>
  <c r="P716" i="58"/>
  <c r="P717" i="58"/>
  <c r="P718" i="58"/>
  <c r="P719" i="58"/>
  <c r="P720" i="58"/>
  <c r="P721" i="58"/>
  <c r="P722" i="58"/>
  <c r="P723" i="58"/>
  <c r="P724" i="58"/>
  <c r="P725" i="58"/>
  <c r="P726" i="58"/>
  <c r="P727" i="58"/>
  <c r="P728" i="58"/>
  <c r="P729" i="58"/>
  <c r="P730" i="58"/>
  <c r="P731" i="58"/>
  <c r="P732" i="58"/>
  <c r="P733" i="58"/>
  <c r="P734" i="58"/>
  <c r="P735" i="58"/>
  <c r="P736" i="58"/>
  <c r="P737" i="58"/>
  <c r="P738" i="58"/>
  <c r="P739" i="58"/>
  <c r="P740" i="58"/>
  <c r="P741" i="58"/>
  <c r="P742" i="58"/>
  <c r="P743" i="58"/>
  <c r="P744" i="58"/>
  <c r="P745" i="58"/>
  <c r="P746" i="58"/>
  <c r="P747" i="58"/>
  <c r="P748" i="58"/>
  <c r="P749" i="58"/>
  <c r="P750" i="58"/>
  <c r="P751" i="58"/>
  <c r="P752" i="58"/>
  <c r="P753" i="58"/>
  <c r="P754" i="58"/>
  <c r="P755" i="58"/>
  <c r="P756" i="58"/>
  <c r="P757" i="58"/>
  <c r="P758" i="58"/>
  <c r="P759" i="58"/>
  <c r="P760" i="58"/>
  <c r="P761" i="58"/>
  <c r="P762" i="58"/>
  <c r="P763" i="58"/>
  <c r="P764" i="58"/>
  <c r="P765" i="58"/>
  <c r="P766" i="58"/>
  <c r="P767" i="58"/>
  <c r="P768" i="58"/>
  <c r="P769" i="58"/>
  <c r="P770" i="58"/>
  <c r="P771" i="58"/>
  <c r="P772" i="58"/>
  <c r="P773" i="58"/>
  <c r="P774" i="58"/>
  <c r="P775" i="58"/>
  <c r="P776" i="58"/>
  <c r="P777" i="58"/>
  <c r="P778" i="58"/>
  <c r="P779" i="58"/>
  <c r="P780" i="58"/>
  <c r="P781" i="58"/>
  <c r="P782" i="58"/>
  <c r="P783" i="58"/>
  <c r="P784" i="58"/>
  <c r="P785" i="58"/>
  <c r="P786" i="58"/>
  <c r="P787" i="58"/>
  <c r="P788" i="58"/>
  <c r="P789" i="58"/>
  <c r="P790" i="58"/>
  <c r="P791" i="58"/>
  <c r="P792" i="58"/>
  <c r="P793" i="58"/>
  <c r="P794" i="58"/>
  <c r="P795" i="58"/>
  <c r="P796" i="58"/>
  <c r="P797" i="58"/>
  <c r="P798" i="58"/>
  <c r="P799" i="58"/>
  <c r="P800" i="58"/>
  <c r="P801" i="58"/>
  <c r="P802" i="58"/>
  <c r="P803" i="58"/>
  <c r="P804" i="58"/>
  <c r="P805" i="58"/>
  <c r="P806" i="58"/>
  <c r="P807" i="58"/>
  <c r="P808" i="58"/>
  <c r="P809" i="58"/>
  <c r="P810" i="58"/>
  <c r="P811" i="58"/>
  <c r="P812" i="58"/>
  <c r="P813" i="58"/>
  <c r="P814" i="58"/>
  <c r="P815" i="58"/>
  <c r="P816" i="58"/>
  <c r="P817" i="58"/>
  <c r="P818" i="58"/>
  <c r="P819" i="58"/>
  <c r="P820" i="58"/>
  <c r="P821" i="58"/>
  <c r="P822" i="58"/>
  <c r="P823" i="58"/>
  <c r="P824" i="58"/>
  <c r="P825" i="58"/>
  <c r="P826" i="58"/>
  <c r="P827" i="58"/>
  <c r="P828" i="58"/>
  <c r="P829" i="58"/>
  <c r="P830" i="58"/>
  <c r="P831" i="58"/>
  <c r="P832" i="58"/>
  <c r="P833" i="58"/>
  <c r="P834" i="58"/>
  <c r="P835" i="58"/>
  <c r="P836" i="58"/>
  <c r="P837" i="58"/>
  <c r="P838" i="58"/>
  <c r="P839" i="58"/>
  <c r="P840" i="58"/>
  <c r="P841" i="58"/>
  <c r="P842" i="58"/>
  <c r="P843" i="58"/>
  <c r="P844" i="58"/>
  <c r="P845" i="58"/>
  <c r="P846" i="58"/>
  <c r="P847" i="58"/>
  <c r="P848" i="58"/>
  <c r="P849" i="58"/>
  <c r="P850" i="58"/>
  <c r="P851" i="58"/>
  <c r="P852" i="58"/>
  <c r="P853" i="58"/>
  <c r="P854" i="58"/>
  <c r="P855" i="58"/>
  <c r="P856" i="58"/>
  <c r="P857" i="58"/>
  <c r="P858" i="58"/>
  <c r="P859" i="58"/>
  <c r="P860" i="58"/>
  <c r="P861" i="58"/>
  <c r="P862" i="58"/>
  <c r="P863" i="58"/>
  <c r="P864" i="58"/>
  <c r="P865" i="58"/>
  <c r="P866" i="58"/>
  <c r="P867" i="58"/>
  <c r="P868" i="58"/>
  <c r="P869" i="58"/>
  <c r="P870" i="58"/>
  <c r="P871" i="58"/>
  <c r="P872" i="58"/>
  <c r="P873" i="58"/>
  <c r="P874" i="58"/>
  <c r="P875" i="58"/>
  <c r="P876" i="58"/>
  <c r="P877" i="58"/>
  <c r="P878" i="58"/>
  <c r="P879" i="58"/>
  <c r="P880" i="58"/>
  <c r="P881" i="58"/>
  <c r="P882" i="58"/>
  <c r="P883" i="58"/>
  <c r="P884" i="58"/>
  <c r="P885" i="58"/>
  <c r="P886" i="58"/>
  <c r="P887" i="58"/>
  <c r="P888" i="58"/>
  <c r="P889" i="58"/>
  <c r="P890" i="58"/>
  <c r="P891" i="58"/>
  <c r="P892" i="58"/>
  <c r="P893" i="58"/>
  <c r="P894" i="58"/>
  <c r="P895" i="58"/>
  <c r="P896" i="58"/>
  <c r="P897" i="58"/>
  <c r="P898" i="58"/>
  <c r="P899" i="58"/>
  <c r="P900" i="58"/>
  <c r="P901" i="58"/>
  <c r="P902" i="58"/>
  <c r="P903" i="58"/>
  <c r="P904" i="58"/>
  <c r="P905" i="58"/>
  <c r="P906" i="58"/>
  <c r="P907" i="58"/>
  <c r="P908" i="58"/>
  <c r="P909" i="58"/>
  <c r="P910" i="58"/>
  <c r="P911" i="58"/>
  <c r="P912" i="58"/>
  <c r="P913" i="58"/>
  <c r="P914" i="58"/>
  <c r="P915" i="58"/>
  <c r="P916" i="58"/>
  <c r="P917" i="58"/>
  <c r="P918" i="58"/>
  <c r="P919" i="58"/>
  <c r="P920" i="58"/>
  <c r="P921" i="58"/>
  <c r="P922" i="58"/>
  <c r="P923" i="58"/>
  <c r="P924" i="58"/>
  <c r="P925" i="58"/>
  <c r="P926" i="58"/>
  <c r="P927" i="58"/>
  <c r="P928" i="58"/>
  <c r="P929" i="58"/>
  <c r="P930" i="58"/>
  <c r="P931" i="58"/>
  <c r="P932" i="58"/>
  <c r="P933" i="58"/>
  <c r="P934" i="58"/>
  <c r="P935" i="58"/>
  <c r="P936" i="58"/>
  <c r="P937" i="58"/>
  <c r="P938" i="58"/>
  <c r="P939" i="58"/>
  <c r="P940" i="58"/>
  <c r="P941" i="58"/>
  <c r="P942" i="58"/>
  <c r="P943" i="58"/>
  <c r="P944" i="58"/>
  <c r="P945" i="58"/>
  <c r="P946" i="58"/>
  <c r="P947" i="58"/>
  <c r="P948" i="58"/>
  <c r="P949" i="58"/>
  <c r="P950" i="58"/>
  <c r="P951" i="58"/>
  <c r="P952" i="58"/>
  <c r="P953" i="58"/>
  <c r="P954" i="58"/>
  <c r="P955" i="58"/>
  <c r="P956" i="58"/>
  <c r="P957" i="58"/>
  <c r="P958" i="58"/>
  <c r="P959" i="58"/>
  <c r="P960" i="58"/>
  <c r="P961" i="58"/>
  <c r="P962" i="58"/>
  <c r="P963" i="58"/>
  <c r="P964" i="58"/>
  <c r="P965" i="58"/>
  <c r="P966" i="58"/>
  <c r="P967" i="58"/>
  <c r="P968" i="58"/>
  <c r="P969" i="58"/>
  <c r="P970" i="58"/>
  <c r="P971" i="58"/>
  <c r="P972" i="58"/>
  <c r="P973" i="58"/>
  <c r="P974" i="58"/>
  <c r="P975" i="58"/>
  <c r="P976" i="58"/>
  <c r="P977" i="58"/>
  <c r="P978" i="58"/>
  <c r="P979" i="58"/>
  <c r="P980" i="58"/>
  <c r="P981" i="58"/>
  <c r="P982" i="58"/>
  <c r="P983" i="58"/>
  <c r="P984" i="58"/>
  <c r="P985" i="58"/>
  <c r="P986" i="58"/>
  <c r="P987" i="58"/>
  <c r="P988" i="58"/>
  <c r="P989" i="58"/>
  <c r="P990" i="58"/>
  <c r="P991" i="58"/>
  <c r="P992" i="58"/>
  <c r="P993" i="58"/>
  <c r="P994" i="58"/>
  <c r="P995" i="58"/>
  <c r="P996" i="58"/>
  <c r="P997" i="58"/>
  <c r="P998" i="58"/>
  <c r="P999" i="58"/>
  <c r="P1000" i="58"/>
  <c r="P1001" i="58"/>
  <c r="P1002" i="58"/>
  <c r="P1003" i="58"/>
  <c r="P1004" i="58"/>
  <c r="P1005" i="58"/>
  <c r="P1006" i="58"/>
  <c r="P1007" i="58"/>
  <c r="P1008" i="58"/>
  <c r="P1009" i="58"/>
  <c r="P1010" i="58"/>
  <c r="P1011" i="58"/>
  <c r="P1012" i="58"/>
  <c r="P1013" i="58"/>
  <c r="P1014" i="58"/>
  <c r="P1015" i="58"/>
  <c r="P1016" i="58"/>
  <c r="P1017" i="58"/>
  <c r="P1018" i="58"/>
  <c r="P1019" i="58"/>
  <c r="P1020" i="58"/>
  <c r="P1021" i="58"/>
  <c r="P1022" i="58"/>
  <c r="P1023" i="58"/>
  <c r="P1024" i="58"/>
  <c r="P1025" i="58"/>
  <c r="P1026" i="58"/>
  <c r="P1027" i="58"/>
  <c r="P1028" i="58"/>
  <c r="P1029" i="58"/>
  <c r="P1030" i="58"/>
  <c r="P1031" i="58"/>
  <c r="P1032" i="58"/>
  <c r="P1033" i="58"/>
  <c r="P1034" i="58"/>
  <c r="P1035" i="58"/>
  <c r="P1036" i="58"/>
  <c r="Q593" i="58"/>
  <c r="Q594" i="58"/>
  <c r="Q595" i="58"/>
  <c r="Q596" i="58"/>
  <c r="Q597" i="58"/>
  <c r="Q598" i="58"/>
  <c r="Q599" i="58"/>
  <c r="Q600" i="58"/>
  <c r="Q601" i="58"/>
  <c r="Q602" i="58"/>
  <c r="Q603" i="58"/>
  <c r="Q604" i="58"/>
  <c r="Q605" i="58"/>
  <c r="Q606" i="58"/>
  <c r="Q607" i="58"/>
  <c r="Q608" i="58"/>
  <c r="Q609" i="58"/>
  <c r="Q610" i="58"/>
  <c r="Q611" i="58"/>
  <c r="Q612" i="58"/>
  <c r="Q613" i="58"/>
  <c r="Q614" i="58"/>
  <c r="Q615" i="58"/>
  <c r="Q616" i="58"/>
  <c r="Q617" i="58"/>
  <c r="Q618" i="58"/>
  <c r="Q619" i="58"/>
  <c r="Q620" i="58"/>
  <c r="Q621" i="58"/>
  <c r="Q622" i="58"/>
  <c r="Q623" i="58"/>
  <c r="Q624" i="58"/>
  <c r="Q625" i="58"/>
  <c r="Q626" i="58"/>
  <c r="Q627" i="58"/>
  <c r="Q628" i="58"/>
  <c r="Q629" i="58"/>
  <c r="Q630" i="58"/>
  <c r="Q631" i="58"/>
  <c r="Q632" i="58"/>
  <c r="Q633" i="58"/>
  <c r="Q634" i="58"/>
  <c r="Q635" i="58"/>
  <c r="Q636" i="58"/>
  <c r="Q637" i="58"/>
  <c r="Q638" i="58"/>
  <c r="Q639" i="58"/>
  <c r="Q640" i="58"/>
  <c r="Q641" i="58"/>
  <c r="Q642" i="58"/>
  <c r="Q643" i="58"/>
  <c r="Q644" i="58"/>
  <c r="Q645" i="58"/>
  <c r="Q646" i="58"/>
  <c r="Q647" i="58"/>
  <c r="Q648" i="58"/>
  <c r="Q649" i="58"/>
  <c r="Q650" i="58"/>
  <c r="Q651" i="58"/>
  <c r="Q652" i="58"/>
  <c r="Q653" i="58"/>
  <c r="Q654" i="58"/>
  <c r="Q655" i="58"/>
  <c r="Q656" i="58"/>
  <c r="Q657" i="58"/>
  <c r="Q658" i="58"/>
  <c r="Q659" i="58"/>
  <c r="Q660" i="58"/>
  <c r="Q661" i="58"/>
  <c r="Q662" i="58"/>
  <c r="Q663" i="58"/>
  <c r="Q664" i="58"/>
  <c r="Q665" i="58"/>
  <c r="Q666" i="58"/>
  <c r="Q667" i="58"/>
  <c r="Q668" i="58"/>
  <c r="Q669" i="58"/>
  <c r="Q670" i="58"/>
  <c r="Q671" i="58"/>
  <c r="Q672" i="58"/>
  <c r="Q673" i="58"/>
  <c r="Q674" i="58"/>
  <c r="Q675" i="58"/>
  <c r="Q676" i="58"/>
  <c r="Q677" i="58"/>
  <c r="Q678" i="58"/>
  <c r="Q679" i="58"/>
  <c r="Q680" i="58"/>
  <c r="Q681" i="58"/>
  <c r="Q682" i="58"/>
  <c r="Q683" i="58"/>
  <c r="Q684" i="58"/>
  <c r="Q685" i="58"/>
  <c r="Q686" i="58"/>
  <c r="Q687" i="58"/>
  <c r="Q688" i="58"/>
  <c r="Q689" i="58"/>
  <c r="Q690" i="58"/>
  <c r="Q691" i="58"/>
  <c r="Q692" i="58"/>
  <c r="Q693" i="58"/>
  <c r="Q694" i="58"/>
  <c r="Q695" i="58"/>
  <c r="Q696" i="58"/>
  <c r="Q697" i="58"/>
  <c r="Q698" i="58"/>
  <c r="Q699" i="58"/>
  <c r="Q700" i="58"/>
  <c r="Q701" i="58"/>
  <c r="Q702" i="58"/>
  <c r="Q703" i="58"/>
  <c r="Q704" i="58"/>
  <c r="Q705" i="58"/>
  <c r="Q706" i="58"/>
  <c r="Q707" i="58"/>
  <c r="Q708" i="58"/>
  <c r="Q709" i="58"/>
  <c r="Q710" i="58"/>
  <c r="Q711" i="58"/>
  <c r="Q712" i="58"/>
  <c r="Q713" i="58"/>
  <c r="Q714" i="58"/>
  <c r="Q715" i="58"/>
  <c r="Q716" i="58"/>
  <c r="Q717" i="58"/>
  <c r="Q718" i="58"/>
  <c r="Q719" i="58"/>
  <c r="Q720" i="58"/>
  <c r="Q721" i="58"/>
  <c r="Q722" i="58"/>
  <c r="Q723" i="58"/>
  <c r="Q724" i="58"/>
  <c r="Q725" i="58"/>
  <c r="Q726" i="58"/>
  <c r="Q727" i="58"/>
  <c r="Q728" i="58"/>
  <c r="Q729" i="58"/>
  <c r="Q730" i="58"/>
  <c r="Q731" i="58"/>
  <c r="Q732" i="58"/>
  <c r="Q733" i="58"/>
  <c r="Q734" i="58"/>
  <c r="Q735" i="58"/>
  <c r="Q736" i="58"/>
  <c r="Q737" i="58"/>
  <c r="Q738" i="58"/>
  <c r="Q739" i="58"/>
  <c r="Q740" i="58"/>
  <c r="Q741" i="58"/>
  <c r="Q742" i="58"/>
  <c r="Q743" i="58"/>
  <c r="Q744" i="58"/>
  <c r="Q745" i="58"/>
  <c r="Q746" i="58"/>
  <c r="Q747" i="58"/>
  <c r="Q748" i="58"/>
  <c r="Q749" i="58"/>
  <c r="Q750" i="58"/>
  <c r="Q751" i="58"/>
  <c r="Q752" i="58"/>
  <c r="Q753" i="58"/>
  <c r="Q754" i="58"/>
  <c r="Q755" i="58"/>
  <c r="Q756" i="58"/>
  <c r="Q757" i="58"/>
  <c r="Q758" i="58"/>
  <c r="Q759" i="58"/>
  <c r="Q760" i="58"/>
  <c r="Q761" i="58"/>
  <c r="Q762" i="58"/>
  <c r="Q763" i="58"/>
  <c r="Q764" i="58"/>
  <c r="Q765" i="58"/>
  <c r="Q766" i="58"/>
  <c r="Q767" i="58"/>
  <c r="Q768" i="58"/>
  <c r="Q769" i="58"/>
  <c r="Q770" i="58"/>
  <c r="Q771" i="58"/>
  <c r="Q772" i="58"/>
  <c r="Q773" i="58"/>
  <c r="Q774" i="58"/>
  <c r="Q775" i="58"/>
  <c r="Q776" i="58"/>
  <c r="Q777" i="58"/>
  <c r="Q778" i="58"/>
  <c r="Q779" i="58"/>
  <c r="Q780" i="58"/>
  <c r="Q781" i="58"/>
  <c r="Q782" i="58"/>
  <c r="Q783" i="58"/>
  <c r="Q784" i="58"/>
  <c r="Q785" i="58"/>
  <c r="Q786" i="58"/>
  <c r="Q787" i="58"/>
  <c r="Q788" i="58"/>
  <c r="Q789" i="58"/>
  <c r="Q790" i="58"/>
  <c r="Q791" i="58"/>
  <c r="Q792" i="58"/>
  <c r="Q793" i="58"/>
  <c r="Q794" i="58"/>
  <c r="Q795" i="58"/>
  <c r="Q796" i="58"/>
  <c r="Q797" i="58"/>
  <c r="Q798" i="58"/>
  <c r="Q799" i="58"/>
  <c r="Q800" i="58"/>
  <c r="Q801" i="58"/>
  <c r="Q802" i="58"/>
  <c r="Q803" i="58"/>
  <c r="Q804" i="58"/>
  <c r="Q805" i="58"/>
  <c r="Q806" i="58"/>
  <c r="Q807" i="58"/>
  <c r="Q808" i="58"/>
  <c r="Q809" i="58"/>
  <c r="Q810" i="58"/>
  <c r="Q811" i="58"/>
  <c r="Q812" i="58"/>
  <c r="Q813" i="58"/>
  <c r="Q814" i="58"/>
  <c r="Q815" i="58"/>
  <c r="Q816" i="58"/>
  <c r="Q817" i="58"/>
  <c r="Q818" i="58"/>
  <c r="Q819" i="58"/>
  <c r="Q820" i="58"/>
  <c r="Q821" i="58"/>
  <c r="Q822" i="58"/>
  <c r="Q823" i="58"/>
  <c r="Q824" i="58"/>
  <c r="Q825" i="58"/>
  <c r="Q826" i="58"/>
  <c r="Q827" i="58"/>
  <c r="Q828" i="58"/>
  <c r="Q829" i="58"/>
  <c r="Q830" i="58"/>
  <c r="Q831" i="58"/>
  <c r="Q832" i="58"/>
  <c r="Q833" i="58"/>
  <c r="Q834" i="58"/>
  <c r="Q835" i="58"/>
  <c r="Q836" i="58"/>
  <c r="Q837" i="58"/>
  <c r="Q838" i="58"/>
  <c r="Q839" i="58"/>
  <c r="Q840" i="58"/>
  <c r="Q841" i="58"/>
  <c r="Q842" i="58"/>
  <c r="Q843" i="58"/>
  <c r="Q844" i="58"/>
  <c r="Q845" i="58"/>
  <c r="Q846" i="58"/>
  <c r="Q847" i="58"/>
  <c r="Q848" i="58"/>
  <c r="Q849" i="58"/>
  <c r="Q850" i="58"/>
  <c r="Q851" i="58"/>
  <c r="Q852" i="58"/>
  <c r="Q853" i="58"/>
  <c r="Q854" i="58"/>
  <c r="Q855" i="58"/>
  <c r="Q856" i="58"/>
  <c r="Q857" i="58"/>
  <c r="Q858" i="58"/>
  <c r="Q859" i="58"/>
  <c r="Q860" i="58"/>
  <c r="Q861" i="58"/>
  <c r="Q862" i="58"/>
  <c r="Q863" i="58"/>
  <c r="Q864" i="58"/>
  <c r="Q865" i="58"/>
  <c r="Q866" i="58"/>
  <c r="Q867" i="58"/>
  <c r="Q868" i="58"/>
  <c r="Q869" i="58"/>
  <c r="Q870" i="58"/>
  <c r="Q871" i="58"/>
  <c r="Q872" i="58"/>
  <c r="Q873" i="58"/>
  <c r="Q874" i="58"/>
  <c r="Q875" i="58"/>
  <c r="Q876" i="58"/>
  <c r="Q877" i="58"/>
  <c r="Q878" i="58"/>
  <c r="Q879" i="58"/>
  <c r="Q880" i="58"/>
  <c r="Q881" i="58"/>
  <c r="Q882" i="58"/>
  <c r="Q883" i="58"/>
  <c r="Q884" i="58"/>
  <c r="Q885" i="58"/>
  <c r="Q886" i="58"/>
  <c r="Q887" i="58"/>
  <c r="Q888" i="58"/>
  <c r="Q889" i="58"/>
  <c r="Q890" i="58"/>
  <c r="Q891" i="58"/>
  <c r="Q892" i="58"/>
  <c r="Q893" i="58"/>
  <c r="Q894" i="58"/>
  <c r="Q895" i="58"/>
  <c r="Q896" i="58"/>
  <c r="Q897" i="58"/>
  <c r="Q898" i="58"/>
  <c r="Q899" i="58"/>
  <c r="Q900" i="58"/>
  <c r="Q901" i="58"/>
  <c r="Q902" i="58"/>
  <c r="Q903" i="58"/>
  <c r="Q904" i="58"/>
  <c r="Q905" i="58"/>
  <c r="Q906" i="58"/>
  <c r="Q907" i="58"/>
  <c r="Q908" i="58"/>
  <c r="Q909" i="58"/>
  <c r="Q910" i="58"/>
  <c r="Q911" i="58"/>
  <c r="Q912" i="58"/>
  <c r="Q913" i="58"/>
  <c r="Q914" i="58"/>
  <c r="Q915" i="58"/>
  <c r="Q916" i="58"/>
  <c r="Q917" i="58"/>
  <c r="Q918" i="58"/>
  <c r="Q919" i="58"/>
  <c r="Q920" i="58"/>
  <c r="Q921" i="58"/>
  <c r="Q922" i="58"/>
  <c r="Q923" i="58"/>
  <c r="Q924" i="58"/>
  <c r="Q925" i="58"/>
  <c r="Q926" i="58"/>
  <c r="Q927" i="58"/>
  <c r="Q928" i="58"/>
  <c r="Q929" i="58"/>
  <c r="Q930" i="58"/>
  <c r="Q931" i="58"/>
  <c r="Q932" i="58"/>
  <c r="Q933" i="58"/>
  <c r="Q934" i="58"/>
  <c r="Q935" i="58"/>
  <c r="Q936" i="58"/>
  <c r="Q937" i="58"/>
  <c r="Q938" i="58"/>
  <c r="Q939" i="58"/>
  <c r="Q940" i="58"/>
  <c r="Q941" i="58"/>
  <c r="Q942" i="58"/>
  <c r="Q943" i="58"/>
  <c r="Q944" i="58"/>
  <c r="Q945" i="58"/>
  <c r="Q946" i="58"/>
  <c r="Q947" i="58"/>
  <c r="Q948" i="58"/>
  <c r="Q949" i="58"/>
  <c r="Q950" i="58"/>
  <c r="Q951" i="58"/>
  <c r="Q952" i="58"/>
  <c r="Q953" i="58"/>
  <c r="Q954" i="58"/>
  <c r="Q955" i="58"/>
  <c r="Q956" i="58"/>
  <c r="Q957" i="58"/>
  <c r="Q958" i="58"/>
  <c r="Q959" i="58"/>
  <c r="Q960" i="58"/>
  <c r="Q961" i="58"/>
  <c r="Q962" i="58"/>
  <c r="Q963" i="58"/>
  <c r="Q964" i="58"/>
  <c r="Q965" i="58"/>
  <c r="Q966" i="58"/>
  <c r="Q967" i="58"/>
  <c r="Q968" i="58"/>
  <c r="Q969" i="58"/>
  <c r="Q970" i="58"/>
  <c r="Q971" i="58"/>
  <c r="Q972" i="58"/>
  <c r="Q973" i="58"/>
  <c r="Q974" i="58"/>
  <c r="Q975" i="58"/>
  <c r="Q976" i="58"/>
  <c r="Q977" i="58"/>
  <c r="Q978" i="58"/>
  <c r="Q979" i="58"/>
  <c r="Q980" i="58"/>
  <c r="Q981" i="58"/>
  <c r="Q982" i="58"/>
  <c r="Q983" i="58"/>
  <c r="Q984" i="58"/>
  <c r="Q985" i="58"/>
  <c r="Q986" i="58"/>
  <c r="Q987" i="58"/>
  <c r="Q988" i="58"/>
  <c r="Q989" i="58"/>
  <c r="Q990" i="58"/>
  <c r="Q991" i="58"/>
  <c r="Q992" i="58"/>
  <c r="Q993" i="58"/>
  <c r="Q994" i="58"/>
  <c r="Q995" i="58"/>
  <c r="Q996" i="58"/>
  <c r="Q997" i="58"/>
  <c r="Q998" i="58"/>
  <c r="Q999" i="58"/>
  <c r="Q1000" i="58"/>
  <c r="Q1001" i="58"/>
  <c r="Q1002" i="58"/>
  <c r="Q1003" i="58"/>
  <c r="Q1004" i="58"/>
  <c r="Q1005" i="58"/>
  <c r="Q1006" i="58"/>
  <c r="Q1007" i="58"/>
  <c r="Q1008" i="58"/>
  <c r="Q1009" i="58"/>
  <c r="Q1010" i="58"/>
  <c r="Q1011" i="58"/>
  <c r="Q1012" i="58"/>
  <c r="Q1013" i="58"/>
  <c r="Q1014" i="58"/>
  <c r="Q1015" i="58"/>
  <c r="Q1016" i="58"/>
  <c r="Q1017" i="58"/>
  <c r="Q1018" i="58"/>
  <c r="Q1019" i="58"/>
  <c r="Q1020" i="58"/>
  <c r="Q1021" i="58"/>
  <c r="Q1022" i="58"/>
  <c r="Q1023" i="58"/>
  <c r="Q1024" i="58"/>
  <c r="Q1025" i="58"/>
  <c r="Q1026" i="58"/>
  <c r="Q1027" i="58"/>
  <c r="Q1028" i="58"/>
  <c r="Q1029" i="58"/>
  <c r="Q1030" i="58"/>
  <c r="Q1031" i="58"/>
  <c r="Q1032" i="58"/>
  <c r="Q1033" i="58"/>
  <c r="Q1034" i="58"/>
  <c r="Q1035" i="58"/>
  <c r="Q1036" i="58"/>
  <c r="R593" i="58"/>
  <c r="R594" i="58"/>
  <c r="R595" i="58"/>
  <c r="R596" i="58"/>
  <c r="R597" i="58"/>
  <c r="R598" i="58"/>
  <c r="R599" i="58"/>
  <c r="R600" i="58"/>
  <c r="R601" i="58"/>
  <c r="R602" i="58"/>
  <c r="R603" i="58"/>
  <c r="R604" i="58"/>
  <c r="R605" i="58"/>
  <c r="R606" i="58"/>
  <c r="R607" i="58"/>
  <c r="R608" i="58"/>
  <c r="R609" i="58"/>
  <c r="R610" i="58"/>
  <c r="R611" i="58"/>
  <c r="R612" i="58"/>
  <c r="R613" i="58"/>
  <c r="R614" i="58"/>
  <c r="R615" i="58"/>
  <c r="R616" i="58"/>
  <c r="R617" i="58"/>
  <c r="R618" i="58"/>
  <c r="R619" i="58"/>
  <c r="R620" i="58"/>
  <c r="R621" i="58"/>
  <c r="R622" i="58"/>
  <c r="R623" i="58"/>
  <c r="R624" i="58"/>
  <c r="R625" i="58"/>
  <c r="R626" i="58"/>
  <c r="R627" i="58"/>
  <c r="R628" i="58"/>
  <c r="R629" i="58"/>
  <c r="R630" i="58"/>
  <c r="R631" i="58"/>
  <c r="R632" i="58"/>
  <c r="R633" i="58"/>
  <c r="R634" i="58"/>
  <c r="R635" i="58"/>
  <c r="R636" i="58"/>
  <c r="R637" i="58"/>
  <c r="R638" i="58"/>
  <c r="R639" i="58"/>
  <c r="R640" i="58"/>
  <c r="R641" i="58"/>
  <c r="R642" i="58"/>
  <c r="R643" i="58"/>
  <c r="R644" i="58"/>
  <c r="R645" i="58"/>
  <c r="R646" i="58"/>
  <c r="R647" i="58"/>
  <c r="R648" i="58"/>
  <c r="R649" i="58"/>
  <c r="R650" i="58"/>
  <c r="R651" i="58"/>
  <c r="R652" i="58"/>
  <c r="R653" i="58"/>
  <c r="R654" i="58"/>
  <c r="R655" i="58"/>
  <c r="R656" i="58"/>
  <c r="R657" i="58"/>
  <c r="R658" i="58"/>
  <c r="R659" i="58"/>
  <c r="R660" i="58"/>
  <c r="R661" i="58"/>
  <c r="R662" i="58"/>
  <c r="R663" i="58"/>
  <c r="R664" i="58"/>
  <c r="R665" i="58"/>
  <c r="R666" i="58"/>
  <c r="R667" i="58"/>
  <c r="R668" i="58"/>
  <c r="R669" i="58"/>
  <c r="R670" i="58"/>
  <c r="R671" i="58"/>
  <c r="R672" i="58"/>
  <c r="R673" i="58"/>
  <c r="R674" i="58"/>
  <c r="R675" i="58"/>
  <c r="R676" i="58"/>
  <c r="R677" i="58"/>
  <c r="R678" i="58"/>
  <c r="R679" i="58"/>
  <c r="R680" i="58"/>
  <c r="R681" i="58"/>
  <c r="R682" i="58"/>
  <c r="R683" i="58"/>
  <c r="R684" i="58"/>
  <c r="R685" i="58"/>
  <c r="R686" i="58"/>
  <c r="R687" i="58"/>
  <c r="R688" i="58"/>
  <c r="R689" i="58"/>
  <c r="R690" i="58"/>
  <c r="R691" i="58"/>
  <c r="R692" i="58"/>
  <c r="R693" i="58"/>
  <c r="R694" i="58"/>
  <c r="R695" i="58"/>
  <c r="R696" i="58"/>
  <c r="R697" i="58"/>
  <c r="R698" i="58"/>
  <c r="R699" i="58"/>
  <c r="R700" i="58"/>
  <c r="R701" i="58"/>
  <c r="R702" i="58"/>
  <c r="R703" i="58"/>
  <c r="R704" i="58"/>
  <c r="R705" i="58"/>
  <c r="R706" i="58"/>
  <c r="R707" i="58"/>
  <c r="R708" i="58"/>
  <c r="R709" i="58"/>
  <c r="R710" i="58"/>
  <c r="R711" i="58"/>
  <c r="R712" i="58"/>
  <c r="R713" i="58"/>
  <c r="R714" i="58"/>
  <c r="R715" i="58"/>
  <c r="R716" i="58"/>
  <c r="R717" i="58"/>
  <c r="R718" i="58"/>
  <c r="R719" i="58"/>
  <c r="R720" i="58"/>
  <c r="R721" i="58"/>
  <c r="R722" i="58"/>
  <c r="R723" i="58"/>
  <c r="R724" i="58"/>
  <c r="R725" i="58"/>
  <c r="R726" i="58"/>
  <c r="R727" i="58"/>
  <c r="R728" i="58"/>
  <c r="R729" i="58"/>
  <c r="R730" i="58"/>
  <c r="R731" i="58"/>
  <c r="R732" i="58"/>
  <c r="R733" i="58"/>
  <c r="R734" i="58"/>
  <c r="R735" i="58"/>
  <c r="R736" i="58"/>
  <c r="R737" i="58"/>
  <c r="R738" i="58"/>
  <c r="R739" i="58"/>
  <c r="R740" i="58"/>
  <c r="R741" i="58"/>
  <c r="R742" i="58"/>
  <c r="R743" i="58"/>
  <c r="R744" i="58"/>
  <c r="R745" i="58"/>
  <c r="R746" i="58"/>
  <c r="R747" i="58"/>
  <c r="R748" i="58"/>
  <c r="R749" i="58"/>
  <c r="R750" i="58"/>
  <c r="R751" i="58"/>
  <c r="R752" i="58"/>
  <c r="R753" i="58"/>
  <c r="R754" i="58"/>
  <c r="R755" i="58"/>
  <c r="R756" i="58"/>
  <c r="R757" i="58"/>
  <c r="R758" i="58"/>
  <c r="R759" i="58"/>
  <c r="R760" i="58"/>
  <c r="R761" i="58"/>
  <c r="R762" i="58"/>
  <c r="R763" i="58"/>
  <c r="R764" i="58"/>
  <c r="R765" i="58"/>
  <c r="R766" i="58"/>
  <c r="R767" i="58"/>
  <c r="R768" i="58"/>
  <c r="R769" i="58"/>
  <c r="R770" i="58"/>
  <c r="R771" i="58"/>
  <c r="R772" i="58"/>
  <c r="R773" i="58"/>
  <c r="R774" i="58"/>
  <c r="R775" i="58"/>
  <c r="R776" i="58"/>
  <c r="R777" i="58"/>
  <c r="R778" i="58"/>
  <c r="R779" i="58"/>
  <c r="R780" i="58"/>
  <c r="R781" i="58"/>
  <c r="R782" i="58"/>
  <c r="R783" i="58"/>
  <c r="R784" i="58"/>
  <c r="R785" i="58"/>
  <c r="R786" i="58"/>
  <c r="R787" i="58"/>
  <c r="R788" i="58"/>
  <c r="R789" i="58"/>
  <c r="R790" i="58"/>
  <c r="R791" i="58"/>
  <c r="R792" i="58"/>
  <c r="R793" i="58"/>
  <c r="R794" i="58"/>
  <c r="R795" i="58"/>
  <c r="R796" i="58"/>
  <c r="R797" i="58"/>
  <c r="R798" i="58"/>
  <c r="R799" i="58"/>
  <c r="R800" i="58"/>
  <c r="R801" i="58"/>
  <c r="R802" i="58"/>
  <c r="R803" i="58"/>
  <c r="R804" i="58"/>
  <c r="R805" i="58"/>
  <c r="R806" i="58"/>
  <c r="R807" i="58"/>
  <c r="R808" i="58"/>
  <c r="R809" i="58"/>
  <c r="R810" i="58"/>
  <c r="R811" i="58"/>
  <c r="R812" i="58"/>
  <c r="R813" i="58"/>
  <c r="R814" i="58"/>
  <c r="R815" i="58"/>
  <c r="R816" i="58"/>
  <c r="R817" i="58"/>
  <c r="R818" i="58"/>
  <c r="R819" i="58"/>
  <c r="R820" i="58"/>
  <c r="R821" i="58"/>
  <c r="R822" i="58"/>
  <c r="R823" i="58"/>
  <c r="R824" i="58"/>
  <c r="R825" i="58"/>
  <c r="R826" i="58"/>
  <c r="R827" i="58"/>
  <c r="R828" i="58"/>
  <c r="R829" i="58"/>
  <c r="R830" i="58"/>
  <c r="R831" i="58"/>
  <c r="R832" i="58"/>
  <c r="R833" i="58"/>
  <c r="R834" i="58"/>
  <c r="R835" i="58"/>
  <c r="R836" i="58"/>
  <c r="R837" i="58"/>
  <c r="R838" i="58"/>
  <c r="R839" i="58"/>
  <c r="R840" i="58"/>
  <c r="R841" i="58"/>
  <c r="R842" i="58"/>
  <c r="R843" i="58"/>
  <c r="R844" i="58"/>
  <c r="R845" i="58"/>
  <c r="R846" i="58"/>
  <c r="R847" i="58"/>
  <c r="R848" i="58"/>
  <c r="R849" i="58"/>
  <c r="R850" i="58"/>
  <c r="R851" i="58"/>
  <c r="R852" i="58"/>
  <c r="R853" i="58"/>
  <c r="R854" i="58"/>
  <c r="R855" i="58"/>
  <c r="R856" i="58"/>
  <c r="R857" i="58"/>
  <c r="R858" i="58"/>
  <c r="R859" i="58"/>
  <c r="R860" i="58"/>
  <c r="R861" i="58"/>
  <c r="R862" i="58"/>
  <c r="R863" i="58"/>
  <c r="R864" i="58"/>
  <c r="R865" i="58"/>
  <c r="R866" i="58"/>
  <c r="R867" i="58"/>
  <c r="R868" i="58"/>
  <c r="R869" i="58"/>
  <c r="R870" i="58"/>
  <c r="R871" i="58"/>
  <c r="R872" i="58"/>
  <c r="R873" i="58"/>
  <c r="R874" i="58"/>
  <c r="R875" i="58"/>
  <c r="R876" i="58"/>
  <c r="R877" i="58"/>
  <c r="R878" i="58"/>
  <c r="R879" i="58"/>
  <c r="R880" i="58"/>
  <c r="R881" i="58"/>
  <c r="R882" i="58"/>
  <c r="R883" i="58"/>
  <c r="R884" i="58"/>
  <c r="R885" i="58"/>
  <c r="R886" i="58"/>
  <c r="R887" i="58"/>
  <c r="R888" i="58"/>
  <c r="R889" i="58"/>
  <c r="R890" i="58"/>
  <c r="R891" i="58"/>
  <c r="R892" i="58"/>
  <c r="R893" i="58"/>
  <c r="R894" i="58"/>
  <c r="R895" i="58"/>
  <c r="R896" i="58"/>
  <c r="R897" i="58"/>
  <c r="R898" i="58"/>
  <c r="R899" i="58"/>
  <c r="R900" i="58"/>
  <c r="R901" i="58"/>
  <c r="R902" i="58"/>
  <c r="R903" i="58"/>
  <c r="R904" i="58"/>
  <c r="R905" i="58"/>
  <c r="R906" i="58"/>
  <c r="R907" i="58"/>
  <c r="R908" i="58"/>
  <c r="R909" i="58"/>
  <c r="R910" i="58"/>
  <c r="R911" i="58"/>
  <c r="R912" i="58"/>
  <c r="R913" i="58"/>
  <c r="R914" i="58"/>
  <c r="R915" i="58"/>
  <c r="R916" i="58"/>
  <c r="R917" i="58"/>
  <c r="R918" i="58"/>
  <c r="R919" i="58"/>
  <c r="R920" i="58"/>
  <c r="R921" i="58"/>
  <c r="R922" i="58"/>
  <c r="R923" i="58"/>
  <c r="R924" i="58"/>
  <c r="R925" i="58"/>
  <c r="R926" i="58"/>
  <c r="R927" i="58"/>
  <c r="R928" i="58"/>
  <c r="R929" i="58"/>
  <c r="R930" i="58"/>
  <c r="R931" i="58"/>
  <c r="R932" i="58"/>
  <c r="R933" i="58"/>
  <c r="R934" i="58"/>
  <c r="R935" i="58"/>
  <c r="R936" i="58"/>
  <c r="R937" i="58"/>
  <c r="R938" i="58"/>
  <c r="R939" i="58"/>
  <c r="R940" i="58"/>
  <c r="R941" i="58"/>
  <c r="R942" i="58"/>
  <c r="R943" i="58"/>
  <c r="R944" i="58"/>
  <c r="R945" i="58"/>
  <c r="R946" i="58"/>
  <c r="R947" i="58"/>
  <c r="R948" i="58"/>
  <c r="R949" i="58"/>
  <c r="R950" i="58"/>
  <c r="R951" i="58"/>
  <c r="R952" i="58"/>
  <c r="R953" i="58"/>
  <c r="R954" i="58"/>
  <c r="R955" i="58"/>
  <c r="R956" i="58"/>
  <c r="R957" i="58"/>
  <c r="R958" i="58"/>
  <c r="R959" i="58"/>
  <c r="R960" i="58"/>
  <c r="R961" i="58"/>
  <c r="R962" i="58"/>
  <c r="R963" i="58"/>
  <c r="R964" i="58"/>
  <c r="R965" i="58"/>
  <c r="R966" i="58"/>
  <c r="R967" i="58"/>
  <c r="R968" i="58"/>
  <c r="R969" i="58"/>
  <c r="R970" i="58"/>
  <c r="R971" i="58"/>
  <c r="R972" i="58"/>
  <c r="R973" i="58"/>
  <c r="R974" i="58"/>
  <c r="R975" i="58"/>
  <c r="R976" i="58"/>
  <c r="R977" i="58"/>
  <c r="R978" i="58"/>
  <c r="R979" i="58"/>
  <c r="R980" i="58"/>
  <c r="R981" i="58"/>
  <c r="R982" i="58"/>
  <c r="R983" i="58"/>
  <c r="R984" i="58"/>
  <c r="R985" i="58"/>
  <c r="R986" i="58"/>
  <c r="R987" i="58"/>
  <c r="R988" i="58"/>
  <c r="R989" i="58"/>
  <c r="R990" i="58"/>
  <c r="R991" i="58"/>
  <c r="R992" i="58"/>
  <c r="R993" i="58"/>
  <c r="R994" i="58"/>
  <c r="R995" i="58"/>
  <c r="R996" i="58"/>
  <c r="R997" i="58"/>
  <c r="R998" i="58"/>
  <c r="R999" i="58"/>
  <c r="R1000" i="58"/>
  <c r="R1001" i="58"/>
  <c r="R1002" i="58"/>
  <c r="R1003" i="58"/>
  <c r="R1004" i="58"/>
  <c r="R1005" i="58"/>
  <c r="R1006" i="58"/>
  <c r="R1007" i="58"/>
  <c r="R1008" i="58"/>
  <c r="R1009" i="58"/>
  <c r="R1010" i="58"/>
  <c r="R1011" i="58"/>
  <c r="R1012" i="58"/>
  <c r="R1013" i="58"/>
  <c r="R1014" i="58"/>
  <c r="R1015" i="58"/>
  <c r="R1016" i="58"/>
  <c r="R1017" i="58"/>
  <c r="R1018" i="58"/>
  <c r="R1019" i="58"/>
  <c r="R1020" i="58"/>
  <c r="R1021" i="58"/>
  <c r="R1022" i="58"/>
  <c r="R1023" i="58"/>
  <c r="R1024" i="58"/>
  <c r="R1025" i="58"/>
  <c r="R1026" i="58"/>
  <c r="R1027" i="58"/>
  <c r="R1028" i="58"/>
  <c r="R1029" i="58"/>
  <c r="R1030" i="58"/>
  <c r="R1031" i="58"/>
  <c r="R1032" i="58"/>
  <c r="R1033" i="58"/>
  <c r="R1034" i="58"/>
  <c r="R1035" i="58"/>
  <c r="R1036" i="58"/>
  <c r="S593" i="58"/>
  <c r="S594" i="58"/>
  <c r="S595" i="58"/>
  <c r="S596" i="58"/>
  <c r="S597" i="58"/>
  <c r="S598" i="58"/>
  <c r="S599" i="58"/>
  <c r="S600" i="58"/>
  <c r="S601" i="58"/>
  <c r="S602" i="58"/>
  <c r="S603" i="58"/>
  <c r="S604" i="58"/>
  <c r="S605" i="58"/>
  <c r="S606" i="58"/>
  <c r="S607" i="58"/>
  <c r="S608" i="58"/>
  <c r="S609" i="58"/>
  <c r="S610" i="58"/>
  <c r="S611" i="58"/>
  <c r="S612" i="58"/>
  <c r="S613" i="58"/>
  <c r="S614" i="58"/>
  <c r="S615" i="58"/>
  <c r="S616" i="58"/>
  <c r="S617" i="58"/>
  <c r="S618" i="58"/>
  <c r="S619" i="58"/>
  <c r="S620" i="58"/>
  <c r="S621" i="58"/>
  <c r="S622" i="58"/>
  <c r="S623" i="58"/>
  <c r="S624" i="58"/>
  <c r="S625" i="58"/>
  <c r="S626" i="58"/>
  <c r="S627" i="58"/>
  <c r="S628" i="58"/>
  <c r="S629" i="58"/>
  <c r="S630" i="58"/>
  <c r="S631" i="58"/>
  <c r="S632" i="58"/>
  <c r="S633" i="58"/>
  <c r="S634" i="58"/>
  <c r="S635" i="58"/>
  <c r="S636" i="58"/>
  <c r="S637" i="58"/>
  <c r="S638" i="58"/>
  <c r="S639" i="58"/>
  <c r="S640" i="58"/>
  <c r="S641" i="58"/>
  <c r="S642" i="58"/>
  <c r="S643" i="58"/>
  <c r="S644" i="58"/>
  <c r="S645" i="58"/>
  <c r="S646" i="58"/>
  <c r="S647" i="58"/>
  <c r="S648" i="58"/>
  <c r="S649" i="58"/>
  <c r="S650" i="58"/>
  <c r="S651" i="58"/>
  <c r="S652" i="58"/>
  <c r="S653" i="58"/>
  <c r="S654" i="58"/>
  <c r="S655" i="58"/>
  <c r="S656" i="58"/>
  <c r="S657" i="58"/>
  <c r="S658" i="58"/>
  <c r="S659" i="58"/>
  <c r="S660" i="58"/>
  <c r="S661" i="58"/>
  <c r="S662" i="58"/>
  <c r="S663" i="58"/>
  <c r="S664" i="58"/>
  <c r="S665" i="58"/>
  <c r="S666" i="58"/>
  <c r="S667" i="58"/>
  <c r="S668" i="58"/>
  <c r="S669" i="58"/>
  <c r="S670" i="58"/>
  <c r="S671" i="58"/>
  <c r="S672" i="58"/>
  <c r="S673" i="58"/>
  <c r="S674" i="58"/>
  <c r="S675" i="58"/>
  <c r="S676" i="58"/>
  <c r="S677" i="58"/>
  <c r="S678" i="58"/>
  <c r="S679" i="58"/>
  <c r="S680" i="58"/>
  <c r="S681" i="58"/>
  <c r="S682" i="58"/>
  <c r="S683" i="58"/>
  <c r="S684" i="58"/>
  <c r="S685" i="58"/>
  <c r="S686" i="58"/>
  <c r="S687" i="58"/>
  <c r="S688" i="58"/>
  <c r="S689" i="58"/>
  <c r="S690" i="58"/>
  <c r="S691" i="58"/>
  <c r="S692" i="58"/>
  <c r="S693" i="58"/>
  <c r="S694" i="58"/>
  <c r="S695" i="58"/>
  <c r="S696" i="58"/>
  <c r="S697" i="58"/>
  <c r="S698" i="58"/>
  <c r="S699" i="58"/>
  <c r="S700" i="58"/>
  <c r="S701" i="58"/>
  <c r="S702" i="58"/>
  <c r="S703" i="58"/>
  <c r="S704" i="58"/>
  <c r="S705" i="58"/>
  <c r="S706" i="58"/>
  <c r="S707" i="58"/>
  <c r="S708" i="58"/>
  <c r="S709" i="58"/>
  <c r="S710" i="58"/>
  <c r="S711" i="58"/>
  <c r="S712" i="58"/>
  <c r="S713" i="58"/>
  <c r="S714" i="58"/>
  <c r="S715" i="58"/>
  <c r="S716" i="58"/>
  <c r="S717" i="58"/>
  <c r="S718" i="58"/>
  <c r="S719" i="58"/>
  <c r="S720" i="58"/>
  <c r="S721" i="58"/>
  <c r="S722" i="58"/>
  <c r="S723" i="58"/>
  <c r="S724" i="58"/>
  <c r="S725" i="58"/>
  <c r="S726" i="58"/>
  <c r="S727" i="58"/>
  <c r="S728" i="58"/>
  <c r="S729" i="58"/>
  <c r="S730" i="58"/>
  <c r="S731" i="58"/>
  <c r="S732" i="58"/>
  <c r="S733" i="58"/>
  <c r="S734" i="58"/>
  <c r="S735" i="58"/>
  <c r="S736" i="58"/>
  <c r="S737" i="58"/>
  <c r="S738" i="58"/>
  <c r="S739" i="58"/>
  <c r="S740" i="58"/>
  <c r="S741" i="58"/>
  <c r="S742" i="58"/>
  <c r="S743" i="58"/>
  <c r="S744" i="58"/>
  <c r="S745" i="58"/>
  <c r="S746" i="58"/>
  <c r="S747" i="58"/>
  <c r="S748" i="58"/>
  <c r="S749" i="58"/>
  <c r="S750" i="58"/>
  <c r="S751" i="58"/>
  <c r="S752" i="58"/>
  <c r="S753" i="58"/>
  <c r="S754" i="58"/>
  <c r="S755" i="58"/>
  <c r="S756" i="58"/>
  <c r="S757" i="58"/>
  <c r="S758" i="58"/>
  <c r="S759" i="58"/>
  <c r="S760" i="58"/>
  <c r="S761" i="58"/>
  <c r="S762" i="58"/>
  <c r="S763" i="58"/>
  <c r="S764" i="58"/>
  <c r="S765" i="58"/>
  <c r="S766" i="58"/>
  <c r="S767" i="58"/>
  <c r="S768" i="58"/>
  <c r="S769" i="58"/>
  <c r="S770" i="58"/>
  <c r="S771" i="58"/>
  <c r="S772" i="58"/>
  <c r="S773" i="58"/>
  <c r="S774" i="58"/>
  <c r="S775" i="58"/>
  <c r="S776" i="58"/>
  <c r="S777" i="58"/>
  <c r="S778" i="58"/>
  <c r="S779" i="58"/>
  <c r="S780" i="58"/>
  <c r="S781" i="58"/>
  <c r="S782" i="58"/>
  <c r="S783" i="58"/>
  <c r="S784" i="58"/>
  <c r="S785" i="58"/>
  <c r="S786" i="58"/>
  <c r="S787" i="58"/>
  <c r="S788" i="58"/>
  <c r="S789" i="58"/>
  <c r="S790" i="58"/>
  <c r="S791" i="58"/>
  <c r="S792" i="58"/>
  <c r="S793" i="58"/>
  <c r="S794" i="58"/>
  <c r="S795" i="58"/>
  <c r="S796" i="58"/>
  <c r="S797" i="58"/>
  <c r="S798" i="58"/>
  <c r="S799" i="58"/>
  <c r="S800" i="58"/>
  <c r="S801" i="58"/>
  <c r="S802" i="58"/>
  <c r="S803" i="58"/>
  <c r="S804" i="58"/>
  <c r="S805" i="58"/>
  <c r="S806" i="58"/>
  <c r="S807" i="58"/>
  <c r="S808" i="58"/>
  <c r="S809" i="58"/>
  <c r="S810" i="58"/>
  <c r="S811" i="58"/>
  <c r="S812" i="58"/>
  <c r="S813" i="58"/>
  <c r="S814" i="58"/>
  <c r="S815" i="58"/>
  <c r="S816" i="58"/>
  <c r="S817" i="58"/>
  <c r="S818" i="58"/>
  <c r="S819" i="58"/>
  <c r="S820" i="58"/>
  <c r="S821" i="58"/>
  <c r="S822" i="58"/>
  <c r="S823" i="58"/>
  <c r="S824" i="58"/>
  <c r="S825" i="58"/>
  <c r="S826" i="58"/>
  <c r="S827" i="58"/>
  <c r="S828" i="58"/>
  <c r="S829" i="58"/>
  <c r="S830" i="58"/>
  <c r="S831" i="58"/>
  <c r="S832" i="58"/>
  <c r="S833" i="58"/>
  <c r="S834" i="58"/>
  <c r="S835" i="58"/>
  <c r="S836" i="58"/>
  <c r="S837" i="58"/>
  <c r="S838" i="58"/>
  <c r="S839" i="58"/>
  <c r="S840" i="58"/>
  <c r="S841" i="58"/>
  <c r="S842" i="58"/>
  <c r="S843" i="58"/>
  <c r="S844" i="58"/>
  <c r="S845" i="58"/>
  <c r="S846" i="58"/>
  <c r="S847" i="58"/>
  <c r="S848" i="58"/>
  <c r="S849" i="58"/>
  <c r="S850" i="58"/>
  <c r="S851" i="58"/>
  <c r="S852" i="58"/>
  <c r="S853" i="58"/>
  <c r="S854" i="58"/>
  <c r="S855" i="58"/>
  <c r="S856" i="58"/>
  <c r="S857" i="58"/>
  <c r="S858" i="58"/>
  <c r="S859" i="58"/>
  <c r="S860" i="58"/>
  <c r="S861" i="58"/>
  <c r="S862" i="58"/>
  <c r="S863" i="58"/>
  <c r="S864" i="58"/>
  <c r="S865" i="58"/>
  <c r="S866" i="58"/>
  <c r="S867" i="58"/>
  <c r="S868" i="58"/>
  <c r="S869" i="58"/>
  <c r="S870" i="58"/>
  <c r="S871" i="58"/>
  <c r="S872" i="58"/>
  <c r="S873" i="58"/>
  <c r="S874" i="58"/>
  <c r="S875" i="58"/>
  <c r="S876" i="58"/>
  <c r="S877" i="58"/>
  <c r="S878" i="58"/>
  <c r="S879" i="58"/>
  <c r="S880" i="58"/>
  <c r="S881" i="58"/>
  <c r="S882" i="58"/>
  <c r="S883" i="58"/>
  <c r="S884" i="58"/>
  <c r="S885" i="58"/>
  <c r="S886" i="58"/>
  <c r="S887" i="58"/>
  <c r="S888" i="58"/>
  <c r="S889" i="58"/>
  <c r="S890" i="58"/>
  <c r="S891" i="58"/>
  <c r="S892" i="58"/>
  <c r="S893" i="58"/>
  <c r="S894" i="58"/>
  <c r="S895" i="58"/>
  <c r="S896" i="58"/>
  <c r="S897" i="58"/>
  <c r="S898" i="58"/>
  <c r="S899" i="58"/>
  <c r="S900" i="58"/>
  <c r="S901" i="58"/>
  <c r="S902" i="58"/>
  <c r="S903" i="58"/>
  <c r="S904" i="58"/>
  <c r="S905" i="58"/>
  <c r="S906" i="58"/>
  <c r="S907" i="58"/>
  <c r="S908" i="58"/>
  <c r="S909" i="58"/>
  <c r="S910" i="58"/>
  <c r="S911" i="58"/>
  <c r="S912" i="58"/>
  <c r="S913" i="58"/>
  <c r="S914" i="58"/>
  <c r="S915" i="58"/>
  <c r="S916" i="58"/>
  <c r="S917" i="58"/>
  <c r="S918" i="58"/>
  <c r="S919" i="58"/>
  <c r="S920" i="58"/>
  <c r="S921" i="58"/>
  <c r="S922" i="58"/>
  <c r="S923" i="58"/>
  <c r="S924" i="58"/>
  <c r="S925" i="58"/>
  <c r="S926" i="58"/>
  <c r="S927" i="58"/>
  <c r="S928" i="58"/>
  <c r="S929" i="58"/>
  <c r="S930" i="58"/>
  <c r="S931" i="58"/>
  <c r="S932" i="58"/>
  <c r="S933" i="58"/>
  <c r="S934" i="58"/>
  <c r="S935" i="58"/>
  <c r="S936" i="58"/>
  <c r="S937" i="58"/>
  <c r="S938" i="58"/>
  <c r="S939" i="58"/>
  <c r="S940" i="58"/>
  <c r="S941" i="58"/>
  <c r="S942" i="58"/>
  <c r="S943" i="58"/>
  <c r="S944" i="58"/>
  <c r="S945" i="58"/>
  <c r="S946" i="58"/>
  <c r="S947" i="58"/>
  <c r="S948" i="58"/>
  <c r="S949" i="58"/>
  <c r="S950" i="58"/>
  <c r="S951" i="58"/>
  <c r="S952" i="58"/>
  <c r="S953" i="58"/>
  <c r="S954" i="58"/>
  <c r="S955" i="58"/>
  <c r="S956" i="58"/>
  <c r="S957" i="58"/>
  <c r="S958" i="58"/>
  <c r="S959" i="58"/>
  <c r="S960" i="58"/>
  <c r="S961" i="58"/>
  <c r="S962" i="58"/>
  <c r="S963" i="58"/>
  <c r="S964" i="58"/>
  <c r="S965" i="58"/>
  <c r="S966" i="58"/>
  <c r="S967" i="58"/>
  <c r="S968" i="58"/>
  <c r="S969" i="58"/>
  <c r="S970" i="58"/>
  <c r="S971" i="58"/>
  <c r="S972" i="58"/>
  <c r="S973" i="58"/>
  <c r="S974" i="58"/>
  <c r="S975" i="58"/>
  <c r="S976" i="58"/>
  <c r="S977" i="58"/>
  <c r="S978" i="58"/>
  <c r="S979" i="58"/>
  <c r="S980" i="58"/>
  <c r="S981" i="58"/>
  <c r="S982" i="58"/>
  <c r="S983" i="58"/>
  <c r="S984" i="58"/>
  <c r="S985" i="58"/>
  <c r="S986" i="58"/>
  <c r="S987" i="58"/>
  <c r="S988" i="58"/>
  <c r="S989" i="58"/>
  <c r="S990" i="58"/>
  <c r="S991" i="58"/>
  <c r="S992" i="58"/>
  <c r="S993" i="58"/>
  <c r="S994" i="58"/>
  <c r="S995" i="58"/>
  <c r="S996" i="58"/>
  <c r="S997" i="58"/>
  <c r="S998" i="58"/>
  <c r="S999" i="58"/>
  <c r="S1000" i="58"/>
  <c r="S1001" i="58"/>
  <c r="S1002" i="58"/>
  <c r="S1003" i="58"/>
  <c r="S1004" i="58"/>
  <c r="S1005" i="58"/>
  <c r="S1006" i="58"/>
  <c r="S1007" i="58"/>
  <c r="S1008" i="58"/>
  <c r="S1009" i="58"/>
  <c r="S1010" i="58"/>
  <c r="S1011" i="58"/>
  <c r="S1012" i="58"/>
  <c r="S1013" i="58"/>
  <c r="S1014" i="58"/>
  <c r="S1015" i="58"/>
  <c r="S1016" i="58"/>
  <c r="S1017" i="58"/>
  <c r="S1018" i="58"/>
  <c r="S1019" i="58"/>
  <c r="S1020" i="58"/>
  <c r="S1021" i="58"/>
  <c r="S1022" i="58"/>
  <c r="S1023" i="58"/>
  <c r="S1024" i="58"/>
  <c r="S1025" i="58"/>
  <c r="S1026" i="58"/>
  <c r="S1027" i="58"/>
  <c r="S1028" i="58"/>
  <c r="S1029" i="58"/>
  <c r="S1030" i="58"/>
  <c r="S1031" i="58"/>
  <c r="S1032" i="58"/>
  <c r="S1033" i="58"/>
  <c r="S1034" i="58"/>
  <c r="S1035" i="58"/>
  <c r="S1036" i="58"/>
  <c r="T593" i="58"/>
  <c r="T594" i="58"/>
  <c r="T595" i="58"/>
  <c r="T596" i="58"/>
  <c r="T597" i="58"/>
  <c r="T598" i="58"/>
  <c r="T599" i="58"/>
  <c r="T600" i="58"/>
  <c r="T601" i="58"/>
  <c r="T602" i="58"/>
  <c r="T603" i="58"/>
  <c r="T604" i="58"/>
  <c r="T605" i="58"/>
  <c r="T606" i="58"/>
  <c r="T607" i="58"/>
  <c r="T608" i="58"/>
  <c r="T609" i="58"/>
  <c r="T610" i="58"/>
  <c r="T611" i="58"/>
  <c r="T612" i="58"/>
  <c r="T613" i="58"/>
  <c r="T614" i="58"/>
  <c r="T615" i="58"/>
  <c r="T616" i="58"/>
  <c r="T617" i="58"/>
  <c r="T618" i="58"/>
  <c r="T619" i="58"/>
  <c r="T620" i="58"/>
  <c r="T621" i="58"/>
  <c r="T622" i="58"/>
  <c r="T623" i="58"/>
  <c r="T624" i="58"/>
  <c r="T625" i="58"/>
  <c r="T626" i="58"/>
  <c r="T627" i="58"/>
  <c r="T628" i="58"/>
  <c r="T629" i="58"/>
  <c r="T630" i="58"/>
  <c r="T631" i="58"/>
  <c r="T632" i="58"/>
  <c r="T633" i="58"/>
  <c r="T634" i="58"/>
  <c r="T635" i="58"/>
  <c r="T636" i="58"/>
  <c r="T637" i="58"/>
  <c r="T638" i="58"/>
  <c r="T639" i="58"/>
  <c r="T640" i="58"/>
  <c r="T641" i="58"/>
  <c r="T642" i="58"/>
  <c r="T643" i="58"/>
  <c r="T644" i="58"/>
  <c r="T645" i="58"/>
  <c r="T646" i="58"/>
  <c r="T647" i="58"/>
  <c r="T648" i="58"/>
  <c r="T649" i="58"/>
  <c r="T650" i="58"/>
  <c r="T651" i="58"/>
  <c r="T652" i="58"/>
  <c r="T653" i="58"/>
  <c r="T654" i="58"/>
  <c r="T655" i="58"/>
  <c r="T656" i="58"/>
  <c r="T657" i="58"/>
  <c r="T658" i="58"/>
  <c r="T659" i="58"/>
  <c r="T660" i="58"/>
  <c r="T661" i="58"/>
  <c r="T662" i="58"/>
  <c r="T663" i="58"/>
  <c r="T664" i="58"/>
  <c r="T665" i="58"/>
  <c r="T666" i="58"/>
  <c r="T667" i="58"/>
  <c r="T668" i="58"/>
  <c r="T669" i="58"/>
  <c r="T670" i="58"/>
  <c r="T671" i="58"/>
  <c r="T672" i="58"/>
  <c r="T673" i="58"/>
  <c r="T674" i="58"/>
  <c r="T675" i="58"/>
  <c r="T676" i="58"/>
  <c r="T677" i="58"/>
  <c r="T678" i="58"/>
  <c r="T679" i="58"/>
  <c r="T680" i="58"/>
  <c r="T681" i="58"/>
  <c r="T682" i="58"/>
  <c r="T683" i="58"/>
  <c r="T684" i="58"/>
  <c r="T685" i="58"/>
  <c r="T686" i="58"/>
  <c r="T687" i="58"/>
  <c r="T688" i="58"/>
  <c r="T689" i="58"/>
  <c r="T690" i="58"/>
  <c r="T691" i="58"/>
  <c r="T692" i="58"/>
  <c r="T693" i="58"/>
  <c r="T694" i="58"/>
  <c r="T695" i="58"/>
  <c r="T696" i="58"/>
  <c r="T697" i="58"/>
  <c r="T698" i="58"/>
  <c r="T699" i="58"/>
  <c r="T700" i="58"/>
  <c r="T701" i="58"/>
  <c r="T702" i="58"/>
  <c r="T703" i="58"/>
  <c r="T704" i="58"/>
  <c r="T705" i="58"/>
  <c r="T706" i="58"/>
  <c r="T707" i="58"/>
  <c r="T708" i="58"/>
  <c r="T709" i="58"/>
  <c r="T710" i="58"/>
  <c r="T711" i="58"/>
  <c r="T712" i="58"/>
  <c r="T713" i="58"/>
  <c r="T714" i="58"/>
  <c r="T715" i="58"/>
  <c r="T716" i="58"/>
  <c r="T717" i="58"/>
  <c r="T718" i="58"/>
  <c r="T719" i="58"/>
  <c r="T720" i="58"/>
  <c r="T721" i="58"/>
  <c r="T722" i="58"/>
  <c r="T723" i="58"/>
  <c r="T724" i="58"/>
  <c r="T725" i="58"/>
  <c r="T726" i="58"/>
  <c r="T727" i="58"/>
  <c r="T728" i="58"/>
  <c r="T729" i="58"/>
  <c r="T730" i="58"/>
  <c r="T731" i="58"/>
  <c r="T732" i="58"/>
  <c r="T733" i="58"/>
  <c r="T734" i="58"/>
  <c r="T735" i="58"/>
  <c r="T736" i="58"/>
  <c r="T737" i="58"/>
  <c r="T738" i="58"/>
  <c r="T739" i="58"/>
  <c r="T740" i="58"/>
  <c r="T741" i="58"/>
  <c r="T742" i="58"/>
  <c r="T743" i="58"/>
  <c r="T744" i="58"/>
  <c r="T745" i="58"/>
  <c r="T746" i="58"/>
  <c r="T747" i="58"/>
  <c r="T748" i="58"/>
  <c r="T749" i="58"/>
  <c r="T750" i="58"/>
  <c r="T751" i="58"/>
  <c r="T752" i="58"/>
  <c r="T753" i="58"/>
  <c r="T754" i="58"/>
  <c r="T755" i="58"/>
  <c r="T756" i="58"/>
  <c r="T757" i="58"/>
  <c r="T758" i="58"/>
  <c r="T759" i="58"/>
  <c r="T760" i="58"/>
  <c r="T761" i="58"/>
  <c r="T762" i="58"/>
  <c r="T763" i="58"/>
  <c r="T764" i="58"/>
  <c r="T765" i="58"/>
  <c r="T766" i="58"/>
  <c r="T767" i="58"/>
  <c r="T768" i="58"/>
  <c r="T769" i="58"/>
  <c r="T770" i="58"/>
  <c r="T771" i="58"/>
  <c r="T772" i="58"/>
  <c r="T773" i="58"/>
  <c r="T774" i="58"/>
  <c r="T775" i="58"/>
  <c r="T776" i="58"/>
  <c r="T777" i="58"/>
  <c r="T778" i="58"/>
  <c r="T779" i="58"/>
  <c r="T780" i="58"/>
  <c r="T781" i="58"/>
  <c r="T782" i="58"/>
  <c r="T783" i="58"/>
  <c r="T784" i="58"/>
  <c r="T785" i="58"/>
  <c r="T786" i="58"/>
  <c r="T787" i="58"/>
  <c r="T788" i="58"/>
  <c r="T789" i="58"/>
  <c r="T790" i="58"/>
  <c r="T791" i="58"/>
  <c r="T792" i="58"/>
  <c r="T793" i="58"/>
  <c r="T794" i="58"/>
  <c r="T795" i="58"/>
  <c r="T796" i="58"/>
  <c r="T797" i="58"/>
  <c r="T798" i="58"/>
  <c r="T799" i="58"/>
  <c r="T800" i="58"/>
  <c r="T801" i="58"/>
  <c r="T802" i="58"/>
  <c r="T803" i="58"/>
  <c r="T804" i="58"/>
  <c r="T805" i="58"/>
  <c r="T806" i="58"/>
  <c r="T807" i="58"/>
  <c r="T808" i="58"/>
  <c r="T809" i="58"/>
  <c r="T810" i="58"/>
  <c r="T811" i="58"/>
  <c r="T812" i="58"/>
  <c r="T813" i="58"/>
  <c r="T814" i="58"/>
  <c r="T815" i="58"/>
  <c r="T816" i="58"/>
  <c r="T817" i="58"/>
  <c r="T818" i="58"/>
  <c r="T819" i="58"/>
  <c r="T820" i="58"/>
  <c r="T821" i="58"/>
  <c r="T822" i="58"/>
  <c r="T823" i="58"/>
  <c r="T824" i="58"/>
  <c r="T825" i="58"/>
  <c r="T826" i="58"/>
  <c r="T827" i="58"/>
  <c r="T828" i="58"/>
  <c r="T829" i="58"/>
  <c r="T830" i="58"/>
  <c r="T831" i="58"/>
  <c r="T832" i="58"/>
  <c r="T833" i="58"/>
  <c r="T834" i="58"/>
  <c r="T835" i="58"/>
  <c r="T836" i="58"/>
  <c r="T837" i="58"/>
  <c r="T838" i="58"/>
  <c r="T839" i="58"/>
  <c r="T840" i="58"/>
  <c r="T841" i="58"/>
  <c r="T842" i="58"/>
  <c r="T843" i="58"/>
  <c r="T844" i="58"/>
  <c r="T845" i="58"/>
  <c r="T846" i="58"/>
  <c r="T847" i="58"/>
  <c r="T848" i="58"/>
  <c r="T849" i="58"/>
  <c r="T850" i="58"/>
  <c r="T851" i="58"/>
  <c r="T852" i="58"/>
  <c r="T853" i="58"/>
  <c r="T854" i="58"/>
  <c r="T855" i="58"/>
  <c r="T856" i="58"/>
  <c r="T857" i="58"/>
  <c r="T858" i="58"/>
  <c r="T859" i="58"/>
  <c r="T860" i="58"/>
  <c r="T861" i="58"/>
  <c r="T862" i="58"/>
  <c r="T863" i="58"/>
  <c r="T864" i="58"/>
  <c r="T865" i="58"/>
  <c r="T866" i="58"/>
  <c r="T867" i="58"/>
  <c r="T868" i="58"/>
  <c r="T869" i="58"/>
  <c r="T870" i="58"/>
  <c r="T871" i="58"/>
  <c r="T872" i="58"/>
  <c r="T873" i="58"/>
  <c r="T874" i="58"/>
  <c r="T875" i="58"/>
  <c r="T876" i="58"/>
  <c r="T877" i="58"/>
  <c r="T878" i="58"/>
  <c r="T879" i="58"/>
  <c r="T880" i="58"/>
  <c r="T881" i="58"/>
  <c r="T882" i="58"/>
  <c r="T883" i="58"/>
  <c r="T884" i="58"/>
  <c r="T885" i="58"/>
  <c r="T886" i="58"/>
  <c r="T887" i="58"/>
  <c r="T888" i="58"/>
  <c r="T889" i="58"/>
  <c r="T890" i="58"/>
  <c r="T891" i="58"/>
  <c r="T892" i="58"/>
  <c r="T893" i="58"/>
  <c r="T894" i="58"/>
  <c r="T895" i="58"/>
  <c r="T896" i="58"/>
  <c r="T897" i="58"/>
  <c r="T898" i="58"/>
  <c r="T899" i="58"/>
  <c r="T900" i="58"/>
  <c r="T901" i="58"/>
  <c r="T902" i="58"/>
  <c r="T903" i="58"/>
  <c r="T904" i="58"/>
  <c r="T905" i="58"/>
  <c r="T906" i="58"/>
  <c r="T907" i="58"/>
  <c r="T908" i="58"/>
  <c r="T909" i="58"/>
  <c r="T910" i="58"/>
  <c r="T911" i="58"/>
  <c r="T912" i="58"/>
  <c r="T913" i="58"/>
  <c r="T914" i="58"/>
  <c r="T915" i="58"/>
  <c r="T916" i="58"/>
  <c r="T917" i="58"/>
  <c r="T918" i="58"/>
  <c r="T919" i="58"/>
  <c r="T920" i="58"/>
  <c r="T921" i="58"/>
  <c r="T922" i="58"/>
  <c r="T923" i="58"/>
  <c r="T924" i="58"/>
  <c r="T925" i="58"/>
  <c r="T926" i="58"/>
  <c r="T927" i="58"/>
  <c r="T928" i="58"/>
  <c r="T929" i="58"/>
  <c r="T930" i="58"/>
  <c r="T931" i="58"/>
  <c r="T932" i="58"/>
  <c r="T933" i="58"/>
  <c r="T934" i="58"/>
  <c r="T935" i="58"/>
  <c r="T936" i="58"/>
  <c r="T937" i="58"/>
  <c r="T938" i="58"/>
  <c r="T939" i="58"/>
  <c r="T940" i="58"/>
  <c r="T941" i="58"/>
  <c r="T942" i="58"/>
  <c r="T943" i="58"/>
  <c r="T944" i="58"/>
  <c r="T945" i="58"/>
  <c r="T946" i="58"/>
  <c r="T947" i="58"/>
  <c r="T948" i="58"/>
  <c r="T949" i="58"/>
  <c r="T950" i="58"/>
  <c r="T951" i="58"/>
  <c r="T952" i="58"/>
  <c r="T953" i="58"/>
  <c r="T954" i="58"/>
  <c r="T955" i="58"/>
  <c r="T956" i="58"/>
  <c r="T957" i="58"/>
  <c r="T958" i="58"/>
  <c r="T959" i="58"/>
  <c r="T960" i="58"/>
  <c r="T961" i="58"/>
  <c r="T962" i="58"/>
  <c r="T963" i="58"/>
  <c r="T964" i="58"/>
  <c r="T965" i="58"/>
  <c r="T966" i="58"/>
  <c r="T967" i="58"/>
  <c r="T968" i="58"/>
  <c r="T969" i="58"/>
  <c r="T970" i="58"/>
  <c r="T971" i="58"/>
  <c r="T972" i="58"/>
  <c r="T973" i="58"/>
  <c r="T974" i="58"/>
  <c r="T975" i="58"/>
  <c r="T976" i="58"/>
  <c r="T977" i="58"/>
  <c r="T978" i="58"/>
  <c r="T979" i="58"/>
  <c r="T980" i="58"/>
  <c r="T981" i="58"/>
  <c r="T982" i="58"/>
  <c r="T983" i="58"/>
  <c r="T984" i="58"/>
  <c r="T985" i="58"/>
  <c r="T986" i="58"/>
  <c r="T987" i="58"/>
  <c r="T988" i="58"/>
  <c r="T989" i="58"/>
  <c r="T990" i="58"/>
  <c r="T991" i="58"/>
  <c r="T992" i="58"/>
  <c r="T993" i="58"/>
  <c r="T994" i="58"/>
  <c r="T995" i="58"/>
  <c r="T996" i="58"/>
  <c r="T997" i="58"/>
  <c r="T998" i="58"/>
  <c r="T999" i="58"/>
  <c r="T1000" i="58"/>
  <c r="T1001" i="58"/>
  <c r="T1002" i="58"/>
  <c r="T1003" i="58"/>
  <c r="T1004" i="58"/>
  <c r="T1005" i="58"/>
  <c r="T1006" i="58"/>
  <c r="T1007" i="58"/>
  <c r="T1008" i="58"/>
  <c r="T1009" i="58"/>
  <c r="T1010" i="58"/>
  <c r="T1011" i="58"/>
  <c r="T1012" i="58"/>
  <c r="T1013" i="58"/>
  <c r="T1014" i="58"/>
  <c r="T1015" i="58"/>
  <c r="T1016" i="58"/>
  <c r="T1017" i="58"/>
  <c r="T1018" i="58"/>
  <c r="T1019" i="58"/>
  <c r="T1020" i="58"/>
  <c r="T1021" i="58"/>
  <c r="T1022" i="58"/>
  <c r="T1023" i="58"/>
  <c r="T1024" i="58"/>
  <c r="T1025" i="58"/>
  <c r="T1026" i="58"/>
  <c r="T1027" i="58"/>
  <c r="T1028" i="58"/>
  <c r="T1029" i="58"/>
  <c r="T1030" i="58"/>
  <c r="T1031" i="58"/>
  <c r="T1032" i="58"/>
  <c r="T1033" i="58"/>
  <c r="T1034" i="58"/>
  <c r="T1035" i="58"/>
  <c r="T1036" i="58"/>
  <c r="U593" i="58"/>
  <c r="U594" i="58"/>
  <c r="U595" i="58"/>
  <c r="U596" i="58"/>
  <c r="U597" i="58"/>
  <c r="U598" i="58"/>
  <c r="U599" i="58"/>
  <c r="U600" i="58"/>
  <c r="U601" i="58"/>
  <c r="U602" i="58"/>
  <c r="U603" i="58"/>
  <c r="U604" i="58"/>
  <c r="U605" i="58"/>
  <c r="U606" i="58"/>
  <c r="U607" i="58"/>
  <c r="U608" i="58"/>
  <c r="U609" i="58"/>
  <c r="U610" i="58"/>
  <c r="U611" i="58"/>
  <c r="U612" i="58"/>
  <c r="U613" i="58"/>
  <c r="U614" i="58"/>
  <c r="U615" i="58"/>
  <c r="U616" i="58"/>
  <c r="U617" i="58"/>
  <c r="U618" i="58"/>
  <c r="U619" i="58"/>
  <c r="U620" i="58"/>
  <c r="U621" i="58"/>
  <c r="U622" i="58"/>
  <c r="U623" i="58"/>
  <c r="U624" i="58"/>
  <c r="U625" i="58"/>
  <c r="U626" i="58"/>
  <c r="U627" i="58"/>
  <c r="U628" i="58"/>
  <c r="U629" i="58"/>
  <c r="U630" i="58"/>
  <c r="U631" i="58"/>
  <c r="U632" i="58"/>
  <c r="U633" i="58"/>
  <c r="U634" i="58"/>
  <c r="U635" i="58"/>
  <c r="U636" i="58"/>
  <c r="U637" i="58"/>
  <c r="U638" i="58"/>
  <c r="U639" i="58"/>
  <c r="U640" i="58"/>
  <c r="U641" i="58"/>
  <c r="U642" i="58"/>
  <c r="U643" i="58"/>
  <c r="U644" i="58"/>
  <c r="U645" i="58"/>
  <c r="U646" i="58"/>
  <c r="U647" i="58"/>
  <c r="U648" i="58"/>
  <c r="U649" i="58"/>
  <c r="U650" i="58"/>
  <c r="U651" i="58"/>
  <c r="U652" i="58"/>
  <c r="U653" i="58"/>
  <c r="U654" i="58"/>
  <c r="U655" i="58"/>
  <c r="U656" i="58"/>
  <c r="U657" i="58"/>
  <c r="U658" i="58"/>
  <c r="U659" i="58"/>
  <c r="U660" i="58"/>
  <c r="U661" i="58"/>
  <c r="U662" i="58"/>
  <c r="U663" i="58"/>
  <c r="U664" i="58"/>
  <c r="U665" i="58"/>
  <c r="U666" i="58"/>
  <c r="U667" i="58"/>
  <c r="U668" i="58"/>
  <c r="U669" i="58"/>
  <c r="U670" i="58"/>
  <c r="U671" i="58"/>
  <c r="U672" i="58"/>
  <c r="U673" i="58"/>
  <c r="U674" i="58"/>
  <c r="U675" i="58"/>
  <c r="U676" i="58"/>
  <c r="U677" i="58"/>
  <c r="U678" i="58"/>
  <c r="U679" i="58"/>
  <c r="U680" i="58"/>
  <c r="U681" i="58"/>
  <c r="U682" i="58"/>
  <c r="U683" i="58"/>
  <c r="U684" i="58"/>
  <c r="U685" i="58"/>
  <c r="U686" i="58"/>
  <c r="U687" i="58"/>
  <c r="U688" i="58"/>
  <c r="U689" i="58"/>
  <c r="U690" i="58"/>
  <c r="U691" i="58"/>
  <c r="U692" i="58"/>
  <c r="U693" i="58"/>
  <c r="U694" i="58"/>
  <c r="U695" i="58"/>
  <c r="U696" i="58"/>
  <c r="U697" i="58"/>
  <c r="U698" i="58"/>
  <c r="U699" i="58"/>
  <c r="U700" i="58"/>
  <c r="U701" i="58"/>
  <c r="U702" i="58"/>
  <c r="U703" i="58"/>
  <c r="U704" i="58"/>
  <c r="U705" i="58"/>
  <c r="U706" i="58"/>
  <c r="U707" i="58"/>
  <c r="U708" i="58"/>
  <c r="U709" i="58"/>
  <c r="U710" i="58"/>
  <c r="U711" i="58"/>
  <c r="U712" i="58"/>
  <c r="U713" i="58"/>
  <c r="U714" i="58"/>
  <c r="U715" i="58"/>
  <c r="U716" i="58"/>
  <c r="U717" i="58"/>
  <c r="U718" i="58"/>
  <c r="U719" i="58"/>
  <c r="U720" i="58"/>
  <c r="U721" i="58"/>
  <c r="U722" i="58"/>
  <c r="U723" i="58"/>
  <c r="U724" i="58"/>
  <c r="U725" i="58"/>
  <c r="U726" i="58"/>
  <c r="U727" i="58"/>
  <c r="U728" i="58"/>
  <c r="U729" i="58"/>
  <c r="U730" i="58"/>
  <c r="U731" i="58"/>
  <c r="U732" i="58"/>
  <c r="U733" i="58"/>
  <c r="U734" i="58"/>
  <c r="U735" i="58"/>
  <c r="U736" i="58"/>
  <c r="U737" i="58"/>
  <c r="U738" i="58"/>
  <c r="U739" i="58"/>
  <c r="U740" i="58"/>
  <c r="U741" i="58"/>
  <c r="U742" i="58"/>
  <c r="U743" i="58"/>
  <c r="U744" i="58"/>
  <c r="U745" i="58"/>
  <c r="U746" i="58"/>
  <c r="U747" i="58"/>
  <c r="U748" i="58"/>
  <c r="U749" i="58"/>
  <c r="U750" i="58"/>
  <c r="U751" i="58"/>
  <c r="U752" i="58"/>
  <c r="U753" i="58"/>
  <c r="U754" i="58"/>
  <c r="U755" i="58"/>
  <c r="U756" i="58"/>
  <c r="U757" i="58"/>
  <c r="U758" i="58"/>
  <c r="U759" i="58"/>
  <c r="U760" i="58"/>
  <c r="U761" i="58"/>
  <c r="U762" i="58"/>
  <c r="U763" i="58"/>
  <c r="U764" i="58"/>
  <c r="U765" i="58"/>
  <c r="U766" i="58"/>
  <c r="U767" i="58"/>
  <c r="U768" i="58"/>
  <c r="U769" i="58"/>
  <c r="U770" i="58"/>
  <c r="U771" i="58"/>
  <c r="U772" i="58"/>
  <c r="U773" i="58"/>
  <c r="U774" i="58"/>
  <c r="U775" i="58"/>
  <c r="U776" i="58"/>
  <c r="U777" i="58"/>
  <c r="U778" i="58"/>
  <c r="U779" i="58"/>
  <c r="U780" i="58"/>
  <c r="U781" i="58"/>
  <c r="U782" i="58"/>
  <c r="U783" i="58"/>
  <c r="U784" i="58"/>
  <c r="U785" i="58"/>
  <c r="U786" i="58"/>
  <c r="U787" i="58"/>
  <c r="U788" i="58"/>
  <c r="U789" i="58"/>
  <c r="U790" i="58"/>
  <c r="U791" i="58"/>
  <c r="U792" i="58"/>
  <c r="U793" i="58"/>
  <c r="U794" i="58"/>
  <c r="U795" i="58"/>
  <c r="U796" i="58"/>
  <c r="U797" i="58"/>
  <c r="U798" i="58"/>
  <c r="U799" i="58"/>
  <c r="U800" i="58"/>
  <c r="U801" i="58"/>
  <c r="U802" i="58"/>
  <c r="U803" i="58"/>
  <c r="U804" i="58"/>
  <c r="U805" i="58"/>
  <c r="U806" i="58"/>
  <c r="U807" i="58"/>
  <c r="U808" i="58"/>
  <c r="U809" i="58"/>
  <c r="U810" i="58"/>
  <c r="U811" i="58"/>
  <c r="U812" i="58"/>
  <c r="U813" i="58"/>
  <c r="U814" i="58"/>
  <c r="U815" i="58"/>
  <c r="U816" i="58"/>
  <c r="U817" i="58"/>
  <c r="U818" i="58"/>
  <c r="U819" i="58"/>
  <c r="U820" i="58"/>
  <c r="U821" i="58"/>
  <c r="U822" i="58"/>
  <c r="U823" i="58"/>
  <c r="U824" i="58"/>
  <c r="U825" i="58"/>
  <c r="U826" i="58"/>
  <c r="U827" i="58"/>
  <c r="U828" i="58"/>
  <c r="U829" i="58"/>
  <c r="U830" i="58"/>
  <c r="U831" i="58"/>
  <c r="U832" i="58"/>
  <c r="U833" i="58"/>
  <c r="U834" i="58"/>
  <c r="U835" i="58"/>
  <c r="U836" i="58"/>
  <c r="U837" i="58"/>
  <c r="U838" i="58"/>
  <c r="U839" i="58"/>
  <c r="U840" i="58"/>
  <c r="U841" i="58"/>
  <c r="U842" i="58"/>
  <c r="U843" i="58"/>
  <c r="U844" i="58"/>
  <c r="U845" i="58"/>
  <c r="U846" i="58"/>
  <c r="U847" i="58"/>
  <c r="U848" i="58"/>
  <c r="U849" i="58"/>
  <c r="U850" i="58"/>
  <c r="U851" i="58"/>
  <c r="U852" i="58"/>
  <c r="U853" i="58"/>
  <c r="U854" i="58"/>
  <c r="U855" i="58"/>
  <c r="U856" i="58"/>
  <c r="U857" i="58"/>
  <c r="U858" i="58"/>
  <c r="U859" i="58"/>
  <c r="U860" i="58"/>
  <c r="U861" i="58"/>
  <c r="U862" i="58"/>
  <c r="U863" i="58"/>
  <c r="U864" i="58"/>
  <c r="U865" i="58"/>
  <c r="U866" i="58"/>
  <c r="U867" i="58"/>
  <c r="U868" i="58"/>
  <c r="U869" i="58"/>
  <c r="U870" i="58"/>
  <c r="U871" i="58"/>
  <c r="U872" i="58"/>
  <c r="U873" i="58"/>
  <c r="U874" i="58"/>
  <c r="U875" i="58"/>
  <c r="U876" i="58"/>
  <c r="U877" i="58"/>
  <c r="U878" i="58"/>
  <c r="U879" i="58"/>
  <c r="U880" i="58"/>
  <c r="U881" i="58"/>
  <c r="U882" i="58"/>
  <c r="U883" i="58"/>
  <c r="U884" i="58"/>
  <c r="U885" i="58"/>
  <c r="U886" i="58"/>
  <c r="U887" i="58"/>
  <c r="U888" i="58"/>
  <c r="U889" i="58"/>
  <c r="U890" i="58"/>
  <c r="U891" i="58"/>
  <c r="U892" i="58"/>
  <c r="U893" i="58"/>
  <c r="U894" i="58"/>
  <c r="U895" i="58"/>
  <c r="U896" i="58"/>
  <c r="U897" i="58"/>
  <c r="U898" i="58"/>
  <c r="U899" i="58"/>
  <c r="U900" i="58"/>
  <c r="U901" i="58"/>
  <c r="U902" i="58"/>
  <c r="U903" i="58"/>
  <c r="U904" i="58"/>
  <c r="U905" i="58"/>
  <c r="U906" i="58"/>
  <c r="U907" i="58"/>
  <c r="U908" i="58"/>
  <c r="U909" i="58"/>
  <c r="U910" i="58"/>
  <c r="U911" i="58"/>
  <c r="U912" i="58"/>
  <c r="U913" i="58"/>
  <c r="U914" i="58"/>
  <c r="U915" i="58"/>
  <c r="U916" i="58"/>
  <c r="U917" i="58"/>
  <c r="U918" i="58"/>
  <c r="U919" i="58"/>
  <c r="U920" i="58"/>
  <c r="U921" i="58"/>
  <c r="U922" i="58"/>
  <c r="U923" i="58"/>
  <c r="U924" i="58"/>
  <c r="U925" i="58"/>
  <c r="U926" i="58"/>
  <c r="U927" i="58"/>
  <c r="U928" i="58"/>
  <c r="U929" i="58"/>
  <c r="U930" i="58"/>
  <c r="U931" i="58"/>
  <c r="U932" i="58"/>
  <c r="U933" i="58"/>
  <c r="U934" i="58"/>
  <c r="U935" i="58"/>
  <c r="U936" i="58"/>
  <c r="U937" i="58"/>
  <c r="U938" i="58"/>
  <c r="U939" i="58"/>
  <c r="U940" i="58"/>
  <c r="U941" i="58"/>
  <c r="U942" i="58"/>
  <c r="U943" i="58"/>
  <c r="U944" i="58"/>
  <c r="U945" i="58"/>
  <c r="U946" i="58"/>
  <c r="U947" i="58"/>
  <c r="U948" i="58"/>
  <c r="U949" i="58"/>
  <c r="U950" i="58"/>
  <c r="U951" i="58"/>
  <c r="U952" i="58"/>
  <c r="U953" i="58"/>
  <c r="U954" i="58"/>
  <c r="U955" i="58"/>
  <c r="U956" i="58"/>
  <c r="U957" i="58"/>
  <c r="U958" i="58"/>
  <c r="U959" i="58"/>
  <c r="U960" i="58"/>
  <c r="U961" i="58"/>
  <c r="U962" i="58"/>
  <c r="U963" i="58"/>
  <c r="U964" i="58"/>
  <c r="U965" i="58"/>
  <c r="U966" i="58"/>
  <c r="U967" i="58"/>
  <c r="U968" i="58"/>
  <c r="U969" i="58"/>
  <c r="U970" i="58"/>
  <c r="U971" i="58"/>
  <c r="U972" i="58"/>
  <c r="U973" i="58"/>
  <c r="U974" i="58"/>
  <c r="U975" i="58"/>
  <c r="U976" i="58"/>
  <c r="U977" i="58"/>
  <c r="U978" i="58"/>
  <c r="U979" i="58"/>
  <c r="U980" i="58"/>
  <c r="U981" i="58"/>
  <c r="U982" i="58"/>
  <c r="U983" i="58"/>
  <c r="U984" i="58"/>
  <c r="U985" i="58"/>
  <c r="U986" i="58"/>
  <c r="U987" i="58"/>
  <c r="U988" i="58"/>
  <c r="U989" i="58"/>
  <c r="U990" i="58"/>
  <c r="U991" i="58"/>
  <c r="U992" i="58"/>
  <c r="U993" i="58"/>
  <c r="U994" i="58"/>
  <c r="U995" i="58"/>
  <c r="U996" i="58"/>
  <c r="U997" i="58"/>
  <c r="U998" i="58"/>
  <c r="U999" i="58"/>
  <c r="U1000" i="58"/>
  <c r="U1001" i="58"/>
  <c r="U1002" i="58"/>
  <c r="U1003" i="58"/>
  <c r="U1004" i="58"/>
  <c r="U1005" i="58"/>
  <c r="U1006" i="58"/>
  <c r="U1007" i="58"/>
  <c r="U1008" i="58"/>
  <c r="U1009" i="58"/>
  <c r="U1010" i="58"/>
  <c r="U1011" i="58"/>
  <c r="U1012" i="58"/>
  <c r="U1013" i="58"/>
  <c r="U1014" i="58"/>
  <c r="U1015" i="58"/>
  <c r="U1016" i="58"/>
  <c r="U1017" i="58"/>
  <c r="U1018" i="58"/>
  <c r="U1019" i="58"/>
  <c r="U1020" i="58"/>
  <c r="U1021" i="58"/>
  <c r="U1022" i="58"/>
  <c r="U1023" i="58"/>
  <c r="U1024" i="58"/>
  <c r="U1025" i="58"/>
  <c r="U1026" i="58"/>
  <c r="U1027" i="58"/>
  <c r="U1028" i="58"/>
  <c r="U1029" i="58"/>
  <c r="U1030" i="58"/>
  <c r="U1031" i="58"/>
  <c r="U1032" i="58"/>
  <c r="U1033" i="58"/>
  <c r="U1034" i="58"/>
  <c r="U1035" i="58"/>
  <c r="U1036" i="58"/>
  <c r="V593" i="58"/>
  <c r="V594" i="58"/>
  <c r="V595" i="58"/>
  <c r="V596" i="58"/>
  <c r="V597" i="58"/>
  <c r="V598" i="58"/>
  <c r="V599" i="58"/>
  <c r="V600" i="58"/>
  <c r="V601" i="58"/>
  <c r="V602" i="58"/>
  <c r="V603" i="58"/>
  <c r="V604" i="58"/>
  <c r="V605" i="58"/>
  <c r="V606" i="58"/>
  <c r="V607" i="58"/>
  <c r="V608" i="58"/>
  <c r="V609" i="58"/>
  <c r="V610" i="58"/>
  <c r="V611" i="58"/>
  <c r="V612" i="58"/>
  <c r="V613" i="58"/>
  <c r="V614" i="58"/>
  <c r="V615" i="58"/>
  <c r="V616" i="58"/>
  <c r="V617" i="58"/>
  <c r="V618" i="58"/>
  <c r="V619" i="58"/>
  <c r="V620" i="58"/>
  <c r="V621" i="58"/>
  <c r="V622" i="58"/>
  <c r="V623" i="58"/>
  <c r="V624" i="58"/>
  <c r="V625" i="58"/>
  <c r="V626" i="58"/>
  <c r="V627" i="58"/>
  <c r="V628" i="58"/>
  <c r="V629" i="58"/>
  <c r="V630" i="58"/>
  <c r="V631" i="58"/>
  <c r="V632" i="58"/>
  <c r="V633" i="58"/>
  <c r="V634" i="58"/>
  <c r="V635" i="58"/>
  <c r="V636" i="58"/>
  <c r="V637" i="58"/>
  <c r="V638" i="58"/>
  <c r="V639" i="58"/>
  <c r="V640" i="58"/>
  <c r="V641" i="58"/>
  <c r="V642" i="58"/>
  <c r="V643" i="58"/>
  <c r="V644" i="58"/>
  <c r="V645" i="58"/>
  <c r="V646" i="58"/>
  <c r="V647" i="58"/>
  <c r="V648" i="58"/>
  <c r="V649" i="58"/>
  <c r="V650" i="58"/>
  <c r="V651" i="58"/>
  <c r="V652" i="58"/>
  <c r="V653" i="58"/>
  <c r="V654" i="58"/>
  <c r="V655" i="58"/>
  <c r="V656" i="58"/>
  <c r="V657" i="58"/>
  <c r="V658" i="58"/>
  <c r="V659" i="58"/>
  <c r="V660" i="58"/>
  <c r="V661" i="58"/>
  <c r="V662" i="58"/>
  <c r="V663" i="58"/>
  <c r="V664" i="58"/>
  <c r="V665" i="58"/>
  <c r="V666" i="58"/>
  <c r="V667" i="58"/>
  <c r="V668" i="58"/>
  <c r="V669" i="58"/>
  <c r="V670" i="58"/>
  <c r="V671" i="58"/>
  <c r="V672" i="58"/>
  <c r="V673" i="58"/>
  <c r="V674" i="58"/>
  <c r="V675" i="58"/>
  <c r="V676" i="58"/>
  <c r="V677" i="58"/>
  <c r="V678" i="58"/>
  <c r="V679" i="58"/>
  <c r="V680" i="58"/>
  <c r="V681" i="58"/>
  <c r="V682" i="58"/>
  <c r="V683" i="58"/>
  <c r="V684" i="58"/>
  <c r="V685" i="58"/>
  <c r="V686" i="58"/>
  <c r="V687" i="58"/>
  <c r="V688" i="58"/>
  <c r="V689" i="58"/>
  <c r="V690" i="58"/>
  <c r="V691" i="58"/>
  <c r="V692" i="58"/>
  <c r="V693" i="58"/>
  <c r="V694" i="58"/>
  <c r="V695" i="58"/>
  <c r="V696" i="58"/>
  <c r="V697" i="58"/>
  <c r="V698" i="58"/>
  <c r="V699" i="58"/>
  <c r="V700" i="58"/>
  <c r="V701" i="58"/>
  <c r="V702" i="58"/>
  <c r="V703" i="58"/>
  <c r="V704" i="58"/>
  <c r="V705" i="58"/>
  <c r="V706" i="58"/>
  <c r="V707" i="58"/>
  <c r="V708" i="58"/>
  <c r="V709" i="58"/>
  <c r="V710" i="58"/>
  <c r="V711" i="58"/>
  <c r="V712" i="58"/>
  <c r="V713" i="58"/>
  <c r="V714" i="58"/>
  <c r="V715" i="58"/>
  <c r="V716" i="58"/>
  <c r="V717" i="58"/>
  <c r="V718" i="58"/>
  <c r="V719" i="58"/>
  <c r="V720" i="58"/>
  <c r="V721" i="58"/>
  <c r="V722" i="58"/>
  <c r="V723" i="58"/>
  <c r="V724" i="58"/>
  <c r="V725" i="58"/>
  <c r="V726" i="58"/>
  <c r="V727" i="58"/>
  <c r="V728" i="58"/>
  <c r="V729" i="58"/>
  <c r="V730" i="58"/>
  <c r="V731" i="58"/>
  <c r="V732" i="58"/>
  <c r="V733" i="58"/>
  <c r="V734" i="58"/>
  <c r="V735" i="58"/>
  <c r="V736" i="58"/>
  <c r="V737" i="58"/>
  <c r="V738" i="58"/>
  <c r="V739" i="58"/>
  <c r="V740" i="58"/>
  <c r="V741" i="58"/>
  <c r="V742" i="58"/>
  <c r="V743" i="58"/>
  <c r="V744" i="58"/>
  <c r="V745" i="58"/>
  <c r="V746" i="58"/>
  <c r="V747" i="58"/>
  <c r="V748" i="58"/>
  <c r="V749" i="58"/>
  <c r="V750" i="58"/>
  <c r="V751" i="58"/>
  <c r="V752" i="58"/>
  <c r="V753" i="58"/>
  <c r="V754" i="58"/>
  <c r="V755" i="58"/>
  <c r="V756" i="58"/>
  <c r="V757" i="58"/>
  <c r="V758" i="58"/>
  <c r="V759" i="58"/>
  <c r="V760" i="58"/>
  <c r="V761" i="58"/>
  <c r="V762" i="58"/>
  <c r="V763" i="58"/>
  <c r="V764" i="58"/>
  <c r="V765" i="58"/>
  <c r="V766" i="58"/>
  <c r="V767" i="58"/>
  <c r="V768" i="58"/>
  <c r="V769" i="58"/>
  <c r="V770" i="58"/>
  <c r="V771" i="58"/>
  <c r="V772" i="58"/>
  <c r="V773" i="58"/>
  <c r="V774" i="58"/>
  <c r="V775" i="58"/>
  <c r="V776" i="58"/>
  <c r="V777" i="58"/>
  <c r="V778" i="58"/>
  <c r="V779" i="58"/>
  <c r="V780" i="58"/>
  <c r="V781" i="58"/>
  <c r="V782" i="58"/>
  <c r="V783" i="58"/>
  <c r="V784" i="58"/>
  <c r="V785" i="58"/>
  <c r="V786" i="58"/>
  <c r="V787" i="58"/>
  <c r="V788" i="58"/>
  <c r="V789" i="58"/>
  <c r="V790" i="58"/>
  <c r="V791" i="58"/>
  <c r="V792" i="58"/>
  <c r="V793" i="58"/>
  <c r="V794" i="58"/>
  <c r="V795" i="58"/>
  <c r="V796" i="58"/>
  <c r="V797" i="58"/>
  <c r="V798" i="58"/>
  <c r="V799" i="58"/>
  <c r="V800" i="58"/>
  <c r="V801" i="58"/>
  <c r="V802" i="58"/>
  <c r="V803" i="58"/>
  <c r="V804" i="58"/>
  <c r="V805" i="58"/>
  <c r="V806" i="58"/>
  <c r="V807" i="58"/>
  <c r="V808" i="58"/>
  <c r="V809" i="58"/>
  <c r="V810" i="58"/>
  <c r="V811" i="58"/>
  <c r="V812" i="58"/>
  <c r="V813" i="58"/>
  <c r="V814" i="58"/>
  <c r="V815" i="58"/>
  <c r="V816" i="58"/>
  <c r="V817" i="58"/>
  <c r="V818" i="58"/>
  <c r="V819" i="58"/>
  <c r="V820" i="58"/>
  <c r="V821" i="58"/>
  <c r="V822" i="58"/>
  <c r="V823" i="58"/>
  <c r="V824" i="58"/>
  <c r="V825" i="58"/>
  <c r="V826" i="58"/>
  <c r="V827" i="58"/>
  <c r="V828" i="58"/>
  <c r="V829" i="58"/>
  <c r="V830" i="58"/>
  <c r="V831" i="58"/>
  <c r="V832" i="58"/>
  <c r="V833" i="58"/>
  <c r="V834" i="58"/>
  <c r="V835" i="58"/>
  <c r="V836" i="58"/>
  <c r="V837" i="58"/>
  <c r="V838" i="58"/>
  <c r="V839" i="58"/>
  <c r="V840" i="58"/>
  <c r="V841" i="58"/>
  <c r="V842" i="58"/>
  <c r="V843" i="58"/>
  <c r="V844" i="58"/>
  <c r="V845" i="58"/>
  <c r="V846" i="58"/>
  <c r="V847" i="58"/>
  <c r="V848" i="58"/>
  <c r="V849" i="58"/>
  <c r="V850" i="58"/>
  <c r="V851" i="58"/>
  <c r="V852" i="58"/>
  <c r="V853" i="58"/>
  <c r="V854" i="58"/>
  <c r="V855" i="58"/>
  <c r="V856" i="58"/>
  <c r="V857" i="58"/>
  <c r="V858" i="58"/>
  <c r="V859" i="58"/>
  <c r="V860" i="58"/>
  <c r="V861" i="58"/>
  <c r="V862" i="58"/>
  <c r="V863" i="58"/>
  <c r="V864" i="58"/>
  <c r="V865" i="58"/>
  <c r="V866" i="58"/>
  <c r="V867" i="58"/>
  <c r="V868" i="58"/>
  <c r="V869" i="58"/>
  <c r="V870" i="58"/>
  <c r="V871" i="58"/>
  <c r="V872" i="58"/>
  <c r="V873" i="58"/>
  <c r="V874" i="58"/>
  <c r="V875" i="58"/>
  <c r="V876" i="58"/>
  <c r="V877" i="58"/>
  <c r="V878" i="58"/>
  <c r="V879" i="58"/>
  <c r="V880" i="58"/>
  <c r="V881" i="58"/>
  <c r="V882" i="58"/>
  <c r="V883" i="58"/>
  <c r="V884" i="58"/>
  <c r="V885" i="58"/>
  <c r="V886" i="58"/>
  <c r="V887" i="58"/>
  <c r="V888" i="58"/>
  <c r="V889" i="58"/>
  <c r="V890" i="58"/>
  <c r="V891" i="58"/>
  <c r="V892" i="58"/>
  <c r="V893" i="58"/>
  <c r="V894" i="58"/>
  <c r="V895" i="58"/>
  <c r="V896" i="58"/>
  <c r="V897" i="58"/>
  <c r="V898" i="58"/>
  <c r="V899" i="58"/>
  <c r="V900" i="58"/>
  <c r="V901" i="58"/>
  <c r="V902" i="58"/>
  <c r="V903" i="58"/>
  <c r="V904" i="58"/>
  <c r="V905" i="58"/>
  <c r="V906" i="58"/>
  <c r="V907" i="58"/>
  <c r="V908" i="58"/>
  <c r="V909" i="58"/>
  <c r="V910" i="58"/>
  <c r="V911" i="58"/>
  <c r="V912" i="58"/>
  <c r="V913" i="58"/>
  <c r="V914" i="58"/>
  <c r="V915" i="58"/>
  <c r="V916" i="58"/>
  <c r="V917" i="58"/>
  <c r="V918" i="58"/>
  <c r="V919" i="58"/>
  <c r="V920" i="58"/>
  <c r="V921" i="58"/>
  <c r="V922" i="58"/>
  <c r="V923" i="58"/>
  <c r="V924" i="58"/>
  <c r="V925" i="58"/>
  <c r="V926" i="58"/>
  <c r="V927" i="58"/>
  <c r="V928" i="58"/>
  <c r="V929" i="58"/>
  <c r="V930" i="58"/>
  <c r="V931" i="58"/>
  <c r="V932" i="58"/>
  <c r="V933" i="58"/>
  <c r="V934" i="58"/>
  <c r="V935" i="58"/>
  <c r="V936" i="58"/>
  <c r="V937" i="58"/>
  <c r="V938" i="58"/>
  <c r="V939" i="58"/>
  <c r="V940" i="58"/>
  <c r="V941" i="58"/>
  <c r="V942" i="58"/>
  <c r="V943" i="58"/>
  <c r="V944" i="58"/>
  <c r="V945" i="58"/>
  <c r="V946" i="58"/>
  <c r="V947" i="58"/>
  <c r="V948" i="58"/>
  <c r="V949" i="58"/>
  <c r="V950" i="58"/>
  <c r="V951" i="58"/>
  <c r="V952" i="58"/>
  <c r="V953" i="58"/>
  <c r="V954" i="58"/>
  <c r="V955" i="58"/>
  <c r="V956" i="58"/>
  <c r="V957" i="58"/>
  <c r="V958" i="58"/>
  <c r="V959" i="58"/>
  <c r="V960" i="58"/>
  <c r="V961" i="58"/>
  <c r="V962" i="58"/>
  <c r="V963" i="58"/>
  <c r="V964" i="58"/>
  <c r="V965" i="58"/>
  <c r="V966" i="58"/>
  <c r="V967" i="58"/>
  <c r="V968" i="58"/>
  <c r="V969" i="58"/>
  <c r="V970" i="58"/>
  <c r="V971" i="58"/>
  <c r="V972" i="58"/>
  <c r="V973" i="58"/>
  <c r="V974" i="58"/>
  <c r="V975" i="58"/>
  <c r="V976" i="58"/>
  <c r="V977" i="58"/>
  <c r="V978" i="58"/>
  <c r="V979" i="58"/>
  <c r="V980" i="58"/>
  <c r="V981" i="58"/>
  <c r="V982" i="58"/>
  <c r="V983" i="58"/>
  <c r="V984" i="58"/>
  <c r="V985" i="58"/>
  <c r="V986" i="58"/>
  <c r="V987" i="58"/>
  <c r="V988" i="58"/>
  <c r="V989" i="58"/>
  <c r="V990" i="58"/>
  <c r="V991" i="58"/>
  <c r="V992" i="58"/>
  <c r="V993" i="58"/>
  <c r="V994" i="58"/>
  <c r="V995" i="58"/>
  <c r="V996" i="58"/>
  <c r="V997" i="58"/>
  <c r="V998" i="58"/>
  <c r="V999" i="58"/>
  <c r="V1000" i="58"/>
  <c r="V1001" i="58"/>
  <c r="V1002" i="58"/>
  <c r="V1003" i="58"/>
  <c r="V1004" i="58"/>
  <c r="V1005" i="58"/>
  <c r="V1006" i="58"/>
  <c r="V1007" i="58"/>
  <c r="V1008" i="58"/>
  <c r="V1009" i="58"/>
  <c r="V1010" i="58"/>
  <c r="V1011" i="58"/>
  <c r="V1012" i="58"/>
  <c r="V1013" i="58"/>
  <c r="V1014" i="58"/>
  <c r="V1015" i="58"/>
  <c r="V1016" i="58"/>
  <c r="V1017" i="58"/>
  <c r="V1018" i="58"/>
  <c r="V1019" i="58"/>
  <c r="V1020" i="58"/>
  <c r="V1021" i="58"/>
  <c r="V1022" i="58"/>
  <c r="V1023" i="58"/>
  <c r="V1024" i="58"/>
  <c r="V1025" i="58"/>
  <c r="V1026" i="58"/>
  <c r="V1027" i="58"/>
  <c r="V1028" i="58"/>
  <c r="V1029" i="58"/>
  <c r="V1030" i="58"/>
  <c r="V1031" i="58"/>
  <c r="V1032" i="58"/>
  <c r="V1033" i="58"/>
  <c r="V1034" i="58"/>
  <c r="V1035" i="58"/>
  <c r="V1036" i="58"/>
  <c r="W593" i="58"/>
  <c r="W594" i="58"/>
  <c r="W595" i="58"/>
  <c r="W596" i="58"/>
  <c r="W597" i="58"/>
  <c r="W598" i="58"/>
  <c r="W599" i="58"/>
  <c r="W600" i="58"/>
  <c r="W601" i="58"/>
  <c r="W602" i="58"/>
  <c r="W603" i="58"/>
  <c r="W604" i="58"/>
  <c r="W605" i="58"/>
  <c r="W606" i="58"/>
  <c r="W607" i="58"/>
  <c r="W608" i="58"/>
  <c r="W609" i="58"/>
  <c r="W610" i="58"/>
  <c r="W611" i="58"/>
  <c r="W612" i="58"/>
  <c r="W613" i="58"/>
  <c r="W614" i="58"/>
  <c r="W615" i="58"/>
  <c r="W616" i="58"/>
  <c r="W617" i="58"/>
  <c r="W618" i="58"/>
  <c r="W619" i="58"/>
  <c r="W620" i="58"/>
  <c r="W621" i="58"/>
  <c r="W622" i="58"/>
  <c r="W623" i="58"/>
  <c r="W624" i="58"/>
  <c r="W625" i="58"/>
  <c r="W626" i="58"/>
  <c r="W627" i="58"/>
  <c r="W628" i="58"/>
  <c r="W629" i="58"/>
  <c r="W630" i="58"/>
  <c r="W631" i="58"/>
  <c r="W632" i="58"/>
  <c r="W633" i="58"/>
  <c r="W634" i="58"/>
  <c r="W635" i="58"/>
  <c r="W636" i="58"/>
  <c r="W637" i="58"/>
  <c r="W638" i="58"/>
  <c r="W639" i="58"/>
  <c r="W640" i="58"/>
  <c r="W641" i="58"/>
  <c r="W642" i="58"/>
  <c r="W643" i="58"/>
  <c r="W644" i="58"/>
  <c r="W645" i="58"/>
  <c r="W646" i="58"/>
  <c r="W647" i="58"/>
  <c r="W648" i="58"/>
  <c r="W649" i="58"/>
  <c r="W650" i="58"/>
  <c r="W651" i="58"/>
  <c r="W652" i="58"/>
  <c r="W653" i="58"/>
  <c r="W654" i="58"/>
  <c r="W655" i="58"/>
  <c r="W656" i="58"/>
  <c r="W657" i="58"/>
  <c r="W658" i="58"/>
  <c r="W659" i="58"/>
  <c r="W660" i="58"/>
  <c r="W661" i="58"/>
  <c r="W662" i="58"/>
  <c r="W663" i="58"/>
  <c r="W664" i="58"/>
  <c r="W665" i="58"/>
  <c r="W666" i="58"/>
  <c r="W667" i="58"/>
  <c r="W668" i="58"/>
  <c r="W669" i="58"/>
  <c r="W670" i="58"/>
  <c r="W671" i="58"/>
  <c r="W672" i="58"/>
  <c r="W673" i="58"/>
  <c r="W674" i="58"/>
  <c r="W675" i="58"/>
  <c r="W676" i="58"/>
  <c r="W677" i="58"/>
  <c r="W678" i="58"/>
  <c r="W679" i="58"/>
  <c r="W680" i="58"/>
  <c r="W681" i="58"/>
  <c r="W682" i="58"/>
  <c r="W683" i="58"/>
  <c r="W684" i="58"/>
  <c r="W685" i="58"/>
  <c r="W686" i="58"/>
  <c r="W687" i="58"/>
  <c r="W688" i="58"/>
  <c r="W689" i="58"/>
  <c r="W690" i="58"/>
  <c r="W691" i="58"/>
  <c r="W692" i="58"/>
  <c r="W693" i="58"/>
  <c r="W694" i="58"/>
  <c r="W695" i="58"/>
  <c r="W696" i="58"/>
  <c r="W697" i="58"/>
  <c r="W698" i="58"/>
  <c r="W699" i="58"/>
  <c r="W700" i="58"/>
  <c r="W701" i="58"/>
  <c r="W702" i="58"/>
  <c r="W703" i="58"/>
  <c r="W704" i="58"/>
  <c r="W705" i="58"/>
  <c r="W706" i="58"/>
  <c r="W707" i="58"/>
  <c r="W708" i="58"/>
  <c r="W709" i="58"/>
  <c r="W710" i="58"/>
  <c r="W711" i="58"/>
  <c r="W712" i="58"/>
  <c r="W713" i="58"/>
  <c r="W714" i="58"/>
  <c r="W715" i="58"/>
  <c r="W716" i="58"/>
  <c r="W717" i="58"/>
  <c r="W718" i="58"/>
  <c r="W719" i="58"/>
  <c r="W720" i="58"/>
  <c r="W721" i="58"/>
  <c r="W722" i="58"/>
  <c r="W723" i="58"/>
  <c r="W724" i="58"/>
  <c r="W725" i="58"/>
  <c r="W726" i="58"/>
  <c r="W727" i="58"/>
  <c r="W728" i="58"/>
  <c r="W729" i="58"/>
  <c r="W730" i="58"/>
  <c r="W731" i="58"/>
  <c r="W732" i="58"/>
  <c r="W733" i="58"/>
  <c r="W734" i="58"/>
  <c r="W735" i="58"/>
  <c r="W736" i="58"/>
  <c r="W737" i="58"/>
  <c r="W738" i="58"/>
  <c r="W739" i="58"/>
  <c r="W740" i="58"/>
  <c r="W741" i="58"/>
  <c r="W742" i="58"/>
  <c r="W743" i="58"/>
  <c r="W744" i="58"/>
  <c r="W745" i="58"/>
  <c r="W746" i="58"/>
  <c r="W747" i="58"/>
  <c r="W748" i="58"/>
  <c r="W749" i="58"/>
  <c r="W750" i="58"/>
  <c r="W751" i="58"/>
  <c r="W752" i="58"/>
  <c r="W753" i="58"/>
  <c r="W754" i="58"/>
  <c r="W755" i="58"/>
  <c r="W756" i="58"/>
  <c r="W757" i="58"/>
  <c r="W758" i="58"/>
  <c r="W759" i="58"/>
  <c r="W760" i="58"/>
  <c r="W761" i="58"/>
  <c r="W762" i="58"/>
  <c r="W763" i="58"/>
  <c r="W764" i="58"/>
  <c r="W765" i="58"/>
  <c r="W766" i="58"/>
  <c r="W767" i="58"/>
  <c r="W768" i="58"/>
  <c r="W769" i="58"/>
  <c r="W770" i="58"/>
  <c r="W771" i="58"/>
  <c r="W772" i="58"/>
  <c r="W773" i="58"/>
  <c r="W774" i="58"/>
  <c r="W775" i="58"/>
  <c r="W776" i="58"/>
  <c r="W777" i="58"/>
  <c r="W778" i="58"/>
  <c r="W779" i="58"/>
  <c r="W780" i="58"/>
  <c r="W781" i="58"/>
  <c r="W782" i="58"/>
  <c r="W783" i="58"/>
  <c r="W784" i="58"/>
  <c r="W785" i="58"/>
  <c r="W786" i="58"/>
  <c r="W787" i="58"/>
  <c r="W788" i="58"/>
  <c r="W789" i="58"/>
  <c r="W790" i="58"/>
  <c r="W791" i="58"/>
  <c r="W792" i="58"/>
  <c r="W793" i="58"/>
  <c r="W794" i="58"/>
  <c r="W795" i="58"/>
  <c r="W796" i="58"/>
  <c r="W797" i="58"/>
  <c r="W798" i="58"/>
  <c r="W799" i="58"/>
  <c r="W800" i="58"/>
  <c r="W801" i="58"/>
  <c r="W802" i="58"/>
  <c r="W803" i="58"/>
  <c r="W804" i="58"/>
  <c r="W805" i="58"/>
  <c r="W806" i="58"/>
  <c r="W807" i="58"/>
  <c r="W808" i="58"/>
  <c r="W809" i="58"/>
  <c r="W810" i="58"/>
  <c r="W811" i="58"/>
  <c r="W812" i="58"/>
  <c r="W813" i="58"/>
  <c r="W814" i="58"/>
  <c r="W815" i="58"/>
  <c r="W816" i="58"/>
  <c r="W817" i="58"/>
  <c r="W818" i="58"/>
  <c r="W819" i="58"/>
  <c r="W820" i="58"/>
  <c r="W821" i="58"/>
  <c r="W822" i="58"/>
  <c r="W823" i="58"/>
  <c r="W824" i="58"/>
  <c r="W825" i="58"/>
  <c r="W826" i="58"/>
  <c r="W827" i="58"/>
  <c r="W828" i="58"/>
  <c r="W829" i="58"/>
  <c r="W830" i="58"/>
  <c r="W831" i="58"/>
  <c r="W832" i="58"/>
  <c r="W833" i="58"/>
  <c r="W834" i="58"/>
  <c r="W835" i="58"/>
  <c r="W836" i="58"/>
  <c r="W837" i="58"/>
  <c r="W838" i="58"/>
  <c r="W839" i="58"/>
  <c r="W840" i="58"/>
  <c r="W841" i="58"/>
  <c r="W842" i="58"/>
  <c r="W843" i="58"/>
  <c r="W844" i="58"/>
  <c r="W845" i="58"/>
  <c r="W846" i="58"/>
  <c r="W847" i="58"/>
  <c r="W848" i="58"/>
  <c r="W849" i="58"/>
  <c r="W850" i="58"/>
  <c r="W851" i="58"/>
  <c r="W852" i="58"/>
  <c r="W853" i="58"/>
  <c r="W854" i="58"/>
  <c r="W855" i="58"/>
  <c r="W856" i="58"/>
  <c r="W857" i="58"/>
  <c r="W858" i="58"/>
  <c r="W859" i="58"/>
  <c r="W860" i="58"/>
  <c r="W861" i="58"/>
  <c r="W862" i="58"/>
  <c r="W863" i="58"/>
  <c r="W864" i="58"/>
  <c r="W865" i="58"/>
  <c r="W866" i="58"/>
  <c r="W867" i="58"/>
  <c r="W868" i="58"/>
  <c r="W869" i="58"/>
  <c r="W870" i="58"/>
  <c r="W871" i="58"/>
  <c r="W872" i="58"/>
  <c r="W873" i="58"/>
  <c r="W874" i="58"/>
  <c r="W875" i="58"/>
  <c r="W876" i="58"/>
  <c r="W877" i="58"/>
  <c r="W878" i="58"/>
  <c r="W879" i="58"/>
  <c r="W880" i="58"/>
  <c r="W881" i="58"/>
  <c r="W882" i="58"/>
  <c r="W883" i="58"/>
  <c r="W884" i="58"/>
  <c r="W885" i="58"/>
  <c r="W886" i="58"/>
  <c r="W887" i="58"/>
  <c r="W888" i="58"/>
  <c r="W889" i="58"/>
  <c r="W890" i="58"/>
  <c r="W891" i="58"/>
  <c r="W892" i="58"/>
  <c r="W893" i="58"/>
  <c r="W894" i="58"/>
  <c r="W895" i="58"/>
  <c r="W896" i="58"/>
  <c r="W897" i="58"/>
  <c r="W898" i="58"/>
  <c r="W899" i="58"/>
  <c r="W900" i="58"/>
  <c r="W901" i="58"/>
  <c r="W902" i="58"/>
  <c r="W903" i="58"/>
  <c r="W904" i="58"/>
  <c r="W905" i="58"/>
  <c r="W906" i="58"/>
  <c r="W907" i="58"/>
  <c r="W908" i="58"/>
  <c r="W909" i="58"/>
  <c r="W910" i="58"/>
  <c r="W911" i="58"/>
  <c r="W912" i="58"/>
  <c r="W913" i="58"/>
  <c r="W914" i="58"/>
  <c r="W915" i="58"/>
  <c r="W916" i="58"/>
  <c r="W917" i="58"/>
  <c r="W918" i="58"/>
  <c r="W919" i="58"/>
  <c r="W920" i="58"/>
  <c r="W921" i="58"/>
  <c r="W922" i="58"/>
  <c r="W923" i="58"/>
  <c r="W924" i="58"/>
  <c r="W925" i="58"/>
  <c r="W926" i="58"/>
  <c r="W927" i="58"/>
  <c r="W928" i="58"/>
  <c r="W929" i="58"/>
  <c r="W930" i="58"/>
  <c r="W931" i="58"/>
  <c r="W932" i="58"/>
  <c r="W933" i="58"/>
  <c r="W934" i="58"/>
  <c r="W935" i="58"/>
  <c r="W936" i="58"/>
  <c r="W937" i="58"/>
  <c r="W938" i="58"/>
  <c r="W939" i="58"/>
  <c r="W940" i="58"/>
  <c r="W941" i="58"/>
  <c r="W942" i="58"/>
  <c r="W943" i="58"/>
  <c r="W944" i="58"/>
  <c r="W945" i="58"/>
  <c r="W946" i="58"/>
  <c r="W947" i="58"/>
  <c r="W948" i="58"/>
  <c r="W949" i="58"/>
  <c r="W950" i="58"/>
  <c r="W951" i="58"/>
  <c r="W952" i="58"/>
  <c r="W953" i="58"/>
  <c r="W954" i="58"/>
  <c r="W955" i="58"/>
  <c r="W956" i="58"/>
  <c r="W957" i="58"/>
  <c r="W958" i="58"/>
  <c r="W959" i="58"/>
  <c r="W960" i="58"/>
  <c r="W961" i="58"/>
  <c r="W962" i="58"/>
  <c r="W963" i="58"/>
  <c r="W964" i="58"/>
  <c r="W965" i="58"/>
  <c r="W966" i="58"/>
  <c r="W967" i="58"/>
  <c r="W968" i="58"/>
  <c r="W969" i="58"/>
  <c r="W970" i="58"/>
  <c r="W971" i="58"/>
  <c r="W972" i="58"/>
  <c r="W973" i="58"/>
  <c r="W974" i="58"/>
  <c r="W975" i="58"/>
  <c r="W976" i="58"/>
  <c r="W977" i="58"/>
  <c r="W978" i="58"/>
  <c r="W979" i="58"/>
  <c r="W980" i="58"/>
  <c r="W981" i="58"/>
  <c r="W982" i="58"/>
  <c r="W983" i="58"/>
  <c r="W984" i="58"/>
  <c r="W985" i="58"/>
  <c r="W986" i="58"/>
  <c r="W987" i="58"/>
  <c r="W988" i="58"/>
  <c r="W989" i="58"/>
  <c r="W990" i="58"/>
  <c r="W991" i="58"/>
  <c r="W992" i="58"/>
  <c r="W993" i="58"/>
  <c r="W994" i="58"/>
  <c r="W995" i="58"/>
  <c r="W996" i="58"/>
  <c r="W997" i="58"/>
  <c r="W998" i="58"/>
  <c r="W999" i="58"/>
  <c r="W1000" i="58"/>
  <c r="W1001" i="58"/>
  <c r="W1002" i="58"/>
  <c r="W1003" i="58"/>
  <c r="W1004" i="58"/>
  <c r="W1005" i="58"/>
  <c r="W1006" i="58"/>
  <c r="W1007" i="58"/>
  <c r="W1008" i="58"/>
  <c r="W1009" i="58"/>
  <c r="W1010" i="58"/>
  <c r="W1011" i="58"/>
  <c r="W1012" i="58"/>
  <c r="W1013" i="58"/>
  <c r="W1014" i="58"/>
  <c r="W1015" i="58"/>
  <c r="W1016" i="58"/>
  <c r="W1017" i="58"/>
  <c r="W1018" i="58"/>
  <c r="W1019" i="58"/>
  <c r="W1020" i="58"/>
  <c r="W1021" i="58"/>
  <c r="W1022" i="58"/>
  <c r="W1023" i="58"/>
  <c r="W1024" i="58"/>
  <c r="W1025" i="58"/>
  <c r="W1026" i="58"/>
  <c r="W1027" i="58"/>
  <c r="W1028" i="58"/>
  <c r="W1029" i="58"/>
  <c r="W1030" i="58"/>
  <c r="W1031" i="58"/>
  <c r="W1032" i="58"/>
  <c r="W1033" i="58"/>
  <c r="W1034" i="58"/>
  <c r="W1035" i="58"/>
  <c r="W1036" i="58"/>
  <c r="X593" i="58"/>
  <c r="X594" i="58"/>
  <c r="X595" i="58"/>
  <c r="X596" i="58"/>
  <c r="X597" i="58"/>
  <c r="X598" i="58"/>
  <c r="X599" i="58"/>
  <c r="X600" i="58"/>
  <c r="X601" i="58"/>
  <c r="X602" i="58"/>
  <c r="X603" i="58"/>
  <c r="X604" i="58"/>
  <c r="X605" i="58"/>
  <c r="X606" i="58"/>
  <c r="X607" i="58"/>
  <c r="X608" i="58"/>
  <c r="X609" i="58"/>
  <c r="X610" i="58"/>
  <c r="X611" i="58"/>
  <c r="X612" i="58"/>
  <c r="X613" i="58"/>
  <c r="X614" i="58"/>
  <c r="X615" i="58"/>
  <c r="X616" i="58"/>
  <c r="X617" i="58"/>
  <c r="X618" i="58"/>
  <c r="X619" i="58"/>
  <c r="X620" i="58"/>
  <c r="X621" i="58"/>
  <c r="X622" i="58"/>
  <c r="X623" i="58"/>
  <c r="X624" i="58"/>
  <c r="X625" i="58"/>
  <c r="X626" i="58"/>
  <c r="X627" i="58"/>
  <c r="X628" i="58"/>
  <c r="X629" i="58"/>
  <c r="X630" i="58"/>
  <c r="X631" i="58"/>
  <c r="X632" i="58"/>
  <c r="X633" i="58"/>
  <c r="X634" i="58"/>
  <c r="X635" i="58"/>
  <c r="X636" i="58"/>
  <c r="X637" i="58"/>
  <c r="X638" i="58"/>
  <c r="X639" i="58"/>
  <c r="X640" i="58"/>
  <c r="X641" i="58"/>
  <c r="X642" i="58"/>
  <c r="X643" i="58"/>
  <c r="X644" i="58"/>
  <c r="X645" i="58"/>
  <c r="X646" i="58"/>
  <c r="X647" i="58"/>
  <c r="X648" i="58"/>
  <c r="X649" i="58"/>
  <c r="X650" i="58"/>
  <c r="X651" i="58"/>
  <c r="X652" i="58"/>
  <c r="X653" i="58"/>
  <c r="X654" i="58"/>
  <c r="X655" i="58"/>
  <c r="X656" i="58"/>
  <c r="X657" i="58"/>
  <c r="X658" i="58"/>
  <c r="X659" i="58"/>
  <c r="X660" i="58"/>
  <c r="X661" i="58"/>
  <c r="X662" i="58"/>
  <c r="X663" i="58"/>
  <c r="X664" i="58"/>
  <c r="X665" i="58"/>
  <c r="X666" i="58"/>
  <c r="X667" i="58"/>
  <c r="X668" i="58"/>
  <c r="X669" i="58"/>
  <c r="X670" i="58"/>
  <c r="X671" i="58"/>
  <c r="X672" i="58"/>
  <c r="X673" i="58"/>
  <c r="X674" i="58"/>
  <c r="X675" i="58"/>
  <c r="X676" i="58"/>
  <c r="X677" i="58"/>
  <c r="X678" i="58"/>
  <c r="X679" i="58"/>
  <c r="X680" i="58"/>
  <c r="X681" i="58"/>
  <c r="X682" i="58"/>
  <c r="X683" i="58"/>
  <c r="X684" i="58"/>
  <c r="X685" i="58"/>
  <c r="X686" i="58"/>
  <c r="X687" i="58"/>
  <c r="X688" i="58"/>
  <c r="X689" i="58"/>
  <c r="X690" i="58"/>
  <c r="X691" i="58"/>
  <c r="X692" i="58"/>
  <c r="X693" i="58"/>
  <c r="X694" i="58"/>
  <c r="X695" i="58"/>
  <c r="X696" i="58"/>
  <c r="X697" i="58"/>
  <c r="X698" i="58"/>
  <c r="X699" i="58"/>
  <c r="X700" i="58"/>
  <c r="X701" i="58"/>
  <c r="X702" i="58"/>
  <c r="X703" i="58"/>
  <c r="X704" i="58"/>
  <c r="X705" i="58"/>
  <c r="X706" i="58"/>
  <c r="X707" i="58"/>
  <c r="X708" i="58"/>
  <c r="X709" i="58"/>
  <c r="X710" i="58"/>
  <c r="X711" i="58"/>
  <c r="X712" i="58"/>
  <c r="X713" i="58"/>
  <c r="X714" i="58"/>
  <c r="X715" i="58"/>
  <c r="X716" i="58"/>
  <c r="X717" i="58"/>
  <c r="X718" i="58"/>
  <c r="X719" i="58"/>
  <c r="X720" i="58"/>
  <c r="X721" i="58"/>
  <c r="X722" i="58"/>
  <c r="X723" i="58"/>
  <c r="X724" i="58"/>
  <c r="X725" i="58"/>
  <c r="X726" i="58"/>
  <c r="X727" i="58"/>
  <c r="X728" i="58"/>
  <c r="X729" i="58"/>
  <c r="X730" i="58"/>
  <c r="X731" i="58"/>
  <c r="X732" i="58"/>
  <c r="X733" i="58"/>
  <c r="X734" i="58"/>
  <c r="X735" i="58"/>
  <c r="X736" i="58"/>
  <c r="X737" i="58"/>
  <c r="X738" i="58"/>
  <c r="X739" i="58"/>
  <c r="X740" i="58"/>
  <c r="X741" i="58"/>
  <c r="X742" i="58"/>
  <c r="X743" i="58"/>
  <c r="X744" i="58"/>
  <c r="X745" i="58"/>
  <c r="X746" i="58"/>
  <c r="X747" i="58"/>
  <c r="X748" i="58"/>
  <c r="X749" i="58"/>
  <c r="X750" i="58"/>
  <c r="X751" i="58"/>
  <c r="X752" i="58"/>
  <c r="X753" i="58"/>
  <c r="X754" i="58"/>
  <c r="X755" i="58"/>
  <c r="X756" i="58"/>
  <c r="X757" i="58"/>
  <c r="X758" i="58"/>
  <c r="X759" i="58"/>
  <c r="X760" i="58"/>
  <c r="X761" i="58"/>
  <c r="X762" i="58"/>
  <c r="X763" i="58"/>
  <c r="X764" i="58"/>
  <c r="X765" i="58"/>
  <c r="X766" i="58"/>
  <c r="X767" i="58"/>
  <c r="X768" i="58"/>
  <c r="X769" i="58"/>
  <c r="X770" i="58"/>
  <c r="X771" i="58"/>
  <c r="X772" i="58"/>
  <c r="X773" i="58"/>
  <c r="X774" i="58"/>
  <c r="X775" i="58"/>
  <c r="X776" i="58"/>
  <c r="X777" i="58"/>
  <c r="X778" i="58"/>
  <c r="X779" i="58"/>
  <c r="X780" i="58"/>
  <c r="X781" i="58"/>
  <c r="X782" i="58"/>
  <c r="X783" i="58"/>
  <c r="X784" i="58"/>
  <c r="X785" i="58"/>
  <c r="X786" i="58"/>
  <c r="X787" i="58"/>
  <c r="X788" i="58"/>
  <c r="X789" i="58"/>
  <c r="X790" i="58"/>
  <c r="X791" i="58"/>
  <c r="X792" i="58"/>
  <c r="X793" i="58"/>
  <c r="X794" i="58"/>
  <c r="X795" i="58"/>
  <c r="X796" i="58"/>
  <c r="X797" i="58"/>
  <c r="X798" i="58"/>
  <c r="X799" i="58"/>
  <c r="X800" i="58"/>
  <c r="X801" i="58"/>
  <c r="X802" i="58"/>
  <c r="X803" i="58"/>
  <c r="X804" i="58"/>
  <c r="X805" i="58"/>
  <c r="X806" i="58"/>
  <c r="X807" i="58"/>
  <c r="X808" i="58"/>
  <c r="X809" i="58"/>
  <c r="X810" i="58"/>
  <c r="X811" i="58"/>
  <c r="X812" i="58"/>
  <c r="X813" i="58"/>
  <c r="X814" i="58"/>
  <c r="X815" i="58"/>
  <c r="X816" i="58"/>
  <c r="X817" i="58"/>
  <c r="X818" i="58"/>
  <c r="X819" i="58"/>
  <c r="X820" i="58"/>
  <c r="X821" i="58"/>
  <c r="X822" i="58"/>
  <c r="X823" i="58"/>
  <c r="X824" i="58"/>
  <c r="X825" i="58"/>
  <c r="X826" i="58"/>
  <c r="X827" i="58"/>
  <c r="X828" i="58"/>
  <c r="X829" i="58"/>
  <c r="X830" i="58"/>
  <c r="X831" i="58"/>
  <c r="X832" i="58"/>
  <c r="X833" i="58"/>
  <c r="X834" i="58"/>
  <c r="X835" i="58"/>
  <c r="X836" i="58"/>
  <c r="X837" i="58"/>
  <c r="X838" i="58"/>
  <c r="X839" i="58"/>
  <c r="X840" i="58"/>
  <c r="X841" i="58"/>
  <c r="X842" i="58"/>
  <c r="X843" i="58"/>
  <c r="X844" i="58"/>
  <c r="X845" i="58"/>
  <c r="X846" i="58"/>
  <c r="X847" i="58"/>
  <c r="X848" i="58"/>
  <c r="X849" i="58"/>
  <c r="X850" i="58"/>
  <c r="X851" i="58"/>
  <c r="X852" i="58"/>
  <c r="X853" i="58"/>
  <c r="X854" i="58"/>
  <c r="X855" i="58"/>
  <c r="X856" i="58"/>
  <c r="X857" i="58"/>
  <c r="X858" i="58"/>
  <c r="X859" i="58"/>
  <c r="X860" i="58"/>
  <c r="X861" i="58"/>
  <c r="X862" i="58"/>
  <c r="X863" i="58"/>
  <c r="X864" i="58"/>
  <c r="X865" i="58"/>
  <c r="X866" i="58"/>
  <c r="X867" i="58"/>
  <c r="X868" i="58"/>
  <c r="X869" i="58"/>
  <c r="X870" i="58"/>
  <c r="X871" i="58"/>
  <c r="X872" i="58"/>
  <c r="X873" i="58"/>
  <c r="X874" i="58"/>
  <c r="X875" i="58"/>
  <c r="X876" i="58"/>
  <c r="X877" i="58"/>
  <c r="X878" i="58"/>
  <c r="X879" i="58"/>
  <c r="X880" i="58"/>
  <c r="X881" i="58"/>
  <c r="X882" i="58"/>
  <c r="X883" i="58"/>
  <c r="X884" i="58"/>
  <c r="X885" i="58"/>
  <c r="X886" i="58"/>
  <c r="X887" i="58"/>
  <c r="X888" i="58"/>
  <c r="X889" i="58"/>
  <c r="X890" i="58"/>
  <c r="X891" i="58"/>
  <c r="X892" i="58"/>
  <c r="X893" i="58"/>
  <c r="X894" i="58"/>
  <c r="X895" i="58"/>
  <c r="X896" i="58"/>
  <c r="X897" i="58"/>
  <c r="X898" i="58"/>
  <c r="X899" i="58"/>
  <c r="X900" i="58"/>
  <c r="X901" i="58"/>
  <c r="X902" i="58"/>
  <c r="X903" i="58"/>
  <c r="X904" i="58"/>
  <c r="X905" i="58"/>
  <c r="X906" i="58"/>
  <c r="X907" i="58"/>
  <c r="X908" i="58"/>
  <c r="X909" i="58"/>
  <c r="X910" i="58"/>
  <c r="X911" i="58"/>
  <c r="X912" i="58"/>
  <c r="X913" i="58"/>
  <c r="X914" i="58"/>
  <c r="X915" i="58"/>
  <c r="X916" i="58"/>
  <c r="X917" i="58"/>
  <c r="X918" i="58"/>
  <c r="X919" i="58"/>
  <c r="X920" i="58"/>
  <c r="X921" i="58"/>
  <c r="X922" i="58"/>
  <c r="X923" i="58"/>
  <c r="X924" i="58"/>
  <c r="X925" i="58"/>
  <c r="X926" i="58"/>
  <c r="X927" i="58"/>
  <c r="X928" i="58"/>
  <c r="X929" i="58"/>
  <c r="X930" i="58"/>
  <c r="X931" i="58"/>
  <c r="X932" i="58"/>
  <c r="X933" i="58"/>
  <c r="X934" i="58"/>
  <c r="X935" i="58"/>
  <c r="X936" i="58"/>
  <c r="X937" i="58"/>
  <c r="X938" i="58"/>
  <c r="X939" i="58"/>
  <c r="X940" i="58"/>
  <c r="X941" i="58"/>
  <c r="X942" i="58"/>
  <c r="X943" i="58"/>
  <c r="X944" i="58"/>
  <c r="X945" i="58"/>
  <c r="X946" i="58"/>
  <c r="X947" i="58"/>
  <c r="X948" i="58"/>
  <c r="X949" i="58"/>
  <c r="X950" i="58"/>
  <c r="X951" i="58"/>
  <c r="X952" i="58"/>
  <c r="X953" i="58"/>
  <c r="X954" i="58"/>
  <c r="X955" i="58"/>
  <c r="X956" i="58"/>
  <c r="X957" i="58"/>
  <c r="X958" i="58"/>
  <c r="X959" i="58"/>
  <c r="X960" i="58"/>
  <c r="X961" i="58"/>
  <c r="X962" i="58"/>
  <c r="X963" i="58"/>
  <c r="X964" i="58"/>
  <c r="X965" i="58"/>
  <c r="X966" i="58"/>
  <c r="X967" i="58"/>
  <c r="X968" i="58"/>
  <c r="X969" i="58"/>
  <c r="X970" i="58"/>
  <c r="X971" i="58"/>
  <c r="X972" i="58"/>
  <c r="X973" i="58"/>
  <c r="X974" i="58"/>
  <c r="X975" i="58"/>
  <c r="X976" i="58"/>
  <c r="X977" i="58"/>
  <c r="X978" i="58"/>
  <c r="X979" i="58"/>
  <c r="X980" i="58"/>
  <c r="X981" i="58"/>
  <c r="X982" i="58"/>
  <c r="X983" i="58"/>
  <c r="X984" i="58"/>
  <c r="X985" i="58"/>
  <c r="X986" i="58"/>
  <c r="X987" i="58"/>
  <c r="X988" i="58"/>
  <c r="X989" i="58"/>
  <c r="X990" i="58"/>
  <c r="X991" i="58"/>
  <c r="X992" i="58"/>
  <c r="X993" i="58"/>
  <c r="X994" i="58"/>
  <c r="X995" i="58"/>
  <c r="X996" i="58"/>
  <c r="X997" i="58"/>
  <c r="X998" i="58"/>
  <c r="X999" i="58"/>
  <c r="X1000" i="58"/>
  <c r="X1001" i="58"/>
  <c r="X1002" i="58"/>
  <c r="X1003" i="58"/>
  <c r="X1004" i="58"/>
  <c r="X1005" i="58"/>
  <c r="X1006" i="58"/>
  <c r="X1007" i="58"/>
  <c r="X1008" i="58"/>
  <c r="X1009" i="58"/>
  <c r="X1010" i="58"/>
  <c r="X1011" i="58"/>
  <c r="X1012" i="58"/>
  <c r="X1013" i="58"/>
  <c r="X1014" i="58"/>
  <c r="X1015" i="58"/>
  <c r="X1016" i="58"/>
  <c r="X1017" i="58"/>
  <c r="X1018" i="58"/>
  <c r="X1019" i="58"/>
  <c r="X1020" i="58"/>
  <c r="X1021" i="58"/>
  <c r="X1022" i="58"/>
  <c r="X1023" i="58"/>
  <c r="X1024" i="58"/>
  <c r="X1025" i="58"/>
  <c r="X1026" i="58"/>
  <c r="X1027" i="58"/>
  <c r="X1028" i="58"/>
  <c r="X1029" i="58"/>
  <c r="X1030" i="58"/>
  <c r="X1031" i="58"/>
  <c r="X1032" i="58"/>
  <c r="X1033" i="58"/>
  <c r="X1034" i="58"/>
  <c r="X1035" i="58"/>
  <c r="X1036" i="58"/>
  <c r="Y593" i="58"/>
  <c r="Y594" i="58"/>
  <c r="Y595" i="58"/>
  <c r="Y596" i="58"/>
  <c r="Y597" i="58"/>
  <c r="Y598" i="58"/>
  <c r="Y599" i="58"/>
  <c r="Y600" i="58"/>
  <c r="Y601" i="58"/>
  <c r="Y602" i="58"/>
  <c r="Y603" i="58"/>
  <c r="Y604" i="58"/>
  <c r="Y605" i="58"/>
  <c r="Y606" i="58"/>
  <c r="Y607" i="58"/>
  <c r="Y608" i="58"/>
  <c r="Y609" i="58"/>
  <c r="Y610" i="58"/>
  <c r="Y611" i="58"/>
  <c r="Y612" i="58"/>
  <c r="Y613" i="58"/>
  <c r="Y614" i="58"/>
  <c r="Y615" i="58"/>
  <c r="Y616" i="58"/>
  <c r="Y617" i="58"/>
  <c r="Y618" i="58"/>
  <c r="Y619" i="58"/>
  <c r="Y620" i="58"/>
  <c r="Y621" i="58"/>
  <c r="Y622" i="58"/>
  <c r="Y623" i="58"/>
  <c r="Y624" i="58"/>
  <c r="Y625" i="58"/>
  <c r="Y626" i="58"/>
  <c r="Y627" i="58"/>
  <c r="Y628" i="58"/>
  <c r="Y629" i="58"/>
  <c r="Y630" i="58"/>
  <c r="Y631" i="58"/>
  <c r="Y632" i="58"/>
  <c r="Y633" i="58"/>
  <c r="Y634" i="58"/>
  <c r="Y635" i="58"/>
  <c r="Y636" i="58"/>
  <c r="Y637" i="58"/>
  <c r="Y638" i="58"/>
  <c r="Y639" i="58"/>
  <c r="Y640" i="58"/>
  <c r="Y641" i="58"/>
  <c r="Y642" i="58"/>
  <c r="Y643" i="58"/>
  <c r="Y644" i="58"/>
  <c r="Y645" i="58"/>
  <c r="Y646" i="58"/>
  <c r="Y647" i="58"/>
  <c r="Y648" i="58"/>
  <c r="Y649" i="58"/>
  <c r="Y650" i="58"/>
  <c r="Y651" i="58"/>
  <c r="Y652" i="58"/>
  <c r="Y653" i="58"/>
  <c r="Y654" i="58"/>
  <c r="Y655" i="58"/>
  <c r="Y656" i="58"/>
  <c r="Y657" i="58"/>
  <c r="Y658" i="58"/>
  <c r="Y659" i="58"/>
  <c r="Y660" i="58"/>
  <c r="Y661" i="58"/>
  <c r="Y662" i="58"/>
  <c r="Y663" i="58"/>
  <c r="Y664" i="58"/>
  <c r="Y665" i="58"/>
  <c r="Y666" i="58"/>
  <c r="Y667" i="58"/>
  <c r="Y668" i="58"/>
  <c r="Y669" i="58"/>
  <c r="Y670" i="58"/>
  <c r="Y671" i="58"/>
  <c r="Y672" i="58"/>
  <c r="Y673" i="58"/>
  <c r="Y674" i="58"/>
  <c r="Y675" i="58"/>
  <c r="Y676" i="58"/>
  <c r="Y677" i="58"/>
  <c r="Y678" i="58"/>
  <c r="Y679" i="58"/>
  <c r="Y680" i="58"/>
  <c r="Y681" i="58"/>
  <c r="Y682" i="58"/>
  <c r="Y683" i="58"/>
  <c r="Y684" i="58"/>
  <c r="Y685" i="58"/>
  <c r="Y686" i="58"/>
  <c r="Y687" i="58"/>
  <c r="Y688" i="58"/>
  <c r="Y689" i="58"/>
  <c r="Y690" i="58"/>
  <c r="Y691" i="58"/>
  <c r="Y692" i="58"/>
  <c r="Y693" i="58"/>
  <c r="Y694" i="58"/>
  <c r="Y695" i="58"/>
  <c r="Y696" i="58"/>
  <c r="Y697" i="58"/>
  <c r="Y698" i="58"/>
  <c r="Y699" i="58"/>
  <c r="Y700" i="58"/>
  <c r="Y701" i="58"/>
  <c r="Y702" i="58"/>
  <c r="Y703" i="58"/>
  <c r="Y704" i="58"/>
  <c r="Y705" i="58"/>
  <c r="Y706" i="58"/>
  <c r="Y707" i="58"/>
  <c r="Y708" i="58"/>
  <c r="Y709" i="58"/>
  <c r="Y710" i="58"/>
  <c r="Y711" i="58"/>
  <c r="Y712" i="58"/>
  <c r="Y713" i="58"/>
  <c r="Y714" i="58"/>
  <c r="Y715" i="58"/>
  <c r="Y716" i="58"/>
  <c r="Y717" i="58"/>
  <c r="Y718" i="58"/>
  <c r="Y719" i="58"/>
  <c r="Y720" i="58"/>
  <c r="Y721" i="58"/>
  <c r="Y722" i="58"/>
  <c r="Y723" i="58"/>
  <c r="Y724" i="58"/>
  <c r="Y725" i="58"/>
  <c r="Y726" i="58"/>
  <c r="Y727" i="58"/>
  <c r="Y728" i="58"/>
  <c r="Y729" i="58"/>
  <c r="Y730" i="58"/>
  <c r="Y731" i="58"/>
  <c r="Y732" i="58"/>
  <c r="Y733" i="58"/>
  <c r="Y734" i="58"/>
  <c r="Y735" i="58"/>
  <c r="Y736" i="58"/>
  <c r="Y737" i="58"/>
  <c r="Y738" i="58"/>
  <c r="Y739" i="58"/>
  <c r="Y740" i="58"/>
  <c r="Y741" i="58"/>
  <c r="Y742" i="58"/>
  <c r="Y743" i="58"/>
  <c r="Y744" i="58"/>
  <c r="Y745" i="58"/>
  <c r="Y746" i="58"/>
  <c r="Y747" i="58"/>
  <c r="Y748" i="58"/>
  <c r="Y749" i="58"/>
  <c r="Y750" i="58"/>
  <c r="Y751" i="58"/>
  <c r="Y752" i="58"/>
  <c r="Y753" i="58"/>
  <c r="Y754" i="58"/>
  <c r="Y755" i="58"/>
  <c r="Y756" i="58"/>
  <c r="Y757" i="58"/>
  <c r="Y758" i="58"/>
  <c r="Y759" i="58"/>
  <c r="Y760" i="58"/>
  <c r="Y761" i="58"/>
  <c r="Y762" i="58"/>
  <c r="Y763" i="58"/>
  <c r="Y764" i="58"/>
  <c r="Y765" i="58"/>
  <c r="Y766" i="58"/>
  <c r="Y767" i="58"/>
  <c r="Y768" i="58"/>
  <c r="Y769" i="58"/>
  <c r="Y770" i="58"/>
  <c r="Y771" i="58"/>
  <c r="Y772" i="58"/>
  <c r="Y773" i="58"/>
  <c r="Y774" i="58"/>
  <c r="Y775" i="58"/>
  <c r="Y776" i="58"/>
  <c r="Y777" i="58"/>
  <c r="Y778" i="58"/>
  <c r="Y779" i="58"/>
  <c r="Y780" i="58"/>
  <c r="Y781" i="58"/>
  <c r="Y782" i="58"/>
  <c r="Y783" i="58"/>
  <c r="Y784" i="58"/>
  <c r="Y785" i="58"/>
  <c r="Y786" i="58"/>
  <c r="Y787" i="58"/>
  <c r="Y788" i="58"/>
  <c r="Y789" i="58"/>
  <c r="Y790" i="58"/>
  <c r="Y791" i="58"/>
  <c r="Y792" i="58"/>
  <c r="Y793" i="58"/>
  <c r="Y794" i="58"/>
  <c r="Y795" i="58"/>
  <c r="Y796" i="58"/>
  <c r="Y797" i="58"/>
  <c r="Y798" i="58"/>
  <c r="Y799" i="58"/>
  <c r="Y800" i="58"/>
  <c r="Y801" i="58"/>
  <c r="Y802" i="58"/>
  <c r="Y803" i="58"/>
  <c r="Y804" i="58"/>
  <c r="Y805" i="58"/>
  <c r="AA805" i="58" s="1"/>
  <c r="AB805" i="58" s="1"/>
  <c r="Y806" i="58"/>
  <c r="AA806" i="58" s="1"/>
  <c r="AB806" i="58" s="1"/>
  <c r="Y807" i="58"/>
  <c r="AA807" i="58" s="1"/>
  <c r="AB807" i="58" s="1"/>
  <c r="Y808" i="58"/>
  <c r="AA808" i="58" s="1"/>
  <c r="AB808" i="58" s="1"/>
  <c r="Y809" i="58"/>
  <c r="AA809" i="58" s="1"/>
  <c r="AB809" i="58" s="1"/>
  <c r="Y810" i="58"/>
  <c r="AA810" i="58" s="1"/>
  <c r="AB810" i="58" s="1"/>
  <c r="Y811" i="58"/>
  <c r="AA811" i="58" s="1"/>
  <c r="AB811" i="58" s="1"/>
  <c r="Y812" i="58"/>
  <c r="AA812" i="58" s="1"/>
  <c r="AB812" i="58" s="1"/>
  <c r="Y813" i="58"/>
  <c r="AA813" i="58" s="1"/>
  <c r="AB813" i="58" s="1"/>
  <c r="Y814" i="58"/>
  <c r="AA814" i="58" s="1"/>
  <c r="AB814" i="58" s="1"/>
  <c r="Y815" i="58"/>
  <c r="AA815" i="58" s="1"/>
  <c r="AB815" i="58" s="1"/>
  <c r="Y816" i="58"/>
  <c r="AA816" i="58" s="1"/>
  <c r="AB816" i="58" s="1"/>
  <c r="Y817" i="58"/>
  <c r="AA817" i="58" s="1"/>
  <c r="AB817" i="58" s="1"/>
  <c r="Y818" i="58"/>
  <c r="AA818" i="58" s="1"/>
  <c r="AB818" i="58" s="1"/>
  <c r="Y819" i="58"/>
  <c r="AA819" i="58" s="1"/>
  <c r="AB819" i="58" s="1"/>
  <c r="Y820" i="58"/>
  <c r="AA820" i="58" s="1"/>
  <c r="AB820" i="58" s="1"/>
  <c r="Y821" i="58"/>
  <c r="AA821" i="58" s="1"/>
  <c r="AB821" i="58" s="1"/>
  <c r="Y822" i="58"/>
  <c r="AA822" i="58" s="1"/>
  <c r="AB822" i="58" s="1"/>
  <c r="Y823" i="58"/>
  <c r="AA823" i="58" s="1"/>
  <c r="AB823" i="58" s="1"/>
  <c r="Y824" i="58"/>
  <c r="AA824" i="58" s="1"/>
  <c r="AB824" i="58" s="1"/>
  <c r="Y825" i="58"/>
  <c r="AA825" i="58" s="1"/>
  <c r="AB825" i="58" s="1"/>
  <c r="Y826" i="58"/>
  <c r="AA826" i="58" s="1"/>
  <c r="AB826" i="58" s="1"/>
  <c r="Y827" i="58"/>
  <c r="AA827" i="58" s="1"/>
  <c r="AB827" i="58" s="1"/>
  <c r="Y828" i="58"/>
  <c r="AA828" i="58" s="1"/>
  <c r="AB828" i="58" s="1"/>
  <c r="Y829" i="58"/>
  <c r="AA829" i="58" s="1"/>
  <c r="AB829" i="58" s="1"/>
  <c r="Y830" i="58"/>
  <c r="AA830" i="58" s="1"/>
  <c r="AB830" i="58" s="1"/>
  <c r="Y831" i="58"/>
  <c r="AA831" i="58" s="1"/>
  <c r="AB831" i="58" s="1"/>
  <c r="Y832" i="58"/>
  <c r="AA832" i="58" s="1"/>
  <c r="AB832" i="58" s="1"/>
  <c r="Y833" i="58"/>
  <c r="AA833" i="58" s="1"/>
  <c r="AB833" i="58" s="1"/>
  <c r="Y834" i="58"/>
  <c r="AA834" i="58" s="1"/>
  <c r="AB834" i="58" s="1"/>
  <c r="Y835" i="58"/>
  <c r="AA835" i="58" s="1"/>
  <c r="AB835" i="58" s="1"/>
  <c r="Y836" i="58"/>
  <c r="AA836" i="58" s="1"/>
  <c r="AB836" i="58" s="1"/>
  <c r="Y837" i="58"/>
  <c r="AA837" i="58" s="1"/>
  <c r="AB837" i="58" s="1"/>
  <c r="Y838" i="58"/>
  <c r="AA838" i="58" s="1"/>
  <c r="AB838" i="58" s="1"/>
  <c r="Y839" i="58"/>
  <c r="AA839" i="58" s="1"/>
  <c r="AB839" i="58" s="1"/>
  <c r="Y840" i="58"/>
  <c r="AA840" i="58" s="1"/>
  <c r="AB840" i="58" s="1"/>
  <c r="Y841" i="58"/>
  <c r="AA841" i="58" s="1"/>
  <c r="AB841" i="58" s="1"/>
  <c r="Y842" i="58"/>
  <c r="AA842" i="58" s="1"/>
  <c r="AB842" i="58" s="1"/>
  <c r="Y843" i="58"/>
  <c r="AA843" i="58" s="1"/>
  <c r="AB843" i="58" s="1"/>
  <c r="Y844" i="58"/>
  <c r="AA844" i="58" s="1"/>
  <c r="AB844" i="58" s="1"/>
  <c r="Y845" i="58"/>
  <c r="AA845" i="58" s="1"/>
  <c r="AB845" i="58" s="1"/>
  <c r="Y846" i="58"/>
  <c r="AA846" i="58" s="1"/>
  <c r="AB846" i="58" s="1"/>
  <c r="Y847" i="58"/>
  <c r="AA847" i="58" s="1"/>
  <c r="AB847" i="58" s="1"/>
  <c r="Y848" i="58"/>
  <c r="AA848" i="58" s="1"/>
  <c r="AB848" i="58" s="1"/>
  <c r="Y849" i="58"/>
  <c r="AA849" i="58" s="1"/>
  <c r="AB849" i="58" s="1"/>
  <c r="Y850" i="58"/>
  <c r="AA850" i="58" s="1"/>
  <c r="AB850" i="58" s="1"/>
  <c r="Y851" i="58"/>
  <c r="AA851" i="58" s="1"/>
  <c r="AB851" i="58" s="1"/>
  <c r="Y852" i="58"/>
  <c r="AA852" i="58" s="1"/>
  <c r="AB852" i="58" s="1"/>
  <c r="Y853" i="58"/>
  <c r="AA853" i="58" s="1"/>
  <c r="AB853" i="58" s="1"/>
  <c r="Y854" i="58"/>
  <c r="AA854" i="58" s="1"/>
  <c r="AB854" i="58" s="1"/>
  <c r="Y855" i="58"/>
  <c r="AA855" i="58" s="1"/>
  <c r="AB855" i="58" s="1"/>
  <c r="Y856" i="58"/>
  <c r="AA856" i="58" s="1"/>
  <c r="AB856" i="58" s="1"/>
  <c r="Y857" i="58"/>
  <c r="AA857" i="58" s="1"/>
  <c r="AB857" i="58" s="1"/>
  <c r="Y858" i="58"/>
  <c r="AA858" i="58" s="1"/>
  <c r="AB858" i="58" s="1"/>
  <c r="Y859" i="58"/>
  <c r="AA859" i="58" s="1"/>
  <c r="AB859" i="58" s="1"/>
  <c r="Y860" i="58"/>
  <c r="AA860" i="58" s="1"/>
  <c r="AB860" i="58" s="1"/>
  <c r="Y861" i="58"/>
  <c r="AA861" i="58" s="1"/>
  <c r="AB861" i="58" s="1"/>
  <c r="Y862" i="58"/>
  <c r="AA862" i="58" s="1"/>
  <c r="AB862" i="58" s="1"/>
  <c r="Y863" i="58"/>
  <c r="AA863" i="58" s="1"/>
  <c r="AB863" i="58" s="1"/>
  <c r="Y864" i="58"/>
  <c r="AA864" i="58" s="1"/>
  <c r="AB864" i="58" s="1"/>
  <c r="Y865" i="58"/>
  <c r="AA865" i="58" s="1"/>
  <c r="AB865" i="58" s="1"/>
  <c r="Y866" i="58"/>
  <c r="AA866" i="58" s="1"/>
  <c r="AB866" i="58" s="1"/>
  <c r="Y867" i="58"/>
  <c r="AA867" i="58" s="1"/>
  <c r="AB867" i="58" s="1"/>
  <c r="Y868" i="58"/>
  <c r="AA868" i="58" s="1"/>
  <c r="AB868" i="58" s="1"/>
  <c r="Y869" i="58"/>
  <c r="AA869" i="58" s="1"/>
  <c r="AB869" i="58" s="1"/>
  <c r="Y870" i="58"/>
  <c r="AA870" i="58" s="1"/>
  <c r="AB870" i="58" s="1"/>
  <c r="Y871" i="58"/>
  <c r="AA871" i="58" s="1"/>
  <c r="AB871" i="58" s="1"/>
  <c r="Y872" i="58"/>
  <c r="AA872" i="58" s="1"/>
  <c r="AB872" i="58" s="1"/>
  <c r="Y873" i="58"/>
  <c r="AA873" i="58" s="1"/>
  <c r="AB873" i="58" s="1"/>
  <c r="Y874" i="58"/>
  <c r="AA874" i="58" s="1"/>
  <c r="AB874" i="58" s="1"/>
  <c r="Y875" i="58"/>
  <c r="AA875" i="58" s="1"/>
  <c r="AB875" i="58" s="1"/>
  <c r="Y876" i="58"/>
  <c r="AA876" i="58" s="1"/>
  <c r="AB876" i="58" s="1"/>
  <c r="Y877" i="58"/>
  <c r="AA877" i="58" s="1"/>
  <c r="AB877" i="58" s="1"/>
  <c r="Y878" i="58"/>
  <c r="AA878" i="58" s="1"/>
  <c r="AB878" i="58" s="1"/>
  <c r="Y879" i="58"/>
  <c r="AA879" i="58" s="1"/>
  <c r="AB879" i="58" s="1"/>
  <c r="Y880" i="58"/>
  <c r="AA880" i="58" s="1"/>
  <c r="AB880" i="58" s="1"/>
  <c r="Y881" i="58"/>
  <c r="AA881" i="58" s="1"/>
  <c r="AB881" i="58" s="1"/>
  <c r="Y882" i="58"/>
  <c r="AA882" i="58" s="1"/>
  <c r="AB882" i="58" s="1"/>
  <c r="Y883" i="58"/>
  <c r="AA883" i="58" s="1"/>
  <c r="AB883" i="58" s="1"/>
  <c r="Y884" i="58"/>
  <c r="AA884" i="58" s="1"/>
  <c r="AB884" i="58" s="1"/>
  <c r="Y885" i="58"/>
  <c r="AA885" i="58" s="1"/>
  <c r="AB885" i="58" s="1"/>
  <c r="Y886" i="58"/>
  <c r="AA886" i="58" s="1"/>
  <c r="AB886" i="58" s="1"/>
  <c r="Y887" i="58"/>
  <c r="AA887" i="58" s="1"/>
  <c r="AB887" i="58" s="1"/>
  <c r="Y888" i="58"/>
  <c r="AA888" i="58" s="1"/>
  <c r="AB888" i="58" s="1"/>
  <c r="Y889" i="58"/>
  <c r="AA889" i="58" s="1"/>
  <c r="AB889" i="58" s="1"/>
  <c r="Y890" i="58"/>
  <c r="AA890" i="58" s="1"/>
  <c r="AB890" i="58" s="1"/>
  <c r="Y891" i="58"/>
  <c r="AA891" i="58" s="1"/>
  <c r="AB891" i="58" s="1"/>
  <c r="Y892" i="58"/>
  <c r="AA892" i="58" s="1"/>
  <c r="AB892" i="58" s="1"/>
  <c r="Y893" i="58"/>
  <c r="AA893" i="58" s="1"/>
  <c r="AB893" i="58" s="1"/>
  <c r="Y894" i="58"/>
  <c r="AA894" i="58" s="1"/>
  <c r="AB894" i="58" s="1"/>
  <c r="Y895" i="58"/>
  <c r="AA895" i="58" s="1"/>
  <c r="AB895" i="58" s="1"/>
  <c r="Y896" i="58"/>
  <c r="AA896" i="58" s="1"/>
  <c r="AB896" i="58" s="1"/>
  <c r="Y897" i="58"/>
  <c r="AA897" i="58" s="1"/>
  <c r="AB897" i="58" s="1"/>
  <c r="Y898" i="58"/>
  <c r="AA898" i="58" s="1"/>
  <c r="AB898" i="58" s="1"/>
  <c r="Y899" i="58"/>
  <c r="AA899" i="58" s="1"/>
  <c r="AB899" i="58" s="1"/>
  <c r="Y900" i="58"/>
  <c r="AA900" i="58" s="1"/>
  <c r="AB900" i="58" s="1"/>
  <c r="Y901" i="58"/>
  <c r="AA901" i="58" s="1"/>
  <c r="AB901" i="58" s="1"/>
  <c r="Y902" i="58"/>
  <c r="AA902" i="58" s="1"/>
  <c r="AB902" i="58" s="1"/>
  <c r="Y903" i="58"/>
  <c r="AA903" i="58" s="1"/>
  <c r="AB903" i="58" s="1"/>
  <c r="Y904" i="58"/>
  <c r="AA904" i="58" s="1"/>
  <c r="AB904" i="58" s="1"/>
  <c r="Y905" i="58"/>
  <c r="AA905" i="58" s="1"/>
  <c r="AB905" i="58" s="1"/>
  <c r="Y906" i="58"/>
  <c r="AA906" i="58" s="1"/>
  <c r="AB906" i="58" s="1"/>
  <c r="Y907" i="58"/>
  <c r="AA907" i="58" s="1"/>
  <c r="AB907" i="58" s="1"/>
  <c r="Y908" i="58"/>
  <c r="AA908" i="58" s="1"/>
  <c r="AB908" i="58" s="1"/>
  <c r="Y909" i="58"/>
  <c r="AA909" i="58" s="1"/>
  <c r="AB909" i="58" s="1"/>
  <c r="Y910" i="58"/>
  <c r="AA910" i="58" s="1"/>
  <c r="AB910" i="58" s="1"/>
  <c r="Y911" i="58"/>
  <c r="AA911" i="58" s="1"/>
  <c r="AB911" i="58" s="1"/>
  <c r="Y912" i="58"/>
  <c r="AA912" i="58" s="1"/>
  <c r="AB912" i="58" s="1"/>
  <c r="Y913" i="58"/>
  <c r="AA913" i="58" s="1"/>
  <c r="AB913" i="58" s="1"/>
  <c r="Y914" i="58"/>
  <c r="AA914" i="58" s="1"/>
  <c r="AB914" i="58" s="1"/>
  <c r="Y915" i="58"/>
  <c r="AA915" i="58" s="1"/>
  <c r="AB915" i="58" s="1"/>
  <c r="Y916" i="58"/>
  <c r="AA916" i="58" s="1"/>
  <c r="AB916" i="58" s="1"/>
  <c r="Y917" i="58"/>
  <c r="AA917" i="58" s="1"/>
  <c r="AB917" i="58" s="1"/>
  <c r="Y918" i="58"/>
  <c r="AA918" i="58" s="1"/>
  <c r="AB918" i="58" s="1"/>
  <c r="Y919" i="58"/>
  <c r="AA919" i="58" s="1"/>
  <c r="AB919" i="58" s="1"/>
  <c r="Y920" i="58"/>
  <c r="AA920" i="58" s="1"/>
  <c r="AB920" i="58" s="1"/>
  <c r="Y921" i="58"/>
  <c r="AA921" i="58" s="1"/>
  <c r="AB921" i="58" s="1"/>
  <c r="Y922" i="58"/>
  <c r="AA922" i="58" s="1"/>
  <c r="AB922" i="58" s="1"/>
  <c r="Y923" i="58"/>
  <c r="AA923" i="58" s="1"/>
  <c r="AB923" i="58" s="1"/>
  <c r="Y924" i="58"/>
  <c r="AA924" i="58" s="1"/>
  <c r="AB924" i="58" s="1"/>
  <c r="Y925" i="58"/>
  <c r="AA925" i="58" s="1"/>
  <c r="AB925" i="58" s="1"/>
  <c r="Y926" i="58"/>
  <c r="AA926" i="58" s="1"/>
  <c r="AB926" i="58" s="1"/>
  <c r="Y927" i="58"/>
  <c r="AA927" i="58" s="1"/>
  <c r="AB927" i="58" s="1"/>
  <c r="Y928" i="58"/>
  <c r="AA928" i="58" s="1"/>
  <c r="AB928" i="58" s="1"/>
  <c r="Y929" i="58"/>
  <c r="AA929" i="58" s="1"/>
  <c r="AB929" i="58" s="1"/>
  <c r="Y930" i="58"/>
  <c r="AA930" i="58" s="1"/>
  <c r="AB930" i="58" s="1"/>
  <c r="Y931" i="58"/>
  <c r="AA931" i="58" s="1"/>
  <c r="AB931" i="58" s="1"/>
  <c r="Y932" i="58"/>
  <c r="AA932" i="58" s="1"/>
  <c r="AB932" i="58" s="1"/>
  <c r="Y933" i="58"/>
  <c r="AA933" i="58" s="1"/>
  <c r="AB933" i="58" s="1"/>
  <c r="Y934" i="58"/>
  <c r="AA934" i="58" s="1"/>
  <c r="AB934" i="58" s="1"/>
  <c r="Y935" i="58"/>
  <c r="AA935" i="58" s="1"/>
  <c r="AB935" i="58" s="1"/>
  <c r="Y936" i="58"/>
  <c r="AA936" i="58" s="1"/>
  <c r="AB936" i="58" s="1"/>
  <c r="Y937" i="58"/>
  <c r="AA937" i="58" s="1"/>
  <c r="AB937" i="58" s="1"/>
  <c r="Y938" i="58"/>
  <c r="AA938" i="58" s="1"/>
  <c r="AB938" i="58" s="1"/>
  <c r="Y939" i="58"/>
  <c r="AA939" i="58" s="1"/>
  <c r="AB939" i="58" s="1"/>
  <c r="Y940" i="58"/>
  <c r="AA940" i="58" s="1"/>
  <c r="AB940" i="58" s="1"/>
  <c r="Y941" i="58"/>
  <c r="AA941" i="58" s="1"/>
  <c r="AB941" i="58" s="1"/>
  <c r="Y942" i="58"/>
  <c r="AA942" i="58" s="1"/>
  <c r="AB942" i="58" s="1"/>
  <c r="Y943" i="58"/>
  <c r="AA943" i="58" s="1"/>
  <c r="AB943" i="58" s="1"/>
  <c r="Y944" i="58"/>
  <c r="AA944" i="58" s="1"/>
  <c r="AB944" i="58" s="1"/>
  <c r="Y945" i="58"/>
  <c r="AA945" i="58" s="1"/>
  <c r="AB945" i="58" s="1"/>
  <c r="Y946" i="58"/>
  <c r="AA946" i="58" s="1"/>
  <c r="AB946" i="58" s="1"/>
  <c r="Y947" i="58"/>
  <c r="AA947" i="58" s="1"/>
  <c r="AB947" i="58" s="1"/>
  <c r="Y948" i="58"/>
  <c r="AA948" i="58" s="1"/>
  <c r="AB948" i="58" s="1"/>
  <c r="Y949" i="58"/>
  <c r="AA949" i="58" s="1"/>
  <c r="AB949" i="58" s="1"/>
  <c r="Y950" i="58"/>
  <c r="AA950" i="58" s="1"/>
  <c r="AB950" i="58" s="1"/>
  <c r="Y951" i="58"/>
  <c r="AA951" i="58" s="1"/>
  <c r="AB951" i="58" s="1"/>
  <c r="Y952" i="58"/>
  <c r="AA952" i="58" s="1"/>
  <c r="AB952" i="58" s="1"/>
  <c r="Y953" i="58"/>
  <c r="AA953" i="58" s="1"/>
  <c r="AB953" i="58" s="1"/>
  <c r="Y954" i="58"/>
  <c r="AA954" i="58" s="1"/>
  <c r="AB954" i="58" s="1"/>
  <c r="Y955" i="58"/>
  <c r="AA955" i="58" s="1"/>
  <c r="AB955" i="58" s="1"/>
  <c r="Y956" i="58"/>
  <c r="AA956" i="58" s="1"/>
  <c r="AB956" i="58" s="1"/>
  <c r="Y957" i="58"/>
  <c r="AA957" i="58" s="1"/>
  <c r="AB957" i="58" s="1"/>
  <c r="Y958" i="58"/>
  <c r="AA958" i="58" s="1"/>
  <c r="AB958" i="58" s="1"/>
  <c r="Y959" i="58"/>
  <c r="AA959" i="58" s="1"/>
  <c r="AB959" i="58" s="1"/>
  <c r="Y960" i="58"/>
  <c r="AA960" i="58" s="1"/>
  <c r="AB960" i="58" s="1"/>
  <c r="Y961" i="58"/>
  <c r="AA961" i="58" s="1"/>
  <c r="AB961" i="58" s="1"/>
  <c r="Y962" i="58"/>
  <c r="AA962" i="58" s="1"/>
  <c r="AB962" i="58" s="1"/>
  <c r="Y963" i="58"/>
  <c r="AA963" i="58" s="1"/>
  <c r="AB963" i="58" s="1"/>
  <c r="Y964" i="58"/>
  <c r="AA964" i="58" s="1"/>
  <c r="AB964" i="58" s="1"/>
  <c r="Y965" i="58"/>
  <c r="AA965" i="58" s="1"/>
  <c r="AB965" i="58" s="1"/>
  <c r="Y966" i="58"/>
  <c r="AA966" i="58" s="1"/>
  <c r="AB966" i="58" s="1"/>
  <c r="Y967" i="58"/>
  <c r="AA967" i="58" s="1"/>
  <c r="AB967" i="58" s="1"/>
  <c r="Y968" i="58"/>
  <c r="AA968" i="58" s="1"/>
  <c r="AB968" i="58" s="1"/>
  <c r="Y969" i="58"/>
  <c r="AA969" i="58" s="1"/>
  <c r="AB969" i="58" s="1"/>
  <c r="Y970" i="58"/>
  <c r="AA970" i="58" s="1"/>
  <c r="AB970" i="58" s="1"/>
  <c r="Y971" i="58"/>
  <c r="AA971" i="58" s="1"/>
  <c r="AB971" i="58" s="1"/>
  <c r="Y972" i="58"/>
  <c r="AA972" i="58" s="1"/>
  <c r="AB972" i="58" s="1"/>
  <c r="Y973" i="58"/>
  <c r="AA973" i="58" s="1"/>
  <c r="AB973" i="58" s="1"/>
  <c r="Y974" i="58"/>
  <c r="AA974" i="58" s="1"/>
  <c r="AB974" i="58" s="1"/>
  <c r="Y975" i="58"/>
  <c r="AA975" i="58" s="1"/>
  <c r="AB975" i="58" s="1"/>
  <c r="Y976" i="58"/>
  <c r="AA976" i="58" s="1"/>
  <c r="AB976" i="58" s="1"/>
  <c r="Y977" i="58"/>
  <c r="AA977" i="58" s="1"/>
  <c r="AB977" i="58" s="1"/>
  <c r="Y978" i="58"/>
  <c r="AA978" i="58" s="1"/>
  <c r="AB978" i="58" s="1"/>
  <c r="Y979" i="58"/>
  <c r="AA979" i="58" s="1"/>
  <c r="AB979" i="58" s="1"/>
  <c r="Y980" i="58"/>
  <c r="AA980" i="58" s="1"/>
  <c r="AB980" i="58" s="1"/>
  <c r="Y981" i="58"/>
  <c r="AA981" i="58" s="1"/>
  <c r="AB981" i="58" s="1"/>
  <c r="Y982" i="58"/>
  <c r="AA982" i="58" s="1"/>
  <c r="AB982" i="58" s="1"/>
  <c r="Y983" i="58"/>
  <c r="AA983" i="58" s="1"/>
  <c r="AB983" i="58" s="1"/>
  <c r="Y984" i="58"/>
  <c r="AA984" i="58" s="1"/>
  <c r="AB984" i="58" s="1"/>
  <c r="Y985" i="58"/>
  <c r="AA985" i="58" s="1"/>
  <c r="AB985" i="58" s="1"/>
  <c r="Y986" i="58"/>
  <c r="AA986" i="58" s="1"/>
  <c r="AB986" i="58" s="1"/>
  <c r="Y987" i="58"/>
  <c r="AA987" i="58" s="1"/>
  <c r="AB987" i="58" s="1"/>
  <c r="Y988" i="58"/>
  <c r="AA988" i="58" s="1"/>
  <c r="AB988" i="58" s="1"/>
  <c r="Y989" i="58"/>
  <c r="AA989" i="58" s="1"/>
  <c r="AB989" i="58" s="1"/>
  <c r="Y990" i="58"/>
  <c r="AA990" i="58" s="1"/>
  <c r="AB990" i="58" s="1"/>
  <c r="Y991" i="58"/>
  <c r="AA991" i="58" s="1"/>
  <c r="AB991" i="58" s="1"/>
  <c r="Y992" i="58"/>
  <c r="AA992" i="58" s="1"/>
  <c r="AB992" i="58" s="1"/>
  <c r="Y993" i="58"/>
  <c r="AA993" i="58" s="1"/>
  <c r="AB993" i="58" s="1"/>
  <c r="Y994" i="58"/>
  <c r="AA994" i="58" s="1"/>
  <c r="AB994" i="58" s="1"/>
  <c r="Y995" i="58"/>
  <c r="AA995" i="58" s="1"/>
  <c r="AB995" i="58" s="1"/>
  <c r="Y996" i="58"/>
  <c r="AA996" i="58" s="1"/>
  <c r="AB996" i="58" s="1"/>
  <c r="Y997" i="58"/>
  <c r="AA997" i="58" s="1"/>
  <c r="AB997" i="58" s="1"/>
  <c r="Y998" i="58"/>
  <c r="AA998" i="58" s="1"/>
  <c r="AB998" i="58" s="1"/>
  <c r="Y999" i="58"/>
  <c r="AA999" i="58" s="1"/>
  <c r="AB999" i="58" s="1"/>
  <c r="Y1000" i="58"/>
  <c r="AA1000" i="58" s="1"/>
  <c r="AB1000" i="58" s="1"/>
  <c r="Y1001" i="58"/>
  <c r="AA1001" i="58" s="1"/>
  <c r="AB1001" i="58" s="1"/>
  <c r="Y1002" i="58"/>
  <c r="AA1002" i="58" s="1"/>
  <c r="AB1002" i="58" s="1"/>
  <c r="Y1003" i="58"/>
  <c r="AA1003" i="58" s="1"/>
  <c r="AB1003" i="58" s="1"/>
  <c r="Y1004" i="58"/>
  <c r="AA1004" i="58" s="1"/>
  <c r="AB1004" i="58" s="1"/>
  <c r="Y1005" i="58"/>
  <c r="AA1005" i="58" s="1"/>
  <c r="AB1005" i="58" s="1"/>
  <c r="Y1006" i="58"/>
  <c r="AA1006" i="58" s="1"/>
  <c r="AB1006" i="58" s="1"/>
  <c r="Y1007" i="58"/>
  <c r="AA1007" i="58" s="1"/>
  <c r="AB1007" i="58" s="1"/>
  <c r="Y1008" i="58"/>
  <c r="AA1008" i="58" s="1"/>
  <c r="AB1008" i="58" s="1"/>
  <c r="Y1009" i="58"/>
  <c r="AA1009" i="58" s="1"/>
  <c r="AB1009" i="58" s="1"/>
  <c r="Y1010" i="58"/>
  <c r="AA1010" i="58" s="1"/>
  <c r="AB1010" i="58" s="1"/>
  <c r="Y1011" i="58"/>
  <c r="AA1011" i="58" s="1"/>
  <c r="AB1011" i="58" s="1"/>
  <c r="Y1012" i="58"/>
  <c r="AA1012" i="58" s="1"/>
  <c r="AB1012" i="58" s="1"/>
  <c r="Y1013" i="58"/>
  <c r="AA1013" i="58" s="1"/>
  <c r="AB1013" i="58" s="1"/>
  <c r="Y1014" i="58"/>
  <c r="AA1014" i="58" s="1"/>
  <c r="AB1014" i="58" s="1"/>
  <c r="Y1015" i="58"/>
  <c r="AA1015" i="58" s="1"/>
  <c r="AB1015" i="58" s="1"/>
  <c r="Y1016" i="58"/>
  <c r="AA1016" i="58" s="1"/>
  <c r="AB1016" i="58" s="1"/>
  <c r="Y1017" i="58"/>
  <c r="AA1017" i="58" s="1"/>
  <c r="AB1017" i="58" s="1"/>
  <c r="Y1018" i="58"/>
  <c r="AA1018" i="58" s="1"/>
  <c r="AB1018" i="58" s="1"/>
  <c r="Y1019" i="58"/>
  <c r="AA1019" i="58" s="1"/>
  <c r="AB1019" i="58" s="1"/>
  <c r="Y1020" i="58"/>
  <c r="AA1020" i="58" s="1"/>
  <c r="AB1020" i="58" s="1"/>
  <c r="Y1021" i="58"/>
  <c r="AA1021" i="58" s="1"/>
  <c r="AB1021" i="58" s="1"/>
  <c r="Y1022" i="58"/>
  <c r="AA1022" i="58" s="1"/>
  <c r="AB1022" i="58" s="1"/>
  <c r="Y1023" i="58"/>
  <c r="AA1023" i="58" s="1"/>
  <c r="AB1023" i="58" s="1"/>
  <c r="Y1024" i="58"/>
  <c r="AA1024" i="58" s="1"/>
  <c r="AB1024" i="58" s="1"/>
  <c r="Y1025" i="58"/>
  <c r="AA1025" i="58" s="1"/>
  <c r="AB1025" i="58" s="1"/>
  <c r="Y1026" i="58"/>
  <c r="AA1026" i="58" s="1"/>
  <c r="AB1026" i="58" s="1"/>
  <c r="Y1027" i="58"/>
  <c r="AA1027" i="58" s="1"/>
  <c r="AB1027" i="58" s="1"/>
  <c r="Y1028" i="58"/>
  <c r="AA1028" i="58" s="1"/>
  <c r="AB1028" i="58" s="1"/>
  <c r="Y1029" i="58"/>
  <c r="AA1029" i="58" s="1"/>
  <c r="AB1029" i="58" s="1"/>
  <c r="Y1030" i="58"/>
  <c r="AA1030" i="58" s="1"/>
  <c r="AB1030" i="58" s="1"/>
  <c r="Y1031" i="58"/>
  <c r="AA1031" i="58" s="1"/>
  <c r="AB1031" i="58" s="1"/>
  <c r="Y1032" i="58"/>
  <c r="AA1032" i="58" s="1"/>
  <c r="AB1032" i="58" s="1"/>
  <c r="Y1033" i="58"/>
  <c r="AA1033" i="58" s="1"/>
  <c r="AB1033" i="58" s="1"/>
  <c r="Y1034" i="58"/>
  <c r="AA1034" i="58" s="1"/>
  <c r="AB1034" i="58" s="1"/>
  <c r="Y1035" i="58"/>
  <c r="AA1035" i="58" s="1"/>
  <c r="AB1035" i="58" s="1"/>
  <c r="Y1036" i="58"/>
  <c r="AA1036" i="58" s="1"/>
  <c r="AB1036" i="58" s="1"/>
  <c r="Z593" i="58"/>
  <c r="Z594" i="58"/>
  <c r="Z595" i="58"/>
  <c r="Z596" i="58"/>
  <c r="Z597" i="58"/>
  <c r="Z598" i="58"/>
  <c r="Z599" i="58"/>
  <c r="Z600" i="58"/>
  <c r="Z601" i="58"/>
  <c r="Z602" i="58"/>
  <c r="Z603" i="58"/>
  <c r="Z604" i="58"/>
  <c r="Z605" i="58"/>
  <c r="Z606" i="58"/>
  <c r="Z607" i="58"/>
  <c r="Z608" i="58"/>
  <c r="Z609" i="58"/>
  <c r="Z610" i="58"/>
  <c r="Z611" i="58"/>
  <c r="Z612" i="58"/>
  <c r="Z613" i="58"/>
  <c r="Z614" i="58"/>
  <c r="Z615" i="58"/>
  <c r="Z616" i="58"/>
  <c r="Z617" i="58"/>
  <c r="Z618" i="58"/>
  <c r="Z619" i="58"/>
  <c r="Z620" i="58"/>
  <c r="Z621" i="58"/>
  <c r="Z622" i="58"/>
  <c r="Z623" i="58"/>
  <c r="Z624" i="58"/>
  <c r="Z625" i="58"/>
  <c r="Z626" i="58"/>
  <c r="Z627" i="58"/>
  <c r="Z628" i="58"/>
  <c r="Z629" i="58"/>
  <c r="Z630" i="58"/>
  <c r="Z631" i="58"/>
  <c r="Z632" i="58"/>
  <c r="Z633" i="58"/>
  <c r="Z634" i="58"/>
  <c r="Z635" i="58"/>
  <c r="Z636" i="58"/>
  <c r="Z637" i="58"/>
  <c r="Z638" i="58"/>
  <c r="Z639" i="58"/>
  <c r="Z640" i="58"/>
  <c r="Z641" i="58"/>
  <c r="Z642" i="58"/>
  <c r="Z643" i="58"/>
  <c r="Z644" i="58"/>
  <c r="Z645" i="58"/>
  <c r="Z646" i="58"/>
  <c r="Z647" i="58"/>
  <c r="Z648" i="58"/>
  <c r="Z649" i="58"/>
  <c r="Z650" i="58"/>
  <c r="Z651" i="58"/>
  <c r="Z652" i="58"/>
  <c r="Z653" i="58"/>
  <c r="Z654" i="58"/>
  <c r="Z655" i="58"/>
  <c r="Z656" i="58"/>
  <c r="Z657" i="58"/>
  <c r="Z658" i="58"/>
  <c r="Z659" i="58"/>
  <c r="Z660" i="58"/>
  <c r="Z661" i="58"/>
  <c r="Z662" i="58"/>
  <c r="Z663" i="58"/>
  <c r="Z664" i="58"/>
  <c r="Z665" i="58"/>
  <c r="Z666" i="58"/>
  <c r="Z667" i="58"/>
  <c r="Z668" i="58"/>
  <c r="Z669" i="58"/>
  <c r="Z670" i="58"/>
  <c r="Z671" i="58"/>
  <c r="Z672" i="58"/>
  <c r="Z673" i="58"/>
  <c r="Z674" i="58"/>
  <c r="Z675" i="58"/>
  <c r="Z676" i="58"/>
  <c r="Z677" i="58"/>
  <c r="Z678" i="58"/>
  <c r="Z679" i="58"/>
  <c r="Z680" i="58"/>
  <c r="Z681" i="58"/>
  <c r="Z682" i="58"/>
  <c r="Z683" i="58"/>
  <c r="Z684" i="58"/>
  <c r="Z685" i="58"/>
  <c r="Z686" i="58"/>
  <c r="Z687" i="58"/>
  <c r="Z688" i="58"/>
  <c r="Z689" i="58"/>
  <c r="Z690" i="58"/>
  <c r="Z691" i="58"/>
  <c r="Z692" i="58"/>
  <c r="Z693" i="58"/>
  <c r="Z694" i="58"/>
  <c r="Z695" i="58"/>
  <c r="Z696" i="58"/>
  <c r="Z697" i="58"/>
  <c r="Z698" i="58"/>
  <c r="Z699" i="58"/>
  <c r="Z700" i="58"/>
  <c r="Z701" i="58"/>
  <c r="Z702" i="58"/>
  <c r="Z703" i="58"/>
  <c r="Z704" i="58"/>
  <c r="Z705" i="58"/>
  <c r="Z706" i="58"/>
  <c r="Z707" i="58"/>
  <c r="Z708" i="58"/>
  <c r="Z709" i="58"/>
  <c r="Z710" i="58"/>
  <c r="Z711" i="58"/>
  <c r="Z712" i="58"/>
  <c r="Z713" i="58"/>
  <c r="Z714" i="58"/>
  <c r="Z715" i="58"/>
  <c r="Z716" i="58"/>
  <c r="Z717" i="58"/>
  <c r="Z718" i="58"/>
  <c r="Z719" i="58"/>
  <c r="Z720" i="58"/>
  <c r="Z721" i="58"/>
  <c r="Z722" i="58"/>
  <c r="Z723" i="58"/>
  <c r="Z724" i="58"/>
  <c r="Z725" i="58"/>
  <c r="Z726" i="58"/>
  <c r="Z727" i="58"/>
  <c r="Z728" i="58"/>
  <c r="Z729" i="58"/>
  <c r="Z730" i="58"/>
  <c r="Z731" i="58"/>
  <c r="Z732" i="58"/>
  <c r="Z733" i="58"/>
  <c r="Z734" i="58"/>
  <c r="Z735" i="58"/>
  <c r="Z736" i="58"/>
  <c r="Z737" i="58"/>
  <c r="Z738" i="58"/>
  <c r="Z739" i="58"/>
  <c r="Z740" i="58"/>
  <c r="Z741" i="58"/>
  <c r="Z742" i="58"/>
  <c r="Z743" i="58"/>
  <c r="Z744" i="58"/>
  <c r="Z745" i="58"/>
  <c r="Z746" i="58"/>
  <c r="Z747" i="58"/>
  <c r="Z748" i="58"/>
  <c r="Z749" i="58"/>
  <c r="Z750" i="58"/>
  <c r="Z751" i="58"/>
  <c r="Z752" i="58"/>
  <c r="Z753" i="58"/>
  <c r="Z754" i="58"/>
  <c r="Z755" i="58"/>
  <c r="Z756" i="58"/>
  <c r="Z757" i="58"/>
  <c r="Z758" i="58"/>
  <c r="Z759" i="58"/>
  <c r="Z760" i="58"/>
  <c r="Z761" i="58"/>
  <c r="Z762" i="58"/>
  <c r="Z763" i="58"/>
  <c r="Z764" i="58"/>
  <c r="Z765" i="58"/>
  <c r="Z766" i="58"/>
  <c r="Z767" i="58"/>
  <c r="Z768" i="58"/>
  <c r="Z769" i="58"/>
  <c r="Z770" i="58"/>
  <c r="Z771" i="58"/>
  <c r="Z772" i="58"/>
  <c r="Z773" i="58"/>
  <c r="Z774" i="58"/>
  <c r="Z775" i="58"/>
  <c r="Z776" i="58"/>
  <c r="Z777" i="58"/>
  <c r="Z778" i="58"/>
  <c r="Z779" i="58"/>
  <c r="Z780" i="58"/>
  <c r="Z781" i="58"/>
  <c r="Z782" i="58"/>
  <c r="Z783" i="58"/>
  <c r="Z784" i="58"/>
  <c r="Z785" i="58"/>
  <c r="Z786" i="58"/>
  <c r="Z787" i="58"/>
  <c r="Z788" i="58"/>
  <c r="Z789" i="58"/>
  <c r="Z790" i="58"/>
  <c r="Z791" i="58"/>
  <c r="Z792" i="58"/>
  <c r="Z793" i="58"/>
  <c r="Z794" i="58"/>
  <c r="Z795" i="58"/>
  <c r="Z796" i="58"/>
  <c r="Z797" i="58"/>
  <c r="Z798" i="58"/>
  <c r="Z799" i="58"/>
  <c r="Z800" i="58"/>
  <c r="Z801" i="58"/>
  <c r="Z802" i="58"/>
  <c r="Z803" i="58"/>
  <c r="Z804" i="58"/>
  <c r="Z805" i="58"/>
  <c r="Z806" i="58"/>
  <c r="Z807" i="58"/>
  <c r="Z808" i="58"/>
  <c r="Z809" i="58"/>
  <c r="Z810" i="58"/>
  <c r="Z811" i="58"/>
  <c r="Z812" i="58"/>
  <c r="Z813" i="58"/>
  <c r="Z814" i="58"/>
  <c r="Z815" i="58"/>
  <c r="Z816" i="58"/>
  <c r="Z817" i="58"/>
  <c r="Z818" i="58"/>
  <c r="Z819" i="58"/>
  <c r="Z820" i="58"/>
  <c r="Z821" i="58"/>
  <c r="Z822" i="58"/>
  <c r="Z823" i="58"/>
  <c r="Z824" i="58"/>
  <c r="Z825" i="58"/>
  <c r="Z826" i="58"/>
  <c r="Z827" i="58"/>
  <c r="Z828" i="58"/>
  <c r="Z829" i="58"/>
  <c r="Z830" i="58"/>
  <c r="Z831" i="58"/>
  <c r="Z832" i="58"/>
  <c r="Z833" i="58"/>
  <c r="Z834" i="58"/>
  <c r="Z835" i="58"/>
  <c r="Z836" i="58"/>
  <c r="Z837" i="58"/>
  <c r="Z838" i="58"/>
  <c r="Z839" i="58"/>
  <c r="Z840" i="58"/>
  <c r="Z841" i="58"/>
  <c r="Z842" i="58"/>
  <c r="Z843" i="58"/>
  <c r="Z844" i="58"/>
  <c r="Z845" i="58"/>
  <c r="Z846" i="58"/>
  <c r="Z847" i="58"/>
  <c r="Z848" i="58"/>
  <c r="Z849" i="58"/>
  <c r="Z850" i="58"/>
  <c r="Z851" i="58"/>
  <c r="Z852" i="58"/>
  <c r="Z853" i="58"/>
  <c r="Z854" i="58"/>
  <c r="Z855" i="58"/>
  <c r="Z856" i="58"/>
  <c r="Z857" i="58"/>
  <c r="Z858" i="58"/>
  <c r="Z859" i="58"/>
  <c r="Z860" i="58"/>
  <c r="Z861" i="58"/>
  <c r="Z862" i="58"/>
  <c r="Z863" i="58"/>
  <c r="Z864" i="58"/>
  <c r="Z865" i="58"/>
  <c r="Z866" i="58"/>
  <c r="Z867" i="58"/>
  <c r="Z868" i="58"/>
  <c r="Z869" i="58"/>
  <c r="Z870" i="58"/>
  <c r="Z871" i="58"/>
  <c r="Z872" i="58"/>
  <c r="Z873" i="58"/>
  <c r="Z874" i="58"/>
  <c r="Z875" i="58"/>
  <c r="Z876" i="58"/>
  <c r="Z877" i="58"/>
  <c r="Z878" i="58"/>
  <c r="Z879" i="58"/>
  <c r="Z880" i="58"/>
  <c r="Z881" i="58"/>
  <c r="Z882" i="58"/>
  <c r="Z883" i="58"/>
  <c r="Z884" i="58"/>
  <c r="Z885" i="58"/>
  <c r="Z886" i="58"/>
  <c r="Z887" i="58"/>
  <c r="Z888" i="58"/>
  <c r="Z889" i="58"/>
  <c r="Z890" i="58"/>
  <c r="Z891" i="58"/>
  <c r="Z892" i="58"/>
  <c r="Z893" i="58"/>
  <c r="Z894" i="58"/>
  <c r="Z895" i="58"/>
  <c r="Z896" i="58"/>
  <c r="Z897" i="58"/>
  <c r="Z898" i="58"/>
  <c r="Z899" i="58"/>
  <c r="Z900" i="58"/>
  <c r="Z901" i="58"/>
  <c r="Z902" i="58"/>
  <c r="Z903" i="58"/>
  <c r="Z904" i="58"/>
  <c r="Z905" i="58"/>
  <c r="Z906" i="58"/>
  <c r="Z907" i="58"/>
  <c r="Z908" i="58"/>
  <c r="Z909" i="58"/>
  <c r="Z910" i="58"/>
  <c r="Z911" i="58"/>
  <c r="Z912" i="58"/>
  <c r="Z913" i="58"/>
  <c r="Z914" i="58"/>
  <c r="Z915" i="58"/>
  <c r="Z916" i="58"/>
  <c r="Z917" i="58"/>
  <c r="Z918" i="58"/>
  <c r="Z919" i="58"/>
  <c r="Z920" i="58"/>
  <c r="Z921" i="58"/>
  <c r="Z922" i="58"/>
  <c r="Z923" i="58"/>
  <c r="Z924" i="58"/>
  <c r="Z925" i="58"/>
  <c r="Z926" i="58"/>
  <c r="Z927" i="58"/>
  <c r="Z928" i="58"/>
  <c r="Z929" i="58"/>
  <c r="Z930" i="58"/>
  <c r="Z931" i="58"/>
  <c r="Z932" i="58"/>
  <c r="Z933" i="58"/>
  <c r="Z934" i="58"/>
  <c r="Z935" i="58"/>
  <c r="Z936" i="58"/>
  <c r="Z937" i="58"/>
  <c r="Z938" i="58"/>
  <c r="Z939" i="58"/>
  <c r="Z940" i="58"/>
  <c r="Z941" i="58"/>
  <c r="Z942" i="58"/>
  <c r="Z943" i="58"/>
  <c r="Z944" i="58"/>
  <c r="Z945" i="58"/>
  <c r="Z946" i="58"/>
  <c r="Z947" i="58"/>
  <c r="Z948" i="58"/>
  <c r="Z949" i="58"/>
  <c r="Z950" i="58"/>
  <c r="Z951" i="58"/>
  <c r="Z952" i="58"/>
  <c r="Z953" i="58"/>
  <c r="Z954" i="58"/>
  <c r="Z955" i="58"/>
  <c r="Z956" i="58"/>
  <c r="Z957" i="58"/>
  <c r="Z958" i="58"/>
  <c r="Z959" i="58"/>
  <c r="Z960" i="58"/>
  <c r="Z961" i="58"/>
  <c r="Z962" i="58"/>
  <c r="Z963" i="58"/>
  <c r="Z964" i="58"/>
  <c r="Z965" i="58"/>
  <c r="Z966" i="58"/>
  <c r="Z967" i="58"/>
  <c r="Z968" i="58"/>
  <c r="Z969" i="58"/>
  <c r="Z970" i="58"/>
  <c r="Z971" i="58"/>
  <c r="Z972" i="58"/>
  <c r="Z973" i="58"/>
  <c r="Z974" i="58"/>
  <c r="Z975" i="58"/>
  <c r="Z976" i="58"/>
  <c r="Z977" i="58"/>
  <c r="Z978" i="58"/>
  <c r="Z979" i="58"/>
  <c r="Z980" i="58"/>
  <c r="Z981" i="58"/>
  <c r="Z982" i="58"/>
  <c r="Z983" i="58"/>
  <c r="Z984" i="58"/>
  <c r="Z985" i="58"/>
  <c r="Z986" i="58"/>
  <c r="Z987" i="58"/>
  <c r="Z988" i="58"/>
  <c r="Z989" i="58"/>
  <c r="Z990" i="58"/>
  <c r="Z991" i="58"/>
  <c r="Z992" i="58"/>
  <c r="Z993" i="58"/>
  <c r="Z994" i="58"/>
  <c r="Z995" i="58"/>
  <c r="Z996" i="58"/>
  <c r="Z997" i="58"/>
  <c r="Z998" i="58"/>
  <c r="Z999" i="58"/>
  <c r="Z1000" i="58"/>
  <c r="Z1001" i="58"/>
  <c r="Z1002" i="58"/>
  <c r="Z1003" i="58"/>
  <c r="Z1004" i="58"/>
  <c r="Z1005" i="58"/>
  <c r="Z1006" i="58"/>
  <c r="Z1007" i="58"/>
  <c r="Z1008" i="58"/>
  <c r="Z1009" i="58"/>
  <c r="Z1010" i="58"/>
  <c r="Z1011" i="58"/>
  <c r="Z1012" i="58"/>
  <c r="Z1013" i="58"/>
  <c r="Z1014" i="58"/>
  <c r="Z1015" i="58"/>
  <c r="Z1016" i="58"/>
  <c r="Z1017" i="58"/>
  <c r="Z1018" i="58"/>
  <c r="Z1019" i="58"/>
  <c r="Z1020" i="58"/>
  <c r="Z1021" i="58"/>
  <c r="Z1022" i="58"/>
  <c r="Z1023" i="58"/>
  <c r="Z1024" i="58"/>
  <c r="Z1025" i="58"/>
  <c r="Z1026" i="58"/>
  <c r="Z1027" i="58"/>
  <c r="Z1028" i="58"/>
  <c r="Z1029" i="58"/>
  <c r="Z1030" i="58"/>
  <c r="Z1031" i="58"/>
  <c r="Z1032" i="58"/>
  <c r="Z1033" i="58"/>
  <c r="Z1034" i="58"/>
  <c r="Z1035" i="58"/>
  <c r="Z1036" i="58"/>
  <c r="D799" i="58" l="1"/>
  <c r="D781" i="58"/>
  <c r="E785" i="58"/>
  <c r="E773" i="58"/>
  <c r="D789" i="58"/>
  <c r="D771" i="58"/>
  <c r="D763" i="58"/>
  <c r="E757" i="58"/>
  <c r="E745" i="58"/>
  <c r="D727" i="58"/>
  <c r="D753" i="58"/>
  <c r="D735" i="58"/>
  <c r="D709" i="58"/>
  <c r="D717" i="58"/>
  <c r="D699" i="58"/>
  <c r="D691" i="58"/>
  <c r="D673" i="58"/>
  <c r="D681" i="58"/>
  <c r="D668" i="58"/>
  <c r="D662" i="58"/>
  <c r="D656" i="58"/>
  <c r="D663" i="58"/>
  <c r="D650" i="58"/>
  <c r="D654" i="58"/>
  <c r="D642" i="58"/>
  <c r="E638" i="58"/>
  <c r="E632" i="58"/>
  <c r="D626" i="58"/>
  <c r="E620" i="58"/>
  <c r="D614" i="58"/>
  <c r="D611" i="58"/>
  <c r="E602" i="58"/>
  <c r="E596" i="58"/>
  <c r="D599" i="58"/>
  <c r="D593" i="58"/>
  <c r="N136" i="64"/>
  <c r="G136" i="64"/>
  <c r="N135" i="64"/>
  <c r="G135" i="64"/>
  <c r="N132" i="64"/>
  <c r="G132" i="64"/>
  <c r="N139" i="64"/>
  <c r="G139" i="64"/>
  <c r="N128" i="64"/>
  <c r="G128" i="64"/>
  <c r="N120" i="64"/>
  <c r="G120" i="64"/>
  <c r="N140" i="64"/>
  <c r="G140" i="64"/>
  <c r="N129" i="64"/>
  <c r="G129" i="64"/>
  <c r="N137" i="64"/>
  <c r="G137" i="64"/>
  <c r="N142" i="64"/>
  <c r="G142" i="64"/>
  <c r="N141" i="64"/>
  <c r="G141" i="64"/>
  <c r="N138" i="64"/>
  <c r="G138" i="64"/>
  <c r="N123" i="64"/>
  <c r="G123" i="64"/>
  <c r="N133" i="64"/>
  <c r="G133" i="64"/>
  <c r="N134" i="64"/>
  <c r="G134" i="64"/>
  <c r="N143" i="64"/>
  <c r="G143" i="64"/>
  <c r="E663" i="58"/>
  <c r="E593" i="58"/>
  <c r="E650" i="58"/>
  <c r="D632" i="58"/>
  <c r="D620" i="58"/>
  <c r="D596" i="58"/>
  <c r="E599" i="58"/>
  <c r="D1035" i="58"/>
  <c r="E1035" i="58"/>
  <c r="D1005" i="58"/>
  <c r="E1005" i="58"/>
  <c r="D999" i="58"/>
  <c r="E999" i="58"/>
  <c r="D993" i="58"/>
  <c r="E993" i="58"/>
  <c r="D969" i="58"/>
  <c r="E969" i="58"/>
  <c r="D963" i="58"/>
  <c r="E963" i="58"/>
  <c r="D957" i="58"/>
  <c r="E957" i="58"/>
  <c r="D933" i="58"/>
  <c r="E933" i="58"/>
  <c r="D927" i="58"/>
  <c r="E927" i="58"/>
  <c r="D921" i="58"/>
  <c r="E921" i="58"/>
  <c r="D897" i="58"/>
  <c r="E897" i="58"/>
  <c r="D891" i="58"/>
  <c r="E891" i="58"/>
  <c r="D885" i="58"/>
  <c r="E885" i="58"/>
  <c r="D867" i="58"/>
  <c r="E867" i="58"/>
  <c r="D861" i="58"/>
  <c r="E861" i="58"/>
  <c r="D855" i="58"/>
  <c r="E855" i="58"/>
  <c r="D849" i="58"/>
  <c r="E849" i="58"/>
  <c r="D831" i="58"/>
  <c r="E831" i="58"/>
  <c r="D825" i="58"/>
  <c r="E825" i="58"/>
  <c r="D819" i="58"/>
  <c r="E819" i="58"/>
  <c r="D813" i="58"/>
  <c r="E813" i="58"/>
  <c r="D801" i="58"/>
  <c r="E801" i="58"/>
  <c r="D795" i="58"/>
  <c r="E795" i="58"/>
  <c r="D783" i="58"/>
  <c r="E783" i="58"/>
  <c r="D777" i="58"/>
  <c r="E777" i="58"/>
  <c r="D765" i="58"/>
  <c r="E765" i="58"/>
  <c r="D759" i="58"/>
  <c r="E759" i="58"/>
  <c r="D747" i="58"/>
  <c r="E747" i="58"/>
  <c r="D741" i="58"/>
  <c r="E741" i="58"/>
  <c r="D729" i="58"/>
  <c r="E729" i="58"/>
  <c r="D723" i="58"/>
  <c r="E723" i="58"/>
  <c r="D711" i="58"/>
  <c r="E711" i="58"/>
  <c r="D705" i="58"/>
  <c r="E705" i="58"/>
  <c r="D693" i="58"/>
  <c r="E693" i="58"/>
  <c r="D687" i="58"/>
  <c r="E687" i="58"/>
  <c r="D675" i="58"/>
  <c r="E675" i="58"/>
  <c r="D669" i="58"/>
  <c r="E669" i="58"/>
  <c r="D657" i="58"/>
  <c r="E657" i="58"/>
  <c r="D651" i="58"/>
  <c r="E651" i="58"/>
  <c r="D645" i="58"/>
  <c r="E645" i="58"/>
  <c r="D639" i="58"/>
  <c r="E639" i="58"/>
  <c r="D633" i="58"/>
  <c r="E633" i="58"/>
  <c r="E1033" i="58"/>
  <c r="E1023" i="58"/>
  <c r="E1009" i="58"/>
  <c r="E994" i="58"/>
  <c r="E980" i="58"/>
  <c r="E966" i="58"/>
  <c r="E951" i="58"/>
  <c r="E937" i="58"/>
  <c r="E922" i="58"/>
  <c r="E908" i="58"/>
  <c r="E894" i="58"/>
  <c r="E873" i="58"/>
  <c r="E852" i="58"/>
  <c r="E830" i="58"/>
  <c r="E807" i="58"/>
  <c r="E753" i="58"/>
  <c r="E699" i="58"/>
  <c r="D989" i="58"/>
  <c r="D907" i="58"/>
  <c r="D827" i="58"/>
  <c r="D745" i="58"/>
  <c r="D1034" i="58"/>
  <c r="E1034" i="58"/>
  <c r="E1028" i="58"/>
  <c r="D1028" i="58"/>
  <c r="E1022" i="58"/>
  <c r="D1022" i="58"/>
  <c r="D998" i="58"/>
  <c r="E998" i="58"/>
  <c r="D992" i="58"/>
  <c r="E992" i="58"/>
  <c r="D986" i="58"/>
  <c r="E986" i="58"/>
  <c r="D962" i="58"/>
  <c r="E962" i="58"/>
  <c r="E956" i="58"/>
  <c r="D956" i="58"/>
  <c r="D950" i="58"/>
  <c r="E950" i="58"/>
  <c r="D926" i="58"/>
  <c r="E926" i="58"/>
  <c r="E920" i="58"/>
  <c r="D920" i="58"/>
  <c r="D914" i="58"/>
  <c r="E914" i="58"/>
  <c r="D890" i="58"/>
  <c r="E890" i="58"/>
  <c r="D884" i="58"/>
  <c r="E884" i="58"/>
  <c r="D878" i="58"/>
  <c r="E878" i="58"/>
  <c r="D860" i="58"/>
  <c r="E860" i="58"/>
  <c r="D854" i="58"/>
  <c r="E854" i="58"/>
  <c r="E848" i="58"/>
  <c r="D848" i="58"/>
  <c r="D842" i="58"/>
  <c r="E842" i="58"/>
  <c r="D824" i="58"/>
  <c r="E824" i="58"/>
  <c r="D818" i="58"/>
  <c r="E818" i="58"/>
  <c r="E812" i="58"/>
  <c r="D812" i="58"/>
  <c r="D806" i="58"/>
  <c r="E806" i="58"/>
  <c r="D800" i="58"/>
  <c r="E800" i="58"/>
  <c r="E794" i="58"/>
  <c r="D794" i="58"/>
  <c r="D788" i="58"/>
  <c r="E788" i="58"/>
  <c r="D782" i="58"/>
  <c r="E782" i="58"/>
  <c r="D776" i="58"/>
  <c r="E776" i="58"/>
  <c r="D770" i="58"/>
  <c r="E770" i="58"/>
  <c r="D764" i="58"/>
  <c r="E764" i="58"/>
  <c r="E758" i="58"/>
  <c r="D758" i="58"/>
  <c r="D752" i="58"/>
  <c r="E752" i="58"/>
  <c r="D746" i="58"/>
  <c r="E746" i="58"/>
  <c r="E740" i="58"/>
  <c r="D740" i="58"/>
  <c r="D734" i="58"/>
  <c r="E734" i="58"/>
  <c r="D728" i="58"/>
  <c r="E728" i="58"/>
  <c r="D722" i="58"/>
  <c r="E722" i="58"/>
  <c r="D716" i="58"/>
  <c r="E716" i="58"/>
  <c r="D710" i="58"/>
  <c r="E710" i="58"/>
  <c r="E704" i="58"/>
  <c r="D704" i="58"/>
  <c r="D698" i="58"/>
  <c r="E698" i="58"/>
  <c r="D692" i="58"/>
  <c r="E692" i="58"/>
  <c r="E686" i="58"/>
  <c r="D686" i="58"/>
  <c r="D680" i="58"/>
  <c r="E680" i="58"/>
  <c r="D674" i="58"/>
  <c r="E674" i="58"/>
  <c r="E1032" i="58"/>
  <c r="E1018" i="58"/>
  <c r="E1004" i="58"/>
  <c r="E990" i="58"/>
  <c r="E975" i="58"/>
  <c r="E961" i="58"/>
  <c r="E946" i="58"/>
  <c r="E932" i="58"/>
  <c r="E918" i="58"/>
  <c r="E903" i="58"/>
  <c r="E889" i="58"/>
  <c r="E872" i="58"/>
  <c r="E850" i="58"/>
  <c r="E829" i="58"/>
  <c r="E799" i="58"/>
  <c r="E691" i="58"/>
  <c r="E642" i="58"/>
  <c r="D973" i="58"/>
  <c r="D893" i="58"/>
  <c r="D811" i="58"/>
  <c r="D1027" i="58"/>
  <c r="E1027" i="58"/>
  <c r="D1015" i="58"/>
  <c r="E1015" i="58"/>
  <c r="D991" i="58"/>
  <c r="E991" i="58"/>
  <c r="D985" i="58"/>
  <c r="E985" i="58"/>
  <c r="E979" i="58"/>
  <c r="D979" i="58"/>
  <c r="D955" i="58"/>
  <c r="E955" i="58"/>
  <c r="D949" i="58"/>
  <c r="E949" i="58"/>
  <c r="D943" i="58"/>
  <c r="E943" i="58"/>
  <c r="D913" i="58"/>
  <c r="E913" i="58"/>
  <c r="D883" i="58"/>
  <c r="E883" i="58"/>
  <c r="D877" i="58"/>
  <c r="E877" i="58"/>
  <c r="E871" i="58"/>
  <c r="D871" i="58"/>
  <c r="D847" i="58"/>
  <c r="E847" i="58"/>
  <c r="D841" i="58"/>
  <c r="E841" i="58"/>
  <c r="D835" i="58"/>
  <c r="E835" i="58"/>
  <c r="E817" i="58"/>
  <c r="D817" i="58"/>
  <c r="D805" i="58"/>
  <c r="E805" i="58"/>
  <c r="D793" i="58"/>
  <c r="E793" i="58"/>
  <c r="D787" i="58"/>
  <c r="E787" i="58"/>
  <c r="D775" i="58"/>
  <c r="E775" i="58"/>
  <c r="D769" i="58"/>
  <c r="E769" i="58"/>
  <c r="D751" i="58"/>
  <c r="E751" i="58"/>
  <c r="D739" i="58"/>
  <c r="E739" i="58"/>
  <c r="D733" i="58"/>
  <c r="E733" i="58"/>
  <c r="D721" i="58"/>
  <c r="E721" i="58"/>
  <c r="D715" i="58"/>
  <c r="E715" i="58"/>
  <c r="D703" i="58"/>
  <c r="E703" i="58"/>
  <c r="D697" i="58"/>
  <c r="E697" i="58"/>
  <c r="D685" i="58"/>
  <c r="E685" i="58"/>
  <c r="D679" i="58"/>
  <c r="E679" i="58"/>
  <c r="D667" i="58"/>
  <c r="E667" i="58"/>
  <c r="D661" i="58"/>
  <c r="E661" i="58"/>
  <c r="E655" i="58"/>
  <c r="D655" i="58"/>
  <c r="E649" i="58"/>
  <c r="D649" i="58"/>
  <c r="D643" i="58"/>
  <c r="E643" i="58"/>
  <c r="E637" i="58"/>
  <c r="D637" i="58"/>
  <c r="E631" i="58"/>
  <c r="D631" i="58"/>
  <c r="D625" i="58"/>
  <c r="E625" i="58"/>
  <c r="D619" i="58"/>
  <c r="E619" i="58"/>
  <c r="D613" i="58"/>
  <c r="E613" i="58"/>
  <c r="D607" i="58"/>
  <c r="E607" i="58"/>
  <c r="E601" i="58"/>
  <c r="D601" i="58"/>
  <c r="E595" i="58"/>
  <c r="D595" i="58"/>
  <c r="E1030" i="58"/>
  <c r="E1017" i="58"/>
  <c r="E1003" i="58"/>
  <c r="E988" i="58"/>
  <c r="E974" i="58"/>
  <c r="E960" i="58"/>
  <c r="E945" i="58"/>
  <c r="E931" i="58"/>
  <c r="E916" i="58"/>
  <c r="E902" i="58"/>
  <c r="E888" i="58"/>
  <c r="E866" i="58"/>
  <c r="E844" i="58"/>
  <c r="E823" i="58"/>
  <c r="E789" i="58"/>
  <c r="E735" i="58"/>
  <c r="E681" i="58"/>
  <c r="D881" i="58"/>
  <c r="D1020" i="58"/>
  <c r="E1020" i="58"/>
  <c r="E1014" i="58"/>
  <c r="D1014" i="58"/>
  <c r="E1008" i="58"/>
  <c r="D1008" i="58"/>
  <c r="D984" i="58"/>
  <c r="E984" i="58"/>
  <c r="D978" i="58"/>
  <c r="E978" i="58"/>
  <c r="E972" i="58"/>
  <c r="D972" i="58"/>
  <c r="D948" i="58"/>
  <c r="E948" i="58"/>
  <c r="D942" i="58"/>
  <c r="E942" i="58"/>
  <c r="E936" i="58"/>
  <c r="D936" i="58"/>
  <c r="D912" i="58"/>
  <c r="E912" i="58"/>
  <c r="D906" i="58"/>
  <c r="E906" i="58"/>
  <c r="D900" i="58"/>
  <c r="E900" i="58"/>
  <c r="D882" i="58"/>
  <c r="E882" i="58"/>
  <c r="D876" i="58"/>
  <c r="E876" i="58"/>
  <c r="D870" i="58"/>
  <c r="E870" i="58"/>
  <c r="E864" i="58"/>
  <c r="D864" i="58"/>
  <c r="D846" i="58"/>
  <c r="E846" i="58"/>
  <c r="D840" i="58"/>
  <c r="E840" i="58"/>
  <c r="D834" i="58"/>
  <c r="E834" i="58"/>
  <c r="E828" i="58"/>
  <c r="D828" i="58"/>
  <c r="E810" i="58"/>
  <c r="D810" i="58"/>
  <c r="E804" i="58"/>
  <c r="D804" i="58"/>
  <c r="D798" i="58"/>
  <c r="E798" i="58"/>
  <c r="E792" i="58"/>
  <c r="D792" i="58"/>
  <c r="E786" i="58"/>
  <c r="D786" i="58"/>
  <c r="D780" i="58"/>
  <c r="E780" i="58"/>
  <c r="E774" i="58"/>
  <c r="D774" i="58"/>
  <c r="E768" i="58"/>
  <c r="D768" i="58"/>
  <c r="D762" i="58"/>
  <c r="E762" i="58"/>
  <c r="E756" i="58"/>
  <c r="D756" i="58"/>
  <c r="E750" i="58"/>
  <c r="D750" i="58"/>
  <c r="D744" i="58"/>
  <c r="E744" i="58"/>
  <c r="E738" i="58"/>
  <c r="D738" i="58"/>
  <c r="E732" i="58"/>
  <c r="D732" i="58"/>
  <c r="D726" i="58"/>
  <c r="E726" i="58"/>
  <c r="E720" i="58"/>
  <c r="D720" i="58"/>
  <c r="E714" i="58"/>
  <c r="D714" i="58"/>
  <c r="D708" i="58"/>
  <c r="E708" i="58"/>
  <c r="E702" i="58"/>
  <c r="D702" i="58"/>
  <c r="E696" i="58"/>
  <c r="D696" i="58"/>
  <c r="D690" i="58"/>
  <c r="E690" i="58"/>
  <c r="E684" i="58"/>
  <c r="D684" i="58"/>
  <c r="E678" i="58"/>
  <c r="D678" i="58"/>
  <c r="D672" i="58"/>
  <c r="E672" i="58"/>
  <c r="E666" i="58"/>
  <c r="D666" i="58"/>
  <c r="E660" i="58"/>
  <c r="D660" i="58"/>
  <c r="E648" i="58"/>
  <c r="D648" i="58"/>
  <c r="D636" i="58"/>
  <c r="E636" i="58"/>
  <c r="E630" i="58"/>
  <c r="D630" i="58"/>
  <c r="E624" i="58"/>
  <c r="D624" i="58"/>
  <c r="D618" i="58"/>
  <c r="E618" i="58"/>
  <c r="D612" i="58"/>
  <c r="E612" i="58"/>
  <c r="E606" i="58"/>
  <c r="D606" i="58"/>
  <c r="D600" i="58"/>
  <c r="E600" i="58"/>
  <c r="E594" i="58"/>
  <c r="D594" i="58"/>
  <c r="E1029" i="58"/>
  <c r="E1016" i="58"/>
  <c r="E1002" i="58"/>
  <c r="E987" i="58"/>
  <c r="E958" i="58"/>
  <c r="E944" i="58"/>
  <c r="E930" i="58"/>
  <c r="E915" i="58"/>
  <c r="E901" i="58"/>
  <c r="E886" i="58"/>
  <c r="E865" i="58"/>
  <c r="E843" i="58"/>
  <c r="E822" i="58"/>
  <c r="E781" i="58"/>
  <c r="E727" i="58"/>
  <c r="E673" i="58"/>
  <c r="D1021" i="58"/>
  <c r="D947" i="58"/>
  <c r="D785" i="58"/>
  <c r="D1031" i="58"/>
  <c r="E1031" i="58"/>
  <c r="D1025" i="58"/>
  <c r="E1025" i="58"/>
  <c r="E1019" i="58"/>
  <c r="D1019" i="58"/>
  <c r="E1013" i="58"/>
  <c r="D1013" i="58"/>
  <c r="E1007" i="58"/>
  <c r="D1007" i="58"/>
  <c r="E1001" i="58"/>
  <c r="D1001" i="58"/>
  <c r="D995" i="58"/>
  <c r="E995" i="58"/>
  <c r="E983" i="58"/>
  <c r="D983" i="58"/>
  <c r="D977" i="58"/>
  <c r="E977" i="58"/>
  <c r="E971" i="58"/>
  <c r="D971" i="58"/>
  <c r="E965" i="58"/>
  <c r="D965" i="58"/>
  <c r="D959" i="58"/>
  <c r="E959" i="58"/>
  <c r="E953" i="58"/>
  <c r="D953" i="58"/>
  <c r="D941" i="58"/>
  <c r="E941" i="58"/>
  <c r="E929" i="58"/>
  <c r="D929" i="58"/>
  <c r="D923" i="58"/>
  <c r="E923" i="58"/>
  <c r="E917" i="58"/>
  <c r="D917" i="58"/>
  <c r="E911" i="58"/>
  <c r="D911" i="58"/>
  <c r="D905" i="58"/>
  <c r="E905" i="58"/>
  <c r="E899" i="58"/>
  <c r="D899" i="58"/>
  <c r="D887" i="58"/>
  <c r="E887" i="58"/>
  <c r="E875" i="58"/>
  <c r="D875" i="58"/>
  <c r="D869" i="58"/>
  <c r="E869" i="58"/>
  <c r="E863" i="58"/>
  <c r="D863" i="58"/>
  <c r="E857" i="58"/>
  <c r="D857" i="58"/>
  <c r="D851" i="58"/>
  <c r="E851" i="58"/>
  <c r="E845" i="58"/>
  <c r="D845" i="58"/>
  <c r="D833" i="58"/>
  <c r="E833" i="58"/>
  <c r="E821" i="58"/>
  <c r="D821" i="58"/>
  <c r="D815" i="58"/>
  <c r="E815" i="58"/>
  <c r="E809" i="58"/>
  <c r="D809" i="58"/>
  <c r="E803" i="58"/>
  <c r="D803" i="58"/>
  <c r="D797" i="58"/>
  <c r="E797" i="58"/>
  <c r="E791" i="58"/>
  <c r="D791" i="58"/>
  <c r="D779" i="58"/>
  <c r="E779" i="58"/>
  <c r="E767" i="58"/>
  <c r="D767" i="58"/>
  <c r="D761" i="58"/>
  <c r="E761" i="58"/>
  <c r="E755" i="58"/>
  <c r="D755" i="58"/>
  <c r="E749" i="58"/>
  <c r="D749" i="58"/>
  <c r="D743" i="58"/>
  <c r="E743" i="58"/>
  <c r="E737" i="58"/>
  <c r="D737" i="58"/>
  <c r="E731" i="58"/>
  <c r="D731" i="58"/>
  <c r="D725" i="58"/>
  <c r="E725" i="58"/>
  <c r="E719" i="58"/>
  <c r="D719" i="58"/>
  <c r="E713" i="58"/>
  <c r="D713" i="58"/>
  <c r="D707" i="58"/>
  <c r="E707" i="58"/>
  <c r="E701" i="58"/>
  <c r="D701" i="58"/>
  <c r="E695" i="58"/>
  <c r="D695" i="58"/>
  <c r="D689" i="58"/>
  <c r="E689" i="58"/>
  <c r="E683" i="58"/>
  <c r="D683" i="58"/>
  <c r="E677" i="58"/>
  <c r="D677" i="58"/>
  <c r="D671" i="58"/>
  <c r="E671" i="58"/>
  <c r="E665" i="58"/>
  <c r="D665" i="58"/>
  <c r="E659" i="58"/>
  <c r="D659" i="58"/>
  <c r="E653" i="58"/>
  <c r="D653" i="58"/>
  <c r="D647" i="58"/>
  <c r="E647" i="58"/>
  <c r="E641" i="58"/>
  <c r="D641" i="58"/>
  <c r="D635" i="58"/>
  <c r="E635" i="58"/>
  <c r="E629" i="58"/>
  <c r="D629" i="58"/>
  <c r="E623" i="58"/>
  <c r="D623" i="58"/>
  <c r="E617" i="58"/>
  <c r="D617" i="58"/>
  <c r="E605" i="58"/>
  <c r="D605" i="58"/>
  <c r="E1026" i="58"/>
  <c r="E1011" i="58"/>
  <c r="E997" i="58"/>
  <c r="E982" i="58"/>
  <c r="E968" i="58"/>
  <c r="E954" i="58"/>
  <c r="E939" i="58"/>
  <c r="E925" i="58"/>
  <c r="E910" i="58"/>
  <c r="E896" i="58"/>
  <c r="E880" i="58"/>
  <c r="E859" i="58"/>
  <c r="E837" i="58"/>
  <c r="E816" i="58"/>
  <c r="E771" i="58"/>
  <c r="E717" i="58"/>
  <c r="E611" i="58"/>
  <c r="D1012" i="58"/>
  <c r="D935" i="58"/>
  <c r="D853" i="58"/>
  <c r="D773" i="58"/>
  <c r="D1006" i="58"/>
  <c r="E1006" i="58"/>
  <c r="D976" i="58"/>
  <c r="E976" i="58"/>
  <c r="D970" i="58"/>
  <c r="E970" i="58"/>
  <c r="D964" i="58"/>
  <c r="E964" i="58"/>
  <c r="D940" i="58"/>
  <c r="E940" i="58"/>
  <c r="D934" i="58"/>
  <c r="E934" i="58"/>
  <c r="D928" i="58"/>
  <c r="E928" i="58"/>
  <c r="D904" i="58"/>
  <c r="E904" i="58"/>
  <c r="D898" i="58"/>
  <c r="E898" i="58"/>
  <c r="D892" i="58"/>
  <c r="E892" i="58"/>
  <c r="D874" i="58"/>
  <c r="E874" i="58"/>
  <c r="D868" i="58"/>
  <c r="E868" i="58"/>
  <c r="D862" i="58"/>
  <c r="E862" i="58"/>
  <c r="D856" i="58"/>
  <c r="E856" i="58"/>
  <c r="D838" i="58"/>
  <c r="E838" i="58"/>
  <c r="D832" i="58"/>
  <c r="E832" i="58"/>
  <c r="D826" i="58"/>
  <c r="E826" i="58"/>
  <c r="D820" i="58"/>
  <c r="E820" i="58"/>
  <c r="D808" i="58"/>
  <c r="E808" i="58"/>
  <c r="D802" i="58"/>
  <c r="E802" i="58"/>
  <c r="D796" i="58"/>
  <c r="E796" i="58"/>
  <c r="D790" i="58"/>
  <c r="E790" i="58"/>
  <c r="D784" i="58"/>
  <c r="E784" i="58"/>
  <c r="D778" i="58"/>
  <c r="E778" i="58"/>
  <c r="D772" i="58"/>
  <c r="E772" i="58"/>
  <c r="D766" i="58"/>
  <c r="E766" i="58"/>
  <c r="D760" i="58"/>
  <c r="E760" i="58"/>
  <c r="D754" i="58"/>
  <c r="E754" i="58"/>
  <c r="D748" i="58"/>
  <c r="E748" i="58"/>
  <c r="D742" i="58"/>
  <c r="E742" i="58"/>
  <c r="D736" i="58"/>
  <c r="E736" i="58"/>
  <c r="D730" i="58"/>
  <c r="E730" i="58"/>
  <c r="D724" i="58"/>
  <c r="E724" i="58"/>
  <c r="D718" i="58"/>
  <c r="E718" i="58"/>
  <c r="D712" i="58"/>
  <c r="E712" i="58"/>
  <c r="D706" i="58"/>
  <c r="E706" i="58"/>
  <c r="D700" i="58"/>
  <c r="E700" i="58"/>
  <c r="D694" i="58"/>
  <c r="E694" i="58"/>
  <c r="D688" i="58"/>
  <c r="E688" i="58"/>
  <c r="D682" i="58"/>
  <c r="E682" i="58"/>
  <c r="D676" i="58"/>
  <c r="E676" i="58"/>
  <c r="D670" i="58"/>
  <c r="E670" i="58"/>
  <c r="D664" i="58"/>
  <c r="E664" i="58"/>
  <c r="D658" i="58"/>
  <c r="E658" i="58"/>
  <c r="D652" i="58"/>
  <c r="E652" i="58"/>
  <c r="D646" i="58"/>
  <c r="E646" i="58"/>
  <c r="D640" i="58"/>
  <c r="E640" i="58"/>
  <c r="D634" i="58"/>
  <c r="E634" i="58"/>
  <c r="D628" i="58"/>
  <c r="E628" i="58"/>
  <c r="D622" i="58"/>
  <c r="E622" i="58"/>
  <c r="D616" i="58"/>
  <c r="E616" i="58"/>
  <c r="D610" i="58"/>
  <c r="E610" i="58"/>
  <c r="D604" i="58"/>
  <c r="E604" i="58"/>
  <c r="D598" i="58"/>
  <c r="E598" i="58"/>
  <c r="E1036" i="58"/>
  <c r="E1024" i="58"/>
  <c r="E1010" i="58"/>
  <c r="E996" i="58"/>
  <c r="E981" i="58"/>
  <c r="E967" i="58"/>
  <c r="E952" i="58"/>
  <c r="E938" i="58"/>
  <c r="E924" i="58"/>
  <c r="E909" i="58"/>
  <c r="E895" i="58"/>
  <c r="E879" i="58"/>
  <c r="E858" i="58"/>
  <c r="E836" i="58"/>
  <c r="E814" i="58"/>
  <c r="E763" i="58"/>
  <c r="E709" i="58"/>
  <c r="E654" i="58"/>
  <c r="D1000" i="58"/>
  <c r="D919" i="58"/>
  <c r="D839" i="58"/>
  <c r="D757" i="58"/>
  <c r="D644" i="58"/>
  <c r="E644" i="58"/>
  <c r="D608" i="58"/>
  <c r="E608" i="58"/>
  <c r="E656" i="58"/>
  <c r="D638" i="58"/>
  <c r="E662" i="58"/>
  <c r="D627" i="58"/>
  <c r="E627" i="58"/>
  <c r="D621" i="58"/>
  <c r="E621" i="58"/>
  <c r="D615" i="58"/>
  <c r="E615" i="58"/>
  <c r="D609" i="58"/>
  <c r="E609" i="58"/>
  <c r="D603" i="58"/>
  <c r="E603" i="58"/>
  <c r="D597" i="58"/>
  <c r="E597" i="58"/>
  <c r="E668" i="58"/>
  <c r="E626" i="58"/>
  <c r="E614" i="58"/>
  <c r="D602" i="58"/>
  <c r="D54" i="4" l="1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5" i="4"/>
  <c r="D6" i="4" s="1"/>
  <c r="D7" i="4" s="1"/>
  <c r="D8" i="4" s="1"/>
  <c r="D9" i="4" s="1"/>
  <c r="D10" i="4" s="1"/>
  <c r="D11" i="4" s="1"/>
  <c r="D12" i="4" s="1"/>
  <c r="D13" i="4" s="1"/>
  <c r="D14" i="4" s="1"/>
  <c r="D15" i="4" s="1"/>
  <c r="D16" i="4" s="1"/>
  <c r="D17" i="4" s="1"/>
  <c r="D18" i="4" s="1"/>
  <c r="D19" i="4" s="1"/>
  <c r="D20" i="4" s="1"/>
  <c r="D21" i="4" s="1"/>
  <c r="D22" i="4" s="1"/>
  <c r="D23" i="4" s="1"/>
  <c r="D24" i="4" s="1"/>
  <c r="D25" i="4" s="1"/>
  <c r="D26" i="4" s="1"/>
  <c r="D27" i="4" s="1"/>
  <c r="D28" i="4" s="1"/>
  <c r="D29" i="4" s="1"/>
  <c r="D30" i="4" s="1"/>
  <c r="D31" i="4" s="1"/>
  <c r="D32" i="4" s="1"/>
  <c r="D33" i="4" s="1"/>
  <c r="D34" i="4" s="1"/>
  <c r="D35" i="4" s="1"/>
  <c r="D36" i="4" s="1"/>
  <c r="D37" i="4" s="1"/>
  <c r="D38" i="4" s="1"/>
  <c r="D39" i="4" s="1"/>
  <c r="D40" i="4" s="1"/>
  <c r="D41" i="4" s="1"/>
  <c r="D42" i="4" s="1"/>
  <c r="D43" i="4" s="1"/>
  <c r="D44" i="4" s="1"/>
  <c r="D45" i="4" s="1"/>
  <c r="D46" i="4" s="1"/>
  <c r="D47" i="4" s="1"/>
  <c r="D48" i="4" s="1"/>
  <c r="D49" i="4" s="1"/>
  <c r="D50" i="4" s="1"/>
  <c r="D51" i="4" s="1"/>
  <c r="D52" i="4" s="1"/>
  <c r="D53" i="4" s="1"/>
  <c r="A1" i="61" l="1"/>
  <c r="A1" i="60"/>
  <c r="A1" i="58"/>
  <c r="A43" i="61"/>
  <c r="A44" i="61"/>
  <c r="A45" i="61"/>
  <c r="A46" i="61" s="1"/>
  <c r="A47" i="61" s="1"/>
  <c r="A48" i="61" s="1"/>
  <c r="A49" i="61" s="1"/>
  <c r="A50" i="61" s="1"/>
  <c r="A51" i="61" s="1"/>
  <c r="A52" i="61" s="1"/>
  <c r="A53" i="61" s="1"/>
  <c r="A54" i="61" s="1"/>
  <c r="A55" i="61" s="1"/>
  <c r="A56" i="61" s="1"/>
  <c r="A57" i="61" s="1"/>
  <c r="A58" i="61" s="1"/>
  <c r="A59" i="61" s="1"/>
  <c r="A60" i="61" s="1"/>
  <c r="A61" i="61" s="1"/>
  <c r="A62" i="61" s="1"/>
  <c r="A63" i="61" s="1"/>
  <c r="A64" i="61" s="1"/>
  <c r="A65" i="61" s="1"/>
  <c r="A66" i="61" s="1"/>
  <c r="A67" i="61" s="1"/>
  <c r="A68" i="61" s="1"/>
  <c r="A69" i="61" s="1"/>
  <c r="A70" i="61" s="1"/>
  <c r="A71" i="61" s="1"/>
  <c r="A72" i="61" s="1"/>
  <c r="A73" i="61" s="1"/>
  <c r="A74" i="61" s="1"/>
  <c r="A75" i="61" s="1"/>
  <c r="A76" i="61" s="1"/>
  <c r="A77" i="61" s="1"/>
  <c r="A78" i="61" s="1"/>
  <c r="A79" i="61" s="1"/>
  <c r="A80" i="61" s="1"/>
  <c r="A81" i="61" s="1"/>
  <c r="A82" i="61" s="1"/>
  <c r="A83" i="61" s="1"/>
  <c r="A84" i="61" s="1"/>
  <c r="A85" i="61" s="1"/>
  <c r="A86" i="61" s="1"/>
  <c r="A87" i="61" s="1"/>
  <c r="A88" i="61" s="1"/>
  <c r="A89" i="61" s="1"/>
  <c r="A90" i="61" s="1"/>
  <c r="A91" i="61" s="1"/>
  <c r="A92" i="61" s="1"/>
  <c r="A93" i="61" s="1"/>
  <c r="A94" i="61" s="1"/>
  <c r="A95" i="61" s="1"/>
  <c r="A96" i="61" s="1"/>
  <c r="A97" i="61" s="1"/>
  <c r="A98" i="61" s="1"/>
  <c r="A99" i="61" s="1"/>
  <c r="A100" i="61" s="1"/>
  <c r="A101" i="61" s="1"/>
  <c r="A102" i="61" s="1"/>
  <c r="A103" i="61" s="1"/>
  <c r="A104" i="61" s="1"/>
  <c r="A105" i="61" s="1"/>
  <c r="A42" i="61"/>
  <c r="A88" i="60"/>
  <c r="A89" i="60"/>
  <c r="A90" i="60" s="1"/>
  <c r="A91" i="60" s="1"/>
  <c r="A92" i="60" s="1"/>
  <c r="A93" i="60" s="1"/>
  <c r="A94" i="60" s="1"/>
  <c r="A95" i="60" s="1"/>
  <c r="A96" i="60" s="1"/>
  <c r="A97" i="60" s="1"/>
  <c r="A98" i="60" s="1"/>
  <c r="A99" i="60" s="1"/>
  <c r="A100" i="60" s="1"/>
  <c r="A101" i="60" s="1"/>
  <c r="A102" i="60" s="1"/>
  <c r="A103" i="60" s="1"/>
  <c r="A104" i="60" s="1"/>
  <c r="A105" i="60" s="1"/>
  <c r="A106" i="60" s="1"/>
  <c r="A107" i="60" s="1"/>
  <c r="A108" i="60" s="1"/>
  <c r="A109" i="60" s="1"/>
  <c r="A110" i="60" s="1"/>
  <c r="A111" i="60" s="1"/>
  <c r="A112" i="60" s="1"/>
  <c r="A113" i="60" s="1"/>
  <c r="A114" i="60" s="1"/>
  <c r="A115" i="60" s="1"/>
  <c r="A116" i="60" s="1"/>
  <c r="A117" i="60" s="1"/>
  <c r="A118" i="60" s="1"/>
  <c r="A119" i="60" s="1"/>
  <c r="A120" i="60" s="1"/>
  <c r="A121" i="60" s="1"/>
  <c r="A122" i="60" s="1"/>
  <c r="A123" i="60" s="1"/>
  <c r="A124" i="60" s="1"/>
  <c r="A125" i="60" s="1"/>
  <c r="A126" i="60" s="1"/>
  <c r="A127" i="60" s="1"/>
  <c r="A128" i="60" s="1"/>
  <c r="A129" i="60" s="1"/>
  <c r="A130" i="60" s="1"/>
  <c r="A131" i="60" s="1"/>
  <c r="A132" i="60" s="1"/>
  <c r="A133" i="60" s="1"/>
  <c r="A134" i="60" s="1"/>
  <c r="A135" i="60" s="1"/>
  <c r="A136" i="60" s="1"/>
  <c r="A137" i="60" s="1"/>
  <c r="A138" i="60" s="1"/>
  <c r="A139" i="60" s="1"/>
  <c r="A140" i="60" s="1"/>
  <c r="A141" i="60" s="1"/>
  <c r="A142" i="60" s="1"/>
  <c r="A143" i="60" s="1"/>
  <c r="A144" i="60" s="1"/>
  <c r="A145" i="60" s="1"/>
  <c r="A146" i="60" s="1"/>
  <c r="A147" i="60" s="1"/>
  <c r="A148" i="60" s="1"/>
  <c r="A149" i="60" s="1"/>
  <c r="A150" i="60" s="1"/>
  <c r="A151" i="60" s="1"/>
  <c r="A152" i="60" s="1"/>
  <c r="A153" i="60" s="1"/>
  <c r="A154" i="60" s="1"/>
  <c r="A155" i="60" s="1"/>
  <c r="A156" i="60" s="1"/>
  <c r="A157" i="60" s="1"/>
  <c r="A158" i="60" s="1"/>
  <c r="A159" i="60" s="1"/>
  <c r="A160" i="60" s="1"/>
  <c r="A161" i="60" s="1"/>
  <c r="A162" i="60" s="1"/>
  <c r="A163" i="60" s="1"/>
  <c r="A164" i="60" s="1"/>
  <c r="A165" i="60" s="1"/>
  <c r="A166" i="60" s="1"/>
  <c r="A167" i="60" s="1"/>
  <c r="A168" i="60" s="1"/>
  <c r="A169" i="60" s="1"/>
  <c r="A170" i="60" s="1"/>
  <c r="A171" i="60" s="1"/>
  <c r="A172" i="60" s="1"/>
  <c r="A173" i="60" s="1"/>
  <c r="A174" i="60" s="1"/>
  <c r="A175" i="60" s="1"/>
  <c r="A176" i="60" s="1"/>
  <c r="A177" i="60" s="1"/>
  <c r="A178" i="60" s="1"/>
  <c r="A179" i="60" s="1"/>
  <c r="A180" i="60" s="1"/>
  <c r="A181" i="60" s="1"/>
  <c r="A182" i="60" s="1"/>
  <c r="A183" i="60" s="1"/>
  <c r="A184" i="60" s="1"/>
  <c r="A185" i="60" s="1"/>
  <c r="A186" i="60" s="1"/>
  <c r="A187" i="60" s="1"/>
  <c r="A188" i="60" s="1"/>
  <c r="A189" i="60" s="1"/>
  <c r="A190" i="60" s="1"/>
  <c r="A191" i="60" s="1"/>
  <c r="A192" i="60" s="1"/>
  <c r="A193" i="60" s="1"/>
  <c r="A194" i="60" s="1"/>
  <c r="A195" i="60" s="1"/>
  <c r="A196" i="60" s="1"/>
  <c r="A197" i="60" s="1"/>
  <c r="A198" i="60" s="1"/>
  <c r="A199" i="60" s="1"/>
  <c r="A200" i="60" s="1"/>
  <c r="A201" i="60" s="1"/>
  <c r="A202" i="60" s="1"/>
  <c r="A203" i="60" s="1"/>
  <c r="A204" i="60" s="1"/>
  <c r="A205" i="60" s="1"/>
  <c r="A206" i="60" s="1"/>
  <c r="A207" i="60" s="1"/>
  <c r="A208" i="60" s="1"/>
  <c r="A209" i="60" s="1"/>
  <c r="A210" i="60" s="1"/>
  <c r="A211" i="60" s="1"/>
  <c r="A212" i="60" s="1"/>
  <c r="A213" i="60" s="1"/>
  <c r="A214" i="60" s="1"/>
  <c r="A215" i="60" s="1"/>
  <c r="A216" i="60" s="1"/>
  <c r="A217" i="60" s="1"/>
  <c r="A218" i="60" s="1"/>
  <c r="A219" i="60" s="1"/>
  <c r="A220" i="60" s="1"/>
  <c r="A221" i="60" s="1"/>
  <c r="A222" i="60" s="1"/>
  <c r="A223" i="60" s="1"/>
  <c r="A224" i="60" s="1"/>
  <c r="A225" i="60" s="1"/>
  <c r="A226" i="60" s="1"/>
  <c r="A227" i="60" s="1"/>
  <c r="A228" i="60" s="1"/>
  <c r="A229" i="60" s="1"/>
  <c r="A230" i="60" s="1"/>
  <c r="A231" i="60" s="1"/>
  <c r="A232" i="60" s="1"/>
  <c r="A233" i="60" s="1"/>
  <c r="A234" i="60" s="1"/>
  <c r="A235" i="60" s="1"/>
  <c r="A236" i="60" s="1"/>
  <c r="A237" i="60" s="1"/>
  <c r="A238" i="60" s="1"/>
  <c r="A239" i="60" s="1"/>
  <c r="A240" i="60" s="1"/>
  <c r="A241" i="60" s="1"/>
  <c r="A242" i="60" s="1"/>
  <c r="A243" i="60" s="1"/>
  <c r="A244" i="60" s="1"/>
  <c r="A245" i="60" s="1"/>
  <c r="A246" i="60" s="1"/>
  <c r="A247" i="60" s="1"/>
  <c r="A248" i="60" s="1"/>
  <c r="A249" i="60" s="1"/>
  <c r="A250" i="60" s="1"/>
  <c r="A251" i="60" s="1"/>
  <c r="A252" i="60" s="1"/>
  <c r="A253" i="60" s="1"/>
  <c r="A254" i="60" s="1"/>
  <c r="A255" i="60" s="1"/>
  <c r="A256" i="60" s="1"/>
  <c r="A257" i="60" s="1"/>
  <c r="A258" i="60" s="1"/>
  <c r="A259" i="60" s="1"/>
  <c r="A260" i="60" s="1"/>
  <c r="A261" i="60" s="1"/>
  <c r="A262" i="60" s="1"/>
  <c r="A263" i="60" s="1"/>
  <c r="A264" i="60" s="1"/>
  <c r="A265" i="60" s="1"/>
  <c r="A266" i="60" s="1"/>
  <c r="A267" i="60" s="1"/>
  <c r="A268" i="60" s="1"/>
  <c r="A269" i="60" s="1"/>
  <c r="A270" i="60" s="1"/>
  <c r="A271" i="60" s="1"/>
  <c r="A272" i="60" s="1"/>
  <c r="A273" i="60" s="1"/>
  <c r="A274" i="60" s="1"/>
  <c r="A275" i="60" s="1"/>
  <c r="A276" i="60" s="1"/>
  <c r="A277" i="60" s="1"/>
  <c r="A278" i="60" s="1"/>
  <c r="A279" i="60" s="1"/>
  <c r="A280" i="60" s="1"/>
  <c r="A281" i="60" s="1"/>
  <c r="A282" i="60" s="1"/>
  <c r="A283" i="60" s="1"/>
  <c r="A284" i="60" s="1"/>
  <c r="A285" i="60" s="1"/>
  <c r="A286" i="60" s="1"/>
  <c r="A287" i="60" s="1"/>
  <c r="A288" i="60" s="1"/>
  <c r="A289" i="60" s="1"/>
  <c r="A290" i="60" s="1"/>
  <c r="A291" i="60" s="1"/>
  <c r="A292" i="60" s="1"/>
  <c r="A293" i="60" s="1"/>
  <c r="A294" i="60" s="1"/>
  <c r="A295" i="60" s="1"/>
  <c r="A296" i="60" s="1"/>
  <c r="A297" i="60" s="1"/>
  <c r="A298" i="60" s="1"/>
  <c r="A299" i="60" s="1"/>
  <c r="A300" i="60" s="1"/>
  <c r="A301" i="60" s="1"/>
  <c r="A302" i="60" s="1"/>
  <c r="A303" i="60" s="1"/>
  <c r="A304" i="60" s="1"/>
  <c r="A305" i="60" s="1"/>
  <c r="A306" i="60" s="1"/>
  <c r="A307" i="60" s="1"/>
  <c r="A308" i="60" s="1"/>
  <c r="A309" i="60" s="1"/>
  <c r="A310" i="60" s="1"/>
  <c r="A311" i="60" s="1"/>
  <c r="A312" i="60" s="1"/>
  <c r="A313" i="60" s="1"/>
  <c r="A314" i="60" s="1"/>
  <c r="A315" i="60" s="1"/>
  <c r="A316" i="60" s="1"/>
  <c r="A317" i="60" s="1"/>
  <c r="A318" i="60" s="1"/>
  <c r="A319" i="60" s="1"/>
  <c r="A320" i="60" s="1"/>
  <c r="A321" i="60" s="1"/>
  <c r="A322" i="60" s="1"/>
  <c r="A323" i="60" s="1"/>
  <c r="A324" i="60" s="1"/>
  <c r="A325" i="60" s="1"/>
  <c r="A326" i="60" s="1"/>
  <c r="A327" i="60" s="1"/>
  <c r="A328" i="60" s="1"/>
  <c r="A329" i="60" s="1"/>
  <c r="A330" i="60" s="1"/>
  <c r="A331" i="60" s="1"/>
  <c r="A332" i="60" s="1"/>
  <c r="A333" i="60" s="1"/>
  <c r="A334" i="60" s="1"/>
  <c r="A335" i="60" s="1"/>
  <c r="A336" i="60" s="1"/>
  <c r="A337" i="60" s="1"/>
  <c r="A338" i="60" s="1"/>
  <c r="A339" i="60" s="1"/>
  <c r="A340" i="60" s="1"/>
  <c r="A341" i="60" s="1"/>
  <c r="A342" i="60" s="1"/>
  <c r="A343" i="60" s="1"/>
  <c r="A344" i="60" s="1"/>
  <c r="A345" i="60" s="1"/>
  <c r="A346" i="60" s="1"/>
  <c r="A347" i="60" s="1"/>
  <c r="A348" i="60" s="1"/>
  <c r="A349" i="60" s="1"/>
  <c r="A350" i="60" s="1"/>
  <c r="A351" i="60" s="1"/>
  <c r="A352" i="60" s="1"/>
  <c r="A353" i="60" s="1"/>
  <c r="A354" i="60" s="1"/>
  <c r="A355" i="60" s="1"/>
  <c r="A356" i="60" s="1"/>
  <c r="A357" i="60" s="1"/>
  <c r="A358" i="60" s="1"/>
  <c r="A359" i="60" s="1"/>
  <c r="A360" i="60" s="1"/>
  <c r="A361" i="60" s="1"/>
  <c r="A362" i="60" s="1"/>
  <c r="A363" i="60" s="1"/>
  <c r="A364" i="60" s="1"/>
  <c r="A365" i="60" s="1"/>
  <c r="A366" i="60" s="1"/>
  <c r="A367" i="60" s="1"/>
  <c r="A368" i="60" s="1"/>
  <c r="A369" i="60" s="1"/>
  <c r="A370" i="60" s="1"/>
  <c r="A371" i="60" s="1"/>
  <c r="A372" i="60" s="1"/>
  <c r="A373" i="60" s="1"/>
  <c r="A374" i="60" s="1"/>
  <c r="A375" i="60" s="1"/>
  <c r="A376" i="60" s="1"/>
  <c r="A377" i="60" s="1"/>
  <c r="A378" i="60" s="1"/>
  <c r="A379" i="60" s="1"/>
  <c r="A380" i="60" s="1"/>
  <c r="A381" i="60" s="1"/>
  <c r="A382" i="60" s="1"/>
  <c r="A383" i="60" s="1"/>
  <c r="A384" i="60" s="1"/>
  <c r="A87" i="60"/>
  <c r="A41" i="58"/>
  <c r="A42" i="58" s="1"/>
  <c r="A43" i="58" s="1"/>
  <c r="A44" i="58" s="1"/>
  <c r="A45" i="58" s="1"/>
  <c r="A46" i="58" s="1"/>
  <c r="A47" i="58" s="1"/>
  <c r="A48" i="58" s="1"/>
  <c r="A49" i="58" s="1"/>
  <c r="A50" i="58" s="1"/>
  <c r="A51" i="58" s="1"/>
  <c r="A52" i="58" s="1"/>
  <c r="A53" i="58" s="1"/>
  <c r="A54" i="58" s="1"/>
  <c r="A55" i="58" s="1"/>
  <c r="A56" i="58" s="1"/>
  <c r="A57" i="58" s="1"/>
  <c r="A58" i="58" s="1"/>
  <c r="A59" i="58" s="1"/>
  <c r="A60" i="58" s="1"/>
  <c r="A61" i="58" s="1"/>
  <c r="A62" i="58" s="1"/>
  <c r="A63" i="58" s="1"/>
  <c r="A64" i="58" s="1"/>
  <c r="A65" i="58" s="1"/>
  <c r="A66" i="58" s="1"/>
  <c r="A67" i="58" s="1"/>
  <c r="A68" i="58" s="1"/>
  <c r="A69" i="58" s="1"/>
  <c r="A70" i="58" s="1"/>
  <c r="A71" i="58" s="1"/>
  <c r="A72" i="58" s="1"/>
  <c r="A73" i="58" s="1"/>
  <c r="A74" i="58" s="1"/>
  <c r="A75" i="58" s="1"/>
  <c r="A76" i="58" s="1"/>
  <c r="A77" i="58" s="1"/>
  <c r="A78" i="58" s="1"/>
  <c r="A79" i="58" s="1"/>
  <c r="A80" i="58" s="1"/>
  <c r="A81" i="58" s="1"/>
  <c r="A82" i="58" s="1"/>
  <c r="A83" i="58" s="1"/>
  <c r="A84" i="58" s="1"/>
  <c r="A85" i="58" s="1"/>
  <c r="A86" i="58" s="1"/>
  <c r="A87" i="58" s="1"/>
  <c r="A88" i="58" s="1"/>
  <c r="A89" i="58" s="1"/>
  <c r="A90" i="58" s="1"/>
  <c r="A91" i="58" s="1"/>
  <c r="A92" i="58" s="1"/>
  <c r="A93" i="58" s="1"/>
  <c r="A94" i="58" s="1"/>
  <c r="A95" i="58" s="1"/>
  <c r="A96" i="58" s="1"/>
  <c r="A97" i="58" s="1"/>
  <c r="A98" i="58" s="1"/>
  <c r="A99" i="58" s="1"/>
  <c r="A100" i="58" s="1"/>
  <c r="A101" i="58" s="1"/>
  <c r="A102" i="58" s="1"/>
  <c r="A103" i="58" s="1"/>
  <c r="A104" i="58" s="1"/>
  <c r="A105" i="58" s="1"/>
  <c r="A106" i="58" s="1"/>
  <c r="A107" i="58" s="1"/>
  <c r="A108" i="58" s="1"/>
  <c r="A109" i="58" s="1"/>
  <c r="A110" i="58" s="1"/>
  <c r="A111" i="58" s="1"/>
  <c r="A112" i="58" s="1"/>
  <c r="A113" i="58" s="1"/>
  <c r="A114" i="58" s="1"/>
  <c r="A115" i="58" s="1"/>
  <c r="A116" i="58" s="1"/>
  <c r="A117" i="58" s="1"/>
  <c r="A118" i="58" s="1"/>
  <c r="A119" i="58" s="1"/>
  <c r="A120" i="58" s="1"/>
  <c r="A121" i="58" s="1"/>
  <c r="A122" i="58" s="1"/>
  <c r="A123" i="58" s="1"/>
  <c r="A124" i="58" s="1"/>
  <c r="A125" i="58" s="1"/>
  <c r="A126" i="58" s="1"/>
  <c r="A127" i="58" s="1"/>
  <c r="A128" i="58" s="1"/>
  <c r="A129" i="58" s="1"/>
  <c r="A130" i="58" s="1"/>
  <c r="A131" i="58" s="1"/>
  <c r="A132" i="58" s="1"/>
  <c r="A133" i="58" s="1"/>
  <c r="A134" i="58" s="1"/>
  <c r="A135" i="58" s="1"/>
  <c r="A136" i="58" s="1"/>
  <c r="A137" i="58" s="1"/>
  <c r="A138" i="58" s="1"/>
  <c r="A139" i="58" s="1"/>
  <c r="A140" i="58" s="1"/>
  <c r="A141" i="58" s="1"/>
  <c r="A142" i="58" s="1"/>
  <c r="A143" i="58" s="1"/>
  <c r="A144" i="58" s="1"/>
  <c r="A145" i="58" s="1"/>
  <c r="A146" i="58" s="1"/>
  <c r="A147" i="58" s="1"/>
  <c r="A148" i="58" s="1"/>
  <c r="A149" i="58" s="1"/>
  <c r="A150" i="58" s="1"/>
  <c r="A151" i="58" s="1"/>
  <c r="A152" i="58" s="1"/>
  <c r="A153" i="58" s="1"/>
  <c r="A154" i="58" s="1"/>
  <c r="A155" i="58" s="1"/>
  <c r="A156" i="58" s="1"/>
  <c r="A157" i="58" s="1"/>
  <c r="A158" i="58" s="1"/>
  <c r="A159" i="58" s="1"/>
  <c r="A160" i="58" s="1"/>
  <c r="A161" i="58" s="1"/>
  <c r="A162" i="58" s="1"/>
  <c r="A163" i="58" s="1"/>
  <c r="A164" i="58" s="1"/>
  <c r="A165" i="58" s="1"/>
  <c r="A166" i="58" s="1"/>
  <c r="A167" i="58" s="1"/>
  <c r="A168" i="58" s="1"/>
  <c r="A169" i="58" s="1"/>
  <c r="A170" i="58" s="1"/>
  <c r="A171" i="58" s="1"/>
  <c r="A172" i="58" s="1"/>
  <c r="A173" i="58" s="1"/>
  <c r="A174" i="58" s="1"/>
  <c r="A175" i="58" s="1"/>
  <c r="A176" i="58" s="1"/>
  <c r="A177" i="58" s="1"/>
  <c r="A178" i="58" s="1"/>
  <c r="A179" i="58" s="1"/>
  <c r="A180" i="58" s="1"/>
  <c r="A181" i="58" s="1"/>
  <c r="A182" i="58" s="1"/>
  <c r="A183" i="58" s="1"/>
  <c r="A184" i="58" s="1"/>
  <c r="A185" i="58" s="1"/>
  <c r="A186" i="58" s="1"/>
  <c r="A187" i="58" s="1"/>
  <c r="A188" i="58" s="1"/>
  <c r="A189" i="58" s="1"/>
  <c r="A190" i="58" s="1"/>
  <c r="A191" i="58" s="1"/>
  <c r="A192" i="58" s="1"/>
  <c r="A193" i="58" s="1"/>
  <c r="A194" i="58" s="1"/>
  <c r="A195" i="58" s="1"/>
  <c r="A196" i="58" s="1"/>
  <c r="A197" i="58" s="1"/>
  <c r="A198" i="58" s="1"/>
  <c r="A199" i="58" s="1"/>
  <c r="A200" i="58" s="1"/>
  <c r="A201" i="58" s="1"/>
  <c r="A202" i="58" s="1"/>
  <c r="A203" i="58" s="1"/>
  <c r="A204" i="58" s="1"/>
  <c r="A205" i="58" s="1"/>
  <c r="A206" i="58" s="1"/>
  <c r="A207" i="58" s="1"/>
  <c r="A208" i="58" s="1"/>
  <c r="A209" i="58" s="1"/>
  <c r="A210" i="58" s="1"/>
  <c r="A211" i="58" s="1"/>
  <c r="A212" i="58" s="1"/>
  <c r="A213" i="58" s="1"/>
  <c r="A214" i="58" s="1"/>
  <c r="A215" i="58" s="1"/>
  <c r="A216" i="58" s="1"/>
  <c r="A217" i="58" s="1"/>
  <c r="A218" i="58" s="1"/>
  <c r="A219" i="58" s="1"/>
  <c r="A220" i="58" s="1"/>
  <c r="A221" i="58" s="1"/>
  <c r="A222" i="58" s="1"/>
  <c r="A223" i="58" s="1"/>
  <c r="A224" i="58" s="1"/>
  <c r="A225" i="58" s="1"/>
  <c r="A226" i="58" s="1"/>
  <c r="A227" i="58" s="1"/>
  <c r="A228" i="58" s="1"/>
  <c r="A229" i="58" s="1"/>
  <c r="A230" i="58" s="1"/>
  <c r="A231" i="58" s="1"/>
  <c r="A232" i="58" s="1"/>
  <c r="A233" i="58" s="1"/>
  <c r="A234" i="58" s="1"/>
  <c r="A235" i="58" s="1"/>
  <c r="A236" i="58" s="1"/>
  <c r="A237" i="58" s="1"/>
  <c r="A238" i="58" s="1"/>
  <c r="A239" i="58" s="1"/>
  <c r="A240" i="58" s="1"/>
  <c r="A241" i="58" s="1"/>
  <c r="A242" i="58" s="1"/>
  <c r="A243" i="58" s="1"/>
  <c r="A244" i="58" s="1"/>
  <c r="A245" i="58" s="1"/>
  <c r="A246" i="58" s="1"/>
  <c r="A247" i="58" s="1"/>
  <c r="A248" i="58" s="1"/>
  <c r="A249" i="58" s="1"/>
  <c r="A250" i="58" s="1"/>
  <c r="A251" i="58" s="1"/>
  <c r="A252" i="58" s="1"/>
  <c r="A253" i="58" s="1"/>
  <c r="A254" i="58" s="1"/>
  <c r="A255" i="58" s="1"/>
  <c r="A256" i="58" s="1"/>
  <c r="A257" i="58" s="1"/>
  <c r="A258" i="58" s="1"/>
  <c r="A259" i="58" s="1"/>
  <c r="A260" i="58" s="1"/>
  <c r="A261" i="58" s="1"/>
  <c r="A262" i="58" s="1"/>
  <c r="A263" i="58" s="1"/>
  <c r="A264" i="58" s="1"/>
  <c r="A265" i="58" s="1"/>
  <c r="A40" i="58"/>
  <c r="C344" i="58" l="1"/>
  <c r="C345" i="58"/>
  <c r="C346" i="58"/>
  <c r="C347" i="58"/>
  <c r="C348" i="58"/>
  <c r="C349" i="58"/>
  <c r="C350" i="58"/>
  <c r="C351" i="58"/>
  <c r="C352" i="58"/>
  <c r="C353" i="58"/>
  <c r="C354" i="58"/>
  <c r="C355" i="58"/>
  <c r="C356" i="58"/>
  <c r="C357" i="58"/>
  <c r="C358" i="58"/>
  <c r="C359" i="58"/>
  <c r="C360" i="58"/>
  <c r="C361" i="58"/>
  <c r="C362" i="58"/>
  <c r="C363" i="58"/>
  <c r="C364" i="58"/>
  <c r="C365" i="58"/>
  <c r="C366" i="58"/>
  <c r="C367" i="58"/>
  <c r="C368" i="58"/>
  <c r="C369" i="58"/>
  <c r="C370" i="58"/>
  <c r="C371" i="58"/>
  <c r="C372" i="58"/>
  <c r="C373" i="58"/>
  <c r="C374" i="58"/>
  <c r="C375" i="58"/>
  <c r="C376" i="58"/>
  <c r="C377" i="58"/>
  <c r="C378" i="58"/>
  <c r="C379" i="58"/>
  <c r="C380" i="58"/>
  <c r="C381" i="58"/>
  <c r="C382" i="58"/>
  <c r="C383" i="58"/>
  <c r="C384" i="58"/>
  <c r="C385" i="58"/>
  <c r="C386" i="58"/>
  <c r="C387" i="58"/>
  <c r="C388" i="58"/>
  <c r="C389" i="58"/>
  <c r="C390" i="58"/>
  <c r="C391" i="58"/>
  <c r="C392" i="58"/>
  <c r="C393" i="58"/>
  <c r="C394" i="58"/>
  <c r="C395" i="58"/>
  <c r="C396" i="58"/>
  <c r="C397" i="58"/>
  <c r="C398" i="58"/>
  <c r="C399" i="58"/>
  <c r="C400" i="58"/>
  <c r="C401" i="58"/>
  <c r="C402" i="58"/>
  <c r="C403" i="58"/>
  <c r="C404" i="58"/>
  <c r="C405" i="58"/>
  <c r="C406" i="58"/>
  <c r="C407" i="58"/>
  <c r="C408" i="58"/>
  <c r="C409" i="58"/>
  <c r="C410" i="58"/>
  <c r="C411" i="58"/>
  <c r="C412" i="58"/>
  <c r="C413" i="58"/>
  <c r="C414" i="58"/>
  <c r="C415" i="58"/>
  <c r="C416" i="58"/>
  <c r="C417" i="58"/>
  <c r="C418" i="58"/>
  <c r="C419" i="58"/>
  <c r="C420" i="58"/>
  <c r="C421" i="58"/>
  <c r="C422" i="58"/>
  <c r="C423" i="58"/>
  <c r="C424" i="58"/>
  <c r="C425" i="58"/>
  <c r="C426" i="58"/>
  <c r="C427" i="58"/>
  <c r="C428" i="58"/>
  <c r="C429" i="58"/>
  <c r="C430" i="58"/>
  <c r="C431" i="58"/>
  <c r="C432" i="58"/>
  <c r="C433" i="58"/>
  <c r="C434" i="58"/>
  <c r="C435" i="58"/>
  <c r="C436" i="58"/>
  <c r="C437" i="58"/>
  <c r="C438" i="58"/>
  <c r="C439" i="58"/>
  <c r="C440" i="58"/>
  <c r="C441" i="58"/>
  <c r="C442" i="58"/>
  <c r="C443" i="58"/>
  <c r="C444" i="58"/>
  <c r="C445" i="58"/>
  <c r="C446" i="58"/>
  <c r="C447" i="58"/>
  <c r="C448" i="58"/>
  <c r="C449" i="58"/>
  <c r="C450" i="58"/>
  <c r="C451" i="58"/>
  <c r="C452" i="58"/>
  <c r="C453" i="58"/>
  <c r="C454" i="58"/>
  <c r="C455" i="58"/>
  <c r="C456" i="58"/>
  <c r="C457" i="58"/>
  <c r="C458" i="58"/>
  <c r="C459" i="58"/>
  <c r="C460" i="58"/>
  <c r="C461" i="58"/>
  <c r="C462" i="58"/>
  <c r="C463" i="58"/>
  <c r="C464" i="58"/>
  <c r="C465" i="58"/>
  <c r="C466" i="58"/>
  <c r="C467" i="58"/>
  <c r="C468" i="58"/>
  <c r="C469" i="58"/>
  <c r="C470" i="58"/>
  <c r="C471" i="58"/>
  <c r="C472" i="58"/>
  <c r="C473" i="58"/>
  <c r="C474" i="58"/>
  <c r="C475" i="58"/>
  <c r="C476" i="58"/>
  <c r="C477" i="58"/>
  <c r="C478" i="58"/>
  <c r="C479" i="58"/>
  <c r="C480" i="58"/>
  <c r="C481" i="58"/>
  <c r="C482" i="58"/>
  <c r="C483" i="58"/>
  <c r="C484" i="58"/>
  <c r="C485" i="58"/>
  <c r="C486" i="58"/>
  <c r="C487" i="58"/>
  <c r="C488" i="58"/>
  <c r="C489" i="58"/>
  <c r="C490" i="58"/>
  <c r="C491" i="58"/>
  <c r="C492" i="58"/>
  <c r="C493" i="58"/>
  <c r="C494" i="58"/>
  <c r="C495" i="58"/>
  <c r="C496" i="58"/>
  <c r="C497" i="58"/>
  <c r="C498" i="58"/>
  <c r="C499" i="58"/>
  <c r="C500" i="58"/>
  <c r="C501" i="58"/>
  <c r="C502" i="58"/>
  <c r="C503" i="58"/>
  <c r="C504" i="58"/>
  <c r="C505" i="58"/>
  <c r="C506" i="58"/>
  <c r="C507" i="58"/>
  <c r="C508" i="58"/>
  <c r="C509" i="58"/>
  <c r="C510" i="58"/>
  <c r="C511" i="58"/>
  <c r="C512" i="58"/>
  <c r="C513" i="58"/>
  <c r="C514" i="58"/>
  <c r="C515" i="58"/>
  <c r="C516" i="58"/>
  <c r="C517" i="58"/>
  <c r="C518" i="58"/>
  <c r="C519" i="58"/>
  <c r="C520" i="58"/>
  <c r="C521" i="58"/>
  <c r="C522" i="58"/>
  <c r="C523" i="58"/>
  <c r="C524" i="58"/>
  <c r="C525" i="58"/>
  <c r="C526" i="58"/>
  <c r="C527" i="58"/>
  <c r="C528" i="58"/>
  <c r="C529" i="58"/>
  <c r="C530" i="58"/>
  <c r="C531" i="58"/>
  <c r="C532" i="58"/>
  <c r="C533" i="58"/>
  <c r="C534" i="58"/>
  <c r="C535" i="58"/>
  <c r="C536" i="58"/>
  <c r="C537" i="58"/>
  <c r="C538" i="58"/>
  <c r="C539" i="58"/>
  <c r="C540" i="58"/>
  <c r="C541" i="58"/>
  <c r="C542" i="58"/>
  <c r="C543" i="58"/>
  <c r="C544" i="58"/>
  <c r="C545" i="58"/>
  <c r="C546" i="58"/>
  <c r="C547" i="58"/>
  <c r="C548" i="58"/>
  <c r="C549" i="58"/>
  <c r="C550" i="58"/>
  <c r="C551" i="58"/>
  <c r="C552" i="58"/>
  <c r="C553" i="58"/>
  <c r="C554" i="58"/>
  <c r="C555" i="58"/>
  <c r="C556" i="58"/>
  <c r="C557" i="58"/>
  <c r="C558" i="58"/>
  <c r="C559" i="58"/>
  <c r="C560" i="58"/>
  <c r="C561" i="58"/>
  <c r="C562" i="58"/>
  <c r="C563" i="58"/>
  <c r="C564" i="58"/>
  <c r="C565" i="58"/>
  <c r="C566" i="58"/>
  <c r="C567" i="58"/>
  <c r="C568" i="58"/>
  <c r="C569" i="58"/>
  <c r="C570" i="58"/>
  <c r="C571" i="58"/>
  <c r="C572" i="58"/>
  <c r="C573" i="58"/>
  <c r="C574" i="58"/>
  <c r="C575" i="58"/>
  <c r="C576" i="58"/>
  <c r="C577" i="58"/>
  <c r="C578" i="58"/>
  <c r="C579" i="58"/>
  <c r="C580" i="58"/>
  <c r="C581" i="58"/>
  <c r="C582" i="58"/>
  <c r="C583" i="58"/>
  <c r="C584" i="58"/>
  <c r="C585" i="58"/>
  <c r="C586" i="58"/>
  <c r="C587" i="58"/>
  <c r="C588" i="58"/>
  <c r="C589" i="58"/>
  <c r="C590" i="58"/>
  <c r="C591" i="58"/>
  <c r="C592" i="58"/>
  <c r="F344" i="58"/>
  <c r="F345" i="58"/>
  <c r="F346" i="58"/>
  <c r="F347" i="58"/>
  <c r="F348" i="58"/>
  <c r="F349" i="58"/>
  <c r="F350" i="58"/>
  <c r="F351" i="58"/>
  <c r="F352" i="58"/>
  <c r="F353" i="58"/>
  <c r="F354" i="58"/>
  <c r="F355" i="58"/>
  <c r="F356" i="58"/>
  <c r="F357" i="58"/>
  <c r="F358" i="58"/>
  <c r="F359" i="58"/>
  <c r="F360" i="58"/>
  <c r="F361" i="58"/>
  <c r="F362" i="58"/>
  <c r="F363" i="58"/>
  <c r="F364" i="58"/>
  <c r="F365" i="58"/>
  <c r="F366" i="58"/>
  <c r="F367" i="58"/>
  <c r="F368" i="58"/>
  <c r="F369" i="58"/>
  <c r="F370" i="58"/>
  <c r="F371" i="58"/>
  <c r="F372" i="58"/>
  <c r="F373" i="58"/>
  <c r="F374" i="58"/>
  <c r="F375" i="58"/>
  <c r="F376" i="58"/>
  <c r="F377" i="58"/>
  <c r="F378" i="58"/>
  <c r="F379" i="58"/>
  <c r="F380" i="58"/>
  <c r="F381" i="58"/>
  <c r="F382" i="58"/>
  <c r="F383" i="58"/>
  <c r="F384" i="58"/>
  <c r="F385" i="58"/>
  <c r="F386" i="58"/>
  <c r="F387" i="58"/>
  <c r="F388" i="58"/>
  <c r="F389" i="58"/>
  <c r="F390" i="58"/>
  <c r="F391" i="58"/>
  <c r="F392" i="58"/>
  <c r="F393" i="58"/>
  <c r="F394" i="58"/>
  <c r="F395" i="58"/>
  <c r="F396" i="58"/>
  <c r="F397" i="58"/>
  <c r="F398" i="58"/>
  <c r="F399" i="58"/>
  <c r="F400" i="58"/>
  <c r="F401" i="58"/>
  <c r="F402" i="58"/>
  <c r="F403" i="58"/>
  <c r="F404" i="58"/>
  <c r="F405" i="58"/>
  <c r="F406" i="58"/>
  <c r="F407" i="58"/>
  <c r="F408" i="58"/>
  <c r="F409" i="58"/>
  <c r="F410" i="58"/>
  <c r="F411" i="58"/>
  <c r="F412" i="58"/>
  <c r="F413" i="58"/>
  <c r="F414" i="58"/>
  <c r="F415" i="58"/>
  <c r="F416" i="58"/>
  <c r="F417" i="58"/>
  <c r="F418" i="58"/>
  <c r="F419" i="58"/>
  <c r="F420" i="58"/>
  <c r="F421" i="58"/>
  <c r="F422" i="58"/>
  <c r="F423" i="58"/>
  <c r="F424" i="58"/>
  <c r="F425" i="58"/>
  <c r="F426" i="58"/>
  <c r="F427" i="58"/>
  <c r="F428" i="58"/>
  <c r="F429" i="58"/>
  <c r="F430" i="58"/>
  <c r="F431" i="58"/>
  <c r="F432" i="58"/>
  <c r="F433" i="58"/>
  <c r="F434" i="58"/>
  <c r="F435" i="58"/>
  <c r="F436" i="58"/>
  <c r="F437" i="58"/>
  <c r="F438" i="58"/>
  <c r="F439" i="58"/>
  <c r="F440" i="58"/>
  <c r="F441" i="58"/>
  <c r="F442" i="58"/>
  <c r="F443" i="58"/>
  <c r="F444" i="58"/>
  <c r="F445" i="58"/>
  <c r="F446" i="58"/>
  <c r="F447" i="58"/>
  <c r="F448" i="58"/>
  <c r="F449" i="58"/>
  <c r="F450" i="58"/>
  <c r="F451" i="58"/>
  <c r="F452" i="58"/>
  <c r="F453" i="58"/>
  <c r="F454" i="58"/>
  <c r="F455" i="58"/>
  <c r="F456" i="58"/>
  <c r="F457" i="58"/>
  <c r="F458" i="58"/>
  <c r="F459" i="58"/>
  <c r="F460" i="58"/>
  <c r="F461" i="58"/>
  <c r="F462" i="58"/>
  <c r="F463" i="58"/>
  <c r="F464" i="58"/>
  <c r="F465" i="58"/>
  <c r="F466" i="58"/>
  <c r="F467" i="58"/>
  <c r="F468" i="58"/>
  <c r="F469" i="58"/>
  <c r="F470" i="58"/>
  <c r="F471" i="58"/>
  <c r="F472" i="58"/>
  <c r="F473" i="58"/>
  <c r="F474" i="58"/>
  <c r="F475" i="58"/>
  <c r="F476" i="58"/>
  <c r="F477" i="58"/>
  <c r="F478" i="58"/>
  <c r="F479" i="58"/>
  <c r="F480" i="58"/>
  <c r="F481" i="58"/>
  <c r="F482" i="58"/>
  <c r="F483" i="58"/>
  <c r="F484" i="58"/>
  <c r="F485" i="58"/>
  <c r="F486" i="58"/>
  <c r="F487" i="58"/>
  <c r="F488" i="58"/>
  <c r="F489" i="58"/>
  <c r="F490" i="58"/>
  <c r="F491" i="58"/>
  <c r="F492" i="58"/>
  <c r="F493" i="58"/>
  <c r="F494" i="58"/>
  <c r="F495" i="58"/>
  <c r="F496" i="58"/>
  <c r="F497" i="58"/>
  <c r="F498" i="58"/>
  <c r="F499" i="58"/>
  <c r="F500" i="58"/>
  <c r="F501" i="58"/>
  <c r="F502" i="58"/>
  <c r="F503" i="58"/>
  <c r="F504" i="58"/>
  <c r="F505" i="58"/>
  <c r="F506" i="58"/>
  <c r="F507" i="58"/>
  <c r="F508" i="58"/>
  <c r="F509" i="58"/>
  <c r="F510" i="58"/>
  <c r="F511" i="58"/>
  <c r="F512" i="58"/>
  <c r="F513" i="58"/>
  <c r="F514" i="58"/>
  <c r="F515" i="58"/>
  <c r="F516" i="58"/>
  <c r="F517" i="58"/>
  <c r="F518" i="58"/>
  <c r="F519" i="58"/>
  <c r="F520" i="58"/>
  <c r="F521" i="58"/>
  <c r="F522" i="58"/>
  <c r="F523" i="58"/>
  <c r="F524" i="58"/>
  <c r="F525" i="58"/>
  <c r="F526" i="58"/>
  <c r="F527" i="58"/>
  <c r="F528" i="58"/>
  <c r="F529" i="58"/>
  <c r="F530" i="58"/>
  <c r="F531" i="58"/>
  <c r="F532" i="58"/>
  <c r="F533" i="58"/>
  <c r="F534" i="58"/>
  <c r="F535" i="58"/>
  <c r="F536" i="58"/>
  <c r="F537" i="58"/>
  <c r="F538" i="58"/>
  <c r="F539" i="58"/>
  <c r="F540" i="58"/>
  <c r="F541" i="58"/>
  <c r="F542" i="58"/>
  <c r="F543" i="58"/>
  <c r="F544" i="58"/>
  <c r="F545" i="58"/>
  <c r="F546" i="58"/>
  <c r="F547" i="58"/>
  <c r="F548" i="58"/>
  <c r="F549" i="58"/>
  <c r="F550" i="58"/>
  <c r="F551" i="58"/>
  <c r="F552" i="58"/>
  <c r="F553" i="58"/>
  <c r="F554" i="58"/>
  <c r="F555" i="58"/>
  <c r="F556" i="58"/>
  <c r="F557" i="58"/>
  <c r="F558" i="58"/>
  <c r="F559" i="58"/>
  <c r="F560" i="58"/>
  <c r="F561" i="58"/>
  <c r="F562" i="58"/>
  <c r="F563" i="58"/>
  <c r="F564" i="58"/>
  <c r="F565" i="58"/>
  <c r="F566" i="58"/>
  <c r="F567" i="58"/>
  <c r="F568" i="58"/>
  <c r="F569" i="58"/>
  <c r="F570" i="58"/>
  <c r="F571" i="58"/>
  <c r="F572" i="58"/>
  <c r="F573" i="58"/>
  <c r="F574" i="58"/>
  <c r="F575" i="58"/>
  <c r="F576" i="58"/>
  <c r="F577" i="58"/>
  <c r="F578" i="58"/>
  <c r="F579" i="58"/>
  <c r="F580" i="58"/>
  <c r="F581" i="58"/>
  <c r="F582" i="58"/>
  <c r="F583" i="58"/>
  <c r="F584" i="58"/>
  <c r="F585" i="58"/>
  <c r="F586" i="58"/>
  <c r="F587" i="58"/>
  <c r="F588" i="58"/>
  <c r="F589" i="58"/>
  <c r="F590" i="58"/>
  <c r="F591" i="58"/>
  <c r="F592" i="58"/>
  <c r="G344" i="58"/>
  <c r="G345" i="58"/>
  <c r="G346" i="58"/>
  <c r="G347" i="58"/>
  <c r="G348" i="58"/>
  <c r="G349" i="58"/>
  <c r="G350" i="58"/>
  <c r="G351" i="58"/>
  <c r="G352" i="58"/>
  <c r="G353" i="58"/>
  <c r="G354" i="58"/>
  <c r="G355" i="58"/>
  <c r="G356" i="58"/>
  <c r="G357" i="58"/>
  <c r="G358" i="58"/>
  <c r="G359" i="58"/>
  <c r="G360" i="58"/>
  <c r="G361" i="58"/>
  <c r="G362" i="58"/>
  <c r="G363" i="58"/>
  <c r="G364" i="58"/>
  <c r="G365" i="58"/>
  <c r="G366" i="58"/>
  <c r="G367" i="58"/>
  <c r="G368" i="58"/>
  <c r="G369" i="58"/>
  <c r="G370" i="58"/>
  <c r="G371" i="58"/>
  <c r="G372" i="58"/>
  <c r="G373" i="58"/>
  <c r="G374" i="58"/>
  <c r="G375" i="58"/>
  <c r="G376" i="58"/>
  <c r="G377" i="58"/>
  <c r="G378" i="58"/>
  <c r="G379" i="58"/>
  <c r="G380" i="58"/>
  <c r="G381" i="58"/>
  <c r="G382" i="58"/>
  <c r="G383" i="58"/>
  <c r="G384" i="58"/>
  <c r="G385" i="58"/>
  <c r="G386" i="58"/>
  <c r="G387" i="58"/>
  <c r="G388" i="58"/>
  <c r="G389" i="58"/>
  <c r="G390" i="58"/>
  <c r="G391" i="58"/>
  <c r="G392" i="58"/>
  <c r="G393" i="58"/>
  <c r="G394" i="58"/>
  <c r="G395" i="58"/>
  <c r="G396" i="58"/>
  <c r="G397" i="58"/>
  <c r="G398" i="58"/>
  <c r="G399" i="58"/>
  <c r="G400" i="58"/>
  <c r="G401" i="58"/>
  <c r="G402" i="58"/>
  <c r="G403" i="58"/>
  <c r="G404" i="58"/>
  <c r="G405" i="58"/>
  <c r="G406" i="58"/>
  <c r="G407" i="58"/>
  <c r="G408" i="58"/>
  <c r="G409" i="58"/>
  <c r="G410" i="58"/>
  <c r="G411" i="58"/>
  <c r="G412" i="58"/>
  <c r="G413" i="58"/>
  <c r="G414" i="58"/>
  <c r="G415" i="58"/>
  <c r="G416" i="58"/>
  <c r="G417" i="58"/>
  <c r="G418" i="58"/>
  <c r="G419" i="58"/>
  <c r="G420" i="58"/>
  <c r="G421" i="58"/>
  <c r="G422" i="58"/>
  <c r="G423" i="58"/>
  <c r="G424" i="58"/>
  <c r="G425" i="58"/>
  <c r="G426" i="58"/>
  <c r="G427" i="58"/>
  <c r="G428" i="58"/>
  <c r="G429" i="58"/>
  <c r="G430" i="58"/>
  <c r="G431" i="58"/>
  <c r="G432" i="58"/>
  <c r="G433" i="58"/>
  <c r="G434" i="58"/>
  <c r="G435" i="58"/>
  <c r="G436" i="58"/>
  <c r="G437" i="58"/>
  <c r="G438" i="58"/>
  <c r="G439" i="58"/>
  <c r="G440" i="58"/>
  <c r="G441" i="58"/>
  <c r="G442" i="58"/>
  <c r="G443" i="58"/>
  <c r="G444" i="58"/>
  <c r="G445" i="58"/>
  <c r="G446" i="58"/>
  <c r="G447" i="58"/>
  <c r="G448" i="58"/>
  <c r="G449" i="58"/>
  <c r="G450" i="58"/>
  <c r="G451" i="58"/>
  <c r="G452" i="58"/>
  <c r="G453" i="58"/>
  <c r="G454" i="58"/>
  <c r="G455" i="58"/>
  <c r="G456" i="58"/>
  <c r="G457" i="58"/>
  <c r="G458" i="58"/>
  <c r="G459" i="58"/>
  <c r="G460" i="58"/>
  <c r="G461" i="58"/>
  <c r="G462" i="58"/>
  <c r="G463" i="58"/>
  <c r="G464" i="58"/>
  <c r="G465" i="58"/>
  <c r="G466" i="58"/>
  <c r="G467" i="58"/>
  <c r="G468" i="58"/>
  <c r="G469" i="58"/>
  <c r="G470" i="58"/>
  <c r="G471" i="58"/>
  <c r="G472" i="58"/>
  <c r="G473" i="58"/>
  <c r="G474" i="58"/>
  <c r="G475" i="58"/>
  <c r="G476" i="58"/>
  <c r="G477" i="58"/>
  <c r="G478" i="58"/>
  <c r="G479" i="58"/>
  <c r="G480" i="58"/>
  <c r="G481" i="58"/>
  <c r="G482" i="58"/>
  <c r="G483" i="58"/>
  <c r="G484" i="58"/>
  <c r="G485" i="58"/>
  <c r="G486" i="58"/>
  <c r="G487" i="58"/>
  <c r="G488" i="58"/>
  <c r="G489" i="58"/>
  <c r="G490" i="58"/>
  <c r="G491" i="58"/>
  <c r="G492" i="58"/>
  <c r="G493" i="58"/>
  <c r="G494" i="58"/>
  <c r="G495" i="58"/>
  <c r="G496" i="58"/>
  <c r="G497" i="58"/>
  <c r="G498" i="58"/>
  <c r="G499" i="58"/>
  <c r="G500" i="58"/>
  <c r="G501" i="58"/>
  <c r="G502" i="58"/>
  <c r="G503" i="58"/>
  <c r="G504" i="58"/>
  <c r="G505" i="58"/>
  <c r="G506" i="58"/>
  <c r="G507" i="58"/>
  <c r="G508" i="58"/>
  <c r="G509" i="58"/>
  <c r="G510" i="58"/>
  <c r="G511" i="58"/>
  <c r="G512" i="58"/>
  <c r="G513" i="58"/>
  <c r="G514" i="58"/>
  <c r="G515" i="58"/>
  <c r="G516" i="58"/>
  <c r="G517" i="58"/>
  <c r="G518" i="58"/>
  <c r="G519" i="58"/>
  <c r="G520" i="58"/>
  <c r="G521" i="58"/>
  <c r="G522" i="58"/>
  <c r="G523" i="58"/>
  <c r="G524" i="58"/>
  <c r="G525" i="58"/>
  <c r="G526" i="58"/>
  <c r="G527" i="58"/>
  <c r="G528" i="58"/>
  <c r="G529" i="58"/>
  <c r="G530" i="58"/>
  <c r="G531" i="58"/>
  <c r="G532" i="58"/>
  <c r="G533" i="58"/>
  <c r="G534" i="58"/>
  <c r="G535" i="58"/>
  <c r="G536" i="58"/>
  <c r="G537" i="58"/>
  <c r="G538" i="58"/>
  <c r="G539" i="58"/>
  <c r="G540" i="58"/>
  <c r="G541" i="58"/>
  <c r="G542" i="58"/>
  <c r="G543" i="58"/>
  <c r="G544" i="58"/>
  <c r="G545" i="58"/>
  <c r="G546" i="58"/>
  <c r="G547" i="58"/>
  <c r="G548" i="58"/>
  <c r="G549" i="58"/>
  <c r="G550" i="58"/>
  <c r="G551" i="58"/>
  <c r="G552" i="58"/>
  <c r="G553" i="58"/>
  <c r="G554" i="58"/>
  <c r="G555" i="58"/>
  <c r="G556" i="58"/>
  <c r="G557" i="58"/>
  <c r="G558" i="58"/>
  <c r="G559" i="58"/>
  <c r="G560" i="58"/>
  <c r="G561" i="58"/>
  <c r="G562" i="58"/>
  <c r="G563" i="58"/>
  <c r="G564" i="58"/>
  <c r="G565" i="58"/>
  <c r="G566" i="58"/>
  <c r="G567" i="58"/>
  <c r="G568" i="58"/>
  <c r="G569" i="58"/>
  <c r="G570" i="58"/>
  <c r="G571" i="58"/>
  <c r="G572" i="58"/>
  <c r="G573" i="58"/>
  <c r="G574" i="58"/>
  <c r="G575" i="58"/>
  <c r="G576" i="58"/>
  <c r="G577" i="58"/>
  <c r="G578" i="58"/>
  <c r="G579" i="58"/>
  <c r="G580" i="58"/>
  <c r="G581" i="58"/>
  <c r="G582" i="58"/>
  <c r="G583" i="58"/>
  <c r="G584" i="58"/>
  <c r="G585" i="58"/>
  <c r="G586" i="58"/>
  <c r="G587" i="58"/>
  <c r="G588" i="58"/>
  <c r="G589" i="58"/>
  <c r="G590" i="58"/>
  <c r="G591" i="58"/>
  <c r="G592" i="58"/>
  <c r="H344" i="58"/>
  <c r="H345" i="58"/>
  <c r="H346" i="58"/>
  <c r="H347" i="58"/>
  <c r="H348" i="58"/>
  <c r="H349" i="58"/>
  <c r="H350" i="58"/>
  <c r="H351" i="58"/>
  <c r="H352" i="58"/>
  <c r="H353" i="58"/>
  <c r="H354" i="58"/>
  <c r="H355" i="58"/>
  <c r="H356" i="58"/>
  <c r="H357" i="58"/>
  <c r="H358" i="58"/>
  <c r="H359" i="58"/>
  <c r="H360" i="58"/>
  <c r="H361" i="58"/>
  <c r="H362" i="58"/>
  <c r="H363" i="58"/>
  <c r="H364" i="58"/>
  <c r="H365" i="58"/>
  <c r="H366" i="58"/>
  <c r="H367" i="58"/>
  <c r="H368" i="58"/>
  <c r="H369" i="58"/>
  <c r="H370" i="58"/>
  <c r="H371" i="58"/>
  <c r="H372" i="58"/>
  <c r="H373" i="58"/>
  <c r="H374" i="58"/>
  <c r="H375" i="58"/>
  <c r="H376" i="58"/>
  <c r="H377" i="58"/>
  <c r="H378" i="58"/>
  <c r="H379" i="58"/>
  <c r="H380" i="58"/>
  <c r="H381" i="58"/>
  <c r="H382" i="58"/>
  <c r="H383" i="58"/>
  <c r="H384" i="58"/>
  <c r="H385" i="58"/>
  <c r="H386" i="58"/>
  <c r="H387" i="58"/>
  <c r="H388" i="58"/>
  <c r="H389" i="58"/>
  <c r="H390" i="58"/>
  <c r="H391" i="58"/>
  <c r="H392" i="58"/>
  <c r="H393" i="58"/>
  <c r="H394" i="58"/>
  <c r="H395" i="58"/>
  <c r="H396" i="58"/>
  <c r="H397" i="58"/>
  <c r="H398" i="58"/>
  <c r="H399" i="58"/>
  <c r="H400" i="58"/>
  <c r="H401" i="58"/>
  <c r="H402" i="58"/>
  <c r="H403" i="58"/>
  <c r="H404" i="58"/>
  <c r="H405" i="58"/>
  <c r="H406" i="58"/>
  <c r="H407" i="58"/>
  <c r="H408" i="58"/>
  <c r="H409" i="58"/>
  <c r="H410" i="58"/>
  <c r="H411" i="58"/>
  <c r="H412" i="58"/>
  <c r="H413" i="58"/>
  <c r="H414" i="58"/>
  <c r="H415" i="58"/>
  <c r="H416" i="58"/>
  <c r="H417" i="58"/>
  <c r="H418" i="58"/>
  <c r="H419" i="58"/>
  <c r="H420" i="58"/>
  <c r="H421" i="58"/>
  <c r="H422" i="58"/>
  <c r="H423" i="58"/>
  <c r="H424" i="58"/>
  <c r="H425" i="58"/>
  <c r="H426" i="58"/>
  <c r="H427" i="58"/>
  <c r="H428" i="58"/>
  <c r="H429" i="58"/>
  <c r="H430" i="58"/>
  <c r="H431" i="58"/>
  <c r="H432" i="58"/>
  <c r="H433" i="58"/>
  <c r="H434" i="58"/>
  <c r="H435" i="58"/>
  <c r="H436" i="58"/>
  <c r="H437" i="58"/>
  <c r="H438" i="58"/>
  <c r="H439" i="58"/>
  <c r="H440" i="58"/>
  <c r="H441" i="58"/>
  <c r="H442" i="58"/>
  <c r="H443" i="58"/>
  <c r="H444" i="58"/>
  <c r="H445" i="58"/>
  <c r="H446" i="58"/>
  <c r="H447" i="58"/>
  <c r="H448" i="58"/>
  <c r="H449" i="58"/>
  <c r="H450" i="58"/>
  <c r="H451" i="58"/>
  <c r="H452" i="58"/>
  <c r="H453" i="58"/>
  <c r="H454" i="58"/>
  <c r="H455" i="58"/>
  <c r="H456" i="58"/>
  <c r="H457" i="58"/>
  <c r="H458" i="58"/>
  <c r="H459" i="58"/>
  <c r="H460" i="58"/>
  <c r="H461" i="58"/>
  <c r="H462" i="58"/>
  <c r="H463" i="58"/>
  <c r="H464" i="58"/>
  <c r="H465" i="58"/>
  <c r="H466" i="58"/>
  <c r="H467" i="58"/>
  <c r="H468" i="58"/>
  <c r="H469" i="58"/>
  <c r="H470" i="58"/>
  <c r="H471" i="58"/>
  <c r="H472" i="58"/>
  <c r="H473" i="58"/>
  <c r="H474" i="58"/>
  <c r="H475" i="58"/>
  <c r="H476" i="58"/>
  <c r="H477" i="58"/>
  <c r="H478" i="58"/>
  <c r="H479" i="58"/>
  <c r="H480" i="58"/>
  <c r="H481" i="58"/>
  <c r="H482" i="58"/>
  <c r="H483" i="58"/>
  <c r="H484" i="58"/>
  <c r="H485" i="58"/>
  <c r="H486" i="58"/>
  <c r="H487" i="58"/>
  <c r="H488" i="58"/>
  <c r="H489" i="58"/>
  <c r="H490" i="58"/>
  <c r="H491" i="58"/>
  <c r="H492" i="58"/>
  <c r="H493" i="58"/>
  <c r="H494" i="58"/>
  <c r="H495" i="58"/>
  <c r="H496" i="58"/>
  <c r="H497" i="58"/>
  <c r="H498" i="58"/>
  <c r="H499" i="58"/>
  <c r="H500" i="58"/>
  <c r="H501" i="58"/>
  <c r="H502" i="58"/>
  <c r="H503" i="58"/>
  <c r="H504" i="58"/>
  <c r="H505" i="58"/>
  <c r="H506" i="58"/>
  <c r="H507" i="58"/>
  <c r="H508" i="58"/>
  <c r="H509" i="58"/>
  <c r="H510" i="58"/>
  <c r="H511" i="58"/>
  <c r="H512" i="58"/>
  <c r="H513" i="58"/>
  <c r="H514" i="58"/>
  <c r="H515" i="58"/>
  <c r="H516" i="58"/>
  <c r="H517" i="58"/>
  <c r="H518" i="58"/>
  <c r="H519" i="58"/>
  <c r="H520" i="58"/>
  <c r="H521" i="58"/>
  <c r="H522" i="58"/>
  <c r="H523" i="58"/>
  <c r="H524" i="58"/>
  <c r="H525" i="58"/>
  <c r="H526" i="58"/>
  <c r="H527" i="58"/>
  <c r="H528" i="58"/>
  <c r="H529" i="58"/>
  <c r="H530" i="58"/>
  <c r="H531" i="58"/>
  <c r="H532" i="58"/>
  <c r="H533" i="58"/>
  <c r="H534" i="58"/>
  <c r="H535" i="58"/>
  <c r="H536" i="58"/>
  <c r="H537" i="58"/>
  <c r="H538" i="58"/>
  <c r="H539" i="58"/>
  <c r="H540" i="58"/>
  <c r="H541" i="58"/>
  <c r="H542" i="58"/>
  <c r="H543" i="58"/>
  <c r="H544" i="58"/>
  <c r="H545" i="58"/>
  <c r="H546" i="58"/>
  <c r="H547" i="58"/>
  <c r="H548" i="58"/>
  <c r="H549" i="58"/>
  <c r="H550" i="58"/>
  <c r="H551" i="58"/>
  <c r="H552" i="58"/>
  <c r="H553" i="58"/>
  <c r="H554" i="58"/>
  <c r="H555" i="58"/>
  <c r="H556" i="58"/>
  <c r="H557" i="58"/>
  <c r="H558" i="58"/>
  <c r="H559" i="58"/>
  <c r="H560" i="58"/>
  <c r="H561" i="58"/>
  <c r="H562" i="58"/>
  <c r="H563" i="58"/>
  <c r="H564" i="58"/>
  <c r="H565" i="58"/>
  <c r="H566" i="58"/>
  <c r="H567" i="58"/>
  <c r="H568" i="58"/>
  <c r="H569" i="58"/>
  <c r="H570" i="58"/>
  <c r="H571" i="58"/>
  <c r="H572" i="58"/>
  <c r="H573" i="58"/>
  <c r="H574" i="58"/>
  <c r="H575" i="58"/>
  <c r="H576" i="58"/>
  <c r="H577" i="58"/>
  <c r="H578" i="58"/>
  <c r="H579" i="58"/>
  <c r="H580" i="58"/>
  <c r="H581" i="58"/>
  <c r="H582" i="58"/>
  <c r="H583" i="58"/>
  <c r="H584" i="58"/>
  <c r="H585" i="58"/>
  <c r="H586" i="58"/>
  <c r="H587" i="58"/>
  <c r="H588" i="58"/>
  <c r="H589" i="58"/>
  <c r="H590" i="58"/>
  <c r="H591" i="58"/>
  <c r="H592" i="58"/>
  <c r="I344" i="58"/>
  <c r="I345" i="58"/>
  <c r="I346" i="58"/>
  <c r="I347" i="58"/>
  <c r="I348" i="58"/>
  <c r="I349" i="58"/>
  <c r="I350" i="58"/>
  <c r="I351" i="58"/>
  <c r="I352" i="58"/>
  <c r="I353" i="58"/>
  <c r="I354" i="58"/>
  <c r="I355" i="58"/>
  <c r="I356" i="58"/>
  <c r="I357" i="58"/>
  <c r="I358" i="58"/>
  <c r="I359" i="58"/>
  <c r="I360" i="58"/>
  <c r="I361" i="58"/>
  <c r="I362" i="58"/>
  <c r="I363" i="58"/>
  <c r="I364" i="58"/>
  <c r="I365" i="58"/>
  <c r="I366" i="58"/>
  <c r="I367" i="58"/>
  <c r="I368" i="58"/>
  <c r="I369" i="58"/>
  <c r="I370" i="58"/>
  <c r="I371" i="58"/>
  <c r="I372" i="58"/>
  <c r="I373" i="58"/>
  <c r="I374" i="58"/>
  <c r="I375" i="58"/>
  <c r="I376" i="58"/>
  <c r="I377" i="58"/>
  <c r="I378" i="58"/>
  <c r="I379" i="58"/>
  <c r="I380" i="58"/>
  <c r="I381" i="58"/>
  <c r="I382" i="58"/>
  <c r="I383" i="58"/>
  <c r="I384" i="58"/>
  <c r="I385" i="58"/>
  <c r="I386" i="58"/>
  <c r="I387" i="58"/>
  <c r="I388" i="58"/>
  <c r="I389" i="58"/>
  <c r="I390" i="58"/>
  <c r="I391" i="58"/>
  <c r="I392" i="58"/>
  <c r="I393" i="58"/>
  <c r="I394" i="58"/>
  <c r="I395" i="58"/>
  <c r="I396" i="58"/>
  <c r="I397" i="58"/>
  <c r="I398" i="58"/>
  <c r="I399" i="58"/>
  <c r="I400" i="58"/>
  <c r="I401" i="58"/>
  <c r="I402" i="58"/>
  <c r="I403" i="58"/>
  <c r="I404" i="58"/>
  <c r="I405" i="58"/>
  <c r="I406" i="58"/>
  <c r="I407" i="58"/>
  <c r="I408" i="58"/>
  <c r="I409" i="58"/>
  <c r="I410" i="58"/>
  <c r="I411" i="58"/>
  <c r="I412" i="58"/>
  <c r="I413" i="58"/>
  <c r="I414" i="58"/>
  <c r="I415" i="58"/>
  <c r="I416" i="58"/>
  <c r="I417" i="58"/>
  <c r="I418" i="58"/>
  <c r="I419" i="58"/>
  <c r="I420" i="58"/>
  <c r="I421" i="58"/>
  <c r="I422" i="58"/>
  <c r="I423" i="58"/>
  <c r="I424" i="58"/>
  <c r="I425" i="58"/>
  <c r="I426" i="58"/>
  <c r="I427" i="58"/>
  <c r="I428" i="58"/>
  <c r="I429" i="58"/>
  <c r="I430" i="58"/>
  <c r="I431" i="58"/>
  <c r="I432" i="58"/>
  <c r="I433" i="58"/>
  <c r="I434" i="58"/>
  <c r="I435" i="58"/>
  <c r="I436" i="58"/>
  <c r="I437" i="58"/>
  <c r="I438" i="58"/>
  <c r="I439" i="58"/>
  <c r="I440" i="58"/>
  <c r="I441" i="58"/>
  <c r="I442" i="58"/>
  <c r="I443" i="58"/>
  <c r="I444" i="58"/>
  <c r="I445" i="58"/>
  <c r="I446" i="58"/>
  <c r="I447" i="58"/>
  <c r="I448" i="58"/>
  <c r="I449" i="58"/>
  <c r="I450" i="58"/>
  <c r="I451" i="58"/>
  <c r="I452" i="58"/>
  <c r="I453" i="58"/>
  <c r="I454" i="58"/>
  <c r="I455" i="58"/>
  <c r="I456" i="58"/>
  <c r="I457" i="58"/>
  <c r="I458" i="58"/>
  <c r="I459" i="58"/>
  <c r="I460" i="58"/>
  <c r="I461" i="58"/>
  <c r="I462" i="58"/>
  <c r="I463" i="58"/>
  <c r="I464" i="58"/>
  <c r="I465" i="58"/>
  <c r="I466" i="58"/>
  <c r="I467" i="58"/>
  <c r="I468" i="58"/>
  <c r="I469" i="58"/>
  <c r="I470" i="58"/>
  <c r="I471" i="58"/>
  <c r="I472" i="58"/>
  <c r="I473" i="58"/>
  <c r="I474" i="58"/>
  <c r="I475" i="58"/>
  <c r="I476" i="58"/>
  <c r="I477" i="58"/>
  <c r="I478" i="58"/>
  <c r="I479" i="58"/>
  <c r="I480" i="58"/>
  <c r="I481" i="58"/>
  <c r="I482" i="58"/>
  <c r="I483" i="58"/>
  <c r="I484" i="58"/>
  <c r="I485" i="58"/>
  <c r="I486" i="58"/>
  <c r="I487" i="58"/>
  <c r="I488" i="58"/>
  <c r="I489" i="58"/>
  <c r="I490" i="58"/>
  <c r="I491" i="58"/>
  <c r="I492" i="58"/>
  <c r="I493" i="58"/>
  <c r="I494" i="58"/>
  <c r="I495" i="58"/>
  <c r="I496" i="58"/>
  <c r="I497" i="58"/>
  <c r="I498" i="58"/>
  <c r="I499" i="58"/>
  <c r="I500" i="58"/>
  <c r="I501" i="58"/>
  <c r="I502" i="58"/>
  <c r="I503" i="58"/>
  <c r="I504" i="58"/>
  <c r="I505" i="58"/>
  <c r="I506" i="58"/>
  <c r="I507" i="58"/>
  <c r="I508" i="58"/>
  <c r="I509" i="58"/>
  <c r="I510" i="58"/>
  <c r="I511" i="58"/>
  <c r="I512" i="58"/>
  <c r="I513" i="58"/>
  <c r="I514" i="58"/>
  <c r="I515" i="58"/>
  <c r="I516" i="58"/>
  <c r="I517" i="58"/>
  <c r="I518" i="58"/>
  <c r="I519" i="58"/>
  <c r="I520" i="58"/>
  <c r="I521" i="58"/>
  <c r="I522" i="58"/>
  <c r="I523" i="58"/>
  <c r="I524" i="58"/>
  <c r="I525" i="58"/>
  <c r="I526" i="58"/>
  <c r="I527" i="58"/>
  <c r="I528" i="58"/>
  <c r="I529" i="58"/>
  <c r="I530" i="58"/>
  <c r="I531" i="58"/>
  <c r="I532" i="58"/>
  <c r="I533" i="58"/>
  <c r="I534" i="58"/>
  <c r="I535" i="58"/>
  <c r="I536" i="58"/>
  <c r="I537" i="58"/>
  <c r="I538" i="58"/>
  <c r="I539" i="58"/>
  <c r="I540" i="58"/>
  <c r="I541" i="58"/>
  <c r="I542" i="58"/>
  <c r="I543" i="58"/>
  <c r="I544" i="58"/>
  <c r="I545" i="58"/>
  <c r="I546" i="58"/>
  <c r="I547" i="58"/>
  <c r="I548" i="58"/>
  <c r="I549" i="58"/>
  <c r="I550" i="58"/>
  <c r="I551" i="58"/>
  <c r="I552" i="58"/>
  <c r="I553" i="58"/>
  <c r="I554" i="58"/>
  <c r="I555" i="58"/>
  <c r="I556" i="58"/>
  <c r="I557" i="58"/>
  <c r="I558" i="58"/>
  <c r="I559" i="58"/>
  <c r="I560" i="58"/>
  <c r="I561" i="58"/>
  <c r="I562" i="58"/>
  <c r="I563" i="58"/>
  <c r="I564" i="58"/>
  <c r="I565" i="58"/>
  <c r="I566" i="58"/>
  <c r="I567" i="58"/>
  <c r="I568" i="58"/>
  <c r="I569" i="58"/>
  <c r="I570" i="58"/>
  <c r="I571" i="58"/>
  <c r="I572" i="58"/>
  <c r="I573" i="58"/>
  <c r="I574" i="58"/>
  <c r="I575" i="58"/>
  <c r="I576" i="58"/>
  <c r="I577" i="58"/>
  <c r="I578" i="58"/>
  <c r="I579" i="58"/>
  <c r="I580" i="58"/>
  <c r="I581" i="58"/>
  <c r="I582" i="58"/>
  <c r="I583" i="58"/>
  <c r="I584" i="58"/>
  <c r="I585" i="58"/>
  <c r="I586" i="58"/>
  <c r="I587" i="58"/>
  <c r="I588" i="58"/>
  <c r="I589" i="58"/>
  <c r="I590" i="58"/>
  <c r="I591" i="58"/>
  <c r="I592" i="58"/>
  <c r="J344" i="58"/>
  <c r="J345" i="58"/>
  <c r="J346" i="58"/>
  <c r="J347" i="58"/>
  <c r="J348" i="58"/>
  <c r="J349" i="58"/>
  <c r="J350" i="58"/>
  <c r="J351" i="58"/>
  <c r="J352" i="58"/>
  <c r="J353" i="58"/>
  <c r="J354" i="58"/>
  <c r="J355" i="58"/>
  <c r="J356" i="58"/>
  <c r="J357" i="58"/>
  <c r="J358" i="58"/>
  <c r="J359" i="58"/>
  <c r="J360" i="58"/>
  <c r="J361" i="58"/>
  <c r="J362" i="58"/>
  <c r="J363" i="58"/>
  <c r="J364" i="58"/>
  <c r="J365" i="58"/>
  <c r="J366" i="58"/>
  <c r="J367" i="58"/>
  <c r="J368" i="58"/>
  <c r="J369" i="58"/>
  <c r="J370" i="58"/>
  <c r="J371" i="58"/>
  <c r="J372" i="58"/>
  <c r="J373" i="58"/>
  <c r="J374" i="58"/>
  <c r="J375" i="58"/>
  <c r="J376" i="58"/>
  <c r="J377" i="58"/>
  <c r="J378" i="58"/>
  <c r="J379" i="58"/>
  <c r="J380" i="58"/>
  <c r="J381" i="58"/>
  <c r="J382" i="58"/>
  <c r="J383" i="58"/>
  <c r="J384" i="58"/>
  <c r="J385" i="58"/>
  <c r="J386" i="58"/>
  <c r="J387" i="58"/>
  <c r="J388" i="58"/>
  <c r="J389" i="58"/>
  <c r="J390" i="58"/>
  <c r="J391" i="58"/>
  <c r="J392" i="58"/>
  <c r="J393" i="58"/>
  <c r="J394" i="58"/>
  <c r="J395" i="58"/>
  <c r="J396" i="58"/>
  <c r="J397" i="58"/>
  <c r="J398" i="58"/>
  <c r="J399" i="58"/>
  <c r="J400" i="58"/>
  <c r="J401" i="58"/>
  <c r="J402" i="58"/>
  <c r="J403" i="58"/>
  <c r="J404" i="58"/>
  <c r="J405" i="58"/>
  <c r="J406" i="58"/>
  <c r="J407" i="58"/>
  <c r="J408" i="58"/>
  <c r="J409" i="58"/>
  <c r="J410" i="58"/>
  <c r="J411" i="58"/>
  <c r="J412" i="58"/>
  <c r="J413" i="58"/>
  <c r="J414" i="58"/>
  <c r="J415" i="58"/>
  <c r="J416" i="58"/>
  <c r="J417" i="58"/>
  <c r="J418" i="58"/>
  <c r="J419" i="58"/>
  <c r="J420" i="58"/>
  <c r="J421" i="58"/>
  <c r="J422" i="58"/>
  <c r="J423" i="58"/>
  <c r="J424" i="58"/>
  <c r="J425" i="58"/>
  <c r="J426" i="58"/>
  <c r="J427" i="58"/>
  <c r="J428" i="58"/>
  <c r="J429" i="58"/>
  <c r="J430" i="58"/>
  <c r="J431" i="58"/>
  <c r="J432" i="58"/>
  <c r="J433" i="58"/>
  <c r="J434" i="58"/>
  <c r="J435" i="58"/>
  <c r="J436" i="58"/>
  <c r="J437" i="58"/>
  <c r="J438" i="58"/>
  <c r="J439" i="58"/>
  <c r="J440" i="58"/>
  <c r="J441" i="58"/>
  <c r="J442" i="58"/>
  <c r="J443" i="58"/>
  <c r="J444" i="58"/>
  <c r="J445" i="58"/>
  <c r="J446" i="58"/>
  <c r="J447" i="58"/>
  <c r="J448" i="58"/>
  <c r="J449" i="58"/>
  <c r="J450" i="58"/>
  <c r="J451" i="58"/>
  <c r="J452" i="58"/>
  <c r="J453" i="58"/>
  <c r="J454" i="58"/>
  <c r="J455" i="58"/>
  <c r="J456" i="58"/>
  <c r="J457" i="58"/>
  <c r="J458" i="58"/>
  <c r="J459" i="58"/>
  <c r="J460" i="58"/>
  <c r="J461" i="58"/>
  <c r="J462" i="58"/>
  <c r="J463" i="58"/>
  <c r="J464" i="58"/>
  <c r="J465" i="58"/>
  <c r="J466" i="58"/>
  <c r="J467" i="58"/>
  <c r="J468" i="58"/>
  <c r="J469" i="58"/>
  <c r="J470" i="58"/>
  <c r="J471" i="58"/>
  <c r="J472" i="58"/>
  <c r="J473" i="58"/>
  <c r="J474" i="58"/>
  <c r="J475" i="58"/>
  <c r="J476" i="58"/>
  <c r="J477" i="58"/>
  <c r="J478" i="58"/>
  <c r="J479" i="58"/>
  <c r="J480" i="58"/>
  <c r="J481" i="58"/>
  <c r="J482" i="58"/>
  <c r="J483" i="58"/>
  <c r="J484" i="58"/>
  <c r="J485" i="58"/>
  <c r="J486" i="58"/>
  <c r="J487" i="58"/>
  <c r="J488" i="58"/>
  <c r="J489" i="58"/>
  <c r="J490" i="58"/>
  <c r="J491" i="58"/>
  <c r="J492" i="58"/>
  <c r="J493" i="58"/>
  <c r="J494" i="58"/>
  <c r="J495" i="58"/>
  <c r="J496" i="58"/>
  <c r="J497" i="58"/>
  <c r="J498" i="58"/>
  <c r="J499" i="58"/>
  <c r="J500" i="58"/>
  <c r="J501" i="58"/>
  <c r="J502" i="58"/>
  <c r="J503" i="58"/>
  <c r="J504" i="58"/>
  <c r="J505" i="58"/>
  <c r="J506" i="58"/>
  <c r="J507" i="58"/>
  <c r="J508" i="58"/>
  <c r="J509" i="58"/>
  <c r="J510" i="58"/>
  <c r="J511" i="58"/>
  <c r="J512" i="58"/>
  <c r="J513" i="58"/>
  <c r="J514" i="58"/>
  <c r="J515" i="58"/>
  <c r="J516" i="58"/>
  <c r="J517" i="58"/>
  <c r="J518" i="58"/>
  <c r="J519" i="58"/>
  <c r="J520" i="58"/>
  <c r="J521" i="58"/>
  <c r="J522" i="58"/>
  <c r="J523" i="58"/>
  <c r="J524" i="58"/>
  <c r="J525" i="58"/>
  <c r="J526" i="58"/>
  <c r="J527" i="58"/>
  <c r="J528" i="58"/>
  <c r="J529" i="58"/>
  <c r="J530" i="58"/>
  <c r="J531" i="58"/>
  <c r="J532" i="58"/>
  <c r="J533" i="58"/>
  <c r="J534" i="58"/>
  <c r="J535" i="58"/>
  <c r="J536" i="58"/>
  <c r="J537" i="58"/>
  <c r="J538" i="58"/>
  <c r="J539" i="58"/>
  <c r="J540" i="58"/>
  <c r="J541" i="58"/>
  <c r="J542" i="58"/>
  <c r="J543" i="58"/>
  <c r="J544" i="58"/>
  <c r="J545" i="58"/>
  <c r="J546" i="58"/>
  <c r="J547" i="58"/>
  <c r="J548" i="58"/>
  <c r="J549" i="58"/>
  <c r="J550" i="58"/>
  <c r="J551" i="58"/>
  <c r="J552" i="58"/>
  <c r="J553" i="58"/>
  <c r="J554" i="58"/>
  <c r="J555" i="58"/>
  <c r="J556" i="58"/>
  <c r="J557" i="58"/>
  <c r="J558" i="58"/>
  <c r="J559" i="58"/>
  <c r="J560" i="58"/>
  <c r="J561" i="58"/>
  <c r="J562" i="58"/>
  <c r="J563" i="58"/>
  <c r="J564" i="58"/>
  <c r="J565" i="58"/>
  <c r="J566" i="58"/>
  <c r="J567" i="58"/>
  <c r="J568" i="58"/>
  <c r="J569" i="58"/>
  <c r="J570" i="58"/>
  <c r="J571" i="58"/>
  <c r="J572" i="58"/>
  <c r="J573" i="58"/>
  <c r="J574" i="58"/>
  <c r="J575" i="58"/>
  <c r="J576" i="58"/>
  <c r="J577" i="58"/>
  <c r="J578" i="58"/>
  <c r="J579" i="58"/>
  <c r="J580" i="58"/>
  <c r="J581" i="58"/>
  <c r="J582" i="58"/>
  <c r="J583" i="58"/>
  <c r="J584" i="58"/>
  <c r="J585" i="58"/>
  <c r="J586" i="58"/>
  <c r="J587" i="58"/>
  <c r="J588" i="58"/>
  <c r="J589" i="58"/>
  <c r="J590" i="58"/>
  <c r="J591" i="58"/>
  <c r="J592" i="58"/>
  <c r="K344" i="58"/>
  <c r="K345" i="58"/>
  <c r="K346" i="58"/>
  <c r="K347" i="58"/>
  <c r="K348" i="58"/>
  <c r="K349" i="58"/>
  <c r="K350" i="58"/>
  <c r="K351" i="58"/>
  <c r="K352" i="58"/>
  <c r="K353" i="58"/>
  <c r="K354" i="58"/>
  <c r="K355" i="58"/>
  <c r="K356" i="58"/>
  <c r="K357" i="58"/>
  <c r="K358" i="58"/>
  <c r="K359" i="58"/>
  <c r="K360" i="58"/>
  <c r="K361" i="58"/>
  <c r="K362" i="58"/>
  <c r="K363" i="58"/>
  <c r="K364" i="58"/>
  <c r="K365" i="58"/>
  <c r="K366" i="58"/>
  <c r="K367" i="58"/>
  <c r="K368" i="58"/>
  <c r="K369" i="58"/>
  <c r="K370" i="58"/>
  <c r="K371" i="58"/>
  <c r="K372" i="58"/>
  <c r="K373" i="58"/>
  <c r="K374" i="58"/>
  <c r="K375" i="58"/>
  <c r="K376" i="58"/>
  <c r="K377" i="58"/>
  <c r="K378" i="58"/>
  <c r="K379" i="58"/>
  <c r="K380" i="58"/>
  <c r="K381" i="58"/>
  <c r="K382" i="58"/>
  <c r="K383" i="58"/>
  <c r="K384" i="58"/>
  <c r="K385" i="58"/>
  <c r="K386" i="58"/>
  <c r="K387" i="58"/>
  <c r="K388" i="58"/>
  <c r="K389" i="58"/>
  <c r="K390" i="58"/>
  <c r="K391" i="58"/>
  <c r="K392" i="58"/>
  <c r="K393" i="58"/>
  <c r="K394" i="58"/>
  <c r="K395" i="58"/>
  <c r="K396" i="58"/>
  <c r="K397" i="58"/>
  <c r="K398" i="58"/>
  <c r="K399" i="58"/>
  <c r="K400" i="58"/>
  <c r="K401" i="58"/>
  <c r="K402" i="58"/>
  <c r="K403" i="58"/>
  <c r="K404" i="58"/>
  <c r="K405" i="58"/>
  <c r="K406" i="58"/>
  <c r="K407" i="58"/>
  <c r="K408" i="58"/>
  <c r="K409" i="58"/>
  <c r="K410" i="58"/>
  <c r="K411" i="58"/>
  <c r="K412" i="58"/>
  <c r="K413" i="58"/>
  <c r="K414" i="58"/>
  <c r="K415" i="58"/>
  <c r="K416" i="58"/>
  <c r="K417" i="58"/>
  <c r="K418" i="58"/>
  <c r="K419" i="58"/>
  <c r="K420" i="58"/>
  <c r="K421" i="58"/>
  <c r="K422" i="58"/>
  <c r="K423" i="58"/>
  <c r="K424" i="58"/>
  <c r="K425" i="58"/>
  <c r="K426" i="58"/>
  <c r="K427" i="58"/>
  <c r="K428" i="58"/>
  <c r="K429" i="58"/>
  <c r="K430" i="58"/>
  <c r="K431" i="58"/>
  <c r="K432" i="58"/>
  <c r="K433" i="58"/>
  <c r="K434" i="58"/>
  <c r="K435" i="58"/>
  <c r="K436" i="58"/>
  <c r="K437" i="58"/>
  <c r="K438" i="58"/>
  <c r="K439" i="58"/>
  <c r="K440" i="58"/>
  <c r="K441" i="58"/>
  <c r="K442" i="58"/>
  <c r="K443" i="58"/>
  <c r="K444" i="58"/>
  <c r="K445" i="58"/>
  <c r="K446" i="58"/>
  <c r="K447" i="58"/>
  <c r="K448" i="58"/>
  <c r="K449" i="58"/>
  <c r="K450" i="58"/>
  <c r="K451" i="58"/>
  <c r="K452" i="58"/>
  <c r="K453" i="58"/>
  <c r="K454" i="58"/>
  <c r="K455" i="58"/>
  <c r="K456" i="58"/>
  <c r="K457" i="58"/>
  <c r="K458" i="58"/>
  <c r="K459" i="58"/>
  <c r="K460" i="58"/>
  <c r="K461" i="58"/>
  <c r="K462" i="58"/>
  <c r="K463" i="58"/>
  <c r="K464" i="58"/>
  <c r="K465" i="58"/>
  <c r="K466" i="58"/>
  <c r="K467" i="58"/>
  <c r="K468" i="58"/>
  <c r="K469" i="58"/>
  <c r="K470" i="58"/>
  <c r="K471" i="58"/>
  <c r="K472" i="58"/>
  <c r="K473" i="58"/>
  <c r="K474" i="58"/>
  <c r="K475" i="58"/>
  <c r="K476" i="58"/>
  <c r="K477" i="58"/>
  <c r="K478" i="58"/>
  <c r="K479" i="58"/>
  <c r="K480" i="58"/>
  <c r="K481" i="58"/>
  <c r="K482" i="58"/>
  <c r="K483" i="58"/>
  <c r="K484" i="58"/>
  <c r="K485" i="58"/>
  <c r="K486" i="58"/>
  <c r="K487" i="58"/>
  <c r="K488" i="58"/>
  <c r="K489" i="58"/>
  <c r="K490" i="58"/>
  <c r="K491" i="58"/>
  <c r="K492" i="58"/>
  <c r="K493" i="58"/>
  <c r="K494" i="58"/>
  <c r="K495" i="58"/>
  <c r="K496" i="58"/>
  <c r="K497" i="58"/>
  <c r="K498" i="58"/>
  <c r="K499" i="58"/>
  <c r="K500" i="58"/>
  <c r="K501" i="58"/>
  <c r="K502" i="58"/>
  <c r="K503" i="58"/>
  <c r="K504" i="58"/>
  <c r="K505" i="58"/>
  <c r="K506" i="58"/>
  <c r="K507" i="58"/>
  <c r="K508" i="58"/>
  <c r="K509" i="58"/>
  <c r="K510" i="58"/>
  <c r="K511" i="58"/>
  <c r="K512" i="58"/>
  <c r="K513" i="58"/>
  <c r="K514" i="58"/>
  <c r="K515" i="58"/>
  <c r="K516" i="58"/>
  <c r="K517" i="58"/>
  <c r="K518" i="58"/>
  <c r="K519" i="58"/>
  <c r="K520" i="58"/>
  <c r="K521" i="58"/>
  <c r="K522" i="58"/>
  <c r="K523" i="58"/>
  <c r="K524" i="58"/>
  <c r="K525" i="58"/>
  <c r="K526" i="58"/>
  <c r="K527" i="58"/>
  <c r="K528" i="58"/>
  <c r="K529" i="58"/>
  <c r="K530" i="58"/>
  <c r="K531" i="58"/>
  <c r="K532" i="58"/>
  <c r="K533" i="58"/>
  <c r="K534" i="58"/>
  <c r="K535" i="58"/>
  <c r="K536" i="58"/>
  <c r="K537" i="58"/>
  <c r="K538" i="58"/>
  <c r="K539" i="58"/>
  <c r="K540" i="58"/>
  <c r="K541" i="58"/>
  <c r="K542" i="58"/>
  <c r="K543" i="58"/>
  <c r="K544" i="58"/>
  <c r="K545" i="58"/>
  <c r="K546" i="58"/>
  <c r="K547" i="58"/>
  <c r="K548" i="58"/>
  <c r="K549" i="58"/>
  <c r="K550" i="58"/>
  <c r="K551" i="58"/>
  <c r="K552" i="58"/>
  <c r="K553" i="58"/>
  <c r="K554" i="58"/>
  <c r="K555" i="58"/>
  <c r="K556" i="58"/>
  <c r="K557" i="58"/>
  <c r="K558" i="58"/>
  <c r="K559" i="58"/>
  <c r="K560" i="58"/>
  <c r="K561" i="58"/>
  <c r="K562" i="58"/>
  <c r="K563" i="58"/>
  <c r="K564" i="58"/>
  <c r="K565" i="58"/>
  <c r="K566" i="58"/>
  <c r="K567" i="58"/>
  <c r="K568" i="58"/>
  <c r="K569" i="58"/>
  <c r="K570" i="58"/>
  <c r="K571" i="58"/>
  <c r="K572" i="58"/>
  <c r="K573" i="58"/>
  <c r="K574" i="58"/>
  <c r="K575" i="58"/>
  <c r="K576" i="58"/>
  <c r="K577" i="58"/>
  <c r="K578" i="58"/>
  <c r="K579" i="58"/>
  <c r="K580" i="58"/>
  <c r="K581" i="58"/>
  <c r="K582" i="58"/>
  <c r="K583" i="58"/>
  <c r="K584" i="58"/>
  <c r="K585" i="58"/>
  <c r="K586" i="58"/>
  <c r="K587" i="58"/>
  <c r="K588" i="58"/>
  <c r="K589" i="58"/>
  <c r="K590" i="58"/>
  <c r="K591" i="58"/>
  <c r="K592" i="58"/>
  <c r="L344" i="58"/>
  <c r="L345" i="58"/>
  <c r="L346" i="58"/>
  <c r="L347" i="58"/>
  <c r="L348" i="58"/>
  <c r="L349" i="58"/>
  <c r="L350" i="58"/>
  <c r="L351" i="58"/>
  <c r="L352" i="58"/>
  <c r="L353" i="58"/>
  <c r="L354" i="58"/>
  <c r="L355" i="58"/>
  <c r="L356" i="58"/>
  <c r="L357" i="58"/>
  <c r="L358" i="58"/>
  <c r="L359" i="58"/>
  <c r="L360" i="58"/>
  <c r="L361" i="58"/>
  <c r="L362" i="58"/>
  <c r="L363" i="58"/>
  <c r="L364" i="58"/>
  <c r="L365" i="58"/>
  <c r="L366" i="58"/>
  <c r="L367" i="58"/>
  <c r="L368" i="58"/>
  <c r="L369" i="58"/>
  <c r="L370" i="58"/>
  <c r="L371" i="58"/>
  <c r="L372" i="58"/>
  <c r="L373" i="58"/>
  <c r="L374" i="58"/>
  <c r="L375" i="58"/>
  <c r="L376" i="58"/>
  <c r="L377" i="58"/>
  <c r="L378" i="58"/>
  <c r="L379" i="58"/>
  <c r="L380" i="58"/>
  <c r="L381" i="58"/>
  <c r="L382" i="58"/>
  <c r="L383" i="58"/>
  <c r="L384" i="58"/>
  <c r="L385" i="58"/>
  <c r="L386" i="58"/>
  <c r="L387" i="58"/>
  <c r="L388" i="58"/>
  <c r="L389" i="58"/>
  <c r="L390" i="58"/>
  <c r="L391" i="58"/>
  <c r="L392" i="58"/>
  <c r="L393" i="58"/>
  <c r="L394" i="58"/>
  <c r="L395" i="58"/>
  <c r="L396" i="58"/>
  <c r="L397" i="58"/>
  <c r="L398" i="58"/>
  <c r="L399" i="58"/>
  <c r="L400" i="58"/>
  <c r="L401" i="58"/>
  <c r="L402" i="58"/>
  <c r="L403" i="58"/>
  <c r="L404" i="58"/>
  <c r="L405" i="58"/>
  <c r="L406" i="58"/>
  <c r="L407" i="58"/>
  <c r="L408" i="58"/>
  <c r="L409" i="58"/>
  <c r="L410" i="58"/>
  <c r="L411" i="58"/>
  <c r="L412" i="58"/>
  <c r="L413" i="58"/>
  <c r="L414" i="58"/>
  <c r="L415" i="58"/>
  <c r="L416" i="58"/>
  <c r="L417" i="58"/>
  <c r="L418" i="58"/>
  <c r="L419" i="58"/>
  <c r="L420" i="58"/>
  <c r="L421" i="58"/>
  <c r="L422" i="58"/>
  <c r="L423" i="58"/>
  <c r="L424" i="58"/>
  <c r="L425" i="58"/>
  <c r="L426" i="58"/>
  <c r="L427" i="58"/>
  <c r="L428" i="58"/>
  <c r="L429" i="58"/>
  <c r="L430" i="58"/>
  <c r="L431" i="58"/>
  <c r="L432" i="58"/>
  <c r="L433" i="58"/>
  <c r="L434" i="58"/>
  <c r="L435" i="58"/>
  <c r="L436" i="58"/>
  <c r="L437" i="58"/>
  <c r="L438" i="58"/>
  <c r="L439" i="58"/>
  <c r="L440" i="58"/>
  <c r="L441" i="58"/>
  <c r="L442" i="58"/>
  <c r="L443" i="58"/>
  <c r="L444" i="58"/>
  <c r="L445" i="58"/>
  <c r="L446" i="58"/>
  <c r="L447" i="58"/>
  <c r="L448" i="58"/>
  <c r="L449" i="58"/>
  <c r="L450" i="58"/>
  <c r="L451" i="58"/>
  <c r="L452" i="58"/>
  <c r="L453" i="58"/>
  <c r="L454" i="58"/>
  <c r="L455" i="58"/>
  <c r="L456" i="58"/>
  <c r="L457" i="58"/>
  <c r="L458" i="58"/>
  <c r="L459" i="58"/>
  <c r="L460" i="58"/>
  <c r="L461" i="58"/>
  <c r="L462" i="58"/>
  <c r="L463" i="58"/>
  <c r="L464" i="58"/>
  <c r="L465" i="58"/>
  <c r="L466" i="58"/>
  <c r="L467" i="58"/>
  <c r="L468" i="58"/>
  <c r="L469" i="58"/>
  <c r="L470" i="58"/>
  <c r="L471" i="58"/>
  <c r="L472" i="58"/>
  <c r="L473" i="58"/>
  <c r="L474" i="58"/>
  <c r="L475" i="58"/>
  <c r="L476" i="58"/>
  <c r="L477" i="58"/>
  <c r="L478" i="58"/>
  <c r="L479" i="58"/>
  <c r="L480" i="58"/>
  <c r="L481" i="58"/>
  <c r="L482" i="58"/>
  <c r="L483" i="58"/>
  <c r="L484" i="58"/>
  <c r="L485" i="58"/>
  <c r="L486" i="58"/>
  <c r="L487" i="58"/>
  <c r="L488" i="58"/>
  <c r="L489" i="58"/>
  <c r="L490" i="58"/>
  <c r="L491" i="58"/>
  <c r="L492" i="58"/>
  <c r="L493" i="58"/>
  <c r="L494" i="58"/>
  <c r="L495" i="58"/>
  <c r="L496" i="58"/>
  <c r="L497" i="58"/>
  <c r="L498" i="58"/>
  <c r="L499" i="58"/>
  <c r="L500" i="58"/>
  <c r="L501" i="58"/>
  <c r="L502" i="58"/>
  <c r="L503" i="58"/>
  <c r="L504" i="58"/>
  <c r="L505" i="58"/>
  <c r="L506" i="58"/>
  <c r="L507" i="58"/>
  <c r="L508" i="58"/>
  <c r="L509" i="58"/>
  <c r="L510" i="58"/>
  <c r="L511" i="58"/>
  <c r="L512" i="58"/>
  <c r="L513" i="58"/>
  <c r="L514" i="58"/>
  <c r="L515" i="58"/>
  <c r="L516" i="58"/>
  <c r="L517" i="58"/>
  <c r="L518" i="58"/>
  <c r="L519" i="58"/>
  <c r="L520" i="58"/>
  <c r="L521" i="58"/>
  <c r="L522" i="58"/>
  <c r="L523" i="58"/>
  <c r="L524" i="58"/>
  <c r="L525" i="58"/>
  <c r="L526" i="58"/>
  <c r="L527" i="58"/>
  <c r="L528" i="58"/>
  <c r="L529" i="58"/>
  <c r="L530" i="58"/>
  <c r="L531" i="58"/>
  <c r="L532" i="58"/>
  <c r="L533" i="58"/>
  <c r="L534" i="58"/>
  <c r="L535" i="58"/>
  <c r="L536" i="58"/>
  <c r="L537" i="58"/>
  <c r="L538" i="58"/>
  <c r="L539" i="58"/>
  <c r="L540" i="58"/>
  <c r="L541" i="58"/>
  <c r="L542" i="58"/>
  <c r="L543" i="58"/>
  <c r="L544" i="58"/>
  <c r="L545" i="58"/>
  <c r="L546" i="58"/>
  <c r="L547" i="58"/>
  <c r="L548" i="58"/>
  <c r="L549" i="58"/>
  <c r="L550" i="58"/>
  <c r="L551" i="58"/>
  <c r="L552" i="58"/>
  <c r="L553" i="58"/>
  <c r="L554" i="58"/>
  <c r="L555" i="58"/>
  <c r="L556" i="58"/>
  <c r="L557" i="58"/>
  <c r="L558" i="58"/>
  <c r="L559" i="58"/>
  <c r="L560" i="58"/>
  <c r="L561" i="58"/>
  <c r="L562" i="58"/>
  <c r="L563" i="58"/>
  <c r="L564" i="58"/>
  <c r="L565" i="58"/>
  <c r="L566" i="58"/>
  <c r="L567" i="58"/>
  <c r="L568" i="58"/>
  <c r="L569" i="58"/>
  <c r="L570" i="58"/>
  <c r="L571" i="58"/>
  <c r="L572" i="58"/>
  <c r="L573" i="58"/>
  <c r="L574" i="58"/>
  <c r="L575" i="58"/>
  <c r="L576" i="58"/>
  <c r="L577" i="58"/>
  <c r="L578" i="58"/>
  <c r="L579" i="58"/>
  <c r="L580" i="58"/>
  <c r="L581" i="58"/>
  <c r="L582" i="58"/>
  <c r="L583" i="58"/>
  <c r="L584" i="58"/>
  <c r="L585" i="58"/>
  <c r="L586" i="58"/>
  <c r="L587" i="58"/>
  <c r="L588" i="58"/>
  <c r="L589" i="58"/>
  <c r="L590" i="58"/>
  <c r="L591" i="58"/>
  <c r="L592" i="58"/>
  <c r="M344" i="58"/>
  <c r="M345" i="58"/>
  <c r="M346" i="58"/>
  <c r="M347" i="58"/>
  <c r="M348" i="58"/>
  <c r="M349" i="58"/>
  <c r="M350" i="58"/>
  <c r="M351" i="58"/>
  <c r="M352" i="58"/>
  <c r="M353" i="58"/>
  <c r="M354" i="58"/>
  <c r="M355" i="58"/>
  <c r="M356" i="58"/>
  <c r="M357" i="58"/>
  <c r="M358" i="58"/>
  <c r="M359" i="58"/>
  <c r="M360" i="58"/>
  <c r="M361" i="58"/>
  <c r="M362" i="58"/>
  <c r="M363" i="58"/>
  <c r="M364" i="58"/>
  <c r="M365" i="58"/>
  <c r="M366" i="58"/>
  <c r="M367" i="58"/>
  <c r="M368" i="58"/>
  <c r="M369" i="58"/>
  <c r="M370" i="58"/>
  <c r="M371" i="58"/>
  <c r="M372" i="58"/>
  <c r="M373" i="58"/>
  <c r="M374" i="58"/>
  <c r="M375" i="58"/>
  <c r="M376" i="58"/>
  <c r="M377" i="58"/>
  <c r="M378" i="58"/>
  <c r="M379" i="58"/>
  <c r="M380" i="58"/>
  <c r="M381" i="58"/>
  <c r="M382" i="58"/>
  <c r="M383" i="58"/>
  <c r="M384" i="58"/>
  <c r="M385" i="58"/>
  <c r="M386" i="58"/>
  <c r="M387" i="58"/>
  <c r="M388" i="58"/>
  <c r="M389" i="58"/>
  <c r="M390" i="58"/>
  <c r="M391" i="58"/>
  <c r="M392" i="58"/>
  <c r="M393" i="58"/>
  <c r="M394" i="58"/>
  <c r="M395" i="58"/>
  <c r="M396" i="58"/>
  <c r="M397" i="58"/>
  <c r="M398" i="58"/>
  <c r="M399" i="58"/>
  <c r="M400" i="58"/>
  <c r="M401" i="58"/>
  <c r="M402" i="58"/>
  <c r="M403" i="58"/>
  <c r="M404" i="58"/>
  <c r="M405" i="58"/>
  <c r="M406" i="58"/>
  <c r="M407" i="58"/>
  <c r="M408" i="58"/>
  <c r="M409" i="58"/>
  <c r="M410" i="58"/>
  <c r="M411" i="58"/>
  <c r="M412" i="58"/>
  <c r="M413" i="58"/>
  <c r="M414" i="58"/>
  <c r="M415" i="58"/>
  <c r="M416" i="58"/>
  <c r="M417" i="58"/>
  <c r="M418" i="58"/>
  <c r="M419" i="58"/>
  <c r="M420" i="58"/>
  <c r="M421" i="58"/>
  <c r="M422" i="58"/>
  <c r="M423" i="58"/>
  <c r="M424" i="58"/>
  <c r="M425" i="58"/>
  <c r="M426" i="58"/>
  <c r="M427" i="58"/>
  <c r="M428" i="58"/>
  <c r="M429" i="58"/>
  <c r="M430" i="58"/>
  <c r="M431" i="58"/>
  <c r="M432" i="58"/>
  <c r="M433" i="58"/>
  <c r="M434" i="58"/>
  <c r="M435" i="58"/>
  <c r="M436" i="58"/>
  <c r="M437" i="58"/>
  <c r="M438" i="58"/>
  <c r="M439" i="58"/>
  <c r="M440" i="58"/>
  <c r="M441" i="58"/>
  <c r="M442" i="58"/>
  <c r="M443" i="58"/>
  <c r="M444" i="58"/>
  <c r="M445" i="58"/>
  <c r="M446" i="58"/>
  <c r="M447" i="58"/>
  <c r="M448" i="58"/>
  <c r="M449" i="58"/>
  <c r="M450" i="58"/>
  <c r="M451" i="58"/>
  <c r="M452" i="58"/>
  <c r="M453" i="58"/>
  <c r="M454" i="58"/>
  <c r="M455" i="58"/>
  <c r="M456" i="58"/>
  <c r="M457" i="58"/>
  <c r="M458" i="58"/>
  <c r="M459" i="58"/>
  <c r="M460" i="58"/>
  <c r="M461" i="58"/>
  <c r="M462" i="58"/>
  <c r="M463" i="58"/>
  <c r="M464" i="58"/>
  <c r="M465" i="58"/>
  <c r="M466" i="58"/>
  <c r="M467" i="58"/>
  <c r="M468" i="58"/>
  <c r="M469" i="58"/>
  <c r="M470" i="58"/>
  <c r="M471" i="58"/>
  <c r="M472" i="58"/>
  <c r="M473" i="58"/>
  <c r="M474" i="58"/>
  <c r="M475" i="58"/>
  <c r="M476" i="58"/>
  <c r="M477" i="58"/>
  <c r="M478" i="58"/>
  <c r="M479" i="58"/>
  <c r="M480" i="58"/>
  <c r="M481" i="58"/>
  <c r="M482" i="58"/>
  <c r="M483" i="58"/>
  <c r="M484" i="58"/>
  <c r="M485" i="58"/>
  <c r="M486" i="58"/>
  <c r="M487" i="58"/>
  <c r="M488" i="58"/>
  <c r="M489" i="58"/>
  <c r="M490" i="58"/>
  <c r="M491" i="58"/>
  <c r="M492" i="58"/>
  <c r="M493" i="58"/>
  <c r="M494" i="58"/>
  <c r="M495" i="58"/>
  <c r="M496" i="58"/>
  <c r="M497" i="58"/>
  <c r="M498" i="58"/>
  <c r="M499" i="58"/>
  <c r="M500" i="58"/>
  <c r="M501" i="58"/>
  <c r="M502" i="58"/>
  <c r="M503" i="58"/>
  <c r="M504" i="58"/>
  <c r="M505" i="58"/>
  <c r="M506" i="58"/>
  <c r="M507" i="58"/>
  <c r="M508" i="58"/>
  <c r="M509" i="58"/>
  <c r="M510" i="58"/>
  <c r="M511" i="58"/>
  <c r="M512" i="58"/>
  <c r="M513" i="58"/>
  <c r="M514" i="58"/>
  <c r="M515" i="58"/>
  <c r="M516" i="58"/>
  <c r="M517" i="58"/>
  <c r="M518" i="58"/>
  <c r="M519" i="58"/>
  <c r="M520" i="58"/>
  <c r="M521" i="58"/>
  <c r="M522" i="58"/>
  <c r="M523" i="58"/>
  <c r="M524" i="58"/>
  <c r="M525" i="58"/>
  <c r="M526" i="58"/>
  <c r="M527" i="58"/>
  <c r="M528" i="58"/>
  <c r="M529" i="58"/>
  <c r="M530" i="58"/>
  <c r="M531" i="58"/>
  <c r="M532" i="58"/>
  <c r="M533" i="58"/>
  <c r="M534" i="58"/>
  <c r="M535" i="58"/>
  <c r="M536" i="58"/>
  <c r="M537" i="58"/>
  <c r="M538" i="58"/>
  <c r="M539" i="58"/>
  <c r="M540" i="58"/>
  <c r="M541" i="58"/>
  <c r="M542" i="58"/>
  <c r="M543" i="58"/>
  <c r="M544" i="58"/>
  <c r="M545" i="58"/>
  <c r="M546" i="58"/>
  <c r="M547" i="58"/>
  <c r="M548" i="58"/>
  <c r="M549" i="58"/>
  <c r="M550" i="58"/>
  <c r="M551" i="58"/>
  <c r="M552" i="58"/>
  <c r="M553" i="58"/>
  <c r="M554" i="58"/>
  <c r="M555" i="58"/>
  <c r="M556" i="58"/>
  <c r="M557" i="58"/>
  <c r="M558" i="58"/>
  <c r="M559" i="58"/>
  <c r="M560" i="58"/>
  <c r="M561" i="58"/>
  <c r="M562" i="58"/>
  <c r="M563" i="58"/>
  <c r="M564" i="58"/>
  <c r="M565" i="58"/>
  <c r="M566" i="58"/>
  <c r="M567" i="58"/>
  <c r="M568" i="58"/>
  <c r="M569" i="58"/>
  <c r="M570" i="58"/>
  <c r="M571" i="58"/>
  <c r="M572" i="58"/>
  <c r="M573" i="58"/>
  <c r="M574" i="58"/>
  <c r="M575" i="58"/>
  <c r="M576" i="58"/>
  <c r="M577" i="58"/>
  <c r="M578" i="58"/>
  <c r="M579" i="58"/>
  <c r="M580" i="58"/>
  <c r="M581" i="58"/>
  <c r="M582" i="58"/>
  <c r="M583" i="58"/>
  <c r="M584" i="58"/>
  <c r="M585" i="58"/>
  <c r="M586" i="58"/>
  <c r="M587" i="58"/>
  <c r="M588" i="58"/>
  <c r="M589" i="58"/>
  <c r="M590" i="58"/>
  <c r="M591" i="58"/>
  <c r="M592" i="58"/>
  <c r="N344" i="58"/>
  <c r="N345" i="58"/>
  <c r="N346" i="58"/>
  <c r="N347" i="58"/>
  <c r="N348" i="58"/>
  <c r="N349" i="58"/>
  <c r="N350" i="58"/>
  <c r="N351" i="58"/>
  <c r="N352" i="58"/>
  <c r="N353" i="58"/>
  <c r="N354" i="58"/>
  <c r="N355" i="58"/>
  <c r="N356" i="58"/>
  <c r="N357" i="58"/>
  <c r="N358" i="58"/>
  <c r="N359" i="58"/>
  <c r="N360" i="58"/>
  <c r="N361" i="58"/>
  <c r="N362" i="58"/>
  <c r="N363" i="58"/>
  <c r="N364" i="58"/>
  <c r="N365" i="58"/>
  <c r="N366" i="58"/>
  <c r="N367" i="58"/>
  <c r="N368" i="58"/>
  <c r="N369" i="58"/>
  <c r="N370" i="58"/>
  <c r="N371" i="58"/>
  <c r="N372" i="58"/>
  <c r="N373" i="58"/>
  <c r="N374" i="58"/>
  <c r="N375" i="58"/>
  <c r="N376" i="58"/>
  <c r="N377" i="58"/>
  <c r="N378" i="58"/>
  <c r="N379" i="58"/>
  <c r="N380" i="58"/>
  <c r="N381" i="58"/>
  <c r="N382" i="58"/>
  <c r="N383" i="58"/>
  <c r="N384" i="58"/>
  <c r="N385" i="58"/>
  <c r="N386" i="58"/>
  <c r="N387" i="58"/>
  <c r="N388" i="58"/>
  <c r="N389" i="58"/>
  <c r="N390" i="58"/>
  <c r="N391" i="58"/>
  <c r="N392" i="58"/>
  <c r="N393" i="58"/>
  <c r="N394" i="58"/>
  <c r="N395" i="58"/>
  <c r="N396" i="58"/>
  <c r="N397" i="58"/>
  <c r="N398" i="58"/>
  <c r="N399" i="58"/>
  <c r="N400" i="58"/>
  <c r="N401" i="58"/>
  <c r="N402" i="58"/>
  <c r="N403" i="58"/>
  <c r="N404" i="58"/>
  <c r="N405" i="58"/>
  <c r="N406" i="58"/>
  <c r="N407" i="58"/>
  <c r="N408" i="58"/>
  <c r="N409" i="58"/>
  <c r="N410" i="58"/>
  <c r="N411" i="58"/>
  <c r="N412" i="58"/>
  <c r="N413" i="58"/>
  <c r="N414" i="58"/>
  <c r="N415" i="58"/>
  <c r="N416" i="58"/>
  <c r="N417" i="58"/>
  <c r="N418" i="58"/>
  <c r="N419" i="58"/>
  <c r="N420" i="58"/>
  <c r="N421" i="58"/>
  <c r="N422" i="58"/>
  <c r="N423" i="58"/>
  <c r="N424" i="58"/>
  <c r="N425" i="58"/>
  <c r="N426" i="58"/>
  <c r="N427" i="58"/>
  <c r="N428" i="58"/>
  <c r="N429" i="58"/>
  <c r="N430" i="58"/>
  <c r="N431" i="58"/>
  <c r="N432" i="58"/>
  <c r="N433" i="58"/>
  <c r="N434" i="58"/>
  <c r="N435" i="58"/>
  <c r="N436" i="58"/>
  <c r="N437" i="58"/>
  <c r="N438" i="58"/>
  <c r="N439" i="58"/>
  <c r="N440" i="58"/>
  <c r="N441" i="58"/>
  <c r="N442" i="58"/>
  <c r="N443" i="58"/>
  <c r="N444" i="58"/>
  <c r="N445" i="58"/>
  <c r="N446" i="58"/>
  <c r="N447" i="58"/>
  <c r="N448" i="58"/>
  <c r="N449" i="58"/>
  <c r="N450" i="58"/>
  <c r="N451" i="58"/>
  <c r="N452" i="58"/>
  <c r="N453" i="58"/>
  <c r="N454" i="58"/>
  <c r="N455" i="58"/>
  <c r="N456" i="58"/>
  <c r="N457" i="58"/>
  <c r="N458" i="58"/>
  <c r="N459" i="58"/>
  <c r="N460" i="58"/>
  <c r="N461" i="58"/>
  <c r="N462" i="58"/>
  <c r="N463" i="58"/>
  <c r="N464" i="58"/>
  <c r="N465" i="58"/>
  <c r="N466" i="58"/>
  <c r="N467" i="58"/>
  <c r="N468" i="58"/>
  <c r="N469" i="58"/>
  <c r="N470" i="58"/>
  <c r="N471" i="58"/>
  <c r="N472" i="58"/>
  <c r="N473" i="58"/>
  <c r="N474" i="58"/>
  <c r="N475" i="58"/>
  <c r="N476" i="58"/>
  <c r="N477" i="58"/>
  <c r="N478" i="58"/>
  <c r="N479" i="58"/>
  <c r="N480" i="58"/>
  <c r="N481" i="58"/>
  <c r="N482" i="58"/>
  <c r="N483" i="58"/>
  <c r="N484" i="58"/>
  <c r="N485" i="58"/>
  <c r="N486" i="58"/>
  <c r="N487" i="58"/>
  <c r="N488" i="58"/>
  <c r="N489" i="58"/>
  <c r="N490" i="58"/>
  <c r="N491" i="58"/>
  <c r="N492" i="58"/>
  <c r="N493" i="58"/>
  <c r="N494" i="58"/>
  <c r="N495" i="58"/>
  <c r="N496" i="58"/>
  <c r="N497" i="58"/>
  <c r="N498" i="58"/>
  <c r="N499" i="58"/>
  <c r="N500" i="58"/>
  <c r="N501" i="58"/>
  <c r="N502" i="58"/>
  <c r="N503" i="58"/>
  <c r="N504" i="58"/>
  <c r="N505" i="58"/>
  <c r="N506" i="58"/>
  <c r="N507" i="58"/>
  <c r="N508" i="58"/>
  <c r="N509" i="58"/>
  <c r="N510" i="58"/>
  <c r="N511" i="58"/>
  <c r="N512" i="58"/>
  <c r="N513" i="58"/>
  <c r="N514" i="58"/>
  <c r="N515" i="58"/>
  <c r="N516" i="58"/>
  <c r="N517" i="58"/>
  <c r="N518" i="58"/>
  <c r="N519" i="58"/>
  <c r="N520" i="58"/>
  <c r="N521" i="58"/>
  <c r="N522" i="58"/>
  <c r="N523" i="58"/>
  <c r="N524" i="58"/>
  <c r="N525" i="58"/>
  <c r="N526" i="58"/>
  <c r="N527" i="58"/>
  <c r="N528" i="58"/>
  <c r="N529" i="58"/>
  <c r="N530" i="58"/>
  <c r="N531" i="58"/>
  <c r="N532" i="58"/>
  <c r="N533" i="58"/>
  <c r="N534" i="58"/>
  <c r="N535" i="58"/>
  <c r="N536" i="58"/>
  <c r="N537" i="58"/>
  <c r="N538" i="58"/>
  <c r="N539" i="58"/>
  <c r="N540" i="58"/>
  <c r="N541" i="58"/>
  <c r="N542" i="58"/>
  <c r="N543" i="58"/>
  <c r="N544" i="58"/>
  <c r="N545" i="58"/>
  <c r="N546" i="58"/>
  <c r="N547" i="58"/>
  <c r="N548" i="58"/>
  <c r="N549" i="58"/>
  <c r="N550" i="58"/>
  <c r="N551" i="58"/>
  <c r="N552" i="58"/>
  <c r="N553" i="58"/>
  <c r="N554" i="58"/>
  <c r="N555" i="58"/>
  <c r="N556" i="58"/>
  <c r="N557" i="58"/>
  <c r="N558" i="58"/>
  <c r="N559" i="58"/>
  <c r="N560" i="58"/>
  <c r="N561" i="58"/>
  <c r="N562" i="58"/>
  <c r="N563" i="58"/>
  <c r="N564" i="58"/>
  <c r="N565" i="58"/>
  <c r="N566" i="58"/>
  <c r="N567" i="58"/>
  <c r="N568" i="58"/>
  <c r="N569" i="58"/>
  <c r="N570" i="58"/>
  <c r="N571" i="58"/>
  <c r="N572" i="58"/>
  <c r="N573" i="58"/>
  <c r="N574" i="58"/>
  <c r="N575" i="58"/>
  <c r="N576" i="58"/>
  <c r="N577" i="58"/>
  <c r="N578" i="58"/>
  <c r="N579" i="58"/>
  <c r="N580" i="58"/>
  <c r="N581" i="58"/>
  <c r="N582" i="58"/>
  <c r="N583" i="58"/>
  <c r="N584" i="58"/>
  <c r="N585" i="58"/>
  <c r="N586" i="58"/>
  <c r="N587" i="58"/>
  <c r="N588" i="58"/>
  <c r="N589" i="58"/>
  <c r="N590" i="58"/>
  <c r="N591" i="58"/>
  <c r="N592" i="58"/>
  <c r="O344" i="58"/>
  <c r="O345" i="58"/>
  <c r="O346" i="58"/>
  <c r="O347" i="58"/>
  <c r="O348" i="58"/>
  <c r="O349" i="58"/>
  <c r="O350" i="58"/>
  <c r="O351" i="58"/>
  <c r="O352" i="58"/>
  <c r="O353" i="58"/>
  <c r="O354" i="58"/>
  <c r="O355" i="58"/>
  <c r="O356" i="58"/>
  <c r="O357" i="58"/>
  <c r="O358" i="58"/>
  <c r="O359" i="58"/>
  <c r="O360" i="58"/>
  <c r="O361" i="58"/>
  <c r="O362" i="58"/>
  <c r="O363" i="58"/>
  <c r="O364" i="58"/>
  <c r="O365" i="58"/>
  <c r="O366" i="58"/>
  <c r="O367" i="58"/>
  <c r="O368" i="58"/>
  <c r="O369" i="58"/>
  <c r="O370" i="58"/>
  <c r="O371" i="58"/>
  <c r="O372" i="58"/>
  <c r="O373" i="58"/>
  <c r="O374" i="58"/>
  <c r="O375" i="58"/>
  <c r="O376" i="58"/>
  <c r="O377" i="58"/>
  <c r="O378" i="58"/>
  <c r="O379" i="58"/>
  <c r="O380" i="58"/>
  <c r="O381" i="58"/>
  <c r="O382" i="58"/>
  <c r="O383" i="58"/>
  <c r="O384" i="58"/>
  <c r="O385" i="58"/>
  <c r="O386" i="58"/>
  <c r="O387" i="58"/>
  <c r="O388" i="58"/>
  <c r="O389" i="58"/>
  <c r="O390" i="58"/>
  <c r="O391" i="58"/>
  <c r="O392" i="58"/>
  <c r="O393" i="58"/>
  <c r="O394" i="58"/>
  <c r="O395" i="58"/>
  <c r="O396" i="58"/>
  <c r="O397" i="58"/>
  <c r="O398" i="58"/>
  <c r="O399" i="58"/>
  <c r="O400" i="58"/>
  <c r="O401" i="58"/>
  <c r="O402" i="58"/>
  <c r="O403" i="58"/>
  <c r="O404" i="58"/>
  <c r="O405" i="58"/>
  <c r="O406" i="58"/>
  <c r="O407" i="58"/>
  <c r="O408" i="58"/>
  <c r="O409" i="58"/>
  <c r="O410" i="58"/>
  <c r="O411" i="58"/>
  <c r="O412" i="58"/>
  <c r="O413" i="58"/>
  <c r="O414" i="58"/>
  <c r="O415" i="58"/>
  <c r="O416" i="58"/>
  <c r="O417" i="58"/>
  <c r="O418" i="58"/>
  <c r="O419" i="58"/>
  <c r="O420" i="58"/>
  <c r="O421" i="58"/>
  <c r="O422" i="58"/>
  <c r="O423" i="58"/>
  <c r="O424" i="58"/>
  <c r="O425" i="58"/>
  <c r="O426" i="58"/>
  <c r="O427" i="58"/>
  <c r="O428" i="58"/>
  <c r="O429" i="58"/>
  <c r="O430" i="58"/>
  <c r="O431" i="58"/>
  <c r="O432" i="58"/>
  <c r="O433" i="58"/>
  <c r="O434" i="58"/>
  <c r="O435" i="58"/>
  <c r="O436" i="58"/>
  <c r="O437" i="58"/>
  <c r="O438" i="58"/>
  <c r="O439" i="58"/>
  <c r="O440" i="58"/>
  <c r="O441" i="58"/>
  <c r="O442" i="58"/>
  <c r="O443" i="58"/>
  <c r="O444" i="58"/>
  <c r="O445" i="58"/>
  <c r="O446" i="58"/>
  <c r="O447" i="58"/>
  <c r="O448" i="58"/>
  <c r="O449" i="58"/>
  <c r="O450" i="58"/>
  <c r="O451" i="58"/>
  <c r="O452" i="58"/>
  <c r="O453" i="58"/>
  <c r="O454" i="58"/>
  <c r="O455" i="58"/>
  <c r="O456" i="58"/>
  <c r="O457" i="58"/>
  <c r="O458" i="58"/>
  <c r="O459" i="58"/>
  <c r="O460" i="58"/>
  <c r="O461" i="58"/>
  <c r="O462" i="58"/>
  <c r="O463" i="58"/>
  <c r="O464" i="58"/>
  <c r="O465" i="58"/>
  <c r="O466" i="58"/>
  <c r="O467" i="58"/>
  <c r="O468" i="58"/>
  <c r="O469" i="58"/>
  <c r="O470" i="58"/>
  <c r="O471" i="58"/>
  <c r="O472" i="58"/>
  <c r="O473" i="58"/>
  <c r="O474" i="58"/>
  <c r="O475" i="58"/>
  <c r="O476" i="58"/>
  <c r="O477" i="58"/>
  <c r="O478" i="58"/>
  <c r="O479" i="58"/>
  <c r="O480" i="58"/>
  <c r="O481" i="58"/>
  <c r="O482" i="58"/>
  <c r="O483" i="58"/>
  <c r="O484" i="58"/>
  <c r="O485" i="58"/>
  <c r="O486" i="58"/>
  <c r="O487" i="58"/>
  <c r="O488" i="58"/>
  <c r="O489" i="58"/>
  <c r="O490" i="58"/>
  <c r="O491" i="58"/>
  <c r="O492" i="58"/>
  <c r="O493" i="58"/>
  <c r="O494" i="58"/>
  <c r="O495" i="58"/>
  <c r="O496" i="58"/>
  <c r="O497" i="58"/>
  <c r="O498" i="58"/>
  <c r="O499" i="58"/>
  <c r="O500" i="58"/>
  <c r="O501" i="58"/>
  <c r="O502" i="58"/>
  <c r="O503" i="58"/>
  <c r="O504" i="58"/>
  <c r="O505" i="58"/>
  <c r="O506" i="58"/>
  <c r="O507" i="58"/>
  <c r="O508" i="58"/>
  <c r="O509" i="58"/>
  <c r="O510" i="58"/>
  <c r="O511" i="58"/>
  <c r="O512" i="58"/>
  <c r="O513" i="58"/>
  <c r="O514" i="58"/>
  <c r="O515" i="58"/>
  <c r="O516" i="58"/>
  <c r="O517" i="58"/>
  <c r="O518" i="58"/>
  <c r="O519" i="58"/>
  <c r="O520" i="58"/>
  <c r="O521" i="58"/>
  <c r="O522" i="58"/>
  <c r="O523" i="58"/>
  <c r="O524" i="58"/>
  <c r="O525" i="58"/>
  <c r="O526" i="58"/>
  <c r="O527" i="58"/>
  <c r="O528" i="58"/>
  <c r="O529" i="58"/>
  <c r="O530" i="58"/>
  <c r="O531" i="58"/>
  <c r="O532" i="58"/>
  <c r="O533" i="58"/>
  <c r="O534" i="58"/>
  <c r="O535" i="58"/>
  <c r="O536" i="58"/>
  <c r="O537" i="58"/>
  <c r="O538" i="58"/>
  <c r="O539" i="58"/>
  <c r="O540" i="58"/>
  <c r="O541" i="58"/>
  <c r="O542" i="58"/>
  <c r="O543" i="58"/>
  <c r="O544" i="58"/>
  <c r="O545" i="58"/>
  <c r="O546" i="58"/>
  <c r="O547" i="58"/>
  <c r="O548" i="58"/>
  <c r="O549" i="58"/>
  <c r="O550" i="58"/>
  <c r="O551" i="58"/>
  <c r="O552" i="58"/>
  <c r="O553" i="58"/>
  <c r="O554" i="58"/>
  <c r="O555" i="58"/>
  <c r="O556" i="58"/>
  <c r="O557" i="58"/>
  <c r="O558" i="58"/>
  <c r="O559" i="58"/>
  <c r="O560" i="58"/>
  <c r="O561" i="58"/>
  <c r="O562" i="58"/>
  <c r="O563" i="58"/>
  <c r="O564" i="58"/>
  <c r="O565" i="58"/>
  <c r="O566" i="58"/>
  <c r="O567" i="58"/>
  <c r="O568" i="58"/>
  <c r="O569" i="58"/>
  <c r="O570" i="58"/>
  <c r="O571" i="58"/>
  <c r="O572" i="58"/>
  <c r="O573" i="58"/>
  <c r="O574" i="58"/>
  <c r="O575" i="58"/>
  <c r="O576" i="58"/>
  <c r="O577" i="58"/>
  <c r="O578" i="58"/>
  <c r="O579" i="58"/>
  <c r="O580" i="58"/>
  <c r="O581" i="58"/>
  <c r="O582" i="58"/>
  <c r="O583" i="58"/>
  <c r="O584" i="58"/>
  <c r="O585" i="58"/>
  <c r="O586" i="58"/>
  <c r="O587" i="58"/>
  <c r="O588" i="58"/>
  <c r="O589" i="58"/>
  <c r="O590" i="58"/>
  <c r="O591" i="58"/>
  <c r="O592" i="58"/>
  <c r="P344" i="58"/>
  <c r="P345" i="58"/>
  <c r="P346" i="58"/>
  <c r="P347" i="58"/>
  <c r="P348" i="58"/>
  <c r="P349" i="58"/>
  <c r="P350" i="58"/>
  <c r="P351" i="58"/>
  <c r="P352" i="58"/>
  <c r="P353" i="58"/>
  <c r="P354" i="58"/>
  <c r="P355" i="58"/>
  <c r="P356" i="58"/>
  <c r="P357" i="58"/>
  <c r="P358" i="58"/>
  <c r="P359" i="58"/>
  <c r="P360" i="58"/>
  <c r="P361" i="58"/>
  <c r="P362" i="58"/>
  <c r="P363" i="58"/>
  <c r="P364" i="58"/>
  <c r="P365" i="58"/>
  <c r="P366" i="58"/>
  <c r="P367" i="58"/>
  <c r="P368" i="58"/>
  <c r="P369" i="58"/>
  <c r="P370" i="58"/>
  <c r="P371" i="58"/>
  <c r="P372" i="58"/>
  <c r="P373" i="58"/>
  <c r="P374" i="58"/>
  <c r="P375" i="58"/>
  <c r="P376" i="58"/>
  <c r="P377" i="58"/>
  <c r="P378" i="58"/>
  <c r="P379" i="58"/>
  <c r="P380" i="58"/>
  <c r="P381" i="58"/>
  <c r="P382" i="58"/>
  <c r="P383" i="58"/>
  <c r="P384" i="58"/>
  <c r="P385" i="58"/>
  <c r="P386" i="58"/>
  <c r="P387" i="58"/>
  <c r="P388" i="58"/>
  <c r="P389" i="58"/>
  <c r="P390" i="58"/>
  <c r="P391" i="58"/>
  <c r="P392" i="58"/>
  <c r="P393" i="58"/>
  <c r="P394" i="58"/>
  <c r="P395" i="58"/>
  <c r="P396" i="58"/>
  <c r="P397" i="58"/>
  <c r="P398" i="58"/>
  <c r="P399" i="58"/>
  <c r="P400" i="58"/>
  <c r="P401" i="58"/>
  <c r="P402" i="58"/>
  <c r="P403" i="58"/>
  <c r="P404" i="58"/>
  <c r="P405" i="58"/>
  <c r="P406" i="58"/>
  <c r="P407" i="58"/>
  <c r="P408" i="58"/>
  <c r="P409" i="58"/>
  <c r="P410" i="58"/>
  <c r="P411" i="58"/>
  <c r="P412" i="58"/>
  <c r="P413" i="58"/>
  <c r="P414" i="58"/>
  <c r="P415" i="58"/>
  <c r="P416" i="58"/>
  <c r="P417" i="58"/>
  <c r="P418" i="58"/>
  <c r="P419" i="58"/>
  <c r="P420" i="58"/>
  <c r="P421" i="58"/>
  <c r="P422" i="58"/>
  <c r="P423" i="58"/>
  <c r="P424" i="58"/>
  <c r="P425" i="58"/>
  <c r="P426" i="58"/>
  <c r="P427" i="58"/>
  <c r="P428" i="58"/>
  <c r="P429" i="58"/>
  <c r="P430" i="58"/>
  <c r="P431" i="58"/>
  <c r="P432" i="58"/>
  <c r="P433" i="58"/>
  <c r="P434" i="58"/>
  <c r="P435" i="58"/>
  <c r="P436" i="58"/>
  <c r="P437" i="58"/>
  <c r="P438" i="58"/>
  <c r="P439" i="58"/>
  <c r="P440" i="58"/>
  <c r="P441" i="58"/>
  <c r="P442" i="58"/>
  <c r="P443" i="58"/>
  <c r="P444" i="58"/>
  <c r="P445" i="58"/>
  <c r="P446" i="58"/>
  <c r="P447" i="58"/>
  <c r="P448" i="58"/>
  <c r="P449" i="58"/>
  <c r="P450" i="58"/>
  <c r="P451" i="58"/>
  <c r="P452" i="58"/>
  <c r="P453" i="58"/>
  <c r="P454" i="58"/>
  <c r="P455" i="58"/>
  <c r="P456" i="58"/>
  <c r="P457" i="58"/>
  <c r="P458" i="58"/>
  <c r="P459" i="58"/>
  <c r="P460" i="58"/>
  <c r="P461" i="58"/>
  <c r="P462" i="58"/>
  <c r="P463" i="58"/>
  <c r="P464" i="58"/>
  <c r="P465" i="58"/>
  <c r="P466" i="58"/>
  <c r="P467" i="58"/>
  <c r="P468" i="58"/>
  <c r="P469" i="58"/>
  <c r="P470" i="58"/>
  <c r="P471" i="58"/>
  <c r="P472" i="58"/>
  <c r="P473" i="58"/>
  <c r="P474" i="58"/>
  <c r="P475" i="58"/>
  <c r="P476" i="58"/>
  <c r="P477" i="58"/>
  <c r="P478" i="58"/>
  <c r="P479" i="58"/>
  <c r="P480" i="58"/>
  <c r="P481" i="58"/>
  <c r="P482" i="58"/>
  <c r="P483" i="58"/>
  <c r="P484" i="58"/>
  <c r="P485" i="58"/>
  <c r="P486" i="58"/>
  <c r="P487" i="58"/>
  <c r="P488" i="58"/>
  <c r="P489" i="58"/>
  <c r="P490" i="58"/>
  <c r="P491" i="58"/>
  <c r="P492" i="58"/>
  <c r="P493" i="58"/>
  <c r="P494" i="58"/>
  <c r="P495" i="58"/>
  <c r="P496" i="58"/>
  <c r="P497" i="58"/>
  <c r="P498" i="58"/>
  <c r="P499" i="58"/>
  <c r="P500" i="58"/>
  <c r="P501" i="58"/>
  <c r="P502" i="58"/>
  <c r="P503" i="58"/>
  <c r="P504" i="58"/>
  <c r="P505" i="58"/>
  <c r="P506" i="58"/>
  <c r="P507" i="58"/>
  <c r="P508" i="58"/>
  <c r="P509" i="58"/>
  <c r="P510" i="58"/>
  <c r="P511" i="58"/>
  <c r="P512" i="58"/>
  <c r="P513" i="58"/>
  <c r="P514" i="58"/>
  <c r="P515" i="58"/>
  <c r="P516" i="58"/>
  <c r="P517" i="58"/>
  <c r="P518" i="58"/>
  <c r="P519" i="58"/>
  <c r="P520" i="58"/>
  <c r="P521" i="58"/>
  <c r="P522" i="58"/>
  <c r="P523" i="58"/>
  <c r="P524" i="58"/>
  <c r="P525" i="58"/>
  <c r="P526" i="58"/>
  <c r="P527" i="58"/>
  <c r="P528" i="58"/>
  <c r="P529" i="58"/>
  <c r="P530" i="58"/>
  <c r="P531" i="58"/>
  <c r="P532" i="58"/>
  <c r="P533" i="58"/>
  <c r="P534" i="58"/>
  <c r="P535" i="58"/>
  <c r="P536" i="58"/>
  <c r="P537" i="58"/>
  <c r="P538" i="58"/>
  <c r="P539" i="58"/>
  <c r="P540" i="58"/>
  <c r="P541" i="58"/>
  <c r="P542" i="58"/>
  <c r="P543" i="58"/>
  <c r="P544" i="58"/>
  <c r="P545" i="58"/>
  <c r="P546" i="58"/>
  <c r="P547" i="58"/>
  <c r="P548" i="58"/>
  <c r="P549" i="58"/>
  <c r="P550" i="58"/>
  <c r="P551" i="58"/>
  <c r="P552" i="58"/>
  <c r="P553" i="58"/>
  <c r="P554" i="58"/>
  <c r="P555" i="58"/>
  <c r="P556" i="58"/>
  <c r="P557" i="58"/>
  <c r="P558" i="58"/>
  <c r="P559" i="58"/>
  <c r="P560" i="58"/>
  <c r="P561" i="58"/>
  <c r="P562" i="58"/>
  <c r="P563" i="58"/>
  <c r="P564" i="58"/>
  <c r="P565" i="58"/>
  <c r="P566" i="58"/>
  <c r="P567" i="58"/>
  <c r="P568" i="58"/>
  <c r="P569" i="58"/>
  <c r="P570" i="58"/>
  <c r="P571" i="58"/>
  <c r="P572" i="58"/>
  <c r="P573" i="58"/>
  <c r="P574" i="58"/>
  <c r="P575" i="58"/>
  <c r="P576" i="58"/>
  <c r="P577" i="58"/>
  <c r="P578" i="58"/>
  <c r="P579" i="58"/>
  <c r="P580" i="58"/>
  <c r="P581" i="58"/>
  <c r="P582" i="58"/>
  <c r="P583" i="58"/>
  <c r="P584" i="58"/>
  <c r="P585" i="58"/>
  <c r="P586" i="58"/>
  <c r="P587" i="58"/>
  <c r="P588" i="58"/>
  <c r="P589" i="58"/>
  <c r="P590" i="58"/>
  <c r="P591" i="58"/>
  <c r="P592" i="58"/>
  <c r="Q344" i="58"/>
  <c r="Q345" i="58"/>
  <c r="Q346" i="58"/>
  <c r="Q347" i="58"/>
  <c r="Q348" i="58"/>
  <c r="Q349" i="58"/>
  <c r="Q350" i="58"/>
  <c r="Q351" i="58"/>
  <c r="Q352" i="58"/>
  <c r="Q353" i="58"/>
  <c r="Q354" i="58"/>
  <c r="Q355" i="58"/>
  <c r="Q356" i="58"/>
  <c r="Q357" i="58"/>
  <c r="Q358" i="58"/>
  <c r="Q359" i="58"/>
  <c r="Q360" i="58"/>
  <c r="Q361" i="58"/>
  <c r="Q362" i="58"/>
  <c r="Q363" i="58"/>
  <c r="Q364" i="58"/>
  <c r="Q365" i="58"/>
  <c r="Q366" i="58"/>
  <c r="Q367" i="58"/>
  <c r="Q368" i="58"/>
  <c r="Q369" i="58"/>
  <c r="Q370" i="58"/>
  <c r="Q371" i="58"/>
  <c r="Q372" i="58"/>
  <c r="Q373" i="58"/>
  <c r="Q374" i="58"/>
  <c r="Q375" i="58"/>
  <c r="Q376" i="58"/>
  <c r="Q377" i="58"/>
  <c r="Q378" i="58"/>
  <c r="Q379" i="58"/>
  <c r="Q380" i="58"/>
  <c r="Q381" i="58"/>
  <c r="Q382" i="58"/>
  <c r="Q383" i="58"/>
  <c r="Q384" i="58"/>
  <c r="Q385" i="58"/>
  <c r="Q386" i="58"/>
  <c r="Q387" i="58"/>
  <c r="Q388" i="58"/>
  <c r="Q389" i="58"/>
  <c r="Q390" i="58"/>
  <c r="Q391" i="58"/>
  <c r="Q392" i="58"/>
  <c r="Q393" i="58"/>
  <c r="Q394" i="58"/>
  <c r="Q395" i="58"/>
  <c r="Q396" i="58"/>
  <c r="Q397" i="58"/>
  <c r="Q398" i="58"/>
  <c r="Q399" i="58"/>
  <c r="Q400" i="58"/>
  <c r="Q401" i="58"/>
  <c r="Q402" i="58"/>
  <c r="Q403" i="58"/>
  <c r="Q404" i="58"/>
  <c r="Q405" i="58"/>
  <c r="Q406" i="58"/>
  <c r="Q407" i="58"/>
  <c r="Q408" i="58"/>
  <c r="Q409" i="58"/>
  <c r="Q410" i="58"/>
  <c r="Q411" i="58"/>
  <c r="Q412" i="58"/>
  <c r="Q413" i="58"/>
  <c r="Q414" i="58"/>
  <c r="Q415" i="58"/>
  <c r="Q416" i="58"/>
  <c r="Q417" i="58"/>
  <c r="Q418" i="58"/>
  <c r="Q419" i="58"/>
  <c r="Q420" i="58"/>
  <c r="Q421" i="58"/>
  <c r="Q422" i="58"/>
  <c r="Q423" i="58"/>
  <c r="Q424" i="58"/>
  <c r="Q425" i="58"/>
  <c r="Q426" i="58"/>
  <c r="Q427" i="58"/>
  <c r="Q428" i="58"/>
  <c r="Q429" i="58"/>
  <c r="Q430" i="58"/>
  <c r="Q431" i="58"/>
  <c r="Q432" i="58"/>
  <c r="Q433" i="58"/>
  <c r="Q434" i="58"/>
  <c r="Q435" i="58"/>
  <c r="Q436" i="58"/>
  <c r="Q437" i="58"/>
  <c r="Q438" i="58"/>
  <c r="Q439" i="58"/>
  <c r="Q440" i="58"/>
  <c r="Q441" i="58"/>
  <c r="Q442" i="58"/>
  <c r="Q443" i="58"/>
  <c r="Q444" i="58"/>
  <c r="Q445" i="58"/>
  <c r="Q446" i="58"/>
  <c r="Q447" i="58"/>
  <c r="Q448" i="58"/>
  <c r="Q449" i="58"/>
  <c r="Q450" i="58"/>
  <c r="Q451" i="58"/>
  <c r="Q452" i="58"/>
  <c r="Q453" i="58"/>
  <c r="Q454" i="58"/>
  <c r="Q455" i="58"/>
  <c r="Q456" i="58"/>
  <c r="Q457" i="58"/>
  <c r="Q458" i="58"/>
  <c r="Q459" i="58"/>
  <c r="Q460" i="58"/>
  <c r="Q461" i="58"/>
  <c r="Q462" i="58"/>
  <c r="Q463" i="58"/>
  <c r="Q464" i="58"/>
  <c r="Q465" i="58"/>
  <c r="Q466" i="58"/>
  <c r="Q467" i="58"/>
  <c r="Q468" i="58"/>
  <c r="Q469" i="58"/>
  <c r="Q470" i="58"/>
  <c r="Q471" i="58"/>
  <c r="Q472" i="58"/>
  <c r="Q473" i="58"/>
  <c r="Q474" i="58"/>
  <c r="Q475" i="58"/>
  <c r="Q476" i="58"/>
  <c r="Q477" i="58"/>
  <c r="Q478" i="58"/>
  <c r="Q479" i="58"/>
  <c r="Q480" i="58"/>
  <c r="Q481" i="58"/>
  <c r="Q482" i="58"/>
  <c r="Q483" i="58"/>
  <c r="Q484" i="58"/>
  <c r="Q485" i="58"/>
  <c r="Q486" i="58"/>
  <c r="Q487" i="58"/>
  <c r="Q488" i="58"/>
  <c r="Q489" i="58"/>
  <c r="Q490" i="58"/>
  <c r="Q491" i="58"/>
  <c r="Q492" i="58"/>
  <c r="Q493" i="58"/>
  <c r="Q494" i="58"/>
  <c r="Q495" i="58"/>
  <c r="Q496" i="58"/>
  <c r="Q497" i="58"/>
  <c r="Q498" i="58"/>
  <c r="Q499" i="58"/>
  <c r="Q500" i="58"/>
  <c r="Q501" i="58"/>
  <c r="Q502" i="58"/>
  <c r="Q503" i="58"/>
  <c r="Q504" i="58"/>
  <c r="Q505" i="58"/>
  <c r="Q506" i="58"/>
  <c r="Q507" i="58"/>
  <c r="Q508" i="58"/>
  <c r="Q509" i="58"/>
  <c r="Q510" i="58"/>
  <c r="Q511" i="58"/>
  <c r="Q512" i="58"/>
  <c r="Q513" i="58"/>
  <c r="Q514" i="58"/>
  <c r="Q515" i="58"/>
  <c r="Q516" i="58"/>
  <c r="Q517" i="58"/>
  <c r="Q518" i="58"/>
  <c r="Q519" i="58"/>
  <c r="Q520" i="58"/>
  <c r="Q521" i="58"/>
  <c r="Q522" i="58"/>
  <c r="Q523" i="58"/>
  <c r="Q524" i="58"/>
  <c r="Q525" i="58"/>
  <c r="Q526" i="58"/>
  <c r="Q527" i="58"/>
  <c r="Q528" i="58"/>
  <c r="Q529" i="58"/>
  <c r="Q530" i="58"/>
  <c r="Q531" i="58"/>
  <c r="Q532" i="58"/>
  <c r="Q533" i="58"/>
  <c r="Q534" i="58"/>
  <c r="Q535" i="58"/>
  <c r="Q536" i="58"/>
  <c r="Q537" i="58"/>
  <c r="Q538" i="58"/>
  <c r="Q539" i="58"/>
  <c r="Q540" i="58"/>
  <c r="Q541" i="58"/>
  <c r="Q542" i="58"/>
  <c r="Q543" i="58"/>
  <c r="Q544" i="58"/>
  <c r="Q545" i="58"/>
  <c r="Q546" i="58"/>
  <c r="Q547" i="58"/>
  <c r="Q548" i="58"/>
  <c r="Q549" i="58"/>
  <c r="Q550" i="58"/>
  <c r="Q551" i="58"/>
  <c r="Q552" i="58"/>
  <c r="Q553" i="58"/>
  <c r="Q554" i="58"/>
  <c r="Q555" i="58"/>
  <c r="Q556" i="58"/>
  <c r="Q557" i="58"/>
  <c r="Q558" i="58"/>
  <c r="Q559" i="58"/>
  <c r="Q560" i="58"/>
  <c r="Q561" i="58"/>
  <c r="Q562" i="58"/>
  <c r="Q563" i="58"/>
  <c r="Q564" i="58"/>
  <c r="Q565" i="58"/>
  <c r="Q566" i="58"/>
  <c r="Q567" i="58"/>
  <c r="Q568" i="58"/>
  <c r="Q569" i="58"/>
  <c r="Q570" i="58"/>
  <c r="Q571" i="58"/>
  <c r="Q572" i="58"/>
  <c r="Q573" i="58"/>
  <c r="Q574" i="58"/>
  <c r="Q575" i="58"/>
  <c r="Q576" i="58"/>
  <c r="Q577" i="58"/>
  <c r="Q578" i="58"/>
  <c r="Q579" i="58"/>
  <c r="Q580" i="58"/>
  <c r="Q581" i="58"/>
  <c r="Q582" i="58"/>
  <c r="Q583" i="58"/>
  <c r="Q584" i="58"/>
  <c r="Q585" i="58"/>
  <c r="Q586" i="58"/>
  <c r="Q587" i="58"/>
  <c r="Q588" i="58"/>
  <c r="Q589" i="58"/>
  <c r="Q590" i="58"/>
  <c r="Q591" i="58"/>
  <c r="Q592" i="58"/>
  <c r="R344" i="58"/>
  <c r="R345" i="58"/>
  <c r="R346" i="58"/>
  <c r="R347" i="58"/>
  <c r="R348" i="58"/>
  <c r="R349" i="58"/>
  <c r="R350" i="58"/>
  <c r="R351" i="58"/>
  <c r="R352" i="58"/>
  <c r="R353" i="58"/>
  <c r="R354" i="58"/>
  <c r="R355" i="58"/>
  <c r="R356" i="58"/>
  <c r="R357" i="58"/>
  <c r="R358" i="58"/>
  <c r="R359" i="58"/>
  <c r="R360" i="58"/>
  <c r="R361" i="58"/>
  <c r="R362" i="58"/>
  <c r="R363" i="58"/>
  <c r="R364" i="58"/>
  <c r="R365" i="58"/>
  <c r="R366" i="58"/>
  <c r="R367" i="58"/>
  <c r="R368" i="58"/>
  <c r="R369" i="58"/>
  <c r="R370" i="58"/>
  <c r="R371" i="58"/>
  <c r="R372" i="58"/>
  <c r="R373" i="58"/>
  <c r="R374" i="58"/>
  <c r="R375" i="58"/>
  <c r="R376" i="58"/>
  <c r="R377" i="58"/>
  <c r="R378" i="58"/>
  <c r="R379" i="58"/>
  <c r="R380" i="58"/>
  <c r="R381" i="58"/>
  <c r="R382" i="58"/>
  <c r="R383" i="58"/>
  <c r="R384" i="58"/>
  <c r="R385" i="58"/>
  <c r="R386" i="58"/>
  <c r="R387" i="58"/>
  <c r="R388" i="58"/>
  <c r="R389" i="58"/>
  <c r="R390" i="58"/>
  <c r="R391" i="58"/>
  <c r="R392" i="58"/>
  <c r="R393" i="58"/>
  <c r="R394" i="58"/>
  <c r="R395" i="58"/>
  <c r="R396" i="58"/>
  <c r="R397" i="58"/>
  <c r="R398" i="58"/>
  <c r="R399" i="58"/>
  <c r="R400" i="58"/>
  <c r="R401" i="58"/>
  <c r="R402" i="58"/>
  <c r="R403" i="58"/>
  <c r="R404" i="58"/>
  <c r="R405" i="58"/>
  <c r="R406" i="58"/>
  <c r="R407" i="58"/>
  <c r="R408" i="58"/>
  <c r="R409" i="58"/>
  <c r="R410" i="58"/>
  <c r="R411" i="58"/>
  <c r="R412" i="58"/>
  <c r="R413" i="58"/>
  <c r="R414" i="58"/>
  <c r="R415" i="58"/>
  <c r="R416" i="58"/>
  <c r="R417" i="58"/>
  <c r="R418" i="58"/>
  <c r="R419" i="58"/>
  <c r="R420" i="58"/>
  <c r="R421" i="58"/>
  <c r="R422" i="58"/>
  <c r="R423" i="58"/>
  <c r="R424" i="58"/>
  <c r="R425" i="58"/>
  <c r="R426" i="58"/>
  <c r="R427" i="58"/>
  <c r="R428" i="58"/>
  <c r="R429" i="58"/>
  <c r="R430" i="58"/>
  <c r="R431" i="58"/>
  <c r="R432" i="58"/>
  <c r="R433" i="58"/>
  <c r="R434" i="58"/>
  <c r="R435" i="58"/>
  <c r="R436" i="58"/>
  <c r="R437" i="58"/>
  <c r="R438" i="58"/>
  <c r="R439" i="58"/>
  <c r="R440" i="58"/>
  <c r="R441" i="58"/>
  <c r="R442" i="58"/>
  <c r="R443" i="58"/>
  <c r="R444" i="58"/>
  <c r="R445" i="58"/>
  <c r="R446" i="58"/>
  <c r="R447" i="58"/>
  <c r="R448" i="58"/>
  <c r="R449" i="58"/>
  <c r="R450" i="58"/>
  <c r="R451" i="58"/>
  <c r="R452" i="58"/>
  <c r="R453" i="58"/>
  <c r="R454" i="58"/>
  <c r="R455" i="58"/>
  <c r="R456" i="58"/>
  <c r="R457" i="58"/>
  <c r="R458" i="58"/>
  <c r="R459" i="58"/>
  <c r="R460" i="58"/>
  <c r="R461" i="58"/>
  <c r="R462" i="58"/>
  <c r="R463" i="58"/>
  <c r="R464" i="58"/>
  <c r="R465" i="58"/>
  <c r="R466" i="58"/>
  <c r="R467" i="58"/>
  <c r="R468" i="58"/>
  <c r="R469" i="58"/>
  <c r="R470" i="58"/>
  <c r="R471" i="58"/>
  <c r="R472" i="58"/>
  <c r="R473" i="58"/>
  <c r="R474" i="58"/>
  <c r="R475" i="58"/>
  <c r="R476" i="58"/>
  <c r="R477" i="58"/>
  <c r="R478" i="58"/>
  <c r="R479" i="58"/>
  <c r="R480" i="58"/>
  <c r="R481" i="58"/>
  <c r="R482" i="58"/>
  <c r="R483" i="58"/>
  <c r="R484" i="58"/>
  <c r="R485" i="58"/>
  <c r="R486" i="58"/>
  <c r="R487" i="58"/>
  <c r="R488" i="58"/>
  <c r="R489" i="58"/>
  <c r="R490" i="58"/>
  <c r="R491" i="58"/>
  <c r="R492" i="58"/>
  <c r="R493" i="58"/>
  <c r="R494" i="58"/>
  <c r="R495" i="58"/>
  <c r="R496" i="58"/>
  <c r="R497" i="58"/>
  <c r="R498" i="58"/>
  <c r="R499" i="58"/>
  <c r="R500" i="58"/>
  <c r="R501" i="58"/>
  <c r="R502" i="58"/>
  <c r="R503" i="58"/>
  <c r="R504" i="58"/>
  <c r="R505" i="58"/>
  <c r="R506" i="58"/>
  <c r="R507" i="58"/>
  <c r="R508" i="58"/>
  <c r="R509" i="58"/>
  <c r="R510" i="58"/>
  <c r="R511" i="58"/>
  <c r="R512" i="58"/>
  <c r="R513" i="58"/>
  <c r="R514" i="58"/>
  <c r="R515" i="58"/>
  <c r="R516" i="58"/>
  <c r="R517" i="58"/>
  <c r="R518" i="58"/>
  <c r="R519" i="58"/>
  <c r="R520" i="58"/>
  <c r="R521" i="58"/>
  <c r="R522" i="58"/>
  <c r="R523" i="58"/>
  <c r="R524" i="58"/>
  <c r="R525" i="58"/>
  <c r="R526" i="58"/>
  <c r="R527" i="58"/>
  <c r="R528" i="58"/>
  <c r="R529" i="58"/>
  <c r="R530" i="58"/>
  <c r="R531" i="58"/>
  <c r="R532" i="58"/>
  <c r="R533" i="58"/>
  <c r="R534" i="58"/>
  <c r="R535" i="58"/>
  <c r="R536" i="58"/>
  <c r="R537" i="58"/>
  <c r="R538" i="58"/>
  <c r="R539" i="58"/>
  <c r="R540" i="58"/>
  <c r="R541" i="58"/>
  <c r="R542" i="58"/>
  <c r="R543" i="58"/>
  <c r="R544" i="58"/>
  <c r="R545" i="58"/>
  <c r="R546" i="58"/>
  <c r="R547" i="58"/>
  <c r="R548" i="58"/>
  <c r="R549" i="58"/>
  <c r="R550" i="58"/>
  <c r="R551" i="58"/>
  <c r="R552" i="58"/>
  <c r="R553" i="58"/>
  <c r="R554" i="58"/>
  <c r="R555" i="58"/>
  <c r="R556" i="58"/>
  <c r="R557" i="58"/>
  <c r="R558" i="58"/>
  <c r="R559" i="58"/>
  <c r="R560" i="58"/>
  <c r="R561" i="58"/>
  <c r="R562" i="58"/>
  <c r="R563" i="58"/>
  <c r="R564" i="58"/>
  <c r="R565" i="58"/>
  <c r="R566" i="58"/>
  <c r="R567" i="58"/>
  <c r="R568" i="58"/>
  <c r="R569" i="58"/>
  <c r="R570" i="58"/>
  <c r="R571" i="58"/>
  <c r="R572" i="58"/>
  <c r="R573" i="58"/>
  <c r="R574" i="58"/>
  <c r="R575" i="58"/>
  <c r="R576" i="58"/>
  <c r="R577" i="58"/>
  <c r="R578" i="58"/>
  <c r="R579" i="58"/>
  <c r="R580" i="58"/>
  <c r="R581" i="58"/>
  <c r="R582" i="58"/>
  <c r="R583" i="58"/>
  <c r="R584" i="58"/>
  <c r="R585" i="58"/>
  <c r="R586" i="58"/>
  <c r="R587" i="58"/>
  <c r="R588" i="58"/>
  <c r="R589" i="58"/>
  <c r="R590" i="58"/>
  <c r="R591" i="58"/>
  <c r="R592" i="58"/>
  <c r="S344" i="58"/>
  <c r="S345" i="58"/>
  <c r="S346" i="58"/>
  <c r="S347" i="58"/>
  <c r="S348" i="58"/>
  <c r="S349" i="58"/>
  <c r="S350" i="58"/>
  <c r="S351" i="58"/>
  <c r="S352" i="58"/>
  <c r="S353" i="58"/>
  <c r="S354" i="58"/>
  <c r="S355" i="58"/>
  <c r="S356" i="58"/>
  <c r="S357" i="58"/>
  <c r="S358" i="58"/>
  <c r="S359" i="58"/>
  <c r="S360" i="58"/>
  <c r="S361" i="58"/>
  <c r="S362" i="58"/>
  <c r="S363" i="58"/>
  <c r="S364" i="58"/>
  <c r="S365" i="58"/>
  <c r="S366" i="58"/>
  <c r="S367" i="58"/>
  <c r="S368" i="58"/>
  <c r="S369" i="58"/>
  <c r="S370" i="58"/>
  <c r="S371" i="58"/>
  <c r="S372" i="58"/>
  <c r="S373" i="58"/>
  <c r="S374" i="58"/>
  <c r="S375" i="58"/>
  <c r="S376" i="58"/>
  <c r="S377" i="58"/>
  <c r="S378" i="58"/>
  <c r="S379" i="58"/>
  <c r="S380" i="58"/>
  <c r="S381" i="58"/>
  <c r="S382" i="58"/>
  <c r="S383" i="58"/>
  <c r="S384" i="58"/>
  <c r="S385" i="58"/>
  <c r="S386" i="58"/>
  <c r="S387" i="58"/>
  <c r="S388" i="58"/>
  <c r="S389" i="58"/>
  <c r="S390" i="58"/>
  <c r="S391" i="58"/>
  <c r="S392" i="58"/>
  <c r="S393" i="58"/>
  <c r="S394" i="58"/>
  <c r="S395" i="58"/>
  <c r="S396" i="58"/>
  <c r="S397" i="58"/>
  <c r="S398" i="58"/>
  <c r="S399" i="58"/>
  <c r="S400" i="58"/>
  <c r="S401" i="58"/>
  <c r="S402" i="58"/>
  <c r="S403" i="58"/>
  <c r="S404" i="58"/>
  <c r="S405" i="58"/>
  <c r="S406" i="58"/>
  <c r="S407" i="58"/>
  <c r="S408" i="58"/>
  <c r="S409" i="58"/>
  <c r="S410" i="58"/>
  <c r="S411" i="58"/>
  <c r="S412" i="58"/>
  <c r="S413" i="58"/>
  <c r="S414" i="58"/>
  <c r="S415" i="58"/>
  <c r="S416" i="58"/>
  <c r="S417" i="58"/>
  <c r="S418" i="58"/>
  <c r="S419" i="58"/>
  <c r="S420" i="58"/>
  <c r="S421" i="58"/>
  <c r="S422" i="58"/>
  <c r="S423" i="58"/>
  <c r="S424" i="58"/>
  <c r="S425" i="58"/>
  <c r="S426" i="58"/>
  <c r="S427" i="58"/>
  <c r="S428" i="58"/>
  <c r="S429" i="58"/>
  <c r="S430" i="58"/>
  <c r="S431" i="58"/>
  <c r="S432" i="58"/>
  <c r="S433" i="58"/>
  <c r="S434" i="58"/>
  <c r="S435" i="58"/>
  <c r="S436" i="58"/>
  <c r="S437" i="58"/>
  <c r="S438" i="58"/>
  <c r="S439" i="58"/>
  <c r="S440" i="58"/>
  <c r="S441" i="58"/>
  <c r="S442" i="58"/>
  <c r="S443" i="58"/>
  <c r="S444" i="58"/>
  <c r="S445" i="58"/>
  <c r="S446" i="58"/>
  <c r="S447" i="58"/>
  <c r="S448" i="58"/>
  <c r="S449" i="58"/>
  <c r="S450" i="58"/>
  <c r="S451" i="58"/>
  <c r="S452" i="58"/>
  <c r="S453" i="58"/>
  <c r="S454" i="58"/>
  <c r="S455" i="58"/>
  <c r="S456" i="58"/>
  <c r="S457" i="58"/>
  <c r="S458" i="58"/>
  <c r="S459" i="58"/>
  <c r="S460" i="58"/>
  <c r="S461" i="58"/>
  <c r="S462" i="58"/>
  <c r="S463" i="58"/>
  <c r="S464" i="58"/>
  <c r="S465" i="58"/>
  <c r="S466" i="58"/>
  <c r="S467" i="58"/>
  <c r="S468" i="58"/>
  <c r="S469" i="58"/>
  <c r="S470" i="58"/>
  <c r="S471" i="58"/>
  <c r="S472" i="58"/>
  <c r="S473" i="58"/>
  <c r="S474" i="58"/>
  <c r="S475" i="58"/>
  <c r="S476" i="58"/>
  <c r="S477" i="58"/>
  <c r="S478" i="58"/>
  <c r="S479" i="58"/>
  <c r="S480" i="58"/>
  <c r="S481" i="58"/>
  <c r="S482" i="58"/>
  <c r="S483" i="58"/>
  <c r="S484" i="58"/>
  <c r="S485" i="58"/>
  <c r="S486" i="58"/>
  <c r="S487" i="58"/>
  <c r="S488" i="58"/>
  <c r="S489" i="58"/>
  <c r="S490" i="58"/>
  <c r="S491" i="58"/>
  <c r="S492" i="58"/>
  <c r="S493" i="58"/>
  <c r="S494" i="58"/>
  <c r="S495" i="58"/>
  <c r="S496" i="58"/>
  <c r="S497" i="58"/>
  <c r="S498" i="58"/>
  <c r="S499" i="58"/>
  <c r="S500" i="58"/>
  <c r="S501" i="58"/>
  <c r="S502" i="58"/>
  <c r="S503" i="58"/>
  <c r="S504" i="58"/>
  <c r="S505" i="58"/>
  <c r="S506" i="58"/>
  <c r="S507" i="58"/>
  <c r="S508" i="58"/>
  <c r="S509" i="58"/>
  <c r="S510" i="58"/>
  <c r="S511" i="58"/>
  <c r="S512" i="58"/>
  <c r="S513" i="58"/>
  <c r="S514" i="58"/>
  <c r="S515" i="58"/>
  <c r="S516" i="58"/>
  <c r="S517" i="58"/>
  <c r="S518" i="58"/>
  <c r="S519" i="58"/>
  <c r="S520" i="58"/>
  <c r="S521" i="58"/>
  <c r="S522" i="58"/>
  <c r="S523" i="58"/>
  <c r="S524" i="58"/>
  <c r="S525" i="58"/>
  <c r="S526" i="58"/>
  <c r="S527" i="58"/>
  <c r="S528" i="58"/>
  <c r="S529" i="58"/>
  <c r="S530" i="58"/>
  <c r="S531" i="58"/>
  <c r="S532" i="58"/>
  <c r="S533" i="58"/>
  <c r="S534" i="58"/>
  <c r="S535" i="58"/>
  <c r="S536" i="58"/>
  <c r="S537" i="58"/>
  <c r="S538" i="58"/>
  <c r="S539" i="58"/>
  <c r="S540" i="58"/>
  <c r="S541" i="58"/>
  <c r="S542" i="58"/>
  <c r="S543" i="58"/>
  <c r="S544" i="58"/>
  <c r="S545" i="58"/>
  <c r="S546" i="58"/>
  <c r="S547" i="58"/>
  <c r="S548" i="58"/>
  <c r="S549" i="58"/>
  <c r="S550" i="58"/>
  <c r="S551" i="58"/>
  <c r="S552" i="58"/>
  <c r="S553" i="58"/>
  <c r="S554" i="58"/>
  <c r="S555" i="58"/>
  <c r="S556" i="58"/>
  <c r="S557" i="58"/>
  <c r="S558" i="58"/>
  <c r="S559" i="58"/>
  <c r="S560" i="58"/>
  <c r="S561" i="58"/>
  <c r="S562" i="58"/>
  <c r="S563" i="58"/>
  <c r="S564" i="58"/>
  <c r="S565" i="58"/>
  <c r="S566" i="58"/>
  <c r="S567" i="58"/>
  <c r="S568" i="58"/>
  <c r="S569" i="58"/>
  <c r="S570" i="58"/>
  <c r="S571" i="58"/>
  <c r="S572" i="58"/>
  <c r="S573" i="58"/>
  <c r="S574" i="58"/>
  <c r="S575" i="58"/>
  <c r="S576" i="58"/>
  <c r="S577" i="58"/>
  <c r="S578" i="58"/>
  <c r="S579" i="58"/>
  <c r="S580" i="58"/>
  <c r="S581" i="58"/>
  <c r="S582" i="58"/>
  <c r="S583" i="58"/>
  <c r="S584" i="58"/>
  <c r="S585" i="58"/>
  <c r="S586" i="58"/>
  <c r="S587" i="58"/>
  <c r="S588" i="58"/>
  <c r="S589" i="58"/>
  <c r="S590" i="58"/>
  <c r="S591" i="58"/>
  <c r="S592" i="58"/>
  <c r="T344" i="58"/>
  <c r="T345" i="58"/>
  <c r="T346" i="58"/>
  <c r="T347" i="58"/>
  <c r="T348" i="58"/>
  <c r="T349" i="58"/>
  <c r="T350" i="58"/>
  <c r="T351" i="58"/>
  <c r="T352" i="58"/>
  <c r="T353" i="58"/>
  <c r="T354" i="58"/>
  <c r="T355" i="58"/>
  <c r="T356" i="58"/>
  <c r="T357" i="58"/>
  <c r="T358" i="58"/>
  <c r="T359" i="58"/>
  <c r="T360" i="58"/>
  <c r="T361" i="58"/>
  <c r="T362" i="58"/>
  <c r="T363" i="58"/>
  <c r="T364" i="58"/>
  <c r="T365" i="58"/>
  <c r="T366" i="58"/>
  <c r="T367" i="58"/>
  <c r="T368" i="58"/>
  <c r="T369" i="58"/>
  <c r="T370" i="58"/>
  <c r="T371" i="58"/>
  <c r="T372" i="58"/>
  <c r="T373" i="58"/>
  <c r="T374" i="58"/>
  <c r="T375" i="58"/>
  <c r="T376" i="58"/>
  <c r="T377" i="58"/>
  <c r="T378" i="58"/>
  <c r="T379" i="58"/>
  <c r="T380" i="58"/>
  <c r="T381" i="58"/>
  <c r="T382" i="58"/>
  <c r="T383" i="58"/>
  <c r="T384" i="58"/>
  <c r="T385" i="58"/>
  <c r="T386" i="58"/>
  <c r="T387" i="58"/>
  <c r="T388" i="58"/>
  <c r="T389" i="58"/>
  <c r="T390" i="58"/>
  <c r="T391" i="58"/>
  <c r="T392" i="58"/>
  <c r="T393" i="58"/>
  <c r="T394" i="58"/>
  <c r="T395" i="58"/>
  <c r="T396" i="58"/>
  <c r="T397" i="58"/>
  <c r="T398" i="58"/>
  <c r="T399" i="58"/>
  <c r="T400" i="58"/>
  <c r="T401" i="58"/>
  <c r="T402" i="58"/>
  <c r="T403" i="58"/>
  <c r="T404" i="58"/>
  <c r="T405" i="58"/>
  <c r="T406" i="58"/>
  <c r="T407" i="58"/>
  <c r="T408" i="58"/>
  <c r="T409" i="58"/>
  <c r="T410" i="58"/>
  <c r="T411" i="58"/>
  <c r="T412" i="58"/>
  <c r="T413" i="58"/>
  <c r="T414" i="58"/>
  <c r="T415" i="58"/>
  <c r="T416" i="58"/>
  <c r="T417" i="58"/>
  <c r="T418" i="58"/>
  <c r="T419" i="58"/>
  <c r="T420" i="58"/>
  <c r="T421" i="58"/>
  <c r="T422" i="58"/>
  <c r="T423" i="58"/>
  <c r="T424" i="58"/>
  <c r="T425" i="58"/>
  <c r="T426" i="58"/>
  <c r="T427" i="58"/>
  <c r="T428" i="58"/>
  <c r="T429" i="58"/>
  <c r="T430" i="58"/>
  <c r="T431" i="58"/>
  <c r="T432" i="58"/>
  <c r="T433" i="58"/>
  <c r="T434" i="58"/>
  <c r="T435" i="58"/>
  <c r="T436" i="58"/>
  <c r="T437" i="58"/>
  <c r="T438" i="58"/>
  <c r="T439" i="58"/>
  <c r="T440" i="58"/>
  <c r="T441" i="58"/>
  <c r="T442" i="58"/>
  <c r="T443" i="58"/>
  <c r="T444" i="58"/>
  <c r="T445" i="58"/>
  <c r="T446" i="58"/>
  <c r="T447" i="58"/>
  <c r="T448" i="58"/>
  <c r="T449" i="58"/>
  <c r="T450" i="58"/>
  <c r="T451" i="58"/>
  <c r="T452" i="58"/>
  <c r="T453" i="58"/>
  <c r="T454" i="58"/>
  <c r="T455" i="58"/>
  <c r="T456" i="58"/>
  <c r="T457" i="58"/>
  <c r="T458" i="58"/>
  <c r="T459" i="58"/>
  <c r="T460" i="58"/>
  <c r="T461" i="58"/>
  <c r="T462" i="58"/>
  <c r="T463" i="58"/>
  <c r="T464" i="58"/>
  <c r="T465" i="58"/>
  <c r="T466" i="58"/>
  <c r="T467" i="58"/>
  <c r="T468" i="58"/>
  <c r="T469" i="58"/>
  <c r="T470" i="58"/>
  <c r="T471" i="58"/>
  <c r="T472" i="58"/>
  <c r="T473" i="58"/>
  <c r="T474" i="58"/>
  <c r="T475" i="58"/>
  <c r="T476" i="58"/>
  <c r="T477" i="58"/>
  <c r="T478" i="58"/>
  <c r="T479" i="58"/>
  <c r="T480" i="58"/>
  <c r="T481" i="58"/>
  <c r="T482" i="58"/>
  <c r="T483" i="58"/>
  <c r="T484" i="58"/>
  <c r="T485" i="58"/>
  <c r="T486" i="58"/>
  <c r="T487" i="58"/>
  <c r="T488" i="58"/>
  <c r="T489" i="58"/>
  <c r="T490" i="58"/>
  <c r="T491" i="58"/>
  <c r="T492" i="58"/>
  <c r="T493" i="58"/>
  <c r="T494" i="58"/>
  <c r="T495" i="58"/>
  <c r="T496" i="58"/>
  <c r="T497" i="58"/>
  <c r="T498" i="58"/>
  <c r="T499" i="58"/>
  <c r="T500" i="58"/>
  <c r="T501" i="58"/>
  <c r="T502" i="58"/>
  <c r="T503" i="58"/>
  <c r="T504" i="58"/>
  <c r="T505" i="58"/>
  <c r="T506" i="58"/>
  <c r="T507" i="58"/>
  <c r="T508" i="58"/>
  <c r="T509" i="58"/>
  <c r="T510" i="58"/>
  <c r="T511" i="58"/>
  <c r="T512" i="58"/>
  <c r="T513" i="58"/>
  <c r="T514" i="58"/>
  <c r="T515" i="58"/>
  <c r="T516" i="58"/>
  <c r="T517" i="58"/>
  <c r="T518" i="58"/>
  <c r="T519" i="58"/>
  <c r="T520" i="58"/>
  <c r="T521" i="58"/>
  <c r="T522" i="58"/>
  <c r="T523" i="58"/>
  <c r="T524" i="58"/>
  <c r="T525" i="58"/>
  <c r="T526" i="58"/>
  <c r="T527" i="58"/>
  <c r="T528" i="58"/>
  <c r="T529" i="58"/>
  <c r="T530" i="58"/>
  <c r="T531" i="58"/>
  <c r="T532" i="58"/>
  <c r="T533" i="58"/>
  <c r="T534" i="58"/>
  <c r="T535" i="58"/>
  <c r="T536" i="58"/>
  <c r="T537" i="58"/>
  <c r="T538" i="58"/>
  <c r="T539" i="58"/>
  <c r="T540" i="58"/>
  <c r="T541" i="58"/>
  <c r="T542" i="58"/>
  <c r="T543" i="58"/>
  <c r="T544" i="58"/>
  <c r="T545" i="58"/>
  <c r="T546" i="58"/>
  <c r="T547" i="58"/>
  <c r="T548" i="58"/>
  <c r="T549" i="58"/>
  <c r="T550" i="58"/>
  <c r="T551" i="58"/>
  <c r="T552" i="58"/>
  <c r="T553" i="58"/>
  <c r="T554" i="58"/>
  <c r="T555" i="58"/>
  <c r="T556" i="58"/>
  <c r="T557" i="58"/>
  <c r="T558" i="58"/>
  <c r="T559" i="58"/>
  <c r="T560" i="58"/>
  <c r="T561" i="58"/>
  <c r="T562" i="58"/>
  <c r="T563" i="58"/>
  <c r="T564" i="58"/>
  <c r="T565" i="58"/>
  <c r="T566" i="58"/>
  <c r="T567" i="58"/>
  <c r="T568" i="58"/>
  <c r="T569" i="58"/>
  <c r="T570" i="58"/>
  <c r="T571" i="58"/>
  <c r="T572" i="58"/>
  <c r="T573" i="58"/>
  <c r="T574" i="58"/>
  <c r="T575" i="58"/>
  <c r="T576" i="58"/>
  <c r="T577" i="58"/>
  <c r="T578" i="58"/>
  <c r="T579" i="58"/>
  <c r="T580" i="58"/>
  <c r="T581" i="58"/>
  <c r="T582" i="58"/>
  <c r="T583" i="58"/>
  <c r="T584" i="58"/>
  <c r="T585" i="58"/>
  <c r="T586" i="58"/>
  <c r="T587" i="58"/>
  <c r="T588" i="58"/>
  <c r="T589" i="58"/>
  <c r="T590" i="58"/>
  <c r="T591" i="58"/>
  <c r="T592" i="58"/>
  <c r="U344" i="58"/>
  <c r="U345" i="58"/>
  <c r="U346" i="58"/>
  <c r="U347" i="58"/>
  <c r="U348" i="58"/>
  <c r="U349" i="58"/>
  <c r="U350" i="58"/>
  <c r="U351" i="58"/>
  <c r="U352" i="58"/>
  <c r="U353" i="58"/>
  <c r="U354" i="58"/>
  <c r="U355" i="58"/>
  <c r="U356" i="58"/>
  <c r="U357" i="58"/>
  <c r="U358" i="58"/>
  <c r="U359" i="58"/>
  <c r="U360" i="58"/>
  <c r="U361" i="58"/>
  <c r="U362" i="58"/>
  <c r="U363" i="58"/>
  <c r="U364" i="58"/>
  <c r="U365" i="58"/>
  <c r="U366" i="58"/>
  <c r="U367" i="58"/>
  <c r="U368" i="58"/>
  <c r="U369" i="58"/>
  <c r="U370" i="58"/>
  <c r="U371" i="58"/>
  <c r="U372" i="58"/>
  <c r="U373" i="58"/>
  <c r="U374" i="58"/>
  <c r="U375" i="58"/>
  <c r="U376" i="58"/>
  <c r="U377" i="58"/>
  <c r="U378" i="58"/>
  <c r="U379" i="58"/>
  <c r="U380" i="58"/>
  <c r="U381" i="58"/>
  <c r="U382" i="58"/>
  <c r="U383" i="58"/>
  <c r="U384" i="58"/>
  <c r="U385" i="58"/>
  <c r="U386" i="58"/>
  <c r="U387" i="58"/>
  <c r="U388" i="58"/>
  <c r="U389" i="58"/>
  <c r="U390" i="58"/>
  <c r="U391" i="58"/>
  <c r="U392" i="58"/>
  <c r="U393" i="58"/>
  <c r="U394" i="58"/>
  <c r="U395" i="58"/>
  <c r="U396" i="58"/>
  <c r="U397" i="58"/>
  <c r="U398" i="58"/>
  <c r="U399" i="58"/>
  <c r="U400" i="58"/>
  <c r="U401" i="58"/>
  <c r="U402" i="58"/>
  <c r="U403" i="58"/>
  <c r="U404" i="58"/>
  <c r="U405" i="58"/>
  <c r="U406" i="58"/>
  <c r="U407" i="58"/>
  <c r="U408" i="58"/>
  <c r="U409" i="58"/>
  <c r="U410" i="58"/>
  <c r="U411" i="58"/>
  <c r="U412" i="58"/>
  <c r="U413" i="58"/>
  <c r="U414" i="58"/>
  <c r="U415" i="58"/>
  <c r="U416" i="58"/>
  <c r="U417" i="58"/>
  <c r="U418" i="58"/>
  <c r="U419" i="58"/>
  <c r="U420" i="58"/>
  <c r="U421" i="58"/>
  <c r="U422" i="58"/>
  <c r="U423" i="58"/>
  <c r="U424" i="58"/>
  <c r="U425" i="58"/>
  <c r="U426" i="58"/>
  <c r="U427" i="58"/>
  <c r="U428" i="58"/>
  <c r="U429" i="58"/>
  <c r="U430" i="58"/>
  <c r="U431" i="58"/>
  <c r="U432" i="58"/>
  <c r="U433" i="58"/>
  <c r="U434" i="58"/>
  <c r="U435" i="58"/>
  <c r="U436" i="58"/>
  <c r="U437" i="58"/>
  <c r="U438" i="58"/>
  <c r="U439" i="58"/>
  <c r="U440" i="58"/>
  <c r="U441" i="58"/>
  <c r="U442" i="58"/>
  <c r="U443" i="58"/>
  <c r="U444" i="58"/>
  <c r="U445" i="58"/>
  <c r="U446" i="58"/>
  <c r="U447" i="58"/>
  <c r="U448" i="58"/>
  <c r="U449" i="58"/>
  <c r="U450" i="58"/>
  <c r="U451" i="58"/>
  <c r="U452" i="58"/>
  <c r="U453" i="58"/>
  <c r="U454" i="58"/>
  <c r="U455" i="58"/>
  <c r="U456" i="58"/>
  <c r="U457" i="58"/>
  <c r="U458" i="58"/>
  <c r="U459" i="58"/>
  <c r="U460" i="58"/>
  <c r="U461" i="58"/>
  <c r="U462" i="58"/>
  <c r="U463" i="58"/>
  <c r="U464" i="58"/>
  <c r="U465" i="58"/>
  <c r="U466" i="58"/>
  <c r="U467" i="58"/>
  <c r="U468" i="58"/>
  <c r="U469" i="58"/>
  <c r="U470" i="58"/>
  <c r="U471" i="58"/>
  <c r="U472" i="58"/>
  <c r="U473" i="58"/>
  <c r="U474" i="58"/>
  <c r="U475" i="58"/>
  <c r="U476" i="58"/>
  <c r="U477" i="58"/>
  <c r="U478" i="58"/>
  <c r="U479" i="58"/>
  <c r="U480" i="58"/>
  <c r="U481" i="58"/>
  <c r="U482" i="58"/>
  <c r="U483" i="58"/>
  <c r="U484" i="58"/>
  <c r="U485" i="58"/>
  <c r="U486" i="58"/>
  <c r="U487" i="58"/>
  <c r="U488" i="58"/>
  <c r="U489" i="58"/>
  <c r="U490" i="58"/>
  <c r="U491" i="58"/>
  <c r="U492" i="58"/>
  <c r="U493" i="58"/>
  <c r="U494" i="58"/>
  <c r="U495" i="58"/>
  <c r="U496" i="58"/>
  <c r="U497" i="58"/>
  <c r="U498" i="58"/>
  <c r="U499" i="58"/>
  <c r="U500" i="58"/>
  <c r="U501" i="58"/>
  <c r="U502" i="58"/>
  <c r="U503" i="58"/>
  <c r="U504" i="58"/>
  <c r="U505" i="58"/>
  <c r="U506" i="58"/>
  <c r="U507" i="58"/>
  <c r="U508" i="58"/>
  <c r="U509" i="58"/>
  <c r="U510" i="58"/>
  <c r="U511" i="58"/>
  <c r="U512" i="58"/>
  <c r="U513" i="58"/>
  <c r="U514" i="58"/>
  <c r="U515" i="58"/>
  <c r="U516" i="58"/>
  <c r="U517" i="58"/>
  <c r="U518" i="58"/>
  <c r="U519" i="58"/>
  <c r="U520" i="58"/>
  <c r="U521" i="58"/>
  <c r="U522" i="58"/>
  <c r="U523" i="58"/>
  <c r="U524" i="58"/>
  <c r="U525" i="58"/>
  <c r="U526" i="58"/>
  <c r="U527" i="58"/>
  <c r="U528" i="58"/>
  <c r="U529" i="58"/>
  <c r="U530" i="58"/>
  <c r="U531" i="58"/>
  <c r="U532" i="58"/>
  <c r="U533" i="58"/>
  <c r="U534" i="58"/>
  <c r="U535" i="58"/>
  <c r="U536" i="58"/>
  <c r="U537" i="58"/>
  <c r="U538" i="58"/>
  <c r="U539" i="58"/>
  <c r="U540" i="58"/>
  <c r="U541" i="58"/>
  <c r="U542" i="58"/>
  <c r="U543" i="58"/>
  <c r="U544" i="58"/>
  <c r="U545" i="58"/>
  <c r="U546" i="58"/>
  <c r="U547" i="58"/>
  <c r="U548" i="58"/>
  <c r="U549" i="58"/>
  <c r="U550" i="58"/>
  <c r="U551" i="58"/>
  <c r="U552" i="58"/>
  <c r="U553" i="58"/>
  <c r="U554" i="58"/>
  <c r="U555" i="58"/>
  <c r="U556" i="58"/>
  <c r="U557" i="58"/>
  <c r="U558" i="58"/>
  <c r="U559" i="58"/>
  <c r="U560" i="58"/>
  <c r="U561" i="58"/>
  <c r="U562" i="58"/>
  <c r="U563" i="58"/>
  <c r="U564" i="58"/>
  <c r="U565" i="58"/>
  <c r="U566" i="58"/>
  <c r="U567" i="58"/>
  <c r="U568" i="58"/>
  <c r="U569" i="58"/>
  <c r="U570" i="58"/>
  <c r="U571" i="58"/>
  <c r="U572" i="58"/>
  <c r="U573" i="58"/>
  <c r="U574" i="58"/>
  <c r="U575" i="58"/>
  <c r="U576" i="58"/>
  <c r="U577" i="58"/>
  <c r="U578" i="58"/>
  <c r="U579" i="58"/>
  <c r="U580" i="58"/>
  <c r="U581" i="58"/>
  <c r="U582" i="58"/>
  <c r="U583" i="58"/>
  <c r="U584" i="58"/>
  <c r="U585" i="58"/>
  <c r="U586" i="58"/>
  <c r="U587" i="58"/>
  <c r="U588" i="58"/>
  <c r="U589" i="58"/>
  <c r="U590" i="58"/>
  <c r="U591" i="58"/>
  <c r="U592" i="58"/>
  <c r="V344" i="58"/>
  <c r="V345" i="58"/>
  <c r="V346" i="58"/>
  <c r="V347" i="58"/>
  <c r="V348" i="58"/>
  <c r="V349" i="58"/>
  <c r="V350" i="58"/>
  <c r="V351" i="58"/>
  <c r="V352" i="58"/>
  <c r="V353" i="58"/>
  <c r="V354" i="58"/>
  <c r="V355" i="58"/>
  <c r="V356" i="58"/>
  <c r="V357" i="58"/>
  <c r="V358" i="58"/>
  <c r="V359" i="58"/>
  <c r="V360" i="58"/>
  <c r="V361" i="58"/>
  <c r="V362" i="58"/>
  <c r="V363" i="58"/>
  <c r="V364" i="58"/>
  <c r="V365" i="58"/>
  <c r="V366" i="58"/>
  <c r="V367" i="58"/>
  <c r="V368" i="58"/>
  <c r="V369" i="58"/>
  <c r="V370" i="58"/>
  <c r="V371" i="58"/>
  <c r="V372" i="58"/>
  <c r="V373" i="58"/>
  <c r="V374" i="58"/>
  <c r="V375" i="58"/>
  <c r="V376" i="58"/>
  <c r="V377" i="58"/>
  <c r="V378" i="58"/>
  <c r="V379" i="58"/>
  <c r="V380" i="58"/>
  <c r="V381" i="58"/>
  <c r="V382" i="58"/>
  <c r="V383" i="58"/>
  <c r="V384" i="58"/>
  <c r="V385" i="58"/>
  <c r="V386" i="58"/>
  <c r="V387" i="58"/>
  <c r="V388" i="58"/>
  <c r="V389" i="58"/>
  <c r="V390" i="58"/>
  <c r="V391" i="58"/>
  <c r="V392" i="58"/>
  <c r="V393" i="58"/>
  <c r="V394" i="58"/>
  <c r="V395" i="58"/>
  <c r="V396" i="58"/>
  <c r="V397" i="58"/>
  <c r="V398" i="58"/>
  <c r="V399" i="58"/>
  <c r="V400" i="58"/>
  <c r="V401" i="58"/>
  <c r="V402" i="58"/>
  <c r="V403" i="58"/>
  <c r="V404" i="58"/>
  <c r="V405" i="58"/>
  <c r="V406" i="58"/>
  <c r="V407" i="58"/>
  <c r="V408" i="58"/>
  <c r="V409" i="58"/>
  <c r="V410" i="58"/>
  <c r="V411" i="58"/>
  <c r="V412" i="58"/>
  <c r="V413" i="58"/>
  <c r="V414" i="58"/>
  <c r="V415" i="58"/>
  <c r="V416" i="58"/>
  <c r="V417" i="58"/>
  <c r="V418" i="58"/>
  <c r="V419" i="58"/>
  <c r="V420" i="58"/>
  <c r="V421" i="58"/>
  <c r="V422" i="58"/>
  <c r="V423" i="58"/>
  <c r="V424" i="58"/>
  <c r="V425" i="58"/>
  <c r="V426" i="58"/>
  <c r="V427" i="58"/>
  <c r="V428" i="58"/>
  <c r="V429" i="58"/>
  <c r="V430" i="58"/>
  <c r="V431" i="58"/>
  <c r="V432" i="58"/>
  <c r="V433" i="58"/>
  <c r="V434" i="58"/>
  <c r="V435" i="58"/>
  <c r="V436" i="58"/>
  <c r="V437" i="58"/>
  <c r="V438" i="58"/>
  <c r="V439" i="58"/>
  <c r="V440" i="58"/>
  <c r="V441" i="58"/>
  <c r="V442" i="58"/>
  <c r="V443" i="58"/>
  <c r="V444" i="58"/>
  <c r="V445" i="58"/>
  <c r="V446" i="58"/>
  <c r="V447" i="58"/>
  <c r="V448" i="58"/>
  <c r="V449" i="58"/>
  <c r="V450" i="58"/>
  <c r="V451" i="58"/>
  <c r="V452" i="58"/>
  <c r="V453" i="58"/>
  <c r="V454" i="58"/>
  <c r="V455" i="58"/>
  <c r="V456" i="58"/>
  <c r="V457" i="58"/>
  <c r="V458" i="58"/>
  <c r="V459" i="58"/>
  <c r="V460" i="58"/>
  <c r="V461" i="58"/>
  <c r="V462" i="58"/>
  <c r="V463" i="58"/>
  <c r="V464" i="58"/>
  <c r="V465" i="58"/>
  <c r="V466" i="58"/>
  <c r="V467" i="58"/>
  <c r="V468" i="58"/>
  <c r="V469" i="58"/>
  <c r="V470" i="58"/>
  <c r="V471" i="58"/>
  <c r="V472" i="58"/>
  <c r="V473" i="58"/>
  <c r="V474" i="58"/>
  <c r="V475" i="58"/>
  <c r="V476" i="58"/>
  <c r="V477" i="58"/>
  <c r="V478" i="58"/>
  <c r="V479" i="58"/>
  <c r="V480" i="58"/>
  <c r="V481" i="58"/>
  <c r="V482" i="58"/>
  <c r="V483" i="58"/>
  <c r="V484" i="58"/>
  <c r="V485" i="58"/>
  <c r="V486" i="58"/>
  <c r="V487" i="58"/>
  <c r="V488" i="58"/>
  <c r="V489" i="58"/>
  <c r="V490" i="58"/>
  <c r="V491" i="58"/>
  <c r="V492" i="58"/>
  <c r="V493" i="58"/>
  <c r="V494" i="58"/>
  <c r="V495" i="58"/>
  <c r="V496" i="58"/>
  <c r="V497" i="58"/>
  <c r="V498" i="58"/>
  <c r="V499" i="58"/>
  <c r="V500" i="58"/>
  <c r="V501" i="58"/>
  <c r="V502" i="58"/>
  <c r="V503" i="58"/>
  <c r="V504" i="58"/>
  <c r="V505" i="58"/>
  <c r="V506" i="58"/>
  <c r="V507" i="58"/>
  <c r="V508" i="58"/>
  <c r="V509" i="58"/>
  <c r="V510" i="58"/>
  <c r="V511" i="58"/>
  <c r="V512" i="58"/>
  <c r="V513" i="58"/>
  <c r="V514" i="58"/>
  <c r="V515" i="58"/>
  <c r="V516" i="58"/>
  <c r="V517" i="58"/>
  <c r="V518" i="58"/>
  <c r="V519" i="58"/>
  <c r="V520" i="58"/>
  <c r="V521" i="58"/>
  <c r="V522" i="58"/>
  <c r="V523" i="58"/>
  <c r="V524" i="58"/>
  <c r="V525" i="58"/>
  <c r="V526" i="58"/>
  <c r="V527" i="58"/>
  <c r="V528" i="58"/>
  <c r="V529" i="58"/>
  <c r="V530" i="58"/>
  <c r="V531" i="58"/>
  <c r="V532" i="58"/>
  <c r="V533" i="58"/>
  <c r="V534" i="58"/>
  <c r="V535" i="58"/>
  <c r="V536" i="58"/>
  <c r="V537" i="58"/>
  <c r="V538" i="58"/>
  <c r="V539" i="58"/>
  <c r="V540" i="58"/>
  <c r="V541" i="58"/>
  <c r="V542" i="58"/>
  <c r="V543" i="58"/>
  <c r="V544" i="58"/>
  <c r="V545" i="58"/>
  <c r="V546" i="58"/>
  <c r="V547" i="58"/>
  <c r="V548" i="58"/>
  <c r="V549" i="58"/>
  <c r="V550" i="58"/>
  <c r="V551" i="58"/>
  <c r="V552" i="58"/>
  <c r="V553" i="58"/>
  <c r="V554" i="58"/>
  <c r="V555" i="58"/>
  <c r="V556" i="58"/>
  <c r="V557" i="58"/>
  <c r="V558" i="58"/>
  <c r="V559" i="58"/>
  <c r="V560" i="58"/>
  <c r="V561" i="58"/>
  <c r="V562" i="58"/>
  <c r="V563" i="58"/>
  <c r="V564" i="58"/>
  <c r="V565" i="58"/>
  <c r="V566" i="58"/>
  <c r="V567" i="58"/>
  <c r="V568" i="58"/>
  <c r="V569" i="58"/>
  <c r="V570" i="58"/>
  <c r="V571" i="58"/>
  <c r="V572" i="58"/>
  <c r="V573" i="58"/>
  <c r="V574" i="58"/>
  <c r="V575" i="58"/>
  <c r="V576" i="58"/>
  <c r="V577" i="58"/>
  <c r="V578" i="58"/>
  <c r="V579" i="58"/>
  <c r="V580" i="58"/>
  <c r="V581" i="58"/>
  <c r="V582" i="58"/>
  <c r="V583" i="58"/>
  <c r="V584" i="58"/>
  <c r="V585" i="58"/>
  <c r="V586" i="58"/>
  <c r="V587" i="58"/>
  <c r="V588" i="58"/>
  <c r="V589" i="58"/>
  <c r="V590" i="58"/>
  <c r="V591" i="58"/>
  <c r="V592" i="58"/>
  <c r="W344" i="58"/>
  <c r="W345" i="58"/>
  <c r="W346" i="58"/>
  <c r="W347" i="58"/>
  <c r="W348" i="58"/>
  <c r="W349" i="58"/>
  <c r="W350" i="58"/>
  <c r="W351" i="58"/>
  <c r="W352" i="58"/>
  <c r="W353" i="58"/>
  <c r="W354" i="58"/>
  <c r="W355" i="58"/>
  <c r="W356" i="58"/>
  <c r="W357" i="58"/>
  <c r="W358" i="58"/>
  <c r="W359" i="58"/>
  <c r="W360" i="58"/>
  <c r="W361" i="58"/>
  <c r="W362" i="58"/>
  <c r="W363" i="58"/>
  <c r="W364" i="58"/>
  <c r="W365" i="58"/>
  <c r="W366" i="58"/>
  <c r="W367" i="58"/>
  <c r="W368" i="58"/>
  <c r="W369" i="58"/>
  <c r="W370" i="58"/>
  <c r="W371" i="58"/>
  <c r="W372" i="58"/>
  <c r="W373" i="58"/>
  <c r="W374" i="58"/>
  <c r="W375" i="58"/>
  <c r="W376" i="58"/>
  <c r="W377" i="58"/>
  <c r="W378" i="58"/>
  <c r="W379" i="58"/>
  <c r="W380" i="58"/>
  <c r="W381" i="58"/>
  <c r="W382" i="58"/>
  <c r="W383" i="58"/>
  <c r="W384" i="58"/>
  <c r="W385" i="58"/>
  <c r="W386" i="58"/>
  <c r="W387" i="58"/>
  <c r="W388" i="58"/>
  <c r="W389" i="58"/>
  <c r="W390" i="58"/>
  <c r="W391" i="58"/>
  <c r="W392" i="58"/>
  <c r="W393" i="58"/>
  <c r="W394" i="58"/>
  <c r="W395" i="58"/>
  <c r="W396" i="58"/>
  <c r="W397" i="58"/>
  <c r="W398" i="58"/>
  <c r="W399" i="58"/>
  <c r="W400" i="58"/>
  <c r="W401" i="58"/>
  <c r="W402" i="58"/>
  <c r="W403" i="58"/>
  <c r="W404" i="58"/>
  <c r="W405" i="58"/>
  <c r="W406" i="58"/>
  <c r="W407" i="58"/>
  <c r="W408" i="58"/>
  <c r="W409" i="58"/>
  <c r="W410" i="58"/>
  <c r="W411" i="58"/>
  <c r="W412" i="58"/>
  <c r="W413" i="58"/>
  <c r="W414" i="58"/>
  <c r="W415" i="58"/>
  <c r="W416" i="58"/>
  <c r="W417" i="58"/>
  <c r="W418" i="58"/>
  <c r="W419" i="58"/>
  <c r="W420" i="58"/>
  <c r="W421" i="58"/>
  <c r="W422" i="58"/>
  <c r="W423" i="58"/>
  <c r="W424" i="58"/>
  <c r="W425" i="58"/>
  <c r="W426" i="58"/>
  <c r="W427" i="58"/>
  <c r="W428" i="58"/>
  <c r="W429" i="58"/>
  <c r="W430" i="58"/>
  <c r="W431" i="58"/>
  <c r="W432" i="58"/>
  <c r="W433" i="58"/>
  <c r="W434" i="58"/>
  <c r="W435" i="58"/>
  <c r="W436" i="58"/>
  <c r="W437" i="58"/>
  <c r="W438" i="58"/>
  <c r="W439" i="58"/>
  <c r="W440" i="58"/>
  <c r="W441" i="58"/>
  <c r="W442" i="58"/>
  <c r="W443" i="58"/>
  <c r="W444" i="58"/>
  <c r="W445" i="58"/>
  <c r="W446" i="58"/>
  <c r="W447" i="58"/>
  <c r="W448" i="58"/>
  <c r="W449" i="58"/>
  <c r="W450" i="58"/>
  <c r="W451" i="58"/>
  <c r="W452" i="58"/>
  <c r="W453" i="58"/>
  <c r="W454" i="58"/>
  <c r="W455" i="58"/>
  <c r="W456" i="58"/>
  <c r="W457" i="58"/>
  <c r="W458" i="58"/>
  <c r="W459" i="58"/>
  <c r="W460" i="58"/>
  <c r="W461" i="58"/>
  <c r="W462" i="58"/>
  <c r="W463" i="58"/>
  <c r="W464" i="58"/>
  <c r="W465" i="58"/>
  <c r="W466" i="58"/>
  <c r="W467" i="58"/>
  <c r="W468" i="58"/>
  <c r="W469" i="58"/>
  <c r="W470" i="58"/>
  <c r="W471" i="58"/>
  <c r="W472" i="58"/>
  <c r="W473" i="58"/>
  <c r="W474" i="58"/>
  <c r="W475" i="58"/>
  <c r="W476" i="58"/>
  <c r="W477" i="58"/>
  <c r="W478" i="58"/>
  <c r="W479" i="58"/>
  <c r="W480" i="58"/>
  <c r="W481" i="58"/>
  <c r="W482" i="58"/>
  <c r="W483" i="58"/>
  <c r="W484" i="58"/>
  <c r="W485" i="58"/>
  <c r="W486" i="58"/>
  <c r="W487" i="58"/>
  <c r="W488" i="58"/>
  <c r="W489" i="58"/>
  <c r="W490" i="58"/>
  <c r="W491" i="58"/>
  <c r="W492" i="58"/>
  <c r="W493" i="58"/>
  <c r="W494" i="58"/>
  <c r="W495" i="58"/>
  <c r="W496" i="58"/>
  <c r="W497" i="58"/>
  <c r="W498" i="58"/>
  <c r="W499" i="58"/>
  <c r="W500" i="58"/>
  <c r="W501" i="58"/>
  <c r="W502" i="58"/>
  <c r="W503" i="58"/>
  <c r="W504" i="58"/>
  <c r="W505" i="58"/>
  <c r="W506" i="58"/>
  <c r="W507" i="58"/>
  <c r="W508" i="58"/>
  <c r="W509" i="58"/>
  <c r="W510" i="58"/>
  <c r="W511" i="58"/>
  <c r="W512" i="58"/>
  <c r="W513" i="58"/>
  <c r="W514" i="58"/>
  <c r="W515" i="58"/>
  <c r="W516" i="58"/>
  <c r="W517" i="58"/>
  <c r="W518" i="58"/>
  <c r="W519" i="58"/>
  <c r="W520" i="58"/>
  <c r="W521" i="58"/>
  <c r="W522" i="58"/>
  <c r="W523" i="58"/>
  <c r="W524" i="58"/>
  <c r="W525" i="58"/>
  <c r="W526" i="58"/>
  <c r="W527" i="58"/>
  <c r="W528" i="58"/>
  <c r="W529" i="58"/>
  <c r="W530" i="58"/>
  <c r="W531" i="58"/>
  <c r="W532" i="58"/>
  <c r="W533" i="58"/>
  <c r="W534" i="58"/>
  <c r="W535" i="58"/>
  <c r="W536" i="58"/>
  <c r="W537" i="58"/>
  <c r="W538" i="58"/>
  <c r="W539" i="58"/>
  <c r="W540" i="58"/>
  <c r="W541" i="58"/>
  <c r="W542" i="58"/>
  <c r="W543" i="58"/>
  <c r="W544" i="58"/>
  <c r="W545" i="58"/>
  <c r="W546" i="58"/>
  <c r="W547" i="58"/>
  <c r="W548" i="58"/>
  <c r="W549" i="58"/>
  <c r="W550" i="58"/>
  <c r="W551" i="58"/>
  <c r="W552" i="58"/>
  <c r="W553" i="58"/>
  <c r="W554" i="58"/>
  <c r="W555" i="58"/>
  <c r="W556" i="58"/>
  <c r="W557" i="58"/>
  <c r="W558" i="58"/>
  <c r="W559" i="58"/>
  <c r="W560" i="58"/>
  <c r="W561" i="58"/>
  <c r="W562" i="58"/>
  <c r="W563" i="58"/>
  <c r="W564" i="58"/>
  <c r="W565" i="58"/>
  <c r="W566" i="58"/>
  <c r="W567" i="58"/>
  <c r="W568" i="58"/>
  <c r="W569" i="58"/>
  <c r="W570" i="58"/>
  <c r="W571" i="58"/>
  <c r="W572" i="58"/>
  <c r="W573" i="58"/>
  <c r="W574" i="58"/>
  <c r="W575" i="58"/>
  <c r="W576" i="58"/>
  <c r="W577" i="58"/>
  <c r="W578" i="58"/>
  <c r="W579" i="58"/>
  <c r="W580" i="58"/>
  <c r="W581" i="58"/>
  <c r="W582" i="58"/>
  <c r="W583" i="58"/>
  <c r="W584" i="58"/>
  <c r="W585" i="58"/>
  <c r="W586" i="58"/>
  <c r="W587" i="58"/>
  <c r="W588" i="58"/>
  <c r="W589" i="58"/>
  <c r="W590" i="58"/>
  <c r="W591" i="58"/>
  <c r="W592" i="58"/>
  <c r="X344" i="58"/>
  <c r="X345" i="58"/>
  <c r="X346" i="58"/>
  <c r="X347" i="58"/>
  <c r="X348" i="58"/>
  <c r="X349" i="58"/>
  <c r="X350" i="58"/>
  <c r="X351" i="58"/>
  <c r="X352" i="58"/>
  <c r="X353" i="58"/>
  <c r="X354" i="58"/>
  <c r="X355" i="58"/>
  <c r="X356" i="58"/>
  <c r="X357" i="58"/>
  <c r="X358" i="58"/>
  <c r="X359" i="58"/>
  <c r="X360" i="58"/>
  <c r="X361" i="58"/>
  <c r="X362" i="58"/>
  <c r="X363" i="58"/>
  <c r="X364" i="58"/>
  <c r="X365" i="58"/>
  <c r="X366" i="58"/>
  <c r="X367" i="58"/>
  <c r="X368" i="58"/>
  <c r="X369" i="58"/>
  <c r="X370" i="58"/>
  <c r="X371" i="58"/>
  <c r="X372" i="58"/>
  <c r="X373" i="58"/>
  <c r="X374" i="58"/>
  <c r="X375" i="58"/>
  <c r="X376" i="58"/>
  <c r="X377" i="58"/>
  <c r="X378" i="58"/>
  <c r="X379" i="58"/>
  <c r="X380" i="58"/>
  <c r="X381" i="58"/>
  <c r="X382" i="58"/>
  <c r="X383" i="58"/>
  <c r="X384" i="58"/>
  <c r="X385" i="58"/>
  <c r="X386" i="58"/>
  <c r="X387" i="58"/>
  <c r="X388" i="58"/>
  <c r="X389" i="58"/>
  <c r="X390" i="58"/>
  <c r="X391" i="58"/>
  <c r="X392" i="58"/>
  <c r="X393" i="58"/>
  <c r="X394" i="58"/>
  <c r="X395" i="58"/>
  <c r="X396" i="58"/>
  <c r="X397" i="58"/>
  <c r="X398" i="58"/>
  <c r="X399" i="58"/>
  <c r="X400" i="58"/>
  <c r="X401" i="58"/>
  <c r="X402" i="58"/>
  <c r="X403" i="58"/>
  <c r="X404" i="58"/>
  <c r="X405" i="58"/>
  <c r="X406" i="58"/>
  <c r="X407" i="58"/>
  <c r="X408" i="58"/>
  <c r="X409" i="58"/>
  <c r="X410" i="58"/>
  <c r="X411" i="58"/>
  <c r="X412" i="58"/>
  <c r="X413" i="58"/>
  <c r="X414" i="58"/>
  <c r="X415" i="58"/>
  <c r="X416" i="58"/>
  <c r="X417" i="58"/>
  <c r="X418" i="58"/>
  <c r="X419" i="58"/>
  <c r="X420" i="58"/>
  <c r="X421" i="58"/>
  <c r="X422" i="58"/>
  <c r="X423" i="58"/>
  <c r="X424" i="58"/>
  <c r="X425" i="58"/>
  <c r="X426" i="58"/>
  <c r="X427" i="58"/>
  <c r="X428" i="58"/>
  <c r="X429" i="58"/>
  <c r="X430" i="58"/>
  <c r="X431" i="58"/>
  <c r="X432" i="58"/>
  <c r="X433" i="58"/>
  <c r="X434" i="58"/>
  <c r="X435" i="58"/>
  <c r="X436" i="58"/>
  <c r="X437" i="58"/>
  <c r="X438" i="58"/>
  <c r="X439" i="58"/>
  <c r="X440" i="58"/>
  <c r="X441" i="58"/>
  <c r="X442" i="58"/>
  <c r="X443" i="58"/>
  <c r="X444" i="58"/>
  <c r="X445" i="58"/>
  <c r="X446" i="58"/>
  <c r="X447" i="58"/>
  <c r="X448" i="58"/>
  <c r="X449" i="58"/>
  <c r="X450" i="58"/>
  <c r="X451" i="58"/>
  <c r="X452" i="58"/>
  <c r="X453" i="58"/>
  <c r="X454" i="58"/>
  <c r="X455" i="58"/>
  <c r="X456" i="58"/>
  <c r="X457" i="58"/>
  <c r="X458" i="58"/>
  <c r="X459" i="58"/>
  <c r="X460" i="58"/>
  <c r="X461" i="58"/>
  <c r="X462" i="58"/>
  <c r="X463" i="58"/>
  <c r="X464" i="58"/>
  <c r="X465" i="58"/>
  <c r="X466" i="58"/>
  <c r="X467" i="58"/>
  <c r="X468" i="58"/>
  <c r="X469" i="58"/>
  <c r="X470" i="58"/>
  <c r="X471" i="58"/>
  <c r="X472" i="58"/>
  <c r="X473" i="58"/>
  <c r="X474" i="58"/>
  <c r="X475" i="58"/>
  <c r="X476" i="58"/>
  <c r="X477" i="58"/>
  <c r="X478" i="58"/>
  <c r="X479" i="58"/>
  <c r="X480" i="58"/>
  <c r="X481" i="58"/>
  <c r="X482" i="58"/>
  <c r="X483" i="58"/>
  <c r="X484" i="58"/>
  <c r="X485" i="58"/>
  <c r="X486" i="58"/>
  <c r="X487" i="58"/>
  <c r="X488" i="58"/>
  <c r="X489" i="58"/>
  <c r="X490" i="58"/>
  <c r="X491" i="58"/>
  <c r="X492" i="58"/>
  <c r="X493" i="58"/>
  <c r="X494" i="58"/>
  <c r="X495" i="58"/>
  <c r="X496" i="58"/>
  <c r="X497" i="58"/>
  <c r="X498" i="58"/>
  <c r="X499" i="58"/>
  <c r="X500" i="58"/>
  <c r="X501" i="58"/>
  <c r="X502" i="58"/>
  <c r="X503" i="58"/>
  <c r="X504" i="58"/>
  <c r="X505" i="58"/>
  <c r="X506" i="58"/>
  <c r="X507" i="58"/>
  <c r="X508" i="58"/>
  <c r="X509" i="58"/>
  <c r="X510" i="58"/>
  <c r="X511" i="58"/>
  <c r="X512" i="58"/>
  <c r="X513" i="58"/>
  <c r="X514" i="58"/>
  <c r="X515" i="58"/>
  <c r="X516" i="58"/>
  <c r="X517" i="58"/>
  <c r="X518" i="58"/>
  <c r="X519" i="58"/>
  <c r="X520" i="58"/>
  <c r="X521" i="58"/>
  <c r="X522" i="58"/>
  <c r="X523" i="58"/>
  <c r="X524" i="58"/>
  <c r="X525" i="58"/>
  <c r="X526" i="58"/>
  <c r="X527" i="58"/>
  <c r="X528" i="58"/>
  <c r="X529" i="58"/>
  <c r="X530" i="58"/>
  <c r="X531" i="58"/>
  <c r="X532" i="58"/>
  <c r="X533" i="58"/>
  <c r="X534" i="58"/>
  <c r="X535" i="58"/>
  <c r="X536" i="58"/>
  <c r="X537" i="58"/>
  <c r="X538" i="58"/>
  <c r="X539" i="58"/>
  <c r="X540" i="58"/>
  <c r="X541" i="58"/>
  <c r="X542" i="58"/>
  <c r="X543" i="58"/>
  <c r="X544" i="58"/>
  <c r="X545" i="58"/>
  <c r="X546" i="58"/>
  <c r="X547" i="58"/>
  <c r="X548" i="58"/>
  <c r="X549" i="58"/>
  <c r="X550" i="58"/>
  <c r="X551" i="58"/>
  <c r="X552" i="58"/>
  <c r="X553" i="58"/>
  <c r="X554" i="58"/>
  <c r="X555" i="58"/>
  <c r="X556" i="58"/>
  <c r="X557" i="58"/>
  <c r="X558" i="58"/>
  <c r="X559" i="58"/>
  <c r="X560" i="58"/>
  <c r="X561" i="58"/>
  <c r="X562" i="58"/>
  <c r="X563" i="58"/>
  <c r="X564" i="58"/>
  <c r="X565" i="58"/>
  <c r="X566" i="58"/>
  <c r="X567" i="58"/>
  <c r="X568" i="58"/>
  <c r="X569" i="58"/>
  <c r="X570" i="58"/>
  <c r="X571" i="58"/>
  <c r="X572" i="58"/>
  <c r="X573" i="58"/>
  <c r="X574" i="58"/>
  <c r="X575" i="58"/>
  <c r="X576" i="58"/>
  <c r="X577" i="58"/>
  <c r="X578" i="58"/>
  <c r="X579" i="58"/>
  <c r="X580" i="58"/>
  <c r="X581" i="58"/>
  <c r="X582" i="58"/>
  <c r="X583" i="58"/>
  <c r="X584" i="58"/>
  <c r="X585" i="58"/>
  <c r="X586" i="58"/>
  <c r="X587" i="58"/>
  <c r="X588" i="58"/>
  <c r="X589" i="58"/>
  <c r="X590" i="58"/>
  <c r="X591" i="58"/>
  <c r="X592" i="58"/>
  <c r="Y344" i="58"/>
  <c r="Y345" i="58"/>
  <c r="Y346" i="58"/>
  <c r="Y347" i="58"/>
  <c r="Y348" i="58"/>
  <c r="Y349" i="58"/>
  <c r="Y350" i="58"/>
  <c r="Y351" i="58"/>
  <c r="Y352" i="58"/>
  <c r="Y353" i="58"/>
  <c r="Y354" i="58"/>
  <c r="Y355" i="58"/>
  <c r="Y356" i="58"/>
  <c r="Y357" i="58"/>
  <c r="Y358" i="58"/>
  <c r="Y359" i="58"/>
  <c r="Y360" i="58"/>
  <c r="Y361" i="58"/>
  <c r="Y362" i="58"/>
  <c r="Y363" i="58"/>
  <c r="Y364" i="58"/>
  <c r="Y365" i="58"/>
  <c r="Y366" i="58"/>
  <c r="Y367" i="58"/>
  <c r="Y368" i="58"/>
  <c r="Y369" i="58"/>
  <c r="Y370" i="58"/>
  <c r="Y371" i="58"/>
  <c r="Y372" i="58"/>
  <c r="Y373" i="58"/>
  <c r="Y374" i="58"/>
  <c r="Y375" i="58"/>
  <c r="Y376" i="58"/>
  <c r="Y377" i="58"/>
  <c r="Y378" i="58"/>
  <c r="Y379" i="58"/>
  <c r="Y380" i="58"/>
  <c r="Y381" i="58"/>
  <c r="Y382" i="58"/>
  <c r="Y383" i="58"/>
  <c r="Y384" i="58"/>
  <c r="Y385" i="58"/>
  <c r="Y386" i="58"/>
  <c r="Y387" i="58"/>
  <c r="Y388" i="58"/>
  <c r="Y389" i="58"/>
  <c r="Y390" i="58"/>
  <c r="Y391" i="58"/>
  <c r="Y392" i="58"/>
  <c r="Y393" i="58"/>
  <c r="Y394" i="58"/>
  <c r="Y395" i="58"/>
  <c r="Y396" i="58"/>
  <c r="Y397" i="58"/>
  <c r="Y398" i="58"/>
  <c r="Y399" i="58"/>
  <c r="Y400" i="58"/>
  <c r="Y401" i="58"/>
  <c r="Y402" i="58"/>
  <c r="Y403" i="58"/>
  <c r="Y404" i="58"/>
  <c r="Y405" i="58"/>
  <c r="Y406" i="58"/>
  <c r="Y407" i="58"/>
  <c r="Y408" i="58"/>
  <c r="Y409" i="58"/>
  <c r="Y410" i="58"/>
  <c r="Y411" i="58"/>
  <c r="Y412" i="58"/>
  <c r="Y413" i="58"/>
  <c r="Y414" i="58"/>
  <c r="Y415" i="58"/>
  <c r="Y416" i="58"/>
  <c r="Y417" i="58"/>
  <c r="Y418" i="58"/>
  <c r="Y419" i="58"/>
  <c r="Y420" i="58"/>
  <c r="Y421" i="58"/>
  <c r="Y422" i="58"/>
  <c r="Y423" i="58"/>
  <c r="Y424" i="58"/>
  <c r="Y425" i="58"/>
  <c r="Y426" i="58"/>
  <c r="Y427" i="58"/>
  <c r="Y428" i="58"/>
  <c r="Y429" i="58"/>
  <c r="Y430" i="58"/>
  <c r="Y431" i="58"/>
  <c r="Y432" i="58"/>
  <c r="Y433" i="58"/>
  <c r="Y434" i="58"/>
  <c r="Y435" i="58"/>
  <c r="Y436" i="58"/>
  <c r="Y437" i="58"/>
  <c r="Y438" i="58"/>
  <c r="Y439" i="58"/>
  <c r="Y440" i="58"/>
  <c r="Y441" i="58"/>
  <c r="Y442" i="58"/>
  <c r="Y443" i="58"/>
  <c r="Y444" i="58"/>
  <c r="Y445" i="58"/>
  <c r="Y446" i="58"/>
  <c r="Y447" i="58"/>
  <c r="Y448" i="58"/>
  <c r="Y449" i="58"/>
  <c r="Y450" i="58"/>
  <c r="Y451" i="58"/>
  <c r="Y452" i="58"/>
  <c r="Y453" i="58"/>
  <c r="Y454" i="58"/>
  <c r="Y455" i="58"/>
  <c r="Y456" i="58"/>
  <c r="Y457" i="58"/>
  <c r="Y458" i="58"/>
  <c r="Y459" i="58"/>
  <c r="Y460" i="58"/>
  <c r="Y461" i="58"/>
  <c r="Y462" i="58"/>
  <c r="Y463" i="58"/>
  <c r="Y464" i="58"/>
  <c r="Y465" i="58"/>
  <c r="Y466" i="58"/>
  <c r="Y467" i="58"/>
  <c r="Y468" i="58"/>
  <c r="Y469" i="58"/>
  <c r="Y470" i="58"/>
  <c r="Y471" i="58"/>
  <c r="Y472" i="58"/>
  <c r="Y473" i="58"/>
  <c r="Y474" i="58"/>
  <c r="Y475" i="58"/>
  <c r="Y476" i="58"/>
  <c r="Y477" i="58"/>
  <c r="Y478" i="58"/>
  <c r="Y479" i="58"/>
  <c r="Y480" i="58"/>
  <c r="Y481" i="58"/>
  <c r="Y482" i="58"/>
  <c r="Y483" i="58"/>
  <c r="Y484" i="58"/>
  <c r="Y485" i="58"/>
  <c r="Y486" i="58"/>
  <c r="Y487" i="58"/>
  <c r="Y488" i="58"/>
  <c r="Y489" i="58"/>
  <c r="Y490" i="58"/>
  <c r="Y491" i="58"/>
  <c r="Y492" i="58"/>
  <c r="Y493" i="58"/>
  <c r="Y494" i="58"/>
  <c r="Y495" i="58"/>
  <c r="Y496" i="58"/>
  <c r="Y497" i="58"/>
  <c r="Y498" i="58"/>
  <c r="Y499" i="58"/>
  <c r="Y500" i="58"/>
  <c r="Y501" i="58"/>
  <c r="Y502" i="58"/>
  <c r="Y503" i="58"/>
  <c r="Y504" i="58"/>
  <c r="Y505" i="58"/>
  <c r="Y506" i="58"/>
  <c r="Y507" i="58"/>
  <c r="Y508" i="58"/>
  <c r="Y509" i="58"/>
  <c r="Y510" i="58"/>
  <c r="Y511" i="58"/>
  <c r="Y512" i="58"/>
  <c r="Y513" i="58"/>
  <c r="Y514" i="58"/>
  <c r="Y515" i="58"/>
  <c r="Y516" i="58"/>
  <c r="Y517" i="58"/>
  <c r="Y518" i="58"/>
  <c r="Y519" i="58"/>
  <c r="Y520" i="58"/>
  <c r="Y521" i="58"/>
  <c r="Y522" i="58"/>
  <c r="Y523" i="58"/>
  <c r="Y524" i="58"/>
  <c r="Y525" i="58"/>
  <c r="Y526" i="58"/>
  <c r="Y527" i="58"/>
  <c r="Y528" i="58"/>
  <c r="Y529" i="58"/>
  <c r="Y530" i="58"/>
  <c r="Y531" i="58"/>
  <c r="Y532" i="58"/>
  <c r="Y533" i="58"/>
  <c r="Y534" i="58"/>
  <c r="Y535" i="58"/>
  <c r="Y536" i="58"/>
  <c r="Y537" i="58"/>
  <c r="Y538" i="58"/>
  <c r="Y539" i="58"/>
  <c r="Y540" i="58"/>
  <c r="Y541" i="58"/>
  <c r="Y542" i="58"/>
  <c r="Y543" i="58"/>
  <c r="Y544" i="58"/>
  <c r="Y545" i="58"/>
  <c r="Y546" i="58"/>
  <c r="Y547" i="58"/>
  <c r="Y548" i="58"/>
  <c r="Y549" i="58"/>
  <c r="Y550" i="58"/>
  <c r="Y551" i="58"/>
  <c r="Y552" i="58"/>
  <c r="Y553" i="58"/>
  <c r="Y554" i="58"/>
  <c r="Y555" i="58"/>
  <c r="Y556" i="58"/>
  <c r="Y557" i="58"/>
  <c r="Y558" i="58"/>
  <c r="Y559" i="58"/>
  <c r="Y560" i="58"/>
  <c r="Y561" i="58"/>
  <c r="Y562" i="58"/>
  <c r="Y563" i="58"/>
  <c r="Y564" i="58"/>
  <c r="Y565" i="58"/>
  <c r="Y566" i="58"/>
  <c r="Y567" i="58"/>
  <c r="Y568" i="58"/>
  <c r="Y569" i="58"/>
  <c r="Y570" i="58"/>
  <c r="Y571" i="58"/>
  <c r="Y572" i="58"/>
  <c r="Y573" i="58"/>
  <c r="Y574" i="58"/>
  <c r="Y575" i="58"/>
  <c r="Y576" i="58"/>
  <c r="Y577" i="58"/>
  <c r="Y578" i="58"/>
  <c r="Y579" i="58"/>
  <c r="Y580" i="58"/>
  <c r="Y581" i="58"/>
  <c r="Y582" i="58"/>
  <c r="Y583" i="58"/>
  <c r="Y584" i="58"/>
  <c r="Y585" i="58"/>
  <c r="Y586" i="58"/>
  <c r="Y587" i="58"/>
  <c r="Y588" i="58"/>
  <c r="Y589" i="58"/>
  <c r="Y590" i="58"/>
  <c r="Y591" i="58"/>
  <c r="Y592" i="58"/>
  <c r="Z344" i="58"/>
  <c r="Z345" i="58"/>
  <c r="Z346" i="58"/>
  <c r="Z347" i="58"/>
  <c r="Z348" i="58"/>
  <c r="Z349" i="58"/>
  <c r="Z350" i="58"/>
  <c r="Z351" i="58"/>
  <c r="Z352" i="58"/>
  <c r="Z353" i="58"/>
  <c r="Z354" i="58"/>
  <c r="Z355" i="58"/>
  <c r="Z356" i="58"/>
  <c r="Z357" i="58"/>
  <c r="Z358" i="58"/>
  <c r="Z359" i="58"/>
  <c r="Z360" i="58"/>
  <c r="Z361" i="58"/>
  <c r="Z362" i="58"/>
  <c r="Z363" i="58"/>
  <c r="Z364" i="58"/>
  <c r="Z365" i="58"/>
  <c r="Z366" i="58"/>
  <c r="Z367" i="58"/>
  <c r="Z368" i="58"/>
  <c r="Z369" i="58"/>
  <c r="Z370" i="58"/>
  <c r="Z371" i="58"/>
  <c r="Z372" i="58"/>
  <c r="Z373" i="58"/>
  <c r="Z374" i="58"/>
  <c r="Z375" i="58"/>
  <c r="Z376" i="58"/>
  <c r="Z377" i="58"/>
  <c r="Z378" i="58"/>
  <c r="Z379" i="58"/>
  <c r="Z380" i="58"/>
  <c r="Z381" i="58"/>
  <c r="Z382" i="58"/>
  <c r="Z383" i="58"/>
  <c r="Z384" i="58"/>
  <c r="Z385" i="58"/>
  <c r="Z386" i="58"/>
  <c r="Z387" i="58"/>
  <c r="Z388" i="58"/>
  <c r="Z389" i="58"/>
  <c r="Z390" i="58"/>
  <c r="Z391" i="58"/>
  <c r="Z392" i="58"/>
  <c r="Z393" i="58"/>
  <c r="Z394" i="58"/>
  <c r="Z395" i="58"/>
  <c r="Z396" i="58"/>
  <c r="Z397" i="58"/>
  <c r="Z398" i="58"/>
  <c r="Z399" i="58"/>
  <c r="Z400" i="58"/>
  <c r="Z401" i="58"/>
  <c r="Z402" i="58"/>
  <c r="Z403" i="58"/>
  <c r="Z404" i="58"/>
  <c r="Z405" i="58"/>
  <c r="Z406" i="58"/>
  <c r="Z407" i="58"/>
  <c r="Z408" i="58"/>
  <c r="Z409" i="58"/>
  <c r="Z410" i="58"/>
  <c r="Z411" i="58"/>
  <c r="Z412" i="58"/>
  <c r="Z413" i="58"/>
  <c r="Z414" i="58"/>
  <c r="Z415" i="58"/>
  <c r="Z416" i="58"/>
  <c r="Z417" i="58"/>
  <c r="Z418" i="58"/>
  <c r="Z419" i="58"/>
  <c r="Z420" i="58"/>
  <c r="Z421" i="58"/>
  <c r="Z422" i="58"/>
  <c r="Z423" i="58"/>
  <c r="Z424" i="58"/>
  <c r="Z425" i="58"/>
  <c r="Z426" i="58"/>
  <c r="Z427" i="58"/>
  <c r="Z428" i="58"/>
  <c r="Z429" i="58"/>
  <c r="Z430" i="58"/>
  <c r="Z431" i="58"/>
  <c r="Z432" i="58"/>
  <c r="Z433" i="58"/>
  <c r="Z434" i="58"/>
  <c r="Z435" i="58"/>
  <c r="Z436" i="58"/>
  <c r="Z437" i="58"/>
  <c r="Z438" i="58"/>
  <c r="Z439" i="58"/>
  <c r="Z440" i="58"/>
  <c r="Z441" i="58"/>
  <c r="Z442" i="58"/>
  <c r="Z443" i="58"/>
  <c r="Z444" i="58"/>
  <c r="Z445" i="58"/>
  <c r="Z446" i="58"/>
  <c r="Z447" i="58"/>
  <c r="Z448" i="58"/>
  <c r="Z449" i="58"/>
  <c r="Z450" i="58"/>
  <c r="Z451" i="58"/>
  <c r="Z452" i="58"/>
  <c r="Z453" i="58"/>
  <c r="Z454" i="58"/>
  <c r="Z455" i="58"/>
  <c r="Z456" i="58"/>
  <c r="Z457" i="58"/>
  <c r="Z458" i="58"/>
  <c r="Z459" i="58"/>
  <c r="Z460" i="58"/>
  <c r="Z461" i="58"/>
  <c r="Z462" i="58"/>
  <c r="Z463" i="58"/>
  <c r="Z464" i="58"/>
  <c r="Z465" i="58"/>
  <c r="Z466" i="58"/>
  <c r="Z467" i="58"/>
  <c r="Z468" i="58"/>
  <c r="Z469" i="58"/>
  <c r="Z470" i="58"/>
  <c r="Z471" i="58"/>
  <c r="Z472" i="58"/>
  <c r="Z473" i="58"/>
  <c r="Z474" i="58"/>
  <c r="Z475" i="58"/>
  <c r="Z476" i="58"/>
  <c r="Z477" i="58"/>
  <c r="Z478" i="58"/>
  <c r="Z479" i="58"/>
  <c r="Z480" i="58"/>
  <c r="Z481" i="58"/>
  <c r="Z482" i="58"/>
  <c r="Z483" i="58"/>
  <c r="Z484" i="58"/>
  <c r="Z485" i="58"/>
  <c r="Z486" i="58"/>
  <c r="Z487" i="58"/>
  <c r="Z488" i="58"/>
  <c r="Z489" i="58"/>
  <c r="Z490" i="58"/>
  <c r="Z491" i="58"/>
  <c r="Z492" i="58"/>
  <c r="Z493" i="58"/>
  <c r="Z494" i="58"/>
  <c r="Z495" i="58"/>
  <c r="Z496" i="58"/>
  <c r="Z497" i="58"/>
  <c r="Z498" i="58"/>
  <c r="Z499" i="58"/>
  <c r="Z500" i="58"/>
  <c r="Z501" i="58"/>
  <c r="Z502" i="58"/>
  <c r="Z503" i="58"/>
  <c r="Z504" i="58"/>
  <c r="Z505" i="58"/>
  <c r="Z506" i="58"/>
  <c r="Z507" i="58"/>
  <c r="Z508" i="58"/>
  <c r="Z509" i="58"/>
  <c r="Z510" i="58"/>
  <c r="Z511" i="58"/>
  <c r="Z512" i="58"/>
  <c r="Z513" i="58"/>
  <c r="Z514" i="58"/>
  <c r="Z515" i="58"/>
  <c r="Z516" i="58"/>
  <c r="Z517" i="58"/>
  <c r="Z518" i="58"/>
  <c r="Z519" i="58"/>
  <c r="Z520" i="58"/>
  <c r="Z521" i="58"/>
  <c r="Z522" i="58"/>
  <c r="Z523" i="58"/>
  <c r="Z524" i="58"/>
  <c r="Z525" i="58"/>
  <c r="Z526" i="58"/>
  <c r="Z527" i="58"/>
  <c r="Z528" i="58"/>
  <c r="Z529" i="58"/>
  <c r="Z530" i="58"/>
  <c r="Z531" i="58"/>
  <c r="Z532" i="58"/>
  <c r="Z533" i="58"/>
  <c r="Z534" i="58"/>
  <c r="Z535" i="58"/>
  <c r="Z536" i="58"/>
  <c r="Z537" i="58"/>
  <c r="Z538" i="58"/>
  <c r="Z539" i="58"/>
  <c r="Z540" i="58"/>
  <c r="Z541" i="58"/>
  <c r="Z542" i="58"/>
  <c r="Z543" i="58"/>
  <c r="Z544" i="58"/>
  <c r="Z545" i="58"/>
  <c r="Z546" i="58"/>
  <c r="Z547" i="58"/>
  <c r="Z548" i="58"/>
  <c r="Z549" i="58"/>
  <c r="Z550" i="58"/>
  <c r="Z551" i="58"/>
  <c r="Z552" i="58"/>
  <c r="Z553" i="58"/>
  <c r="Z554" i="58"/>
  <c r="Z555" i="58"/>
  <c r="Z556" i="58"/>
  <c r="Z557" i="58"/>
  <c r="Z558" i="58"/>
  <c r="Z559" i="58"/>
  <c r="Z560" i="58"/>
  <c r="Z561" i="58"/>
  <c r="Z562" i="58"/>
  <c r="Z563" i="58"/>
  <c r="Z564" i="58"/>
  <c r="Z565" i="58"/>
  <c r="Z566" i="58"/>
  <c r="Z567" i="58"/>
  <c r="Z568" i="58"/>
  <c r="Z569" i="58"/>
  <c r="Z570" i="58"/>
  <c r="Z571" i="58"/>
  <c r="Z572" i="58"/>
  <c r="Z573" i="58"/>
  <c r="Z574" i="58"/>
  <c r="Z575" i="58"/>
  <c r="Z576" i="58"/>
  <c r="Z577" i="58"/>
  <c r="Z578" i="58"/>
  <c r="Z579" i="58"/>
  <c r="Z580" i="58"/>
  <c r="Z581" i="58"/>
  <c r="Z582" i="58"/>
  <c r="Z583" i="58"/>
  <c r="Z584" i="58"/>
  <c r="Z585" i="58"/>
  <c r="Z586" i="58"/>
  <c r="Z587" i="58"/>
  <c r="Z588" i="58"/>
  <c r="Z589" i="58"/>
  <c r="Z590" i="58"/>
  <c r="Z591" i="58"/>
  <c r="Z592" i="58"/>
  <c r="D592" i="58" l="1"/>
  <c r="D586" i="58"/>
  <c r="D580" i="58"/>
  <c r="E591" i="58"/>
  <c r="E585" i="58"/>
  <c r="E579" i="58"/>
  <c r="E590" i="58"/>
  <c r="E584" i="58"/>
  <c r="E578" i="58"/>
  <c r="E589" i="58"/>
  <c r="E583" i="58"/>
  <c r="D588" i="58"/>
  <c r="D582" i="58"/>
  <c r="D587" i="58"/>
  <c r="D581" i="58"/>
  <c r="D574" i="58"/>
  <c r="D568" i="58"/>
  <c r="D562" i="58"/>
  <c r="D556" i="58"/>
  <c r="D550" i="58"/>
  <c r="D544" i="58"/>
  <c r="E573" i="58"/>
  <c r="E567" i="58"/>
  <c r="E561" i="58"/>
  <c r="E555" i="58"/>
  <c r="E549" i="58"/>
  <c r="E543" i="58"/>
  <c r="E572" i="58"/>
  <c r="E566" i="58"/>
  <c r="E560" i="58"/>
  <c r="E554" i="58"/>
  <c r="E548" i="58"/>
  <c r="E542" i="58"/>
  <c r="E577" i="58"/>
  <c r="E571" i="58"/>
  <c r="E565" i="58"/>
  <c r="E559" i="58"/>
  <c r="E553" i="58"/>
  <c r="E547" i="58"/>
  <c r="E541" i="58"/>
  <c r="D576" i="58"/>
  <c r="D570" i="58"/>
  <c r="D564" i="58"/>
  <c r="D558" i="58"/>
  <c r="D552" i="58"/>
  <c r="D546" i="58"/>
  <c r="D540" i="58"/>
  <c r="D575" i="58"/>
  <c r="D569" i="58"/>
  <c r="D563" i="58"/>
  <c r="D557" i="58"/>
  <c r="D551" i="58"/>
  <c r="D545" i="58"/>
  <c r="D539" i="58"/>
  <c r="D538" i="58"/>
  <c r="D532" i="58"/>
  <c r="D526" i="58"/>
  <c r="D520" i="58"/>
  <c r="D514" i="58"/>
  <c r="D508" i="58"/>
  <c r="E537" i="58"/>
  <c r="E531" i="58"/>
  <c r="E525" i="58"/>
  <c r="E519" i="58"/>
  <c r="E513" i="58"/>
  <c r="E507" i="58"/>
  <c r="E536" i="58"/>
  <c r="E530" i="58"/>
  <c r="E524" i="58"/>
  <c r="E518" i="58"/>
  <c r="E512" i="58"/>
  <c r="E535" i="58"/>
  <c r="E529" i="58"/>
  <c r="E523" i="58"/>
  <c r="E517" i="58"/>
  <c r="E511" i="58"/>
  <c r="D534" i="58"/>
  <c r="D528" i="58"/>
  <c r="D522" i="58"/>
  <c r="D516" i="58"/>
  <c r="D510" i="58"/>
  <c r="D533" i="58"/>
  <c r="D527" i="58"/>
  <c r="D521" i="58"/>
  <c r="D515" i="58"/>
  <c r="D509" i="58"/>
  <c r="D502" i="58"/>
  <c r="D496" i="58"/>
  <c r="D490" i="58"/>
  <c r="D484" i="58"/>
  <c r="D478" i="58"/>
  <c r="E501" i="58"/>
  <c r="E483" i="58"/>
  <c r="E506" i="58"/>
  <c r="E500" i="58"/>
  <c r="E494" i="58"/>
  <c r="E488" i="58"/>
  <c r="E482" i="58"/>
  <c r="E476" i="58"/>
  <c r="E495" i="58"/>
  <c r="E477" i="58"/>
  <c r="E505" i="58"/>
  <c r="E499" i="58"/>
  <c r="E493" i="58"/>
  <c r="E487" i="58"/>
  <c r="E481" i="58"/>
  <c r="E475" i="58"/>
  <c r="E489" i="58"/>
  <c r="D504" i="58"/>
  <c r="D498" i="58"/>
  <c r="D492" i="58"/>
  <c r="D486" i="58"/>
  <c r="D480" i="58"/>
  <c r="D503" i="58"/>
  <c r="D497" i="58"/>
  <c r="D491" i="58"/>
  <c r="D485" i="58"/>
  <c r="D479" i="58"/>
  <c r="D472" i="58"/>
  <c r="D466" i="58"/>
  <c r="D460" i="58"/>
  <c r="D454" i="58"/>
  <c r="D448" i="58"/>
  <c r="E471" i="58"/>
  <c r="E465" i="58"/>
  <c r="E459" i="58"/>
  <c r="E453" i="58"/>
  <c r="E470" i="58"/>
  <c r="E464" i="58"/>
  <c r="E458" i="58"/>
  <c r="E452" i="58"/>
  <c r="E469" i="58"/>
  <c r="E463" i="58"/>
  <c r="E457" i="58"/>
  <c r="E451" i="58"/>
  <c r="D474" i="58"/>
  <c r="D468" i="58"/>
  <c r="D462" i="58"/>
  <c r="D456" i="58"/>
  <c r="D450" i="58"/>
  <c r="D473" i="58"/>
  <c r="D467" i="58"/>
  <c r="D461" i="58"/>
  <c r="D455" i="58"/>
  <c r="D449" i="58"/>
  <c r="E447" i="58"/>
  <c r="E446" i="58"/>
  <c r="D442" i="58"/>
  <c r="D436" i="58"/>
  <c r="D430" i="58"/>
  <c r="D424" i="58"/>
  <c r="D418" i="58"/>
  <c r="D412" i="58"/>
  <c r="E441" i="58"/>
  <c r="E435" i="58"/>
  <c r="E429" i="58"/>
  <c r="D423" i="58"/>
  <c r="D417" i="58"/>
  <c r="D411" i="58"/>
  <c r="E440" i="58"/>
  <c r="E434" i="58"/>
  <c r="E428" i="58"/>
  <c r="E422" i="58"/>
  <c r="E416" i="58"/>
  <c r="E410" i="58"/>
  <c r="E445" i="58"/>
  <c r="E439" i="58"/>
  <c r="E433" i="58"/>
  <c r="E427" i="58"/>
  <c r="E421" i="58"/>
  <c r="E415" i="58"/>
  <c r="D444" i="58"/>
  <c r="D438" i="58"/>
  <c r="D432" i="58"/>
  <c r="D426" i="58"/>
  <c r="D420" i="58"/>
  <c r="D414" i="58"/>
  <c r="D443" i="58"/>
  <c r="D437" i="58"/>
  <c r="D431" i="58"/>
  <c r="D425" i="58"/>
  <c r="D419" i="58"/>
  <c r="D413" i="58"/>
  <c r="D393" i="58"/>
  <c r="D363" i="58"/>
  <c r="D406" i="58"/>
  <c r="D400" i="58"/>
  <c r="D394" i="58"/>
  <c r="D388" i="58"/>
  <c r="D382" i="58"/>
  <c r="D376" i="58"/>
  <c r="D370" i="58"/>
  <c r="D364" i="58"/>
  <c r="D399" i="58"/>
  <c r="D375" i="58"/>
  <c r="E404" i="58"/>
  <c r="E398" i="58"/>
  <c r="E392" i="58"/>
  <c r="E386" i="58"/>
  <c r="E380" i="58"/>
  <c r="E374" i="58"/>
  <c r="E368" i="58"/>
  <c r="E362" i="58"/>
  <c r="D405" i="58"/>
  <c r="D369" i="58"/>
  <c r="E409" i="58"/>
  <c r="E403" i="58"/>
  <c r="E397" i="58"/>
  <c r="E391" i="58"/>
  <c r="E385" i="58"/>
  <c r="E379" i="58"/>
  <c r="E373" i="58"/>
  <c r="E367" i="58"/>
  <c r="E361" i="58"/>
  <c r="D381" i="58"/>
  <c r="D408" i="58"/>
  <c r="D402" i="58"/>
  <c r="D396" i="58"/>
  <c r="D390" i="58"/>
  <c r="D384" i="58"/>
  <c r="D378" i="58"/>
  <c r="D372" i="58"/>
  <c r="D366" i="58"/>
  <c r="D387" i="58"/>
  <c r="D407" i="58"/>
  <c r="D401" i="58"/>
  <c r="D395" i="58"/>
  <c r="D389" i="58"/>
  <c r="D383" i="58"/>
  <c r="D377" i="58"/>
  <c r="D371" i="58"/>
  <c r="D365" i="58"/>
  <c r="D358" i="58"/>
  <c r="D352" i="58"/>
  <c r="D346" i="58"/>
  <c r="D357" i="58"/>
  <c r="D351" i="58"/>
  <c r="D345" i="58"/>
  <c r="E356" i="58"/>
  <c r="E350" i="58"/>
  <c r="E344" i="58"/>
  <c r="E355" i="58"/>
  <c r="E349" i="58"/>
  <c r="D360" i="58"/>
  <c r="D354" i="58"/>
  <c r="D348" i="58"/>
  <c r="D359" i="58"/>
  <c r="D353" i="58"/>
  <c r="D347" i="58"/>
  <c r="Y257" i="58"/>
  <c r="Y265" i="58"/>
  <c r="Y253" i="58"/>
  <c r="Y260" i="58"/>
  <c r="Y263" i="58"/>
  <c r="Y254" i="58"/>
  <c r="Y261" i="58"/>
  <c r="Y255" i="58"/>
  <c r="E352" i="58"/>
  <c r="E423" i="58"/>
  <c r="Y262" i="58"/>
  <c r="Y256" i="58"/>
  <c r="Y264" i="58"/>
  <c r="Y258" i="58"/>
  <c r="Y252" i="58"/>
  <c r="E376" i="58"/>
  <c r="E381" i="58"/>
  <c r="E357" i="58"/>
  <c r="E417" i="58"/>
  <c r="E375" i="58"/>
  <c r="E345" i="58"/>
  <c r="E399" i="58"/>
  <c r="E370" i="58"/>
  <c r="E394" i="58"/>
  <c r="E363" i="58"/>
  <c r="E393" i="58"/>
  <c r="E358" i="58"/>
  <c r="E400" i="58"/>
  <c r="E382" i="58"/>
  <c r="E364" i="58"/>
  <c r="E346" i="58"/>
  <c r="E411" i="58"/>
  <c r="E388" i="58"/>
  <c r="E405" i="58"/>
  <c r="E387" i="58"/>
  <c r="E369" i="58"/>
  <c r="E351" i="58"/>
  <c r="E588" i="58"/>
  <c r="E582" i="58"/>
  <c r="E576" i="58"/>
  <c r="E570" i="58"/>
  <c r="E564" i="58"/>
  <c r="E558" i="58"/>
  <c r="E552" i="58"/>
  <c r="E546" i="58"/>
  <c r="E540" i="58"/>
  <c r="E534" i="58"/>
  <c r="E528" i="58"/>
  <c r="E522" i="58"/>
  <c r="E516" i="58"/>
  <c r="E510" i="58"/>
  <c r="E504" i="58"/>
  <c r="E498" i="58"/>
  <c r="E492" i="58"/>
  <c r="E486" i="58"/>
  <c r="E480" i="58"/>
  <c r="E474" i="58"/>
  <c r="E468" i="58"/>
  <c r="E462" i="58"/>
  <c r="E456" i="58"/>
  <c r="E450" i="58"/>
  <c r="E444" i="58"/>
  <c r="E438" i="58"/>
  <c r="E432" i="58"/>
  <c r="E426" i="58"/>
  <c r="E420" i="58"/>
  <c r="E414" i="58"/>
  <c r="E408" i="58"/>
  <c r="E402" i="58"/>
  <c r="E396" i="58"/>
  <c r="E390" i="58"/>
  <c r="E384" i="58"/>
  <c r="E378" i="58"/>
  <c r="E372" i="58"/>
  <c r="E366" i="58"/>
  <c r="E360" i="58"/>
  <c r="E354" i="58"/>
  <c r="E348" i="58"/>
  <c r="D591" i="58"/>
  <c r="D585" i="58"/>
  <c r="D579" i="58"/>
  <c r="D573" i="58"/>
  <c r="D567" i="58"/>
  <c r="D561" i="58"/>
  <c r="D555" i="58"/>
  <c r="D549" i="58"/>
  <c r="D543" i="58"/>
  <c r="D537" i="58"/>
  <c r="D531" i="58"/>
  <c r="D525" i="58"/>
  <c r="D519" i="58"/>
  <c r="D513" i="58"/>
  <c r="D507" i="58"/>
  <c r="D501" i="58"/>
  <c r="D495" i="58"/>
  <c r="D489" i="58"/>
  <c r="D483" i="58"/>
  <c r="D477" i="58"/>
  <c r="D471" i="58"/>
  <c r="D465" i="58"/>
  <c r="D459" i="58"/>
  <c r="D453" i="58"/>
  <c r="D447" i="58"/>
  <c r="D441" i="58"/>
  <c r="D435" i="58"/>
  <c r="D429" i="58"/>
  <c r="E587" i="58"/>
  <c r="E581" i="58"/>
  <c r="E575" i="58"/>
  <c r="E569" i="58"/>
  <c r="E563" i="58"/>
  <c r="E557" i="58"/>
  <c r="E551" i="58"/>
  <c r="E545" i="58"/>
  <c r="E539" i="58"/>
  <c r="E533" i="58"/>
  <c r="E527" i="58"/>
  <c r="E521" i="58"/>
  <c r="E515" i="58"/>
  <c r="E509" i="58"/>
  <c r="E503" i="58"/>
  <c r="E497" i="58"/>
  <c r="E491" i="58"/>
  <c r="E485" i="58"/>
  <c r="E479" i="58"/>
  <c r="E473" i="58"/>
  <c r="E467" i="58"/>
  <c r="E461" i="58"/>
  <c r="E455" i="58"/>
  <c r="E449" i="58"/>
  <c r="E443" i="58"/>
  <c r="E437" i="58"/>
  <c r="E431" i="58"/>
  <c r="E425" i="58"/>
  <c r="E419" i="58"/>
  <c r="E413" i="58"/>
  <c r="E407" i="58"/>
  <c r="E401" i="58"/>
  <c r="E395" i="58"/>
  <c r="E389" i="58"/>
  <c r="E383" i="58"/>
  <c r="E377" i="58"/>
  <c r="E371" i="58"/>
  <c r="E365" i="58"/>
  <c r="E359" i="58"/>
  <c r="E353" i="58"/>
  <c r="E347" i="58"/>
  <c r="D590" i="58"/>
  <c r="D584" i="58"/>
  <c r="D578" i="58"/>
  <c r="D572" i="58"/>
  <c r="D566" i="58"/>
  <c r="D560" i="58"/>
  <c r="D554" i="58"/>
  <c r="D548" i="58"/>
  <c r="D542" i="58"/>
  <c r="D536" i="58"/>
  <c r="D530" i="58"/>
  <c r="D524" i="58"/>
  <c r="D518" i="58"/>
  <c r="D512" i="58"/>
  <c r="D506" i="58"/>
  <c r="D500" i="58"/>
  <c r="D494" i="58"/>
  <c r="D488" i="58"/>
  <c r="D482" i="58"/>
  <c r="D476" i="58"/>
  <c r="D470" i="58"/>
  <c r="D464" i="58"/>
  <c r="D458" i="58"/>
  <c r="D452" i="58"/>
  <c r="D446" i="58"/>
  <c r="D440" i="58"/>
  <c r="D434" i="58"/>
  <c r="D428" i="58"/>
  <c r="D422" i="58"/>
  <c r="D416" i="58"/>
  <c r="D410" i="58"/>
  <c r="D404" i="58"/>
  <c r="D398" i="58"/>
  <c r="D392" i="58"/>
  <c r="D386" i="58"/>
  <c r="D380" i="58"/>
  <c r="D374" i="58"/>
  <c r="D368" i="58"/>
  <c r="D362" i="58"/>
  <c r="D356" i="58"/>
  <c r="D350" i="58"/>
  <c r="D344" i="58"/>
  <c r="E592" i="58"/>
  <c r="E586" i="58"/>
  <c r="E580" i="58"/>
  <c r="E574" i="58"/>
  <c r="E568" i="58"/>
  <c r="E562" i="58"/>
  <c r="E556" i="58"/>
  <c r="E550" i="58"/>
  <c r="E544" i="58"/>
  <c r="E538" i="58"/>
  <c r="E532" i="58"/>
  <c r="E526" i="58"/>
  <c r="E520" i="58"/>
  <c r="E514" i="58"/>
  <c r="E508" i="58"/>
  <c r="E502" i="58"/>
  <c r="E496" i="58"/>
  <c r="E490" i="58"/>
  <c r="E484" i="58"/>
  <c r="E478" i="58"/>
  <c r="E472" i="58"/>
  <c r="E466" i="58"/>
  <c r="E460" i="58"/>
  <c r="E454" i="58"/>
  <c r="E448" i="58"/>
  <c r="E442" i="58"/>
  <c r="E436" i="58"/>
  <c r="E430" i="58"/>
  <c r="E424" i="58"/>
  <c r="E418" i="58"/>
  <c r="E412" i="58"/>
  <c r="E406" i="58"/>
  <c r="D589" i="58"/>
  <c r="D583" i="58"/>
  <c r="D577" i="58"/>
  <c r="D571" i="58"/>
  <c r="D565" i="58"/>
  <c r="D559" i="58"/>
  <c r="D553" i="58"/>
  <c r="D547" i="58"/>
  <c r="D541" i="58"/>
  <c r="D535" i="58"/>
  <c r="D529" i="58"/>
  <c r="D523" i="58"/>
  <c r="D517" i="58"/>
  <c r="D511" i="58"/>
  <c r="D505" i="58"/>
  <c r="D499" i="58"/>
  <c r="D493" i="58"/>
  <c r="D487" i="58"/>
  <c r="D481" i="58"/>
  <c r="D475" i="58"/>
  <c r="D469" i="58"/>
  <c r="D463" i="58"/>
  <c r="D457" i="58"/>
  <c r="D451" i="58"/>
  <c r="D445" i="58"/>
  <c r="D439" i="58"/>
  <c r="D433" i="58"/>
  <c r="D427" i="58"/>
  <c r="D421" i="58"/>
  <c r="D415" i="58"/>
  <c r="D409" i="58"/>
  <c r="D403" i="58"/>
  <c r="D397" i="58"/>
  <c r="D391" i="58"/>
  <c r="D385" i="58"/>
  <c r="D379" i="58"/>
  <c r="D373" i="58"/>
  <c r="D367" i="58"/>
  <c r="D361" i="58"/>
  <c r="D355" i="58"/>
  <c r="D349" i="58"/>
  <c r="C252" i="58"/>
  <c r="C253" i="58"/>
  <c r="C254" i="58"/>
  <c r="C255" i="58"/>
  <c r="C256" i="58"/>
  <c r="C257" i="58"/>
  <c r="C258" i="58"/>
  <c r="C259" i="58"/>
  <c r="C260" i="58"/>
  <c r="C261" i="58"/>
  <c r="C262" i="58"/>
  <c r="C263" i="58"/>
  <c r="C264" i="58"/>
  <c r="C265" i="58"/>
  <c r="C266" i="58"/>
  <c r="C267" i="58"/>
  <c r="C268" i="58"/>
  <c r="C269" i="58"/>
  <c r="C270" i="58"/>
  <c r="C271" i="58"/>
  <c r="C272" i="58"/>
  <c r="C273" i="58"/>
  <c r="C274" i="58"/>
  <c r="C275" i="58"/>
  <c r="C276" i="58"/>
  <c r="C277" i="58"/>
  <c r="C278" i="58"/>
  <c r="C279" i="58"/>
  <c r="C280" i="58"/>
  <c r="C281" i="58"/>
  <c r="C282" i="58"/>
  <c r="C283" i="58"/>
  <c r="C284" i="58"/>
  <c r="C285" i="58"/>
  <c r="C286" i="58"/>
  <c r="C287" i="58"/>
  <c r="C288" i="58"/>
  <c r="C289" i="58"/>
  <c r="C290" i="58"/>
  <c r="C291" i="58"/>
  <c r="C292" i="58"/>
  <c r="C293" i="58"/>
  <c r="C294" i="58"/>
  <c r="C295" i="58"/>
  <c r="C296" i="58"/>
  <c r="C297" i="58"/>
  <c r="C298" i="58"/>
  <c r="C299" i="58"/>
  <c r="C300" i="58"/>
  <c r="C301" i="58"/>
  <c r="C302" i="58"/>
  <c r="C303" i="58"/>
  <c r="C304" i="58"/>
  <c r="C305" i="58"/>
  <c r="C306" i="58"/>
  <c r="C307" i="58"/>
  <c r="C308" i="58"/>
  <c r="C309" i="58"/>
  <c r="C310" i="58"/>
  <c r="C311" i="58"/>
  <c r="C312" i="58"/>
  <c r="C313" i="58"/>
  <c r="C314" i="58"/>
  <c r="C315" i="58"/>
  <c r="C316" i="58"/>
  <c r="C317" i="58"/>
  <c r="C318" i="58"/>
  <c r="C319" i="58"/>
  <c r="C320" i="58"/>
  <c r="C321" i="58"/>
  <c r="C322" i="58"/>
  <c r="C323" i="58"/>
  <c r="C324" i="58"/>
  <c r="C325" i="58"/>
  <c r="C326" i="58"/>
  <c r="C327" i="58"/>
  <c r="C328" i="58"/>
  <c r="C329" i="58"/>
  <c r="C330" i="58"/>
  <c r="C331" i="58"/>
  <c r="C332" i="58"/>
  <c r="C333" i="58"/>
  <c r="C334" i="58"/>
  <c r="C335" i="58"/>
  <c r="C336" i="58"/>
  <c r="C337" i="58"/>
  <c r="C338" i="58"/>
  <c r="C339" i="58"/>
  <c r="C340" i="58"/>
  <c r="C341" i="58"/>
  <c r="C342" i="58"/>
  <c r="C343" i="58"/>
  <c r="F252" i="58"/>
  <c r="F253" i="58"/>
  <c r="F254" i="58"/>
  <c r="F255" i="58"/>
  <c r="F256" i="58"/>
  <c r="F257" i="58"/>
  <c r="F258" i="58"/>
  <c r="F259" i="58"/>
  <c r="F260" i="58"/>
  <c r="F261" i="58"/>
  <c r="F262" i="58"/>
  <c r="F263" i="58"/>
  <c r="F264" i="58"/>
  <c r="F265" i="58"/>
  <c r="F266" i="58"/>
  <c r="F267" i="58"/>
  <c r="F268" i="58"/>
  <c r="F269" i="58"/>
  <c r="F270" i="58"/>
  <c r="F271" i="58"/>
  <c r="F272" i="58"/>
  <c r="F273" i="58"/>
  <c r="F274" i="58"/>
  <c r="F275" i="58"/>
  <c r="F276" i="58"/>
  <c r="F277" i="58"/>
  <c r="F278" i="58"/>
  <c r="F279" i="58"/>
  <c r="F280" i="58"/>
  <c r="F281" i="58"/>
  <c r="F282" i="58"/>
  <c r="F283" i="58"/>
  <c r="F284" i="58"/>
  <c r="F285" i="58"/>
  <c r="F286" i="58"/>
  <c r="F287" i="58"/>
  <c r="F288" i="58"/>
  <c r="F289" i="58"/>
  <c r="F290" i="58"/>
  <c r="F291" i="58"/>
  <c r="F292" i="58"/>
  <c r="F293" i="58"/>
  <c r="F294" i="58"/>
  <c r="F295" i="58"/>
  <c r="F296" i="58"/>
  <c r="F297" i="58"/>
  <c r="F298" i="58"/>
  <c r="F299" i="58"/>
  <c r="F300" i="58"/>
  <c r="F301" i="58"/>
  <c r="F302" i="58"/>
  <c r="F303" i="58"/>
  <c r="F304" i="58"/>
  <c r="F305" i="58"/>
  <c r="F306" i="58"/>
  <c r="F307" i="58"/>
  <c r="F308" i="58"/>
  <c r="F309" i="58"/>
  <c r="F310" i="58"/>
  <c r="F311" i="58"/>
  <c r="F312" i="58"/>
  <c r="F313" i="58"/>
  <c r="F314" i="58"/>
  <c r="F315" i="58"/>
  <c r="F316" i="58"/>
  <c r="F317" i="58"/>
  <c r="F318" i="58"/>
  <c r="F319" i="58"/>
  <c r="F320" i="58"/>
  <c r="F321" i="58"/>
  <c r="F322" i="58"/>
  <c r="F323" i="58"/>
  <c r="F324" i="58"/>
  <c r="F325" i="58"/>
  <c r="F326" i="58"/>
  <c r="F327" i="58"/>
  <c r="F328" i="58"/>
  <c r="F329" i="58"/>
  <c r="F330" i="58"/>
  <c r="F331" i="58"/>
  <c r="F332" i="58"/>
  <c r="F333" i="58"/>
  <c r="F334" i="58"/>
  <c r="F335" i="58"/>
  <c r="F336" i="58"/>
  <c r="F337" i="58"/>
  <c r="F338" i="58"/>
  <c r="F339" i="58"/>
  <c r="F340" i="58"/>
  <c r="F341" i="58"/>
  <c r="F342" i="58"/>
  <c r="F343" i="58"/>
  <c r="G252" i="58"/>
  <c r="G253" i="58"/>
  <c r="G254" i="58"/>
  <c r="G255" i="58"/>
  <c r="G256" i="58"/>
  <c r="G257" i="58"/>
  <c r="G258" i="58"/>
  <c r="G259" i="58"/>
  <c r="G260" i="58"/>
  <c r="G261" i="58"/>
  <c r="G262" i="58"/>
  <c r="G263" i="58"/>
  <c r="G264" i="58"/>
  <c r="G265" i="58"/>
  <c r="G266" i="58"/>
  <c r="G267" i="58"/>
  <c r="G268" i="58"/>
  <c r="G269" i="58"/>
  <c r="G270" i="58"/>
  <c r="G271" i="58"/>
  <c r="G272" i="58"/>
  <c r="G273" i="58"/>
  <c r="G274" i="58"/>
  <c r="G275" i="58"/>
  <c r="G276" i="58"/>
  <c r="G277" i="58"/>
  <c r="G278" i="58"/>
  <c r="G279" i="58"/>
  <c r="G280" i="58"/>
  <c r="G281" i="58"/>
  <c r="G282" i="58"/>
  <c r="G283" i="58"/>
  <c r="G284" i="58"/>
  <c r="G285" i="58"/>
  <c r="G286" i="58"/>
  <c r="G287" i="58"/>
  <c r="G288" i="58"/>
  <c r="G289" i="58"/>
  <c r="G290" i="58"/>
  <c r="G291" i="58"/>
  <c r="G292" i="58"/>
  <c r="G293" i="58"/>
  <c r="G294" i="58"/>
  <c r="G295" i="58"/>
  <c r="G296" i="58"/>
  <c r="G297" i="58"/>
  <c r="G298" i="58"/>
  <c r="G299" i="58"/>
  <c r="G300" i="58"/>
  <c r="G301" i="58"/>
  <c r="G302" i="58"/>
  <c r="G303" i="58"/>
  <c r="G304" i="58"/>
  <c r="G305" i="58"/>
  <c r="G306" i="58"/>
  <c r="G307" i="58"/>
  <c r="G308" i="58"/>
  <c r="G309" i="58"/>
  <c r="G310" i="58"/>
  <c r="G311" i="58"/>
  <c r="G312" i="58"/>
  <c r="G313" i="58"/>
  <c r="G314" i="58"/>
  <c r="G315" i="58"/>
  <c r="G316" i="58"/>
  <c r="G317" i="58"/>
  <c r="G318" i="58"/>
  <c r="G319" i="58"/>
  <c r="G320" i="58"/>
  <c r="G321" i="58"/>
  <c r="G322" i="58"/>
  <c r="G323" i="58"/>
  <c r="G324" i="58"/>
  <c r="G325" i="58"/>
  <c r="G326" i="58"/>
  <c r="G327" i="58"/>
  <c r="G328" i="58"/>
  <c r="G329" i="58"/>
  <c r="G330" i="58"/>
  <c r="G331" i="58"/>
  <c r="G332" i="58"/>
  <c r="G333" i="58"/>
  <c r="G334" i="58"/>
  <c r="G335" i="58"/>
  <c r="G336" i="58"/>
  <c r="G337" i="58"/>
  <c r="G338" i="58"/>
  <c r="G339" i="58"/>
  <c r="G340" i="58"/>
  <c r="G341" i="58"/>
  <c r="G342" i="58"/>
  <c r="G343" i="58"/>
  <c r="H252" i="58"/>
  <c r="H253" i="58"/>
  <c r="H254" i="58"/>
  <c r="H255" i="58"/>
  <c r="H256" i="58"/>
  <c r="H257" i="58"/>
  <c r="H258" i="58"/>
  <c r="H259" i="58"/>
  <c r="H260" i="58"/>
  <c r="H261" i="58"/>
  <c r="H262" i="58"/>
  <c r="H263" i="58"/>
  <c r="H264" i="58"/>
  <c r="H265" i="58"/>
  <c r="H266" i="58"/>
  <c r="H267" i="58"/>
  <c r="H268" i="58"/>
  <c r="H269" i="58"/>
  <c r="H270" i="58"/>
  <c r="H271" i="58"/>
  <c r="H272" i="58"/>
  <c r="H273" i="58"/>
  <c r="H274" i="58"/>
  <c r="H275" i="58"/>
  <c r="H276" i="58"/>
  <c r="H277" i="58"/>
  <c r="H278" i="58"/>
  <c r="H279" i="58"/>
  <c r="H280" i="58"/>
  <c r="H281" i="58"/>
  <c r="H282" i="58"/>
  <c r="H283" i="58"/>
  <c r="H284" i="58"/>
  <c r="H285" i="58"/>
  <c r="H286" i="58"/>
  <c r="H287" i="58"/>
  <c r="H288" i="58"/>
  <c r="H289" i="58"/>
  <c r="H290" i="58"/>
  <c r="H291" i="58"/>
  <c r="H292" i="58"/>
  <c r="H293" i="58"/>
  <c r="H294" i="58"/>
  <c r="H295" i="58"/>
  <c r="H296" i="58"/>
  <c r="H297" i="58"/>
  <c r="H298" i="58"/>
  <c r="H299" i="58"/>
  <c r="H300" i="58"/>
  <c r="H301" i="58"/>
  <c r="H302" i="58"/>
  <c r="H303" i="58"/>
  <c r="H304" i="58"/>
  <c r="H305" i="58"/>
  <c r="H306" i="58"/>
  <c r="H307" i="58"/>
  <c r="H308" i="58"/>
  <c r="H309" i="58"/>
  <c r="H310" i="58"/>
  <c r="H311" i="58"/>
  <c r="H312" i="58"/>
  <c r="H313" i="58"/>
  <c r="H314" i="58"/>
  <c r="H315" i="58"/>
  <c r="H316" i="58"/>
  <c r="H317" i="58"/>
  <c r="H318" i="58"/>
  <c r="H319" i="58"/>
  <c r="H320" i="58"/>
  <c r="H321" i="58"/>
  <c r="H322" i="58"/>
  <c r="H323" i="58"/>
  <c r="H324" i="58"/>
  <c r="H325" i="58"/>
  <c r="H326" i="58"/>
  <c r="H327" i="58"/>
  <c r="H328" i="58"/>
  <c r="H329" i="58"/>
  <c r="H330" i="58"/>
  <c r="H331" i="58"/>
  <c r="H332" i="58"/>
  <c r="H333" i="58"/>
  <c r="H334" i="58"/>
  <c r="H335" i="58"/>
  <c r="H336" i="58"/>
  <c r="H337" i="58"/>
  <c r="H338" i="58"/>
  <c r="H339" i="58"/>
  <c r="H340" i="58"/>
  <c r="H341" i="58"/>
  <c r="H342" i="58"/>
  <c r="H343" i="58"/>
  <c r="I43" i="58"/>
  <c r="I44" i="58"/>
  <c r="I45" i="58"/>
  <c r="I46" i="58"/>
  <c r="I47" i="58"/>
  <c r="I48" i="58"/>
  <c r="I49" i="58"/>
  <c r="I50" i="58"/>
  <c r="I51" i="58"/>
  <c r="I52" i="58"/>
  <c r="I53" i="58"/>
  <c r="I54" i="58"/>
  <c r="I55" i="58"/>
  <c r="I56" i="58"/>
  <c r="I57" i="58"/>
  <c r="I58" i="58"/>
  <c r="I59" i="58"/>
  <c r="I60" i="58"/>
  <c r="I61" i="58"/>
  <c r="I62" i="58"/>
  <c r="I63" i="58"/>
  <c r="I64" i="58"/>
  <c r="I65" i="58"/>
  <c r="I66" i="58"/>
  <c r="I67" i="58"/>
  <c r="I68" i="58"/>
  <c r="I69" i="58"/>
  <c r="I70" i="58"/>
  <c r="I71" i="58"/>
  <c r="I72" i="58"/>
  <c r="I73" i="58"/>
  <c r="I74" i="58"/>
  <c r="I75" i="58"/>
  <c r="I76" i="58"/>
  <c r="I77" i="58"/>
  <c r="I78" i="58"/>
  <c r="I79" i="58"/>
  <c r="I80" i="58"/>
  <c r="I81" i="58"/>
  <c r="I82" i="58"/>
  <c r="I83" i="58"/>
  <c r="I84" i="58"/>
  <c r="I85" i="58"/>
  <c r="I86" i="58"/>
  <c r="I87" i="58"/>
  <c r="I88" i="58"/>
  <c r="I89" i="58"/>
  <c r="I90" i="58"/>
  <c r="I91" i="58"/>
  <c r="I92" i="58"/>
  <c r="I93" i="58"/>
  <c r="I94" i="58"/>
  <c r="I95" i="58"/>
  <c r="I96" i="58"/>
  <c r="I97" i="58"/>
  <c r="I98" i="58"/>
  <c r="I99" i="58"/>
  <c r="I100" i="58"/>
  <c r="I101" i="58"/>
  <c r="I102" i="58"/>
  <c r="I103" i="58"/>
  <c r="I104" i="58"/>
  <c r="I105" i="58"/>
  <c r="I106" i="58"/>
  <c r="I107" i="58"/>
  <c r="I108" i="58"/>
  <c r="I109" i="58"/>
  <c r="I110" i="58"/>
  <c r="I111" i="58"/>
  <c r="I112" i="58"/>
  <c r="I113" i="58"/>
  <c r="I114" i="58"/>
  <c r="I115" i="58"/>
  <c r="I116" i="58"/>
  <c r="I117" i="58"/>
  <c r="I118" i="58"/>
  <c r="I119" i="58"/>
  <c r="I120" i="58"/>
  <c r="I121" i="58"/>
  <c r="I122" i="58"/>
  <c r="I123" i="58"/>
  <c r="I124" i="58"/>
  <c r="I125" i="58"/>
  <c r="I126" i="58"/>
  <c r="I127" i="58"/>
  <c r="I128" i="58"/>
  <c r="I129" i="58"/>
  <c r="I130" i="58"/>
  <c r="I131" i="58"/>
  <c r="I132" i="58"/>
  <c r="I133" i="58"/>
  <c r="I134" i="58"/>
  <c r="I135" i="58"/>
  <c r="I136" i="58"/>
  <c r="I137" i="58"/>
  <c r="I138" i="58"/>
  <c r="I139" i="58"/>
  <c r="I140" i="58"/>
  <c r="I141" i="58"/>
  <c r="I142" i="58"/>
  <c r="I143" i="58"/>
  <c r="I144" i="58"/>
  <c r="I145" i="58"/>
  <c r="I146" i="58"/>
  <c r="I147" i="58"/>
  <c r="I148" i="58"/>
  <c r="I149" i="58"/>
  <c r="I150" i="58"/>
  <c r="I151" i="58"/>
  <c r="I152" i="58"/>
  <c r="I153" i="58"/>
  <c r="I154" i="58"/>
  <c r="I155" i="58"/>
  <c r="I156" i="58"/>
  <c r="I157" i="58"/>
  <c r="I158" i="58"/>
  <c r="I159" i="58"/>
  <c r="I160" i="58"/>
  <c r="I161" i="58"/>
  <c r="I162" i="58"/>
  <c r="I163" i="58"/>
  <c r="I164" i="58"/>
  <c r="I165" i="58"/>
  <c r="I166" i="58"/>
  <c r="I167" i="58"/>
  <c r="I168" i="58"/>
  <c r="I169" i="58"/>
  <c r="I170" i="58"/>
  <c r="I171" i="58"/>
  <c r="I172" i="58"/>
  <c r="I173" i="58"/>
  <c r="I174" i="58"/>
  <c r="I175" i="58"/>
  <c r="I176" i="58"/>
  <c r="I177" i="58"/>
  <c r="I178" i="58"/>
  <c r="I179" i="58"/>
  <c r="I180" i="58"/>
  <c r="I181" i="58"/>
  <c r="I182" i="58"/>
  <c r="I183" i="58"/>
  <c r="I184" i="58"/>
  <c r="I185" i="58"/>
  <c r="I186" i="58"/>
  <c r="I187" i="58"/>
  <c r="I188" i="58"/>
  <c r="I189" i="58"/>
  <c r="I190" i="58"/>
  <c r="I191" i="58"/>
  <c r="I192" i="58"/>
  <c r="I193" i="58"/>
  <c r="I194" i="58"/>
  <c r="I195" i="58"/>
  <c r="I196" i="58"/>
  <c r="I197" i="58"/>
  <c r="I198" i="58"/>
  <c r="I199" i="58"/>
  <c r="I200" i="58"/>
  <c r="I201" i="58"/>
  <c r="I202" i="58"/>
  <c r="I203" i="58"/>
  <c r="I204" i="58"/>
  <c r="I205" i="58"/>
  <c r="I206" i="58"/>
  <c r="I207" i="58"/>
  <c r="I208" i="58"/>
  <c r="I209" i="58"/>
  <c r="I210" i="58"/>
  <c r="I211" i="58"/>
  <c r="I212" i="58"/>
  <c r="I213" i="58"/>
  <c r="I214" i="58"/>
  <c r="I215" i="58"/>
  <c r="I216" i="58"/>
  <c r="I217" i="58"/>
  <c r="I218" i="58"/>
  <c r="I219" i="58"/>
  <c r="I220" i="58"/>
  <c r="I221" i="58"/>
  <c r="I222" i="58"/>
  <c r="I223" i="58"/>
  <c r="I224" i="58"/>
  <c r="I225" i="58"/>
  <c r="I226" i="58"/>
  <c r="I227" i="58"/>
  <c r="I228" i="58"/>
  <c r="I229" i="58"/>
  <c r="I230" i="58"/>
  <c r="I231" i="58"/>
  <c r="I232" i="58"/>
  <c r="I233" i="58"/>
  <c r="I234" i="58"/>
  <c r="I235" i="58"/>
  <c r="I236" i="58"/>
  <c r="I237" i="58"/>
  <c r="I238" i="58"/>
  <c r="I239" i="58"/>
  <c r="I240" i="58"/>
  <c r="I241" i="58"/>
  <c r="I242" i="58"/>
  <c r="I243" i="58"/>
  <c r="I244" i="58"/>
  <c r="I245" i="58"/>
  <c r="I246" i="58"/>
  <c r="I247" i="58"/>
  <c r="I248" i="58"/>
  <c r="I249" i="58"/>
  <c r="I250" i="58"/>
  <c r="I251" i="58"/>
  <c r="I252" i="58"/>
  <c r="I253" i="58"/>
  <c r="I254" i="58"/>
  <c r="I255" i="58"/>
  <c r="I256" i="58"/>
  <c r="I257" i="58"/>
  <c r="I258" i="58"/>
  <c r="I259" i="58"/>
  <c r="I260" i="58"/>
  <c r="I261" i="58"/>
  <c r="I262" i="58"/>
  <c r="I263" i="58"/>
  <c r="I264" i="58"/>
  <c r="I265" i="58"/>
  <c r="I266" i="58"/>
  <c r="I267" i="58"/>
  <c r="I268" i="58"/>
  <c r="I269" i="58"/>
  <c r="I270" i="58"/>
  <c r="I271" i="58"/>
  <c r="I272" i="58"/>
  <c r="I273" i="58"/>
  <c r="I274" i="58"/>
  <c r="I275" i="58"/>
  <c r="I276" i="58"/>
  <c r="I277" i="58"/>
  <c r="I278" i="58"/>
  <c r="I279" i="58"/>
  <c r="I280" i="58"/>
  <c r="I281" i="58"/>
  <c r="I282" i="58"/>
  <c r="I283" i="58"/>
  <c r="I284" i="58"/>
  <c r="I285" i="58"/>
  <c r="I286" i="58"/>
  <c r="I287" i="58"/>
  <c r="I288" i="58"/>
  <c r="I289" i="58"/>
  <c r="I290" i="58"/>
  <c r="I291" i="58"/>
  <c r="I292" i="58"/>
  <c r="I293" i="58"/>
  <c r="I294" i="58"/>
  <c r="I295" i="58"/>
  <c r="I296" i="58"/>
  <c r="I297" i="58"/>
  <c r="I298" i="58"/>
  <c r="I299" i="58"/>
  <c r="I300" i="58"/>
  <c r="I301" i="58"/>
  <c r="I302" i="58"/>
  <c r="I303" i="58"/>
  <c r="I304" i="58"/>
  <c r="I305" i="58"/>
  <c r="I306" i="58"/>
  <c r="I307" i="58"/>
  <c r="I308" i="58"/>
  <c r="I309" i="58"/>
  <c r="I310" i="58"/>
  <c r="I311" i="58"/>
  <c r="I312" i="58"/>
  <c r="I313" i="58"/>
  <c r="I314" i="58"/>
  <c r="I315" i="58"/>
  <c r="I316" i="58"/>
  <c r="I317" i="58"/>
  <c r="I318" i="58"/>
  <c r="I319" i="58"/>
  <c r="I320" i="58"/>
  <c r="I321" i="58"/>
  <c r="I322" i="58"/>
  <c r="I323" i="58"/>
  <c r="I324" i="58"/>
  <c r="I325" i="58"/>
  <c r="I326" i="58"/>
  <c r="I327" i="58"/>
  <c r="I328" i="58"/>
  <c r="I329" i="58"/>
  <c r="I330" i="58"/>
  <c r="I331" i="58"/>
  <c r="I332" i="58"/>
  <c r="I333" i="58"/>
  <c r="I334" i="58"/>
  <c r="I335" i="58"/>
  <c r="I336" i="58"/>
  <c r="I337" i="58"/>
  <c r="I338" i="58"/>
  <c r="I339" i="58"/>
  <c r="I340" i="58"/>
  <c r="I341" i="58"/>
  <c r="I342" i="58"/>
  <c r="I343" i="58"/>
  <c r="J43" i="58"/>
  <c r="J44" i="58"/>
  <c r="J45" i="58"/>
  <c r="J46" i="58"/>
  <c r="J47" i="58"/>
  <c r="J48" i="58"/>
  <c r="J49" i="58"/>
  <c r="J50" i="58"/>
  <c r="J51" i="58"/>
  <c r="J52" i="58"/>
  <c r="J53" i="58"/>
  <c r="J54" i="58"/>
  <c r="J55" i="58"/>
  <c r="J56" i="58"/>
  <c r="J57" i="58"/>
  <c r="J58" i="58"/>
  <c r="J59" i="58"/>
  <c r="J60" i="58"/>
  <c r="J61" i="58"/>
  <c r="J62" i="58"/>
  <c r="J63" i="58"/>
  <c r="J64" i="58"/>
  <c r="J65" i="58"/>
  <c r="J66" i="58"/>
  <c r="J67" i="58"/>
  <c r="J68" i="58"/>
  <c r="J69" i="58"/>
  <c r="J70" i="58"/>
  <c r="J71" i="58"/>
  <c r="J72" i="58"/>
  <c r="J73" i="58"/>
  <c r="J74" i="58"/>
  <c r="J75" i="58"/>
  <c r="J76" i="58"/>
  <c r="J77" i="58"/>
  <c r="J78" i="58"/>
  <c r="J79" i="58"/>
  <c r="J80" i="58"/>
  <c r="J81" i="58"/>
  <c r="J82" i="58"/>
  <c r="J83" i="58"/>
  <c r="J84" i="58"/>
  <c r="J85" i="58"/>
  <c r="J86" i="58"/>
  <c r="J87" i="58"/>
  <c r="J88" i="58"/>
  <c r="J89" i="58"/>
  <c r="J90" i="58"/>
  <c r="J91" i="58"/>
  <c r="J92" i="58"/>
  <c r="J93" i="58"/>
  <c r="J94" i="58"/>
  <c r="J95" i="58"/>
  <c r="J96" i="58"/>
  <c r="J97" i="58"/>
  <c r="J98" i="58"/>
  <c r="J99" i="58"/>
  <c r="J100" i="58"/>
  <c r="J101" i="58"/>
  <c r="J102" i="58"/>
  <c r="J103" i="58"/>
  <c r="J104" i="58"/>
  <c r="J105" i="58"/>
  <c r="J106" i="58"/>
  <c r="J107" i="58"/>
  <c r="J108" i="58"/>
  <c r="J109" i="58"/>
  <c r="J110" i="58"/>
  <c r="J111" i="58"/>
  <c r="J112" i="58"/>
  <c r="J113" i="58"/>
  <c r="J114" i="58"/>
  <c r="J115" i="58"/>
  <c r="J116" i="58"/>
  <c r="J117" i="58"/>
  <c r="J118" i="58"/>
  <c r="J119" i="58"/>
  <c r="J120" i="58"/>
  <c r="J121" i="58"/>
  <c r="J122" i="58"/>
  <c r="J123" i="58"/>
  <c r="J124" i="58"/>
  <c r="J125" i="58"/>
  <c r="J126" i="58"/>
  <c r="J127" i="58"/>
  <c r="J128" i="58"/>
  <c r="J129" i="58"/>
  <c r="J130" i="58"/>
  <c r="J131" i="58"/>
  <c r="J132" i="58"/>
  <c r="J133" i="58"/>
  <c r="J134" i="58"/>
  <c r="J135" i="58"/>
  <c r="J136" i="58"/>
  <c r="J137" i="58"/>
  <c r="J138" i="58"/>
  <c r="J139" i="58"/>
  <c r="J140" i="58"/>
  <c r="J141" i="58"/>
  <c r="J142" i="58"/>
  <c r="J143" i="58"/>
  <c r="J144" i="58"/>
  <c r="J145" i="58"/>
  <c r="J146" i="58"/>
  <c r="J147" i="58"/>
  <c r="J148" i="58"/>
  <c r="J149" i="58"/>
  <c r="J150" i="58"/>
  <c r="J151" i="58"/>
  <c r="J152" i="58"/>
  <c r="J153" i="58"/>
  <c r="J154" i="58"/>
  <c r="J155" i="58"/>
  <c r="J156" i="58"/>
  <c r="J157" i="58"/>
  <c r="J158" i="58"/>
  <c r="J159" i="58"/>
  <c r="J160" i="58"/>
  <c r="J161" i="58"/>
  <c r="J162" i="58"/>
  <c r="J163" i="58"/>
  <c r="J164" i="58"/>
  <c r="J165" i="58"/>
  <c r="J166" i="58"/>
  <c r="J167" i="58"/>
  <c r="J168" i="58"/>
  <c r="J169" i="58"/>
  <c r="J170" i="58"/>
  <c r="J171" i="58"/>
  <c r="J172" i="58"/>
  <c r="J173" i="58"/>
  <c r="J174" i="58"/>
  <c r="J175" i="58"/>
  <c r="J176" i="58"/>
  <c r="J177" i="58"/>
  <c r="J178" i="58"/>
  <c r="J179" i="58"/>
  <c r="J180" i="58"/>
  <c r="J181" i="58"/>
  <c r="J182" i="58"/>
  <c r="J183" i="58"/>
  <c r="J184" i="58"/>
  <c r="J185" i="58"/>
  <c r="J186" i="58"/>
  <c r="J187" i="58"/>
  <c r="J188" i="58"/>
  <c r="J189" i="58"/>
  <c r="J190" i="58"/>
  <c r="J191" i="58"/>
  <c r="J192" i="58"/>
  <c r="J193" i="58"/>
  <c r="J194" i="58"/>
  <c r="J195" i="58"/>
  <c r="J196" i="58"/>
  <c r="J197" i="58"/>
  <c r="J198" i="58"/>
  <c r="J199" i="58"/>
  <c r="J200" i="58"/>
  <c r="J201" i="58"/>
  <c r="J202" i="58"/>
  <c r="J203" i="58"/>
  <c r="J204" i="58"/>
  <c r="J205" i="58"/>
  <c r="J206" i="58"/>
  <c r="J207" i="58"/>
  <c r="J208" i="58"/>
  <c r="J209" i="58"/>
  <c r="J210" i="58"/>
  <c r="J211" i="58"/>
  <c r="J212" i="58"/>
  <c r="J213" i="58"/>
  <c r="J214" i="58"/>
  <c r="J215" i="58"/>
  <c r="J216" i="58"/>
  <c r="J217" i="58"/>
  <c r="J218" i="58"/>
  <c r="J219" i="58"/>
  <c r="J220" i="58"/>
  <c r="J221" i="58"/>
  <c r="J222" i="58"/>
  <c r="J223" i="58"/>
  <c r="J224" i="58"/>
  <c r="J225" i="58"/>
  <c r="J226" i="58"/>
  <c r="J227" i="58"/>
  <c r="J228" i="58"/>
  <c r="J229" i="58"/>
  <c r="J230" i="58"/>
  <c r="J231" i="58"/>
  <c r="J232" i="58"/>
  <c r="J233" i="58"/>
  <c r="J234" i="58"/>
  <c r="J235" i="58"/>
  <c r="J236" i="58"/>
  <c r="J237" i="58"/>
  <c r="J238" i="58"/>
  <c r="J239" i="58"/>
  <c r="J240" i="58"/>
  <c r="J241" i="58"/>
  <c r="J242" i="58"/>
  <c r="J243" i="58"/>
  <c r="J244" i="58"/>
  <c r="J245" i="58"/>
  <c r="J246" i="58"/>
  <c r="J247" i="58"/>
  <c r="J248" i="58"/>
  <c r="J249" i="58"/>
  <c r="J250" i="58"/>
  <c r="J251" i="58"/>
  <c r="J252" i="58"/>
  <c r="J253" i="58"/>
  <c r="J254" i="58"/>
  <c r="J255" i="58"/>
  <c r="J256" i="58"/>
  <c r="J257" i="58"/>
  <c r="J258" i="58"/>
  <c r="J259" i="58"/>
  <c r="J260" i="58"/>
  <c r="J261" i="58"/>
  <c r="J262" i="58"/>
  <c r="J263" i="58"/>
  <c r="J264" i="58"/>
  <c r="J265" i="58"/>
  <c r="J266" i="58"/>
  <c r="J267" i="58"/>
  <c r="J268" i="58"/>
  <c r="J269" i="58"/>
  <c r="J270" i="58"/>
  <c r="J271" i="58"/>
  <c r="J272" i="58"/>
  <c r="J273" i="58"/>
  <c r="J274" i="58"/>
  <c r="J275" i="58"/>
  <c r="J276" i="58"/>
  <c r="J277" i="58"/>
  <c r="J278" i="58"/>
  <c r="J279" i="58"/>
  <c r="J280" i="58"/>
  <c r="J281" i="58"/>
  <c r="J282" i="58"/>
  <c r="J283" i="58"/>
  <c r="J284" i="58"/>
  <c r="J285" i="58"/>
  <c r="J286" i="58"/>
  <c r="J287" i="58"/>
  <c r="J288" i="58"/>
  <c r="J289" i="58"/>
  <c r="J290" i="58"/>
  <c r="J291" i="58"/>
  <c r="J292" i="58"/>
  <c r="J293" i="58"/>
  <c r="J294" i="58"/>
  <c r="J295" i="58"/>
  <c r="J296" i="58"/>
  <c r="J297" i="58"/>
  <c r="J298" i="58"/>
  <c r="J299" i="58"/>
  <c r="J300" i="58"/>
  <c r="J301" i="58"/>
  <c r="J302" i="58"/>
  <c r="J303" i="58"/>
  <c r="J304" i="58"/>
  <c r="J305" i="58"/>
  <c r="J306" i="58"/>
  <c r="J307" i="58"/>
  <c r="J308" i="58"/>
  <c r="J309" i="58"/>
  <c r="J310" i="58"/>
  <c r="J311" i="58"/>
  <c r="J312" i="58"/>
  <c r="J313" i="58"/>
  <c r="J314" i="58"/>
  <c r="J315" i="58"/>
  <c r="J316" i="58"/>
  <c r="J317" i="58"/>
  <c r="J318" i="58"/>
  <c r="J319" i="58"/>
  <c r="J320" i="58"/>
  <c r="J321" i="58"/>
  <c r="J322" i="58"/>
  <c r="J323" i="58"/>
  <c r="J324" i="58"/>
  <c r="J325" i="58"/>
  <c r="J326" i="58"/>
  <c r="J327" i="58"/>
  <c r="J328" i="58"/>
  <c r="J329" i="58"/>
  <c r="J330" i="58"/>
  <c r="J331" i="58"/>
  <c r="J332" i="58"/>
  <c r="J333" i="58"/>
  <c r="J334" i="58"/>
  <c r="J335" i="58"/>
  <c r="J336" i="58"/>
  <c r="J337" i="58"/>
  <c r="J338" i="58"/>
  <c r="J339" i="58"/>
  <c r="J340" i="58"/>
  <c r="J341" i="58"/>
  <c r="J342" i="58"/>
  <c r="J343" i="58"/>
  <c r="K43" i="58"/>
  <c r="K44" i="58"/>
  <c r="K45" i="58"/>
  <c r="K46" i="58"/>
  <c r="K47" i="58"/>
  <c r="K48" i="58"/>
  <c r="K49" i="58"/>
  <c r="K50" i="58"/>
  <c r="K51" i="58"/>
  <c r="K52" i="58"/>
  <c r="K53" i="58"/>
  <c r="K54" i="58"/>
  <c r="K55" i="58"/>
  <c r="K56" i="58"/>
  <c r="K57" i="58"/>
  <c r="K58" i="58"/>
  <c r="K59" i="58"/>
  <c r="K60" i="58"/>
  <c r="K61" i="58"/>
  <c r="K62" i="58"/>
  <c r="K63" i="58"/>
  <c r="K64" i="58"/>
  <c r="K65" i="58"/>
  <c r="K66" i="58"/>
  <c r="K67" i="58"/>
  <c r="K68" i="58"/>
  <c r="K69" i="58"/>
  <c r="K70" i="58"/>
  <c r="K71" i="58"/>
  <c r="K72" i="58"/>
  <c r="K73" i="58"/>
  <c r="K74" i="58"/>
  <c r="K75" i="58"/>
  <c r="K76" i="58"/>
  <c r="K77" i="58"/>
  <c r="K78" i="58"/>
  <c r="K79" i="58"/>
  <c r="K80" i="58"/>
  <c r="K81" i="58"/>
  <c r="K82" i="58"/>
  <c r="K83" i="58"/>
  <c r="K84" i="58"/>
  <c r="K85" i="58"/>
  <c r="K86" i="58"/>
  <c r="K87" i="58"/>
  <c r="K88" i="58"/>
  <c r="K89" i="58"/>
  <c r="K90" i="58"/>
  <c r="K91" i="58"/>
  <c r="K92" i="58"/>
  <c r="K93" i="58"/>
  <c r="K94" i="58"/>
  <c r="K95" i="58"/>
  <c r="K96" i="58"/>
  <c r="K97" i="58"/>
  <c r="K98" i="58"/>
  <c r="K99" i="58"/>
  <c r="K100" i="58"/>
  <c r="K101" i="58"/>
  <c r="K102" i="58"/>
  <c r="K103" i="58"/>
  <c r="K104" i="58"/>
  <c r="K105" i="58"/>
  <c r="K106" i="58"/>
  <c r="K107" i="58"/>
  <c r="K108" i="58"/>
  <c r="K109" i="58"/>
  <c r="K110" i="58"/>
  <c r="K111" i="58"/>
  <c r="K112" i="58"/>
  <c r="K113" i="58"/>
  <c r="K114" i="58"/>
  <c r="K115" i="58"/>
  <c r="K116" i="58"/>
  <c r="K117" i="58"/>
  <c r="K118" i="58"/>
  <c r="K119" i="58"/>
  <c r="K120" i="58"/>
  <c r="K121" i="58"/>
  <c r="K122" i="58"/>
  <c r="K123" i="58"/>
  <c r="K124" i="58"/>
  <c r="K125" i="58"/>
  <c r="K126" i="58"/>
  <c r="K127" i="58"/>
  <c r="K128" i="58"/>
  <c r="K129" i="58"/>
  <c r="K130" i="58"/>
  <c r="K131" i="58"/>
  <c r="K132" i="58"/>
  <c r="K133" i="58"/>
  <c r="K134" i="58"/>
  <c r="K135" i="58"/>
  <c r="K136" i="58"/>
  <c r="K137" i="58"/>
  <c r="K138" i="58"/>
  <c r="K139" i="58"/>
  <c r="K140" i="58"/>
  <c r="K141" i="58"/>
  <c r="K142" i="58"/>
  <c r="K143" i="58"/>
  <c r="K144" i="58"/>
  <c r="K145" i="58"/>
  <c r="K146" i="58"/>
  <c r="K147" i="58"/>
  <c r="K148" i="58"/>
  <c r="K149" i="58"/>
  <c r="K150" i="58"/>
  <c r="K151" i="58"/>
  <c r="K152" i="58"/>
  <c r="K153" i="58"/>
  <c r="K154" i="58"/>
  <c r="K155" i="58"/>
  <c r="K156" i="58"/>
  <c r="K157" i="58"/>
  <c r="K158" i="58"/>
  <c r="K159" i="58"/>
  <c r="K160" i="58"/>
  <c r="K161" i="58"/>
  <c r="K162" i="58"/>
  <c r="K163" i="58"/>
  <c r="K164" i="58"/>
  <c r="K165" i="58"/>
  <c r="K166" i="58"/>
  <c r="K167" i="58"/>
  <c r="K168" i="58"/>
  <c r="K169" i="58"/>
  <c r="K170" i="58"/>
  <c r="K171" i="58"/>
  <c r="K172" i="58"/>
  <c r="K173" i="58"/>
  <c r="K174" i="58"/>
  <c r="K175" i="58"/>
  <c r="K176" i="58"/>
  <c r="K177" i="58"/>
  <c r="K178" i="58"/>
  <c r="K179" i="58"/>
  <c r="K180" i="58"/>
  <c r="K181" i="58"/>
  <c r="K182" i="58"/>
  <c r="K183" i="58"/>
  <c r="K184" i="58"/>
  <c r="K185" i="58"/>
  <c r="K186" i="58"/>
  <c r="K187" i="58"/>
  <c r="K188" i="58"/>
  <c r="K189" i="58"/>
  <c r="K190" i="58"/>
  <c r="K191" i="58"/>
  <c r="K192" i="58"/>
  <c r="K193" i="58"/>
  <c r="K194" i="58"/>
  <c r="K195" i="58"/>
  <c r="K196" i="58"/>
  <c r="K197" i="58"/>
  <c r="K198" i="58"/>
  <c r="K199" i="58"/>
  <c r="K200" i="58"/>
  <c r="K201" i="58"/>
  <c r="K202" i="58"/>
  <c r="K203" i="58"/>
  <c r="K204" i="58"/>
  <c r="K205" i="58"/>
  <c r="K206" i="58"/>
  <c r="K207" i="58"/>
  <c r="K208" i="58"/>
  <c r="K209" i="58"/>
  <c r="K210" i="58"/>
  <c r="K211" i="58"/>
  <c r="K212" i="58"/>
  <c r="K213" i="58"/>
  <c r="K214" i="58"/>
  <c r="K215" i="58"/>
  <c r="K216" i="58"/>
  <c r="K217" i="58"/>
  <c r="K218" i="58"/>
  <c r="K219" i="58"/>
  <c r="K220" i="58"/>
  <c r="K221" i="58"/>
  <c r="K222" i="58"/>
  <c r="K223" i="58"/>
  <c r="K224" i="58"/>
  <c r="K225" i="58"/>
  <c r="K226" i="58"/>
  <c r="K227" i="58"/>
  <c r="K228" i="58"/>
  <c r="K229" i="58"/>
  <c r="K230" i="58"/>
  <c r="K231" i="58"/>
  <c r="K232" i="58"/>
  <c r="K233" i="58"/>
  <c r="K234" i="58"/>
  <c r="K235" i="58"/>
  <c r="K236" i="58"/>
  <c r="K237" i="58"/>
  <c r="K238" i="58"/>
  <c r="K239" i="58"/>
  <c r="K240" i="58"/>
  <c r="K241" i="58"/>
  <c r="K242" i="58"/>
  <c r="K243" i="58"/>
  <c r="K244" i="58"/>
  <c r="K245" i="58"/>
  <c r="K246" i="58"/>
  <c r="K247" i="58"/>
  <c r="K248" i="58"/>
  <c r="K249" i="58"/>
  <c r="K250" i="58"/>
  <c r="K251" i="58"/>
  <c r="K252" i="58"/>
  <c r="K253" i="58"/>
  <c r="K254" i="58"/>
  <c r="K255" i="58"/>
  <c r="K256" i="58"/>
  <c r="K257" i="58"/>
  <c r="K258" i="58"/>
  <c r="K259" i="58"/>
  <c r="K260" i="58"/>
  <c r="K261" i="58"/>
  <c r="K262" i="58"/>
  <c r="K263" i="58"/>
  <c r="K264" i="58"/>
  <c r="K265" i="58"/>
  <c r="K266" i="58"/>
  <c r="K267" i="58"/>
  <c r="K268" i="58"/>
  <c r="K269" i="58"/>
  <c r="K270" i="58"/>
  <c r="K271" i="58"/>
  <c r="K272" i="58"/>
  <c r="K273" i="58"/>
  <c r="K274" i="58"/>
  <c r="K275" i="58"/>
  <c r="K276" i="58"/>
  <c r="K277" i="58"/>
  <c r="K278" i="58"/>
  <c r="K279" i="58"/>
  <c r="K280" i="58"/>
  <c r="K281" i="58"/>
  <c r="K282" i="58"/>
  <c r="K283" i="58"/>
  <c r="K284" i="58"/>
  <c r="K285" i="58"/>
  <c r="K286" i="58"/>
  <c r="K287" i="58"/>
  <c r="K288" i="58"/>
  <c r="K289" i="58"/>
  <c r="K290" i="58"/>
  <c r="K291" i="58"/>
  <c r="K292" i="58"/>
  <c r="K293" i="58"/>
  <c r="K294" i="58"/>
  <c r="K295" i="58"/>
  <c r="K296" i="58"/>
  <c r="K297" i="58"/>
  <c r="K298" i="58"/>
  <c r="K299" i="58"/>
  <c r="K300" i="58"/>
  <c r="K301" i="58"/>
  <c r="K302" i="58"/>
  <c r="K303" i="58"/>
  <c r="K304" i="58"/>
  <c r="K305" i="58"/>
  <c r="K306" i="58"/>
  <c r="K307" i="58"/>
  <c r="K308" i="58"/>
  <c r="K309" i="58"/>
  <c r="K310" i="58"/>
  <c r="K311" i="58"/>
  <c r="K312" i="58"/>
  <c r="K313" i="58"/>
  <c r="K314" i="58"/>
  <c r="K315" i="58"/>
  <c r="K316" i="58"/>
  <c r="K317" i="58"/>
  <c r="K318" i="58"/>
  <c r="K319" i="58"/>
  <c r="K320" i="58"/>
  <c r="K321" i="58"/>
  <c r="K322" i="58"/>
  <c r="K323" i="58"/>
  <c r="K324" i="58"/>
  <c r="K325" i="58"/>
  <c r="K326" i="58"/>
  <c r="K327" i="58"/>
  <c r="K328" i="58"/>
  <c r="K329" i="58"/>
  <c r="K330" i="58"/>
  <c r="K331" i="58"/>
  <c r="K332" i="58"/>
  <c r="K333" i="58"/>
  <c r="K334" i="58"/>
  <c r="K335" i="58"/>
  <c r="K336" i="58"/>
  <c r="K337" i="58"/>
  <c r="K338" i="58"/>
  <c r="K339" i="58"/>
  <c r="K340" i="58"/>
  <c r="K341" i="58"/>
  <c r="K342" i="58"/>
  <c r="K343" i="58"/>
  <c r="L43" i="58"/>
  <c r="L44" i="58"/>
  <c r="L45" i="58"/>
  <c r="L46" i="58"/>
  <c r="L47" i="58"/>
  <c r="L48" i="58"/>
  <c r="L49" i="58"/>
  <c r="L50" i="58"/>
  <c r="L51" i="58"/>
  <c r="L52" i="58"/>
  <c r="L53" i="58"/>
  <c r="L54" i="58"/>
  <c r="L55" i="58"/>
  <c r="L56" i="58"/>
  <c r="L57" i="58"/>
  <c r="L58" i="58"/>
  <c r="L59" i="58"/>
  <c r="L60" i="58"/>
  <c r="L61" i="58"/>
  <c r="L62" i="58"/>
  <c r="L63" i="58"/>
  <c r="L64" i="58"/>
  <c r="L65" i="58"/>
  <c r="L66" i="58"/>
  <c r="L67" i="58"/>
  <c r="L68" i="58"/>
  <c r="L69" i="58"/>
  <c r="L70" i="58"/>
  <c r="L71" i="58"/>
  <c r="L72" i="58"/>
  <c r="L73" i="58"/>
  <c r="L74" i="58"/>
  <c r="L75" i="58"/>
  <c r="L76" i="58"/>
  <c r="L77" i="58"/>
  <c r="L78" i="58"/>
  <c r="L79" i="58"/>
  <c r="L80" i="58"/>
  <c r="L81" i="58"/>
  <c r="L82" i="58"/>
  <c r="L83" i="58"/>
  <c r="L84" i="58"/>
  <c r="L85" i="58"/>
  <c r="L86" i="58"/>
  <c r="L87" i="58"/>
  <c r="L88" i="58"/>
  <c r="L89" i="58"/>
  <c r="L90" i="58"/>
  <c r="L91" i="58"/>
  <c r="L92" i="58"/>
  <c r="L93" i="58"/>
  <c r="L94" i="58"/>
  <c r="L95" i="58"/>
  <c r="L96" i="58"/>
  <c r="L97" i="58"/>
  <c r="L98" i="58"/>
  <c r="L99" i="58"/>
  <c r="L100" i="58"/>
  <c r="L101" i="58"/>
  <c r="L102" i="58"/>
  <c r="L103" i="58"/>
  <c r="L104" i="58"/>
  <c r="L105" i="58"/>
  <c r="L106" i="58"/>
  <c r="L107" i="58"/>
  <c r="L108" i="58"/>
  <c r="L109" i="58"/>
  <c r="L110" i="58"/>
  <c r="L111" i="58"/>
  <c r="L112" i="58"/>
  <c r="L113" i="58"/>
  <c r="L114" i="58"/>
  <c r="L115" i="58"/>
  <c r="L116" i="58"/>
  <c r="L117" i="58"/>
  <c r="L118" i="58"/>
  <c r="L119" i="58"/>
  <c r="L120" i="58"/>
  <c r="L121" i="58"/>
  <c r="L122" i="58"/>
  <c r="L123" i="58"/>
  <c r="L124" i="58"/>
  <c r="L125" i="58"/>
  <c r="L126" i="58"/>
  <c r="L127" i="58"/>
  <c r="L128" i="58"/>
  <c r="L129" i="58"/>
  <c r="L130" i="58"/>
  <c r="L131" i="58"/>
  <c r="L132" i="58"/>
  <c r="L133" i="58"/>
  <c r="L134" i="58"/>
  <c r="L135" i="58"/>
  <c r="L136" i="58"/>
  <c r="L137" i="58"/>
  <c r="L138" i="58"/>
  <c r="L139" i="58"/>
  <c r="L140" i="58"/>
  <c r="L141" i="58"/>
  <c r="L142" i="58"/>
  <c r="L143" i="58"/>
  <c r="L144" i="58"/>
  <c r="L145" i="58"/>
  <c r="L146" i="58"/>
  <c r="L147" i="58"/>
  <c r="L148" i="58"/>
  <c r="L149" i="58"/>
  <c r="L150" i="58"/>
  <c r="L151" i="58"/>
  <c r="L152" i="58"/>
  <c r="L153" i="58"/>
  <c r="L154" i="58"/>
  <c r="L155" i="58"/>
  <c r="L156" i="58"/>
  <c r="L157" i="58"/>
  <c r="L158" i="58"/>
  <c r="L159" i="58"/>
  <c r="L160" i="58"/>
  <c r="L161" i="58"/>
  <c r="L162" i="58"/>
  <c r="L163" i="58"/>
  <c r="L164" i="58"/>
  <c r="L165" i="58"/>
  <c r="L166" i="58"/>
  <c r="L167" i="58"/>
  <c r="L168" i="58"/>
  <c r="L169" i="58"/>
  <c r="L170" i="58"/>
  <c r="L171" i="58"/>
  <c r="L172" i="58"/>
  <c r="L173" i="58"/>
  <c r="L174" i="58"/>
  <c r="L175" i="58"/>
  <c r="L176" i="58"/>
  <c r="L177" i="58"/>
  <c r="L178" i="58"/>
  <c r="L179" i="58"/>
  <c r="L180" i="58"/>
  <c r="L181" i="58"/>
  <c r="L182" i="58"/>
  <c r="L183" i="58"/>
  <c r="L184" i="58"/>
  <c r="L185" i="58"/>
  <c r="L186" i="58"/>
  <c r="L187" i="58"/>
  <c r="L188" i="58"/>
  <c r="L189" i="58"/>
  <c r="L190" i="58"/>
  <c r="L191" i="58"/>
  <c r="L192" i="58"/>
  <c r="L193" i="58"/>
  <c r="L194" i="58"/>
  <c r="L195" i="58"/>
  <c r="L196" i="58"/>
  <c r="L197" i="58"/>
  <c r="L198" i="58"/>
  <c r="L199" i="58"/>
  <c r="L200" i="58"/>
  <c r="L201" i="58"/>
  <c r="L202" i="58"/>
  <c r="L203" i="58"/>
  <c r="L204" i="58"/>
  <c r="L205" i="58"/>
  <c r="L206" i="58"/>
  <c r="L207" i="58"/>
  <c r="L208" i="58"/>
  <c r="L209" i="58"/>
  <c r="L210" i="58"/>
  <c r="L211" i="58"/>
  <c r="L212" i="58"/>
  <c r="L213" i="58"/>
  <c r="L214" i="58"/>
  <c r="L215" i="58"/>
  <c r="L216" i="58"/>
  <c r="L217" i="58"/>
  <c r="L218" i="58"/>
  <c r="L219" i="58"/>
  <c r="L220" i="58"/>
  <c r="L221" i="58"/>
  <c r="L222" i="58"/>
  <c r="L223" i="58"/>
  <c r="L224" i="58"/>
  <c r="L225" i="58"/>
  <c r="L226" i="58"/>
  <c r="L227" i="58"/>
  <c r="L228" i="58"/>
  <c r="L229" i="58"/>
  <c r="L230" i="58"/>
  <c r="L231" i="58"/>
  <c r="L232" i="58"/>
  <c r="L233" i="58"/>
  <c r="L234" i="58"/>
  <c r="L235" i="58"/>
  <c r="L236" i="58"/>
  <c r="L237" i="58"/>
  <c r="L238" i="58"/>
  <c r="L239" i="58"/>
  <c r="L240" i="58"/>
  <c r="L241" i="58"/>
  <c r="L242" i="58"/>
  <c r="L243" i="58"/>
  <c r="L244" i="58"/>
  <c r="L245" i="58"/>
  <c r="L246" i="58"/>
  <c r="L247" i="58"/>
  <c r="L248" i="58"/>
  <c r="L249" i="58"/>
  <c r="L250" i="58"/>
  <c r="L251" i="58"/>
  <c r="L252" i="58"/>
  <c r="L253" i="58"/>
  <c r="L254" i="58"/>
  <c r="L255" i="58"/>
  <c r="L256" i="58"/>
  <c r="L257" i="58"/>
  <c r="L258" i="58"/>
  <c r="L259" i="58"/>
  <c r="L260" i="58"/>
  <c r="L261" i="58"/>
  <c r="L262" i="58"/>
  <c r="L263" i="58"/>
  <c r="L264" i="58"/>
  <c r="L265" i="58"/>
  <c r="L266" i="58"/>
  <c r="L267" i="58"/>
  <c r="L268" i="58"/>
  <c r="L269" i="58"/>
  <c r="L270" i="58"/>
  <c r="L271" i="58"/>
  <c r="L272" i="58"/>
  <c r="L273" i="58"/>
  <c r="L274" i="58"/>
  <c r="L275" i="58"/>
  <c r="L276" i="58"/>
  <c r="L277" i="58"/>
  <c r="L278" i="58"/>
  <c r="L279" i="58"/>
  <c r="L280" i="58"/>
  <c r="L281" i="58"/>
  <c r="L282" i="58"/>
  <c r="L283" i="58"/>
  <c r="L284" i="58"/>
  <c r="L285" i="58"/>
  <c r="L286" i="58"/>
  <c r="L287" i="58"/>
  <c r="L288" i="58"/>
  <c r="L289" i="58"/>
  <c r="L290" i="58"/>
  <c r="L291" i="58"/>
  <c r="L292" i="58"/>
  <c r="L293" i="58"/>
  <c r="L294" i="58"/>
  <c r="L295" i="58"/>
  <c r="L296" i="58"/>
  <c r="L297" i="58"/>
  <c r="L298" i="58"/>
  <c r="L299" i="58"/>
  <c r="L300" i="58"/>
  <c r="L301" i="58"/>
  <c r="L302" i="58"/>
  <c r="L303" i="58"/>
  <c r="L304" i="58"/>
  <c r="L305" i="58"/>
  <c r="L306" i="58"/>
  <c r="L307" i="58"/>
  <c r="L308" i="58"/>
  <c r="L309" i="58"/>
  <c r="L310" i="58"/>
  <c r="L311" i="58"/>
  <c r="L312" i="58"/>
  <c r="L313" i="58"/>
  <c r="L314" i="58"/>
  <c r="L315" i="58"/>
  <c r="L316" i="58"/>
  <c r="L317" i="58"/>
  <c r="L318" i="58"/>
  <c r="L319" i="58"/>
  <c r="L320" i="58"/>
  <c r="L321" i="58"/>
  <c r="L322" i="58"/>
  <c r="L323" i="58"/>
  <c r="L324" i="58"/>
  <c r="L325" i="58"/>
  <c r="L326" i="58"/>
  <c r="L327" i="58"/>
  <c r="L328" i="58"/>
  <c r="L329" i="58"/>
  <c r="L330" i="58"/>
  <c r="L331" i="58"/>
  <c r="L332" i="58"/>
  <c r="L333" i="58"/>
  <c r="L334" i="58"/>
  <c r="L335" i="58"/>
  <c r="L336" i="58"/>
  <c r="L337" i="58"/>
  <c r="L338" i="58"/>
  <c r="L339" i="58"/>
  <c r="L340" i="58"/>
  <c r="L341" i="58"/>
  <c r="L342" i="58"/>
  <c r="L343" i="58"/>
  <c r="M43" i="58"/>
  <c r="M44" i="58"/>
  <c r="M45" i="58"/>
  <c r="M46" i="58"/>
  <c r="M47" i="58"/>
  <c r="M48" i="58"/>
  <c r="M49" i="58"/>
  <c r="M50" i="58"/>
  <c r="M51" i="58"/>
  <c r="M52" i="58"/>
  <c r="M53" i="58"/>
  <c r="M54" i="58"/>
  <c r="M55" i="58"/>
  <c r="M56" i="58"/>
  <c r="M57" i="58"/>
  <c r="M58" i="58"/>
  <c r="M59" i="58"/>
  <c r="M60" i="58"/>
  <c r="M61" i="58"/>
  <c r="M62" i="58"/>
  <c r="M63" i="58"/>
  <c r="M64" i="58"/>
  <c r="M65" i="58"/>
  <c r="M66" i="58"/>
  <c r="M67" i="58"/>
  <c r="M68" i="58"/>
  <c r="M69" i="58"/>
  <c r="M70" i="58"/>
  <c r="M71" i="58"/>
  <c r="M72" i="58"/>
  <c r="M73" i="58"/>
  <c r="M74" i="58"/>
  <c r="M75" i="58"/>
  <c r="M76" i="58"/>
  <c r="M77" i="58"/>
  <c r="M78" i="58"/>
  <c r="M79" i="58"/>
  <c r="M80" i="58"/>
  <c r="M81" i="58"/>
  <c r="M82" i="58"/>
  <c r="M83" i="58"/>
  <c r="M84" i="58"/>
  <c r="M85" i="58"/>
  <c r="M86" i="58"/>
  <c r="M87" i="58"/>
  <c r="M88" i="58"/>
  <c r="M89" i="58"/>
  <c r="M90" i="58"/>
  <c r="M91" i="58"/>
  <c r="M92" i="58"/>
  <c r="M93" i="58"/>
  <c r="M94" i="58"/>
  <c r="M95" i="58"/>
  <c r="M96" i="58"/>
  <c r="M97" i="58"/>
  <c r="M98" i="58"/>
  <c r="M99" i="58"/>
  <c r="M100" i="58"/>
  <c r="M101" i="58"/>
  <c r="M102" i="58"/>
  <c r="M103" i="58"/>
  <c r="M104" i="58"/>
  <c r="M105" i="58"/>
  <c r="M106" i="58"/>
  <c r="M107" i="58"/>
  <c r="M108" i="58"/>
  <c r="M109" i="58"/>
  <c r="M110" i="58"/>
  <c r="M111" i="58"/>
  <c r="M112" i="58"/>
  <c r="M113" i="58"/>
  <c r="M114" i="58"/>
  <c r="M115" i="58"/>
  <c r="M116" i="58"/>
  <c r="M117" i="58"/>
  <c r="M118" i="58"/>
  <c r="M119" i="58"/>
  <c r="M120" i="58"/>
  <c r="M121" i="58"/>
  <c r="M122" i="58"/>
  <c r="M123" i="58"/>
  <c r="M124" i="58"/>
  <c r="M125" i="58"/>
  <c r="M126" i="58"/>
  <c r="M127" i="58"/>
  <c r="M128" i="58"/>
  <c r="M129" i="58"/>
  <c r="M130" i="58"/>
  <c r="M131" i="58"/>
  <c r="M132" i="58"/>
  <c r="M133" i="58"/>
  <c r="M134" i="58"/>
  <c r="M135" i="58"/>
  <c r="M136" i="58"/>
  <c r="M137" i="58"/>
  <c r="M138" i="58"/>
  <c r="M139" i="58"/>
  <c r="M140" i="58"/>
  <c r="M141" i="58"/>
  <c r="M142" i="58"/>
  <c r="M143" i="58"/>
  <c r="M144" i="58"/>
  <c r="M145" i="58"/>
  <c r="M146" i="58"/>
  <c r="M147" i="58"/>
  <c r="M148" i="58"/>
  <c r="M149" i="58"/>
  <c r="M150" i="58"/>
  <c r="M151" i="58"/>
  <c r="M152" i="58"/>
  <c r="M153" i="58"/>
  <c r="M154" i="58"/>
  <c r="M155" i="58"/>
  <c r="M156" i="58"/>
  <c r="M157" i="58"/>
  <c r="M158" i="58"/>
  <c r="M159" i="58"/>
  <c r="M160" i="58"/>
  <c r="M161" i="58"/>
  <c r="M162" i="58"/>
  <c r="M163" i="58"/>
  <c r="M164" i="58"/>
  <c r="M165" i="58"/>
  <c r="M166" i="58"/>
  <c r="M167" i="58"/>
  <c r="M168" i="58"/>
  <c r="M169" i="58"/>
  <c r="M170" i="58"/>
  <c r="M171" i="58"/>
  <c r="M172" i="58"/>
  <c r="M173" i="58"/>
  <c r="M174" i="58"/>
  <c r="M175" i="58"/>
  <c r="M176" i="58"/>
  <c r="M177" i="58"/>
  <c r="M178" i="58"/>
  <c r="M179" i="58"/>
  <c r="M180" i="58"/>
  <c r="M181" i="58"/>
  <c r="M182" i="58"/>
  <c r="M183" i="58"/>
  <c r="M184" i="58"/>
  <c r="M185" i="58"/>
  <c r="M186" i="58"/>
  <c r="M187" i="58"/>
  <c r="M188" i="58"/>
  <c r="M189" i="58"/>
  <c r="M190" i="58"/>
  <c r="M191" i="58"/>
  <c r="M192" i="58"/>
  <c r="M193" i="58"/>
  <c r="M194" i="58"/>
  <c r="M195" i="58"/>
  <c r="M196" i="58"/>
  <c r="M197" i="58"/>
  <c r="M198" i="58"/>
  <c r="M199" i="58"/>
  <c r="M200" i="58"/>
  <c r="M201" i="58"/>
  <c r="M202" i="58"/>
  <c r="M203" i="58"/>
  <c r="M204" i="58"/>
  <c r="M205" i="58"/>
  <c r="M206" i="58"/>
  <c r="M207" i="58"/>
  <c r="M208" i="58"/>
  <c r="M209" i="58"/>
  <c r="M210" i="58"/>
  <c r="M211" i="58"/>
  <c r="M212" i="58"/>
  <c r="M213" i="58"/>
  <c r="M214" i="58"/>
  <c r="M215" i="58"/>
  <c r="M216" i="58"/>
  <c r="M217" i="58"/>
  <c r="M218" i="58"/>
  <c r="M219" i="58"/>
  <c r="M220" i="58"/>
  <c r="M221" i="58"/>
  <c r="M222" i="58"/>
  <c r="M223" i="58"/>
  <c r="M224" i="58"/>
  <c r="M225" i="58"/>
  <c r="M226" i="58"/>
  <c r="M227" i="58"/>
  <c r="M228" i="58"/>
  <c r="M229" i="58"/>
  <c r="M230" i="58"/>
  <c r="M231" i="58"/>
  <c r="M232" i="58"/>
  <c r="M233" i="58"/>
  <c r="M234" i="58"/>
  <c r="M235" i="58"/>
  <c r="M236" i="58"/>
  <c r="M237" i="58"/>
  <c r="M238" i="58"/>
  <c r="M239" i="58"/>
  <c r="M240" i="58"/>
  <c r="M241" i="58"/>
  <c r="M242" i="58"/>
  <c r="M243" i="58"/>
  <c r="M244" i="58"/>
  <c r="M245" i="58"/>
  <c r="M246" i="58"/>
  <c r="M247" i="58"/>
  <c r="M248" i="58"/>
  <c r="M249" i="58"/>
  <c r="M250" i="58"/>
  <c r="M251" i="58"/>
  <c r="M252" i="58"/>
  <c r="M253" i="58"/>
  <c r="M254" i="58"/>
  <c r="M255" i="58"/>
  <c r="M256" i="58"/>
  <c r="M257" i="58"/>
  <c r="M258" i="58"/>
  <c r="M259" i="58"/>
  <c r="M260" i="58"/>
  <c r="M261" i="58"/>
  <c r="M262" i="58"/>
  <c r="M263" i="58"/>
  <c r="M264" i="58"/>
  <c r="M265" i="58"/>
  <c r="M266" i="58"/>
  <c r="M267" i="58"/>
  <c r="M268" i="58"/>
  <c r="M269" i="58"/>
  <c r="M270" i="58"/>
  <c r="M271" i="58"/>
  <c r="M272" i="58"/>
  <c r="M273" i="58"/>
  <c r="M274" i="58"/>
  <c r="M275" i="58"/>
  <c r="M276" i="58"/>
  <c r="M277" i="58"/>
  <c r="M278" i="58"/>
  <c r="M279" i="58"/>
  <c r="M280" i="58"/>
  <c r="M281" i="58"/>
  <c r="M282" i="58"/>
  <c r="M283" i="58"/>
  <c r="M284" i="58"/>
  <c r="M285" i="58"/>
  <c r="M286" i="58"/>
  <c r="M287" i="58"/>
  <c r="M288" i="58"/>
  <c r="M289" i="58"/>
  <c r="M290" i="58"/>
  <c r="M291" i="58"/>
  <c r="M292" i="58"/>
  <c r="M293" i="58"/>
  <c r="M294" i="58"/>
  <c r="M295" i="58"/>
  <c r="M296" i="58"/>
  <c r="M297" i="58"/>
  <c r="M298" i="58"/>
  <c r="M299" i="58"/>
  <c r="M300" i="58"/>
  <c r="M301" i="58"/>
  <c r="M302" i="58"/>
  <c r="M303" i="58"/>
  <c r="M304" i="58"/>
  <c r="M305" i="58"/>
  <c r="M306" i="58"/>
  <c r="M307" i="58"/>
  <c r="M308" i="58"/>
  <c r="M309" i="58"/>
  <c r="M310" i="58"/>
  <c r="M311" i="58"/>
  <c r="M312" i="58"/>
  <c r="M313" i="58"/>
  <c r="M314" i="58"/>
  <c r="M315" i="58"/>
  <c r="M316" i="58"/>
  <c r="M317" i="58"/>
  <c r="M318" i="58"/>
  <c r="M319" i="58"/>
  <c r="M320" i="58"/>
  <c r="M321" i="58"/>
  <c r="M322" i="58"/>
  <c r="M323" i="58"/>
  <c r="M324" i="58"/>
  <c r="M325" i="58"/>
  <c r="M326" i="58"/>
  <c r="M327" i="58"/>
  <c r="M328" i="58"/>
  <c r="M329" i="58"/>
  <c r="M330" i="58"/>
  <c r="M331" i="58"/>
  <c r="M332" i="58"/>
  <c r="M333" i="58"/>
  <c r="M334" i="58"/>
  <c r="M335" i="58"/>
  <c r="M336" i="58"/>
  <c r="M337" i="58"/>
  <c r="M338" i="58"/>
  <c r="M339" i="58"/>
  <c r="M340" i="58"/>
  <c r="M341" i="58"/>
  <c r="M342" i="58"/>
  <c r="M343" i="58"/>
  <c r="N43" i="58"/>
  <c r="N44" i="58"/>
  <c r="N45" i="58"/>
  <c r="N46" i="58"/>
  <c r="N47" i="58"/>
  <c r="N48" i="58"/>
  <c r="N49" i="58"/>
  <c r="N50" i="58"/>
  <c r="N51" i="58"/>
  <c r="N52" i="58"/>
  <c r="N53" i="58"/>
  <c r="N54" i="58"/>
  <c r="N55" i="58"/>
  <c r="N56" i="58"/>
  <c r="N57" i="58"/>
  <c r="N58" i="58"/>
  <c r="N59" i="58"/>
  <c r="N60" i="58"/>
  <c r="N61" i="58"/>
  <c r="N62" i="58"/>
  <c r="N63" i="58"/>
  <c r="N64" i="58"/>
  <c r="N65" i="58"/>
  <c r="N66" i="58"/>
  <c r="N67" i="58"/>
  <c r="N68" i="58"/>
  <c r="N69" i="58"/>
  <c r="N70" i="58"/>
  <c r="N71" i="58"/>
  <c r="N72" i="58"/>
  <c r="N73" i="58"/>
  <c r="N74" i="58"/>
  <c r="N75" i="58"/>
  <c r="N76" i="58"/>
  <c r="N77" i="58"/>
  <c r="N78" i="58"/>
  <c r="N79" i="58"/>
  <c r="N80" i="58"/>
  <c r="N81" i="58"/>
  <c r="N82" i="58"/>
  <c r="N83" i="58"/>
  <c r="N84" i="58"/>
  <c r="N85" i="58"/>
  <c r="N86" i="58"/>
  <c r="N87" i="58"/>
  <c r="N88" i="58"/>
  <c r="N89" i="58"/>
  <c r="N90" i="58"/>
  <c r="N91" i="58"/>
  <c r="N92" i="58"/>
  <c r="N93" i="58"/>
  <c r="N94" i="58"/>
  <c r="N95" i="58"/>
  <c r="N96" i="58"/>
  <c r="N97" i="58"/>
  <c r="N98" i="58"/>
  <c r="N99" i="58"/>
  <c r="N100" i="58"/>
  <c r="N101" i="58"/>
  <c r="N102" i="58"/>
  <c r="N103" i="58"/>
  <c r="N104" i="58"/>
  <c r="N105" i="58"/>
  <c r="N106" i="58"/>
  <c r="N107" i="58"/>
  <c r="N108" i="58"/>
  <c r="N109" i="58"/>
  <c r="N110" i="58"/>
  <c r="N111" i="58"/>
  <c r="N112" i="58"/>
  <c r="N113" i="58"/>
  <c r="N114" i="58"/>
  <c r="N115" i="58"/>
  <c r="N116" i="58"/>
  <c r="N117" i="58"/>
  <c r="N118" i="58"/>
  <c r="N119" i="58"/>
  <c r="N120" i="58"/>
  <c r="N121" i="58"/>
  <c r="N122" i="58"/>
  <c r="N123" i="58"/>
  <c r="N124" i="58"/>
  <c r="N125" i="58"/>
  <c r="N126" i="58"/>
  <c r="N127" i="58"/>
  <c r="N128" i="58"/>
  <c r="N129" i="58"/>
  <c r="N130" i="58"/>
  <c r="N131" i="58"/>
  <c r="N132" i="58"/>
  <c r="N133" i="58"/>
  <c r="N134" i="58"/>
  <c r="N135" i="58"/>
  <c r="N136" i="58"/>
  <c r="N137" i="58"/>
  <c r="N138" i="58"/>
  <c r="N139" i="58"/>
  <c r="N140" i="58"/>
  <c r="N141" i="58"/>
  <c r="N142" i="58"/>
  <c r="N143" i="58"/>
  <c r="N144" i="58"/>
  <c r="N145" i="58"/>
  <c r="N146" i="58"/>
  <c r="N147" i="58"/>
  <c r="N148" i="58"/>
  <c r="N149" i="58"/>
  <c r="N150" i="58"/>
  <c r="N151" i="58"/>
  <c r="N152" i="58"/>
  <c r="N153" i="58"/>
  <c r="N154" i="58"/>
  <c r="N155" i="58"/>
  <c r="N156" i="58"/>
  <c r="N157" i="58"/>
  <c r="N158" i="58"/>
  <c r="N159" i="58"/>
  <c r="N160" i="58"/>
  <c r="N161" i="58"/>
  <c r="N162" i="58"/>
  <c r="N163" i="58"/>
  <c r="N164" i="58"/>
  <c r="N165" i="58"/>
  <c r="N166" i="58"/>
  <c r="N167" i="58"/>
  <c r="N168" i="58"/>
  <c r="N169" i="58"/>
  <c r="N170" i="58"/>
  <c r="N171" i="58"/>
  <c r="N172" i="58"/>
  <c r="N173" i="58"/>
  <c r="N174" i="58"/>
  <c r="N175" i="58"/>
  <c r="N176" i="58"/>
  <c r="N177" i="58"/>
  <c r="N178" i="58"/>
  <c r="N179" i="58"/>
  <c r="N180" i="58"/>
  <c r="N181" i="58"/>
  <c r="N182" i="58"/>
  <c r="N183" i="58"/>
  <c r="N184" i="58"/>
  <c r="N185" i="58"/>
  <c r="N186" i="58"/>
  <c r="N187" i="58"/>
  <c r="N188" i="58"/>
  <c r="N189" i="58"/>
  <c r="N190" i="58"/>
  <c r="N191" i="58"/>
  <c r="N192" i="58"/>
  <c r="N193" i="58"/>
  <c r="N194" i="58"/>
  <c r="N195" i="58"/>
  <c r="N196" i="58"/>
  <c r="N197" i="58"/>
  <c r="N198" i="58"/>
  <c r="N199" i="58"/>
  <c r="N200" i="58"/>
  <c r="N201" i="58"/>
  <c r="N202" i="58"/>
  <c r="N203" i="58"/>
  <c r="N204" i="58"/>
  <c r="N205" i="58"/>
  <c r="N206" i="58"/>
  <c r="N207" i="58"/>
  <c r="N208" i="58"/>
  <c r="N209" i="58"/>
  <c r="N210" i="58"/>
  <c r="N211" i="58"/>
  <c r="N212" i="58"/>
  <c r="N213" i="58"/>
  <c r="N214" i="58"/>
  <c r="N215" i="58"/>
  <c r="N216" i="58"/>
  <c r="N217" i="58"/>
  <c r="N218" i="58"/>
  <c r="N219" i="58"/>
  <c r="N220" i="58"/>
  <c r="N221" i="58"/>
  <c r="N222" i="58"/>
  <c r="N223" i="58"/>
  <c r="N224" i="58"/>
  <c r="N225" i="58"/>
  <c r="N226" i="58"/>
  <c r="N227" i="58"/>
  <c r="N228" i="58"/>
  <c r="N229" i="58"/>
  <c r="N230" i="58"/>
  <c r="N231" i="58"/>
  <c r="N232" i="58"/>
  <c r="N233" i="58"/>
  <c r="N234" i="58"/>
  <c r="N235" i="58"/>
  <c r="N236" i="58"/>
  <c r="N237" i="58"/>
  <c r="N238" i="58"/>
  <c r="N239" i="58"/>
  <c r="N240" i="58"/>
  <c r="N241" i="58"/>
  <c r="N242" i="58"/>
  <c r="N243" i="58"/>
  <c r="N244" i="58"/>
  <c r="N245" i="58"/>
  <c r="N246" i="58"/>
  <c r="N247" i="58"/>
  <c r="N248" i="58"/>
  <c r="N249" i="58"/>
  <c r="N250" i="58"/>
  <c r="N251" i="58"/>
  <c r="N252" i="58"/>
  <c r="N253" i="58"/>
  <c r="N254" i="58"/>
  <c r="N255" i="58"/>
  <c r="N256" i="58"/>
  <c r="N257" i="58"/>
  <c r="N258" i="58"/>
  <c r="N259" i="58"/>
  <c r="N260" i="58"/>
  <c r="N261" i="58"/>
  <c r="N262" i="58"/>
  <c r="N263" i="58"/>
  <c r="N264" i="58"/>
  <c r="N265" i="58"/>
  <c r="N266" i="58"/>
  <c r="N267" i="58"/>
  <c r="N268" i="58"/>
  <c r="N269" i="58"/>
  <c r="N270" i="58"/>
  <c r="N271" i="58"/>
  <c r="N272" i="58"/>
  <c r="N273" i="58"/>
  <c r="N274" i="58"/>
  <c r="N275" i="58"/>
  <c r="N276" i="58"/>
  <c r="N277" i="58"/>
  <c r="N278" i="58"/>
  <c r="N279" i="58"/>
  <c r="N280" i="58"/>
  <c r="N281" i="58"/>
  <c r="N282" i="58"/>
  <c r="N283" i="58"/>
  <c r="N284" i="58"/>
  <c r="N285" i="58"/>
  <c r="N286" i="58"/>
  <c r="N287" i="58"/>
  <c r="N288" i="58"/>
  <c r="N289" i="58"/>
  <c r="N290" i="58"/>
  <c r="N291" i="58"/>
  <c r="N292" i="58"/>
  <c r="N293" i="58"/>
  <c r="N294" i="58"/>
  <c r="N295" i="58"/>
  <c r="N296" i="58"/>
  <c r="N297" i="58"/>
  <c r="N298" i="58"/>
  <c r="N299" i="58"/>
  <c r="N300" i="58"/>
  <c r="N301" i="58"/>
  <c r="N302" i="58"/>
  <c r="N303" i="58"/>
  <c r="N304" i="58"/>
  <c r="N305" i="58"/>
  <c r="N306" i="58"/>
  <c r="N307" i="58"/>
  <c r="N308" i="58"/>
  <c r="N309" i="58"/>
  <c r="N310" i="58"/>
  <c r="N311" i="58"/>
  <c r="N312" i="58"/>
  <c r="N313" i="58"/>
  <c r="N314" i="58"/>
  <c r="N315" i="58"/>
  <c r="N316" i="58"/>
  <c r="N317" i="58"/>
  <c r="N318" i="58"/>
  <c r="N319" i="58"/>
  <c r="N320" i="58"/>
  <c r="N321" i="58"/>
  <c r="N322" i="58"/>
  <c r="N323" i="58"/>
  <c r="N324" i="58"/>
  <c r="N325" i="58"/>
  <c r="N326" i="58"/>
  <c r="N327" i="58"/>
  <c r="N328" i="58"/>
  <c r="N329" i="58"/>
  <c r="N330" i="58"/>
  <c r="N331" i="58"/>
  <c r="N332" i="58"/>
  <c r="N333" i="58"/>
  <c r="N334" i="58"/>
  <c r="N335" i="58"/>
  <c r="N336" i="58"/>
  <c r="N337" i="58"/>
  <c r="N338" i="58"/>
  <c r="N339" i="58"/>
  <c r="N340" i="58"/>
  <c r="N341" i="58"/>
  <c r="N342" i="58"/>
  <c r="N343" i="58"/>
  <c r="O43" i="58"/>
  <c r="O44" i="58"/>
  <c r="O45" i="58"/>
  <c r="O46" i="58"/>
  <c r="O47" i="58"/>
  <c r="O48" i="58"/>
  <c r="O49" i="58"/>
  <c r="O50" i="58"/>
  <c r="O51" i="58"/>
  <c r="O52" i="58"/>
  <c r="O53" i="58"/>
  <c r="O54" i="58"/>
  <c r="O55" i="58"/>
  <c r="O56" i="58"/>
  <c r="O57" i="58"/>
  <c r="O58" i="58"/>
  <c r="O59" i="58"/>
  <c r="O60" i="58"/>
  <c r="O61" i="58"/>
  <c r="O62" i="58"/>
  <c r="O63" i="58"/>
  <c r="O64" i="58"/>
  <c r="O65" i="58"/>
  <c r="O66" i="58"/>
  <c r="O67" i="58"/>
  <c r="O68" i="58"/>
  <c r="O69" i="58"/>
  <c r="O70" i="58"/>
  <c r="O71" i="58"/>
  <c r="O72" i="58"/>
  <c r="O73" i="58"/>
  <c r="O74" i="58"/>
  <c r="O75" i="58"/>
  <c r="O76" i="58"/>
  <c r="O77" i="58"/>
  <c r="O78" i="58"/>
  <c r="O79" i="58"/>
  <c r="O80" i="58"/>
  <c r="O81" i="58"/>
  <c r="O82" i="58"/>
  <c r="O83" i="58"/>
  <c r="O84" i="58"/>
  <c r="O85" i="58"/>
  <c r="O86" i="58"/>
  <c r="O87" i="58"/>
  <c r="O88" i="58"/>
  <c r="O89" i="58"/>
  <c r="O90" i="58"/>
  <c r="O91" i="58"/>
  <c r="O92" i="58"/>
  <c r="O93" i="58"/>
  <c r="O94" i="58"/>
  <c r="O95" i="58"/>
  <c r="O96" i="58"/>
  <c r="O97" i="58"/>
  <c r="O98" i="58"/>
  <c r="O99" i="58"/>
  <c r="O100" i="58"/>
  <c r="O101" i="58"/>
  <c r="O102" i="58"/>
  <c r="O103" i="58"/>
  <c r="O104" i="58"/>
  <c r="O105" i="58"/>
  <c r="O106" i="58"/>
  <c r="O107" i="58"/>
  <c r="O108" i="58"/>
  <c r="O109" i="58"/>
  <c r="O110" i="58"/>
  <c r="O111" i="58"/>
  <c r="O112" i="58"/>
  <c r="O113" i="58"/>
  <c r="O114" i="58"/>
  <c r="O115" i="58"/>
  <c r="O116" i="58"/>
  <c r="O117" i="58"/>
  <c r="O118" i="58"/>
  <c r="O119" i="58"/>
  <c r="O120" i="58"/>
  <c r="O121" i="58"/>
  <c r="O122" i="58"/>
  <c r="O123" i="58"/>
  <c r="O124" i="58"/>
  <c r="O125" i="58"/>
  <c r="O126" i="58"/>
  <c r="O127" i="58"/>
  <c r="O128" i="58"/>
  <c r="O129" i="58"/>
  <c r="O130" i="58"/>
  <c r="O131" i="58"/>
  <c r="O132" i="58"/>
  <c r="O133" i="58"/>
  <c r="O134" i="58"/>
  <c r="O135" i="58"/>
  <c r="O136" i="58"/>
  <c r="O137" i="58"/>
  <c r="O138" i="58"/>
  <c r="O139" i="58"/>
  <c r="O140" i="58"/>
  <c r="O141" i="58"/>
  <c r="O142" i="58"/>
  <c r="O143" i="58"/>
  <c r="O144" i="58"/>
  <c r="O145" i="58"/>
  <c r="O146" i="58"/>
  <c r="O147" i="58"/>
  <c r="O148" i="58"/>
  <c r="O149" i="58"/>
  <c r="O150" i="58"/>
  <c r="O151" i="58"/>
  <c r="O152" i="58"/>
  <c r="O153" i="58"/>
  <c r="O154" i="58"/>
  <c r="O155" i="58"/>
  <c r="O156" i="58"/>
  <c r="O157" i="58"/>
  <c r="O158" i="58"/>
  <c r="O159" i="58"/>
  <c r="O160" i="58"/>
  <c r="O161" i="58"/>
  <c r="O162" i="58"/>
  <c r="O163" i="58"/>
  <c r="O164" i="58"/>
  <c r="O165" i="58"/>
  <c r="O166" i="58"/>
  <c r="O167" i="58"/>
  <c r="O168" i="58"/>
  <c r="O169" i="58"/>
  <c r="O170" i="58"/>
  <c r="O171" i="58"/>
  <c r="O172" i="58"/>
  <c r="O173" i="58"/>
  <c r="O174" i="58"/>
  <c r="O175" i="58"/>
  <c r="O176" i="58"/>
  <c r="O177" i="58"/>
  <c r="O178" i="58"/>
  <c r="O179" i="58"/>
  <c r="O180" i="58"/>
  <c r="O181" i="58"/>
  <c r="O182" i="58"/>
  <c r="O183" i="58"/>
  <c r="O184" i="58"/>
  <c r="O185" i="58"/>
  <c r="O186" i="58"/>
  <c r="O187" i="58"/>
  <c r="O188" i="58"/>
  <c r="O189" i="58"/>
  <c r="O190" i="58"/>
  <c r="O191" i="58"/>
  <c r="O192" i="58"/>
  <c r="O193" i="58"/>
  <c r="O194" i="58"/>
  <c r="O195" i="58"/>
  <c r="O196" i="58"/>
  <c r="O197" i="58"/>
  <c r="O198" i="58"/>
  <c r="O199" i="58"/>
  <c r="O200" i="58"/>
  <c r="O201" i="58"/>
  <c r="O202" i="58"/>
  <c r="O203" i="58"/>
  <c r="O204" i="58"/>
  <c r="O205" i="58"/>
  <c r="O206" i="58"/>
  <c r="O207" i="58"/>
  <c r="O208" i="58"/>
  <c r="O209" i="58"/>
  <c r="O210" i="58"/>
  <c r="O211" i="58"/>
  <c r="O212" i="58"/>
  <c r="O213" i="58"/>
  <c r="O214" i="58"/>
  <c r="O215" i="58"/>
  <c r="O216" i="58"/>
  <c r="O217" i="58"/>
  <c r="O218" i="58"/>
  <c r="O219" i="58"/>
  <c r="O220" i="58"/>
  <c r="O221" i="58"/>
  <c r="O222" i="58"/>
  <c r="O223" i="58"/>
  <c r="O224" i="58"/>
  <c r="O225" i="58"/>
  <c r="O226" i="58"/>
  <c r="O227" i="58"/>
  <c r="O228" i="58"/>
  <c r="O229" i="58"/>
  <c r="O230" i="58"/>
  <c r="O231" i="58"/>
  <c r="O232" i="58"/>
  <c r="O233" i="58"/>
  <c r="O234" i="58"/>
  <c r="O235" i="58"/>
  <c r="O236" i="58"/>
  <c r="O237" i="58"/>
  <c r="O238" i="58"/>
  <c r="O239" i="58"/>
  <c r="O240" i="58"/>
  <c r="O241" i="58"/>
  <c r="O242" i="58"/>
  <c r="O243" i="58"/>
  <c r="O244" i="58"/>
  <c r="O245" i="58"/>
  <c r="O246" i="58"/>
  <c r="O247" i="58"/>
  <c r="O248" i="58"/>
  <c r="O249" i="58"/>
  <c r="O250" i="58"/>
  <c r="O251" i="58"/>
  <c r="O252" i="58"/>
  <c r="O253" i="58"/>
  <c r="O254" i="58"/>
  <c r="O255" i="58"/>
  <c r="O256" i="58"/>
  <c r="O257" i="58"/>
  <c r="O258" i="58"/>
  <c r="O259" i="58"/>
  <c r="O260" i="58"/>
  <c r="O261" i="58"/>
  <c r="O262" i="58"/>
  <c r="O263" i="58"/>
  <c r="O264" i="58"/>
  <c r="O265" i="58"/>
  <c r="O266" i="58"/>
  <c r="O267" i="58"/>
  <c r="O268" i="58"/>
  <c r="O269" i="58"/>
  <c r="O270" i="58"/>
  <c r="O271" i="58"/>
  <c r="O272" i="58"/>
  <c r="O273" i="58"/>
  <c r="O274" i="58"/>
  <c r="O275" i="58"/>
  <c r="O276" i="58"/>
  <c r="O277" i="58"/>
  <c r="O278" i="58"/>
  <c r="O279" i="58"/>
  <c r="O280" i="58"/>
  <c r="O281" i="58"/>
  <c r="O282" i="58"/>
  <c r="O283" i="58"/>
  <c r="O284" i="58"/>
  <c r="O285" i="58"/>
  <c r="O286" i="58"/>
  <c r="O287" i="58"/>
  <c r="O288" i="58"/>
  <c r="O289" i="58"/>
  <c r="O290" i="58"/>
  <c r="O291" i="58"/>
  <c r="O292" i="58"/>
  <c r="O293" i="58"/>
  <c r="O294" i="58"/>
  <c r="O295" i="58"/>
  <c r="O296" i="58"/>
  <c r="O297" i="58"/>
  <c r="O298" i="58"/>
  <c r="O299" i="58"/>
  <c r="O300" i="58"/>
  <c r="O301" i="58"/>
  <c r="O302" i="58"/>
  <c r="O303" i="58"/>
  <c r="O304" i="58"/>
  <c r="O305" i="58"/>
  <c r="O306" i="58"/>
  <c r="O307" i="58"/>
  <c r="O308" i="58"/>
  <c r="O309" i="58"/>
  <c r="O310" i="58"/>
  <c r="O311" i="58"/>
  <c r="O312" i="58"/>
  <c r="O313" i="58"/>
  <c r="O314" i="58"/>
  <c r="O315" i="58"/>
  <c r="O316" i="58"/>
  <c r="O317" i="58"/>
  <c r="O318" i="58"/>
  <c r="O319" i="58"/>
  <c r="O320" i="58"/>
  <c r="O321" i="58"/>
  <c r="O322" i="58"/>
  <c r="O323" i="58"/>
  <c r="O324" i="58"/>
  <c r="O325" i="58"/>
  <c r="O326" i="58"/>
  <c r="O327" i="58"/>
  <c r="O328" i="58"/>
  <c r="O329" i="58"/>
  <c r="O330" i="58"/>
  <c r="O331" i="58"/>
  <c r="O332" i="58"/>
  <c r="O333" i="58"/>
  <c r="O334" i="58"/>
  <c r="O335" i="58"/>
  <c r="O336" i="58"/>
  <c r="O337" i="58"/>
  <c r="O338" i="58"/>
  <c r="O339" i="58"/>
  <c r="O340" i="58"/>
  <c r="O341" i="58"/>
  <c r="O342" i="58"/>
  <c r="O343" i="58"/>
  <c r="P43" i="58"/>
  <c r="P44" i="58"/>
  <c r="P45" i="58"/>
  <c r="P46" i="58"/>
  <c r="P47" i="58"/>
  <c r="P48" i="58"/>
  <c r="P49" i="58"/>
  <c r="P50" i="58"/>
  <c r="P51" i="58"/>
  <c r="P52" i="58"/>
  <c r="P53" i="58"/>
  <c r="P54" i="58"/>
  <c r="P55" i="58"/>
  <c r="P56" i="58"/>
  <c r="P57" i="58"/>
  <c r="P58" i="58"/>
  <c r="P59" i="58"/>
  <c r="P60" i="58"/>
  <c r="P61" i="58"/>
  <c r="P62" i="58"/>
  <c r="P63" i="58"/>
  <c r="P64" i="58"/>
  <c r="P65" i="58"/>
  <c r="P66" i="58"/>
  <c r="P67" i="58"/>
  <c r="P68" i="58"/>
  <c r="P69" i="58"/>
  <c r="P70" i="58"/>
  <c r="P71" i="58"/>
  <c r="P72" i="58"/>
  <c r="P73" i="58"/>
  <c r="P74" i="58"/>
  <c r="P75" i="58"/>
  <c r="P76" i="58"/>
  <c r="P77" i="58"/>
  <c r="P78" i="58"/>
  <c r="P79" i="58"/>
  <c r="P80" i="58"/>
  <c r="P81" i="58"/>
  <c r="P82" i="58"/>
  <c r="P83" i="58"/>
  <c r="P84" i="58"/>
  <c r="P85" i="58"/>
  <c r="P86" i="58"/>
  <c r="P87" i="58"/>
  <c r="P88" i="58"/>
  <c r="P89" i="58"/>
  <c r="P90" i="58"/>
  <c r="P91" i="58"/>
  <c r="P92" i="58"/>
  <c r="P93" i="58"/>
  <c r="P94" i="58"/>
  <c r="P95" i="58"/>
  <c r="P96" i="58"/>
  <c r="P97" i="58"/>
  <c r="P98" i="58"/>
  <c r="P99" i="58"/>
  <c r="P100" i="58"/>
  <c r="P101" i="58"/>
  <c r="P102" i="58"/>
  <c r="P103" i="58"/>
  <c r="P104" i="58"/>
  <c r="P105" i="58"/>
  <c r="P106" i="58"/>
  <c r="P107" i="58"/>
  <c r="P108" i="58"/>
  <c r="P109" i="58"/>
  <c r="P110" i="58"/>
  <c r="P111" i="58"/>
  <c r="P112" i="58"/>
  <c r="P113" i="58"/>
  <c r="P114" i="58"/>
  <c r="P115" i="58"/>
  <c r="P116" i="58"/>
  <c r="P117" i="58"/>
  <c r="P118" i="58"/>
  <c r="P119" i="58"/>
  <c r="P120" i="58"/>
  <c r="P121" i="58"/>
  <c r="P122" i="58"/>
  <c r="P123" i="58"/>
  <c r="P124" i="58"/>
  <c r="P125" i="58"/>
  <c r="P126" i="58"/>
  <c r="P127" i="58"/>
  <c r="P128" i="58"/>
  <c r="P129" i="58"/>
  <c r="P130" i="58"/>
  <c r="P131" i="58"/>
  <c r="P132" i="58"/>
  <c r="P133" i="58"/>
  <c r="P134" i="58"/>
  <c r="P135" i="58"/>
  <c r="P136" i="58"/>
  <c r="P137" i="58"/>
  <c r="P138" i="58"/>
  <c r="P139" i="58"/>
  <c r="P140" i="58"/>
  <c r="P141" i="58"/>
  <c r="P142" i="58"/>
  <c r="P143" i="58"/>
  <c r="P144" i="58"/>
  <c r="P145" i="58"/>
  <c r="P146" i="58"/>
  <c r="P147" i="58"/>
  <c r="P148" i="58"/>
  <c r="P149" i="58"/>
  <c r="P150" i="58"/>
  <c r="P151" i="58"/>
  <c r="P152" i="58"/>
  <c r="P153" i="58"/>
  <c r="P154" i="58"/>
  <c r="P155" i="58"/>
  <c r="P156" i="58"/>
  <c r="P157" i="58"/>
  <c r="P158" i="58"/>
  <c r="P159" i="58"/>
  <c r="P160" i="58"/>
  <c r="P161" i="58"/>
  <c r="P162" i="58"/>
  <c r="P163" i="58"/>
  <c r="P164" i="58"/>
  <c r="P165" i="58"/>
  <c r="P166" i="58"/>
  <c r="P167" i="58"/>
  <c r="P168" i="58"/>
  <c r="P169" i="58"/>
  <c r="P170" i="58"/>
  <c r="P171" i="58"/>
  <c r="P172" i="58"/>
  <c r="P173" i="58"/>
  <c r="P174" i="58"/>
  <c r="P175" i="58"/>
  <c r="P176" i="58"/>
  <c r="P177" i="58"/>
  <c r="P178" i="58"/>
  <c r="P179" i="58"/>
  <c r="P180" i="58"/>
  <c r="P181" i="58"/>
  <c r="P182" i="58"/>
  <c r="P183" i="58"/>
  <c r="P184" i="58"/>
  <c r="P185" i="58"/>
  <c r="P186" i="58"/>
  <c r="P187" i="58"/>
  <c r="P188" i="58"/>
  <c r="P189" i="58"/>
  <c r="P190" i="58"/>
  <c r="P191" i="58"/>
  <c r="P192" i="58"/>
  <c r="P193" i="58"/>
  <c r="P194" i="58"/>
  <c r="P195" i="58"/>
  <c r="P196" i="58"/>
  <c r="P197" i="58"/>
  <c r="P198" i="58"/>
  <c r="P199" i="58"/>
  <c r="P200" i="58"/>
  <c r="P201" i="58"/>
  <c r="P202" i="58"/>
  <c r="P203" i="58"/>
  <c r="P204" i="58"/>
  <c r="P205" i="58"/>
  <c r="P206" i="58"/>
  <c r="P207" i="58"/>
  <c r="P208" i="58"/>
  <c r="P209" i="58"/>
  <c r="P210" i="58"/>
  <c r="P211" i="58"/>
  <c r="P212" i="58"/>
  <c r="P213" i="58"/>
  <c r="P214" i="58"/>
  <c r="P215" i="58"/>
  <c r="P216" i="58"/>
  <c r="P217" i="58"/>
  <c r="P218" i="58"/>
  <c r="P219" i="58"/>
  <c r="P220" i="58"/>
  <c r="P221" i="58"/>
  <c r="P222" i="58"/>
  <c r="P223" i="58"/>
  <c r="P224" i="58"/>
  <c r="P225" i="58"/>
  <c r="P226" i="58"/>
  <c r="P227" i="58"/>
  <c r="P228" i="58"/>
  <c r="P229" i="58"/>
  <c r="P230" i="58"/>
  <c r="P231" i="58"/>
  <c r="P232" i="58"/>
  <c r="P233" i="58"/>
  <c r="P234" i="58"/>
  <c r="P235" i="58"/>
  <c r="P236" i="58"/>
  <c r="P237" i="58"/>
  <c r="P238" i="58"/>
  <c r="P239" i="58"/>
  <c r="P240" i="58"/>
  <c r="P241" i="58"/>
  <c r="P242" i="58"/>
  <c r="P243" i="58"/>
  <c r="P244" i="58"/>
  <c r="P245" i="58"/>
  <c r="P246" i="58"/>
  <c r="P247" i="58"/>
  <c r="P248" i="58"/>
  <c r="P249" i="58"/>
  <c r="P250" i="58"/>
  <c r="P251" i="58"/>
  <c r="P252" i="58"/>
  <c r="P253" i="58"/>
  <c r="P254" i="58"/>
  <c r="P255" i="58"/>
  <c r="P256" i="58"/>
  <c r="P257" i="58"/>
  <c r="P258" i="58"/>
  <c r="P259" i="58"/>
  <c r="P260" i="58"/>
  <c r="P261" i="58"/>
  <c r="P262" i="58"/>
  <c r="P263" i="58"/>
  <c r="P264" i="58"/>
  <c r="P265" i="58"/>
  <c r="P266" i="58"/>
  <c r="P267" i="58"/>
  <c r="P268" i="58"/>
  <c r="P269" i="58"/>
  <c r="P270" i="58"/>
  <c r="P271" i="58"/>
  <c r="P272" i="58"/>
  <c r="P273" i="58"/>
  <c r="P274" i="58"/>
  <c r="P275" i="58"/>
  <c r="P276" i="58"/>
  <c r="P277" i="58"/>
  <c r="P278" i="58"/>
  <c r="P279" i="58"/>
  <c r="P280" i="58"/>
  <c r="P281" i="58"/>
  <c r="P282" i="58"/>
  <c r="P283" i="58"/>
  <c r="P284" i="58"/>
  <c r="P285" i="58"/>
  <c r="P286" i="58"/>
  <c r="P287" i="58"/>
  <c r="P288" i="58"/>
  <c r="P289" i="58"/>
  <c r="P290" i="58"/>
  <c r="P291" i="58"/>
  <c r="P292" i="58"/>
  <c r="P293" i="58"/>
  <c r="P294" i="58"/>
  <c r="P295" i="58"/>
  <c r="P296" i="58"/>
  <c r="P297" i="58"/>
  <c r="P298" i="58"/>
  <c r="P299" i="58"/>
  <c r="P300" i="58"/>
  <c r="P301" i="58"/>
  <c r="P302" i="58"/>
  <c r="P303" i="58"/>
  <c r="P304" i="58"/>
  <c r="P305" i="58"/>
  <c r="P306" i="58"/>
  <c r="P307" i="58"/>
  <c r="P308" i="58"/>
  <c r="P309" i="58"/>
  <c r="P310" i="58"/>
  <c r="P311" i="58"/>
  <c r="P312" i="58"/>
  <c r="P313" i="58"/>
  <c r="P314" i="58"/>
  <c r="P315" i="58"/>
  <c r="P316" i="58"/>
  <c r="P317" i="58"/>
  <c r="P318" i="58"/>
  <c r="P319" i="58"/>
  <c r="P320" i="58"/>
  <c r="P321" i="58"/>
  <c r="P322" i="58"/>
  <c r="P323" i="58"/>
  <c r="P324" i="58"/>
  <c r="P325" i="58"/>
  <c r="P326" i="58"/>
  <c r="P327" i="58"/>
  <c r="P328" i="58"/>
  <c r="P329" i="58"/>
  <c r="P330" i="58"/>
  <c r="P331" i="58"/>
  <c r="P332" i="58"/>
  <c r="P333" i="58"/>
  <c r="P334" i="58"/>
  <c r="P335" i="58"/>
  <c r="P336" i="58"/>
  <c r="P337" i="58"/>
  <c r="P338" i="58"/>
  <c r="P339" i="58"/>
  <c r="P340" i="58"/>
  <c r="P341" i="58"/>
  <c r="P342" i="58"/>
  <c r="P343" i="58"/>
  <c r="Q43" i="58"/>
  <c r="Q44" i="58"/>
  <c r="Q45" i="58"/>
  <c r="Q46" i="58"/>
  <c r="Q47" i="58"/>
  <c r="Q48" i="58"/>
  <c r="Q49" i="58"/>
  <c r="Q50" i="58"/>
  <c r="Q51" i="58"/>
  <c r="Q52" i="58"/>
  <c r="Q53" i="58"/>
  <c r="Q54" i="58"/>
  <c r="Q55" i="58"/>
  <c r="Q56" i="58"/>
  <c r="Q57" i="58"/>
  <c r="Q58" i="58"/>
  <c r="Q59" i="58"/>
  <c r="Q60" i="58"/>
  <c r="Q61" i="58"/>
  <c r="Q62" i="58"/>
  <c r="Q63" i="58"/>
  <c r="Q64" i="58"/>
  <c r="Q65" i="58"/>
  <c r="Q66" i="58"/>
  <c r="Q67" i="58"/>
  <c r="Q68" i="58"/>
  <c r="Q69" i="58"/>
  <c r="Q70" i="58"/>
  <c r="Q71" i="58"/>
  <c r="Q72" i="58"/>
  <c r="Q73" i="58"/>
  <c r="Q74" i="58"/>
  <c r="Q75" i="58"/>
  <c r="Q76" i="58"/>
  <c r="Q77" i="58"/>
  <c r="Q78" i="58"/>
  <c r="Q79" i="58"/>
  <c r="Q80" i="58"/>
  <c r="Q81" i="58"/>
  <c r="Q82" i="58"/>
  <c r="Q83" i="58"/>
  <c r="Q84" i="58"/>
  <c r="Q85" i="58"/>
  <c r="Q86" i="58"/>
  <c r="Q87" i="58"/>
  <c r="Q88" i="58"/>
  <c r="Q89" i="58"/>
  <c r="Q90" i="58"/>
  <c r="Q91" i="58"/>
  <c r="Q92" i="58"/>
  <c r="Q93" i="58"/>
  <c r="Q94" i="58"/>
  <c r="Q95" i="58"/>
  <c r="Q96" i="58"/>
  <c r="Q97" i="58"/>
  <c r="Q98" i="58"/>
  <c r="Q99" i="58"/>
  <c r="Q100" i="58"/>
  <c r="Q101" i="58"/>
  <c r="Q102" i="58"/>
  <c r="Q103" i="58"/>
  <c r="Q104" i="58"/>
  <c r="Q105" i="58"/>
  <c r="Q106" i="58"/>
  <c r="Q107" i="58"/>
  <c r="Q108" i="58"/>
  <c r="Q109" i="58"/>
  <c r="Q110" i="58"/>
  <c r="Q111" i="58"/>
  <c r="Q112" i="58"/>
  <c r="Q113" i="58"/>
  <c r="Q114" i="58"/>
  <c r="Q115" i="58"/>
  <c r="Q116" i="58"/>
  <c r="Q117" i="58"/>
  <c r="Q118" i="58"/>
  <c r="Q119" i="58"/>
  <c r="Q120" i="58"/>
  <c r="Q121" i="58"/>
  <c r="Q122" i="58"/>
  <c r="Q123" i="58"/>
  <c r="Q124" i="58"/>
  <c r="Q125" i="58"/>
  <c r="Q126" i="58"/>
  <c r="Q127" i="58"/>
  <c r="Q128" i="58"/>
  <c r="Q129" i="58"/>
  <c r="Q130" i="58"/>
  <c r="Q131" i="58"/>
  <c r="Q132" i="58"/>
  <c r="Q133" i="58"/>
  <c r="Q134" i="58"/>
  <c r="Q135" i="58"/>
  <c r="Q136" i="58"/>
  <c r="Q137" i="58"/>
  <c r="Q138" i="58"/>
  <c r="Q139" i="58"/>
  <c r="Q140" i="58"/>
  <c r="Q141" i="58"/>
  <c r="Q142" i="58"/>
  <c r="Q143" i="58"/>
  <c r="Q144" i="58"/>
  <c r="Q145" i="58"/>
  <c r="Q146" i="58"/>
  <c r="Q147" i="58"/>
  <c r="Q148" i="58"/>
  <c r="Q149" i="58"/>
  <c r="Q150" i="58"/>
  <c r="Q151" i="58"/>
  <c r="Q152" i="58"/>
  <c r="Q153" i="58"/>
  <c r="Q154" i="58"/>
  <c r="Q155" i="58"/>
  <c r="Q156" i="58"/>
  <c r="Q157" i="58"/>
  <c r="Q158" i="58"/>
  <c r="Q159" i="58"/>
  <c r="Q160" i="58"/>
  <c r="Q161" i="58"/>
  <c r="Q162" i="58"/>
  <c r="Q163" i="58"/>
  <c r="Q164" i="58"/>
  <c r="Q165" i="58"/>
  <c r="Q166" i="58"/>
  <c r="Q167" i="58"/>
  <c r="Q168" i="58"/>
  <c r="Q169" i="58"/>
  <c r="Q170" i="58"/>
  <c r="Q171" i="58"/>
  <c r="Q172" i="58"/>
  <c r="Q173" i="58"/>
  <c r="Q174" i="58"/>
  <c r="Q175" i="58"/>
  <c r="Q176" i="58"/>
  <c r="Q177" i="58"/>
  <c r="Q178" i="58"/>
  <c r="Q179" i="58"/>
  <c r="Q180" i="58"/>
  <c r="Q181" i="58"/>
  <c r="Q182" i="58"/>
  <c r="Q183" i="58"/>
  <c r="Q184" i="58"/>
  <c r="Q185" i="58"/>
  <c r="Q186" i="58"/>
  <c r="Q187" i="58"/>
  <c r="Q188" i="58"/>
  <c r="Q189" i="58"/>
  <c r="Q190" i="58"/>
  <c r="Q191" i="58"/>
  <c r="Q192" i="58"/>
  <c r="Q193" i="58"/>
  <c r="Q194" i="58"/>
  <c r="Q195" i="58"/>
  <c r="Q196" i="58"/>
  <c r="Q197" i="58"/>
  <c r="Q198" i="58"/>
  <c r="Q199" i="58"/>
  <c r="Q200" i="58"/>
  <c r="Q201" i="58"/>
  <c r="Q202" i="58"/>
  <c r="Q203" i="58"/>
  <c r="Q204" i="58"/>
  <c r="Q205" i="58"/>
  <c r="Q206" i="58"/>
  <c r="Q207" i="58"/>
  <c r="Q208" i="58"/>
  <c r="Q209" i="58"/>
  <c r="Q210" i="58"/>
  <c r="Q211" i="58"/>
  <c r="Q212" i="58"/>
  <c r="Q213" i="58"/>
  <c r="Q214" i="58"/>
  <c r="Q215" i="58"/>
  <c r="Q216" i="58"/>
  <c r="Q217" i="58"/>
  <c r="Q218" i="58"/>
  <c r="Q219" i="58"/>
  <c r="Q220" i="58"/>
  <c r="Q221" i="58"/>
  <c r="Q222" i="58"/>
  <c r="Q223" i="58"/>
  <c r="Q224" i="58"/>
  <c r="Q225" i="58"/>
  <c r="Q226" i="58"/>
  <c r="Q227" i="58"/>
  <c r="Q228" i="58"/>
  <c r="Q229" i="58"/>
  <c r="Q230" i="58"/>
  <c r="Q231" i="58"/>
  <c r="Q232" i="58"/>
  <c r="Q233" i="58"/>
  <c r="Q234" i="58"/>
  <c r="Q235" i="58"/>
  <c r="Q236" i="58"/>
  <c r="Q237" i="58"/>
  <c r="Q238" i="58"/>
  <c r="Q239" i="58"/>
  <c r="Q240" i="58"/>
  <c r="Q241" i="58"/>
  <c r="Q242" i="58"/>
  <c r="Q243" i="58"/>
  <c r="Q244" i="58"/>
  <c r="Q245" i="58"/>
  <c r="Q246" i="58"/>
  <c r="Q247" i="58"/>
  <c r="Q248" i="58"/>
  <c r="Q249" i="58"/>
  <c r="Q250" i="58"/>
  <c r="Q251" i="58"/>
  <c r="Q252" i="58"/>
  <c r="Q253" i="58"/>
  <c r="Q254" i="58"/>
  <c r="Q255" i="58"/>
  <c r="Q256" i="58"/>
  <c r="Q257" i="58"/>
  <c r="Q258" i="58"/>
  <c r="Q259" i="58"/>
  <c r="Q260" i="58"/>
  <c r="Q261" i="58"/>
  <c r="Q262" i="58"/>
  <c r="Q263" i="58"/>
  <c r="Q264" i="58"/>
  <c r="Q265" i="58"/>
  <c r="Q266" i="58"/>
  <c r="Q267" i="58"/>
  <c r="Q268" i="58"/>
  <c r="Q269" i="58"/>
  <c r="Q270" i="58"/>
  <c r="Q271" i="58"/>
  <c r="Q272" i="58"/>
  <c r="Q273" i="58"/>
  <c r="Q274" i="58"/>
  <c r="Q275" i="58"/>
  <c r="Q276" i="58"/>
  <c r="Q277" i="58"/>
  <c r="Q278" i="58"/>
  <c r="Q279" i="58"/>
  <c r="Q280" i="58"/>
  <c r="Q281" i="58"/>
  <c r="Q282" i="58"/>
  <c r="Q283" i="58"/>
  <c r="Q284" i="58"/>
  <c r="Q285" i="58"/>
  <c r="Q286" i="58"/>
  <c r="Q287" i="58"/>
  <c r="Q288" i="58"/>
  <c r="Q289" i="58"/>
  <c r="Q290" i="58"/>
  <c r="Q291" i="58"/>
  <c r="Q292" i="58"/>
  <c r="Q293" i="58"/>
  <c r="Q294" i="58"/>
  <c r="Q295" i="58"/>
  <c r="Q296" i="58"/>
  <c r="Q297" i="58"/>
  <c r="Q298" i="58"/>
  <c r="Q299" i="58"/>
  <c r="Q300" i="58"/>
  <c r="Q301" i="58"/>
  <c r="Q302" i="58"/>
  <c r="Q303" i="58"/>
  <c r="Q304" i="58"/>
  <c r="Q305" i="58"/>
  <c r="Q306" i="58"/>
  <c r="Q307" i="58"/>
  <c r="Q308" i="58"/>
  <c r="Q309" i="58"/>
  <c r="Q310" i="58"/>
  <c r="Q311" i="58"/>
  <c r="Q312" i="58"/>
  <c r="Q313" i="58"/>
  <c r="Q314" i="58"/>
  <c r="Q315" i="58"/>
  <c r="Q316" i="58"/>
  <c r="Q317" i="58"/>
  <c r="Q318" i="58"/>
  <c r="Q319" i="58"/>
  <c r="Q320" i="58"/>
  <c r="Q321" i="58"/>
  <c r="Q322" i="58"/>
  <c r="Q323" i="58"/>
  <c r="Q324" i="58"/>
  <c r="Q325" i="58"/>
  <c r="Q326" i="58"/>
  <c r="Q327" i="58"/>
  <c r="Q328" i="58"/>
  <c r="Q329" i="58"/>
  <c r="Q330" i="58"/>
  <c r="Q331" i="58"/>
  <c r="Q332" i="58"/>
  <c r="Q333" i="58"/>
  <c r="Q334" i="58"/>
  <c r="Q335" i="58"/>
  <c r="Q336" i="58"/>
  <c r="Q337" i="58"/>
  <c r="Q338" i="58"/>
  <c r="Q339" i="58"/>
  <c r="Q340" i="58"/>
  <c r="Q341" i="58"/>
  <c r="Q342" i="58"/>
  <c r="Q343" i="58"/>
  <c r="R43" i="58"/>
  <c r="R44" i="58"/>
  <c r="R45" i="58"/>
  <c r="R46" i="58"/>
  <c r="R47" i="58"/>
  <c r="R48" i="58"/>
  <c r="R49" i="58"/>
  <c r="R50" i="58"/>
  <c r="R51" i="58"/>
  <c r="R52" i="58"/>
  <c r="R53" i="58"/>
  <c r="R54" i="58"/>
  <c r="R55" i="58"/>
  <c r="R56" i="58"/>
  <c r="R57" i="58"/>
  <c r="R58" i="58"/>
  <c r="R59" i="58"/>
  <c r="R60" i="58"/>
  <c r="R61" i="58"/>
  <c r="R62" i="58"/>
  <c r="R63" i="58"/>
  <c r="R64" i="58"/>
  <c r="R65" i="58"/>
  <c r="R66" i="58"/>
  <c r="R67" i="58"/>
  <c r="R68" i="58"/>
  <c r="R69" i="58"/>
  <c r="R70" i="58"/>
  <c r="R71" i="58"/>
  <c r="R72" i="58"/>
  <c r="R73" i="58"/>
  <c r="R74" i="58"/>
  <c r="R75" i="58"/>
  <c r="R76" i="58"/>
  <c r="R77" i="58"/>
  <c r="R78" i="58"/>
  <c r="R79" i="58"/>
  <c r="R80" i="58"/>
  <c r="R81" i="58"/>
  <c r="R82" i="58"/>
  <c r="R83" i="58"/>
  <c r="R84" i="58"/>
  <c r="R85" i="58"/>
  <c r="R86" i="58"/>
  <c r="R87" i="58"/>
  <c r="R88" i="58"/>
  <c r="R89" i="58"/>
  <c r="R90" i="58"/>
  <c r="R91" i="58"/>
  <c r="R92" i="58"/>
  <c r="R93" i="58"/>
  <c r="R94" i="58"/>
  <c r="R95" i="58"/>
  <c r="R96" i="58"/>
  <c r="R97" i="58"/>
  <c r="R98" i="58"/>
  <c r="R99" i="58"/>
  <c r="R100" i="58"/>
  <c r="R101" i="58"/>
  <c r="R102" i="58"/>
  <c r="R103" i="58"/>
  <c r="R104" i="58"/>
  <c r="R105" i="58"/>
  <c r="R106" i="58"/>
  <c r="R107" i="58"/>
  <c r="R108" i="58"/>
  <c r="R109" i="58"/>
  <c r="R110" i="58"/>
  <c r="R111" i="58"/>
  <c r="R112" i="58"/>
  <c r="R113" i="58"/>
  <c r="R114" i="58"/>
  <c r="R115" i="58"/>
  <c r="R116" i="58"/>
  <c r="R117" i="58"/>
  <c r="R118" i="58"/>
  <c r="R119" i="58"/>
  <c r="R120" i="58"/>
  <c r="R121" i="58"/>
  <c r="R122" i="58"/>
  <c r="R123" i="58"/>
  <c r="R124" i="58"/>
  <c r="R125" i="58"/>
  <c r="R126" i="58"/>
  <c r="R127" i="58"/>
  <c r="R128" i="58"/>
  <c r="R129" i="58"/>
  <c r="R130" i="58"/>
  <c r="R131" i="58"/>
  <c r="R132" i="58"/>
  <c r="R133" i="58"/>
  <c r="R134" i="58"/>
  <c r="R135" i="58"/>
  <c r="R136" i="58"/>
  <c r="R137" i="58"/>
  <c r="R138" i="58"/>
  <c r="R139" i="58"/>
  <c r="R140" i="58"/>
  <c r="R141" i="58"/>
  <c r="R142" i="58"/>
  <c r="R143" i="58"/>
  <c r="R144" i="58"/>
  <c r="R145" i="58"/>
  <c r="R146" i="58"/>
  <c r="R147" i="58"/>
  <c r="R148" i="58"/>
  <c r="R149" i="58"/>
  <c r="R150" i="58"/>
  <c r="R151" i="58"/>
  <c r="R152" i="58"/>
  <c r="R153" i="58"/>
  <c r="R154" i="58"/>
  <c r="R155" i="58"/>
  <c r="R156" i="58"/>
  <c r="R157" i="58"/>
  <c r="R158" i="58"/>
  <c r="R159" i="58"/>
  <c r="R160" i="58"/>
  <c r="R161" i="58"/>
  <c r="R162" i="58"/>
  <c r="R163" i="58"/>
  <c r="R164" i="58"/>
  <c r="R165" i="58"/>
  <c r="R166" i="58"/>
  <c r="R167" i="58"/>
  <c r="R168" i="58"/>
  <c r="R169" i="58"/>
  <c r="R170" i="58"/>
  <c r="R171" i="58"/>
  <c r="R172" i="58"/>
  <c r="R173" i="58"/>
  <c r="R174" i="58"/>
  <c r="R175" i="58"/>
  <c r="R176" i="58"/>
  <c r="R177" i="58"/>
  <c r="R178" i="58"/>
  <c r="R179" i="58"/>
  <c r="R180" i="58"/>
  <c r="R181" i="58"/>
  <c r="R182" i="58"/>
  <c r="R183" i="58"/>
  <c r="R184" i="58"/>
  <c r="R185" i="58"/>
  <c r="R186" i="58"/>
  <c r="R187" i="58"/>
  <c r="R188" i="58"/>
  <c r="R189" i="58"/>
  <c r="R190" i="58"/>
  <c r="R191" i="58"/>
  <c r="R192" i="58"/>
  <c r="R193" i="58"/>
  <c r="R194" i="58"/>
  <c r="R195" i="58"/>
  <c r="R196" i="58"/>
  <c r="R197" i="58"/>
  <c r="R198" i="58"/>
  <c r="R199" i="58"/>
  <c r="R200" i="58"/>
  <c r="R201" i="58"/>
  <c r="R202" i="58"/>
  <c r="R203" i="58"/>
  <c r="R204" i="58"/>
  <c r="R205" i="58"/>
  <c r="R206" i="58"/>
  <c r="R207" i="58"/>
  <c r="R208" i="58"/>
  <c r="R209" i="58"/>
  <c r="R210" i="58"/>
  <c r="R211" i="58"/>
  <c r="R212" i="58"/>
  <c r="R213" i="58"/>
  <c r="R214" i="58"/>
  <c r="R215" i="58"/>
  <c r="R216" i="58"/>
  <c r="R217" i="58"/>
  <c r="R218" i="58"/>
  <c r="R219" i="58"/>
  <c r="R220" i="58"/>
  <c r="R221" i="58"/>
  <c r="R222" i="58"/>
  <c r="R223" i="58"/>
  <c r="R224" i="58"/>
  <c r="R225" i="58"/>
  <c r="R226" i="58"/>
  <c r="R227" i="58"/>
  <c r="R228" i="58"/>
  <c r="R229" i="58"/>
  <c r="R230" i="58"/>
  <c r="R231" i="58"/>
  <c r="R232" i="58"/>
  <c r="R233" i="58"/>
  <c r="R234" i="58"/>
  <c r="R235" i="58"/>
  <c r="R236" i="58"/>
  <c r="R237" i="58"/>
  <c r="R238" i="58"/>
  <c r="R239" i="58"/>
  <c r="R240" i="58"/>
  <c r="R241" i="58"/>
  <c r="R242" i="58"/>
  <c r="R243" i="58"/>
  <c r="R244" i="58"/>
  <c r="R245" i="58"/>
  <c r="R246" i="58"/>
  <c r="R247" i="58"/>
  <c r="R248" i="58"/>
  <c r="R249" i="58"/>
  <c r="R250" i="58"/>
  <c r="R251" i="58"/>
  <c r="R252" i="58"/>
  <c r="R253" i="58"/>
  <c r="R254" i="58"/>
  <c r="R255" i="58"/>
  <c r="R256" i="58"/>
  <c r="R257" i="58"/>
  <c r="R258" i="58"/>
  <c r="R259" i="58"/>
  <c r="R260" i="58"/>
  <c r="R261" i="58"/>
  <c r="R262" i="58"/>
  <c r="R263" i="58"/>
  <c r="R264" i="58"/>
  <c r="R265" i="58"/>
  <c r="R266" i="58"/>
  <c r="R267" i="58"/>
  <c r="R268" i="58"/>
  <c r="R269" i="58"/>
  <c r="R270" i="58"/>
  <c r="R271" i="58"/>
  <c r="R272" i="58"/>
  <c r="R273" i="58"/>
  <c r="R274" i="58"/>
  <c r="R275" i="58"/>
  <c r="R276" i="58"/>
  <c r="R277" i="58"/>
  <c r="R278" i="58"/>
  <c r="R279" i="58"/>
  <c r="R280" i="58"/>
  <c r="R281" i="58"/>
  <c r="R282" i="58"/>
  <c r="R283" i="58"/>
  <c r="R284" i="58"/>
  <c r="R285" i="58"/>
  <c r="R286" i="58"/>
  <c r="R287" i="58"/>
  <c r="R288" i="58"/>
  <c r="R289" i="58"/>
  <c r="R290" i="58"/>
  <c r="R291" i="58"/>
  <c r="R292" i="58"/>
  <c r="R293" i="58"/>
  <c r="R294" i="58"/>
  <c r="R295" i="58"/>
  <c r="R296" i="58"/>
  <c r="R297" i="58"/>
  <c r="R298" i="58"/>
  <c r="R299" i="58"/>
  <c r="R300" i="58"/>
  <c r="R301" i="58"/>
  <c r="R302" i="58"/>
  <c r="R303" i="58"/>
  <c r="R304" i="58"/>
  <c r="R305" i="58"/>
  <c r="R306" i="58"/>
  <c r="R307" i="58"/>
  <c r="R308" i="58"/>
  <c r="R309" i="58"/>
  <c r="R310" i="58"/>
  <c r="R311" i="58"/>
  <c r="R312" i="58"/>
  <c r="R313" i="58"/>
  <c r="R314" i="58"/>
  <c r="R315" i="58"/>
  <c r="R316" i="58"/>
  <c r="R317" i="58"/>
  <c r="R318" i="58"/>
  <c r="R319" i="58"/>
  <c r="R320" i="58"/>
  <c r="R321" i="58"/>
  <c r="R322" i="58"/>
  <c r="R323" i="58"/>
  <c r="R324" i="58"/>
  <c r="R325" i="58"/>
  <c r="R326" i="58"/>
  <c r="R327" i="58"/>
  <c r="R328" i="58"/>
  <c r="R329" i="58"/>
  <c r="R330" i="58"/>
  <c r="R331" i="58"/>
  <c r="R332" i="58"/>
  <c r="R333" i="58"/>
  <c r="R334" i="58"/>
  <c r="R335" i="58"/>
  <c r="R336" i="58"/>
  <c r="R337" i="58"/>
  <c r="R338" i="58"/>
  <c r="R339" i="58"/>
  <c r="R340" i="58"/>
  <c r="R341" i="58"/>
  <c r="R342" i="58"/>
  <c r="R343" i="58"/>
  <c r="S43" i="58"/>
  <c r="S44" i="58"/>
  <c r="S45" i="58"/>
  <c r="S46" i="58"/>
  <c r="S47" i="58"/>
  <c r="S48" i="58"/>
  <c r="S49" i="58"/>
  <c r="S50" i="58"/>
  <c r="S51" i="58"/>
  <c r="S52" i="58"/>
  <c r="S53" i="58"/>
  <c r="S54" i="58"/>
  <c r="S55" i="58"/>
  <c r="S56" i="58"/>
  <c r="S57" i="58"/>
  <c r="S58" i="58"/>
  <c r="S59" i="58"/>
  <c r="S60" i="58"/>
  <c r="S61" i="58"/>
  <c r="S62" i="58"/>
  <c r="S63" i="58"/>
  <c r="S64" i="58"/>
  <c r="S65" i="58"/>
  <c r="S66" i="58"/>
  <c r="S67" i="58"/>
  <c r="S68" i="58"/>
  <c r="S69" i="58"/>
  <c r="S70" i="58"/>
  <c r="S71" i="58"/>
  <c r="S72" i="58"/>
  <c r="S73" i="58"/>
  <c r="S74" i="58"/>
  <c r="S75" i="58"/>
  <c r="S76" i="58"/>
  <c r="S77" i="58"/>
  <c r="S78" i="58"/>
  <c r="S79" i="58"/>
  <c r="S80" i="58"/>
  <c r="S81" i="58"/>
  <c r="S82" i="58"/>
  <c r="S83" i="58"/>
  <c r="S84" i="58"/>
  <c r="S85" i="58"/>
  <c r="S86" i="58"/>
  <c r="S87" i="58"/>
  <c r="S88" i="58"/>
  <c r="S89" i="58"/>
  <c r="S90" i="58"/>
  <c r="S91" i="58"/>
  <c r="S92" i="58"/>
  <c r="S93" i="58"/>
  <c r="S94" i="58"/>
  <c r="S95" i="58"/>
  <c r="S96" i="58"/>
  <c r="S97" i="58"/>
  <c r="S98" i="58"/>
  <c r="S99" i="58"/>
  <c r="S100" i="58"/>
  <c r="S101" i="58"/>
  <c r="S102" i="58"/>
  <c r="S103" i="58"/>
  <c r="S104" i="58"/>
  <c r="S105" i="58"/>
  <c r="S106" i="58"/>
  <c r="S107" i="58"/>
  <c r="S108" i="58"/>
  <c r="S109" i="58"/>
  <c r="S110" i="58"/>
  <c r="S111" i="58"/>
  <c r="S112" i="58"/>
  <c r="S113" i="58"/>
  <c r="S114" i="58"/>
  <c r="S115" i="58"/>
  <c r="S116" i="58"/>
  <c r="S117" i="58"/>
  <c r="S118" i="58"/>
  <c r="S119" i="58"/>
  <c r="S120" i="58"/>
  <c r="S121" i="58"/>
  <c r="S122" i="58"/>
  <c r="S123" i="58"/>
  <c r="S124" i="58"/>
  <c r="S125" i="58"/>
  <c r="S126" i="58"/>
  <c r="S127" i="58"/>
  <c r="S128" i="58"/>
  <c r="S129" i="58"/>
  <c r="S130" i="58"/>
  <c r="S131" i="58"/>
  <c r="S132" i="58"/>
  <c r="S133" i="58"/>
  <c r="S134" i="58"/>
  <c r="S135" i="58"/>
  <c r="S136" i="58"/>
  <c r="S137" i="58"/>
  <c r="S138" i="58"/>
  <c r="S139" i="58"/>
  <c r="S140" i="58"/>
  <c r="S141" i="58"/>
  <c r="S142" i="58"/>
  <c r="S143" i="58"/>
  <c r="S144" i="58"/>
  <c r="S145" i="58"/>
  <c r="S146" i="58"/>
  <c r="S147" i="58"/>
  <c r="S148" i="58"/>
  <c r="S149" i="58"/>
  <c r="S150" i="58"/>
  <c r="S151" i="58"/>
  <c r="S152" i="58"/>
  <c r="S153" i="58"/>
  <c r="S154" i="58"/>
  <c r="S155" i="58"/>
  <c r="S156" i="58"/>
  <c r="S157" i="58"/>
  <c r="S158" i="58"/>
  <c r="S159" i="58"/>
  <c r="S160" i="58"/>
  <c r="S161" i="58"/>
  <c r="S162" i="58"/>
  <c r="S163" i="58"/>
  <c r="S164" i="58"/>
  <c r="S165" i="58"/>
  <c r="S166" i="58"/>
  <c r="S167" i="58"/>
  <c r="S168" i="58"/>
  <c r="S169" i="58"/>
  <c r="S170" i="58"/>
  <c r="S171" i="58"/>
  <c r="S172" i="58"/>
  <c r="S173" i="58"/>
  <c r="S174" i="58"/>
  <c r="S175" i="58"/>
  <c r="S176" i="58"/>
  <c r="S177" i="58"/>
  <c r="S178" i="58"/>
  <c r="S179" i="58"/>
  <c r="S180" i="58"/>
  <c r="S181" i="58"/>
  <c r="S182" i="58"/>
  <c r="S183" i="58"/>
  <c r="S184" i="58"/>
  <c r="S185" i="58"/>
  <c r="S186" i="58"/>
  <c r="S187" i="58"/>
  <c r="S188" i="58"/>
  <c r="S189" i="58"/>
  <c r="S190" i="58"/>
  <c r="S191" i="58"/>
  <c r="S192" i="58"/>
  <c r="S193" i="58"/>
  <c r="S194" i="58"/>
  <c r="S195" i="58"/>
  <c r="S196" i="58"/>
  <c r="S197" i="58"/>
  <c r="S198" i="58"/>
  <c r="S199" i="58"/>
  <c r="S200" i="58"/>
  <c r="S201" i="58"/>
  <c r="S202" i="58"/>
  <c r="S203" i="58"/>
  <c r="S204" i="58"/>
  <c r="S205" i="58"/>
  <c r="S206" i="58"/>
  <c r="S207" i="58"/>
  <c r="S208" i="58"/>
  <c r="S209" i="58"/>
  <c r="S210" i="58"/>
  <c r="S211" i="58"/>
  <c r="S212" i="58"/>
  <c r="S213" i="58"/>
  <c r="S214" i="58"/>
  <c r="S215" i="58"/>
  <c r="S216" i="58"/>
  <c r="S217" i="58"/>
  <c r="S218" i="58"/>
  <c r="S219" i="58"/>
  <c r="S220" i="58"/>
  <c r="S221" i="58"/>
  <c r="S222" i="58"/>
  <c r="S223" i="58"/>
  <c r="S224" i="58"/>
  <c r="S225" i="58"/>
  <c r="S226" i="58"/>
  <c r="S227" i="58"/>
  <c r="S228" i="58"/>
  <c r="S229" i="58"/>
  <c r="S230" i="58"/>
  <c r="S231" i="58"/>
  <c r="S232" i="58"/>
  <c r="S233" i="58"/>
  <c r="S234" i="58"/>
  <c r="S235" i="58"/>
  <c r="S236" i="58"/>
  <c r="S237" i="58"/>
  <c r="S238" i="58"/>
  <c r="S239" i="58"/>
  <c r="S240" i="58"/>
  <c r="S241" i="58"/>
  <c r="S242" i="58"/>
  <c r="S243" i="58"/>
  <c r="S244" i="58"/>
  <c r="S245" i="58"/>
  <c r="S246" i="58"/>
  <c r="S247" i="58"/>
  <c r="S248" i="58"/>
  <c r="S249" i="58"/>
  <c r="S250" i="58"/>
  <c r="S251" i="58"/>
  <c r="S252" i="58"/>
  <c r="S253" i="58"/>
  <c r="S254" i="58"/>
  <c r="S255" i="58"/>
  <c r="S256" i="58"/>
  <c r="S257" i="58"/>
  <c r="S258" i="58"/>
  <c r="S259" i="58"/>
  <c r="S260" i="58"/>
  <c r="S261" i="58"/>
  <c r="S262" i="58"/>
  <c r="S263" i="58"/>
  <c r="S264" i="58"/>
  <c r="S265" i="58"/>
  <c r="S266" i="58"/>
  <c r="S267" i="58"/>
  <c r="S268" i="58"/>
  <c r="S269" i="58"/>
  <c r="S270" i="58"/>
  <c r="S271" i="58"/>
  <c r="S272" i="58"/>
  <c r="S273" i="58"/>
  <c r="S274" i="58"/>
  <c r="S275" i="58"/>
  <c r="S276" i="58"/>
  <c r="S277" i="58"/>
  <c r="S278" i="58"/>
  <c r="S279" i="58"/>
  <c r="S280" i="58"/>
  <c r="S281" i="58"/>
  <c r="S282" i="58"/>
  <c r="S283" i="58"/>
  <c r="S284" i="58"/>
  <c r="S285" i="58"/>
  <c r="S286" i="58"/>
  <c r="S287" i="58"/>
  <c r="S288" i="58"/>
  <c r="S289" i="58"/>
  <c r="S290" i="58"/>
  <c r="S291" i="58"/>
  <c r="S292" i="58"/>
  <c r="S293" i="58"/>
  <c r="S294" i="58"/>
  <c r="S295" i="58"/>
  <c r="S296" i="58"/>
  <c r="S297" i="58"/>
  <c r="S298" i="58"/>
  <c r="S299" i="58"/>
  <c r="S300" i="58"/>
  <c r="S301" i="58"/>
  <c r="S302" i="58"/>
  <c r="S303" i="58"/>
  <c r="S304" i="58"/>
  <c r="S305" i="58"/>
  <c r="S306" i="58"/>
  <c r="S307" i="58"/>
  <c r="S308" i="58"/>
  <c r="S309" i="58"/>
  <c r="S310" i="58"/>
  <c r="S311" i="58"/>
  <c r="S312" i="58"/>
  <c r="S313" i="58"/>
  <c r="S314" i="58"/>
  <c r="S315" i="58"/>
  <c r="S316" i="58"/>
  <c r="S317" i="58"/>
  <c r="S318" i="58"/>
  <c r="S319" i="58"/>
  <c r="S320" i="58"/>
  <c r="S321" i="58"/>
  <c r="S322" i="58"/>
  <c r="S323" i="58"/>
  <c r="S324" i="58"/>
  <c r="S325" i="58"/>
  <c r="S326" i="58"/>
  <c r="S327" i="58"/>
  <c r="S328" i="58"/>
  <c r="S329" i="58"/>
  <c r="S330" i="58"/>
  <c r="S331" i="58"/>
  <c r="S332" i="58"/>
  <c r="S333" i="58"/>
  <c r="S334" i="58"/>
  <c r="S335" i="58"/>
  <c r="S336" i="58"/>
  <c r="S337" i="58"/>
  <c r="S338" i="58"/>
  <c r="S339" i="58"/>
  <c r="S340" i="58"/>
  <c r="S341" i="58"/>
  <c r="S342" i="58"/>
  <c r="S343" i="58"/>
  <c r="T43" i="58"/>
  <c r="T44" i="58"/>
  <c r="T45" i="58"/>
  <c r="T46" i="58"/>
  <c r="T47" i="58"/>
  <c r="T48" i="58"/>
  <c r="T49" i="58"/>
  <c r="T50" i="58"/>
  <c r="T51" i="58"/>
  <c r="T52" i="58"/>
  <c r="T53" i="58"/>
  <c r="T54" i="58"/>
  <c r="T55" i="58"/>
  <c r="T56" i="58"/>
  <c r="T57" i="58"/>
  <c r="T58" i="58"/>
  <c r="T59" i="58"/>
  <c r="T60" i="58"/>
  <c r="T61" i="58"/>
  <c r="T62" i="58"/>
  <c r="T63" i="58"/>
  <c r="T64" i="58"/>
  <c r="T65" i="58"/>
  <c r="T66" i="58"/>
  <c r="T67" i="58"/>
  <c r="T68" i="58"/>
  <c r="T69" i="58"/>
  <c r="T70" i="58"/>
  <c r="T71" i="58"/>
  <c r="T72" i="58"/>
  <c r="T73" i="58"/>
  <c r="T74" i="58"/>
  <c r="T75" i="58"/>
  <c r="T76" i="58"/>
  <c r="T77" i="58"/>
  <c r="T78" i="58"/>
  <c r="T79" i="58"/>
  <c r="T80" i="58"/>
  <c r="T81" i="58"/>
  <c r="T82" i="58"/>
  <c r="T83" i="58"/>
  <c r="T84" i="58"/>
  <c r="T85" i="58"/>
  <c r="T86" i="58"/>
  <c r="T87" i="58"/>
  <c r="T88" i="58"/>
  <c r="T89" i="58"/>
  <c r="T90" i="58"/>
  <c r="T91" i="58"/>
  <c r="T92" i="58"/>
  <c r="T93" i="58"/>
  <c r="T94" i="58"/>
  <c r="T95" i="58"/>
  <c r="T96" i="58"/>
  <c r="T97" i="58"/>
  <c r="T98" i="58"/>
  <c r="T99" i="58"/>
  <c r="T100" i="58"/>
  <c r="T101" i="58"/>
  <c r="T102" i="58"/>
  <c r="T103" i="58"/>
  <c r="T104" i="58"/>
  <c r="T105" i="58"/>
  <c r="T106" i="58"/>
  <c r="T107" i="58"/>
  <c r="T108" i="58"/>
  <c r="T109" i="58"/>
  <c r="T110" i="58"/>
  <c r="T111" i="58"/>
  <c r="T112" i="58"/>
  <c r="T113" i="58"/>
  <c r="T114" i="58"/>
  <c r="T115" i="58"/>
  <c r="T116" i="58"/>
  <c r="T117" i="58"/>
  <c r="T118" i="58"/>
  <c r="T119" i="58"/>
  <c r="T120" i="58"/>
  <c r="T121" i="58"/>
  <c r="T122" i="58"/>
  <c r="T123" i="58"/>
  <c r="T124" i="58"/>
  <c r="T125" i="58"/>
  <c r="T126" i="58"/>
  <c r="T127" i="58"/>
  <c r="T128" i="58"/>
  <c r="T129" i="58"/>
  <c r="T130" i="58"/>
  <c r="T131" i="58"/>
  <c r="T132" i="58"/>
  <c r="T133" i="58"/>
  <c r="T134" i="58"/>
  <c r="T135" i="58"/>
  <c r="T136" i="58"/>
  <c r="T137" i="58"/>
  <c r="T138" i="58"/>
  <c r="T139" i="58"/>
  <c r="T140" i="58"/>
  <c r="T141" i="58"/>
  <c r="T142" i="58"/>
  <c r="T143" i="58"/>
  <c r="T144" i="58"/>
  <c r="T145" i="58"/>
  <c r="T146" i="58"/>
  <c r="T147" i="58"/>
  <c r="T148" i="58"/>
  <c r="T149" i="58"/>
  <c r="T150" i="58"/>
  <c r="T151" i="58"/>
  <c r="T152" i="58"/>
  <c r="T153" i="58"/>
  <c r="T154" i="58"/>
  <c r="T155" i="58"/>
  <c r="T156" i="58"/>
  <c r="T157" i="58"/>
  <c r="T158" i="58"/>
  <c r="T159" i="58"/>
  <c r="T160" i="58"/>
  <c r="T161" i="58"/>
  <c r="T162" i="58"/>
  <c r="T163" i="58"/>
  <c r="T164" i="58"/>
  <c r="T165" i="58"/>
  <c r="T166" i="58"/>
  <c r="T167" i="58"/>
  <c r="T168" i="58"/>
  <c r="T169" i="58"/>
  <c r="T170" i="58"/>
  <c r="T171" i="58"/>
  <c r="T172" i="58"/>
  <c r="T173" i="58"/>
  <c r="T174" i="58"/>
  <c r="T175" i="58"/>
  <c r="T176" i="58"/>
  <c r="T177" i="58"/>
  <c r="T178" i="58"/>
  <c r="T179" i="58"/>
  <c r="T180" i="58"/>
  <c r="T181" i="58"/>
  <c r="T182" i="58"/>
  <c r="T183" i="58"/>
  <c r="T184" i="58"/>
  <c r="T185" i="58"/>
  <c r="T186" i="58"/>
  <c r="T187" i="58"/>
  <c r="T188" i="58"/>
  <c r="T189" i="58"/>
  <c r="T190" i="58"/>
  <c r="T191" i="58"/>
  <c r="T192" i="58"/>
  <c r="T193" i="58"/>
  <c r="T194" i="58"/>
  <c r="T195" i="58"/>
  <c r="T196" i="58"/>
  <c r="T197" i="58"/>
  <c r="T198" i="58"/>
  <c r="T199" i="58"/>
  <c r="T200" i="58"/>
  <c r="T201" i="58"/>
  <c r="T202" i="58"/>
  <c r="T203" i="58"/>
  <c r="T204" i="58"/>
  <c r="T205" i="58"/>
  <c r="T206" i="58"/>
  <c r="T207" i="58"/>
  <c r="T208" i="58"/>
  <c r="T209" i="58"/>
  <c r="T210" i="58"/>
  <c r="T211" i="58"/>
  <c r="T212" i="58"/>
  <c r="T213" i="58"/>
  <c r="T214" i="58"/>
  <c r="T215" i="58"/>
  <c r="T216" i="58"/>
  <c r="T217" i="58"/>
  <c r="T218" i="58"/>
  <c r="T219" i="58"/>
  <c r="T220" i="58"/>
  <c r="T221" i="58"/>
  <c r="T222" i="58"/>
  <c r="T223" i="58"/>
  <c r="T224" i="58"/>
  <c r="T225" i="58"/>
  <c r="T226" i="58"/>
  <c r="T227" i="58"/>
  <c r="T228" i="58"/>
  <c r="T229" i="58"/>
  <c r="T230" i="58"/>
  <c r="T231" i="58"/>
  <c r="T232" i="58"/>
  <c r="T233" i="58"/>
  <c r="T234" i="58"/>
  <c r="T235" i="58"/>
  <c r="T236" i="58"/>
  <c r="T237" i="58"/>
  <c r="T238" i="58"/>
  <c r="T239" i="58"/>
  <c r="T240" i="58"/>
  <c r="T241" i="58"/>
  <c r="T242" i="58"/>
  <c r="T243" i="58"/>
  <c r="T244" i="58"/>
  <c r="T245" i="58"/>
  <c r="T246" i="58"/>
  <c r="T247" i="58"/>
  <c r="T248" i="58"/>
  <c r="T249" i="58"/>
  <c r="T250" i="58"/>
  <c r="T251" i="58"/>
  <c r="T252" i="58"/>
  <c r="T253" i="58"/>
  <c r="T254" i="58"/>
  <c r="T255" i="58"/>
  <c r="T256" i="58"/>
  <c r="T257" i="58"/>
  <c r="T258" i="58"/>
  <c r="T259" i="58"/>
  <c r="T260" i="58"/>
  <c r="T261" i="58"/>
  <c r="T262" i="58"/>
  <c r="T263" i="58"/>
  <c r="T264" i="58"/>
  <c r="T265" i="58"/>
  <c r="T266" i="58"/>
  <c r="T267" i="58"/>
  <c r="T268" i="58"/>
  <c r="T269" i="58"/>
  <c r="T270" i="58"/>
  <c r="T271" i="58"/>
  <c r="T272" i="58"/>
  <c r="T273" i="58"/>
  <c r="T274" i="58"/>
  <c r="T275" i="58"/>
  <c r="T276" i="58"/>
  <c r="T277" i="58"/>
  <c r="T278" i="58"/>
  <c r="T279" i="58"/>
  <c r="T280" i="58"/>
  <c r="T281" i="58"/>
  <c r="T282" i="58"/>
  <c r="T283" i="58"/>
  <c r="T284" i="58"/>
  <c r="T285" i="58"/>
  <c r="T286" i="58"/>
  <c r="T287" i="58"/>
  <c r="T288" i="58"/>
  <c r="T289" i="58"/>
  <c r="T290" i="58"/>
  <c r="T291" i="58"/>
  <c r="T292" i="58"/>
  <c r="T293" i="58"/>
  <c r="T294" i="58"/>
  <c r="T295" i="58"/>
  <c r="T296" i="58"/>
  <c r="T297" i="58"/>
  <c r="T298" i="58"/>
  <c r="T299" i="58"/>
  <c r="T300" i="58"/>
  <c r="T301" i="58"/>
  <c r="T302" i="58"/>
  <c r="T303" i="58"/>
  <c r="T304" i="58"/>
  <c r="T305" i="58"/>
  <c r="T306" i="58"/>
  <c r="T307" i="58"/>
  <c r="T308" i="58"/>
  <c r="T309" i="58"/>
  <c r="T310" i="58"/>
  <c r="T311" i="58"/>
  <c r="T312" i="58"/>
  <c r="T313" i="58"/>
  <c r="T314" i="58"/>
  <c r="T315" i="58"/>
  <c r="T316" i="58"/>
  <c r="T317" i="58"/>
  <c r="T318" i="58"/>
  <c r="T319" i="58"/>
  <c r="T320" i="58"/>
  <c r="T321" i="58"/>
  <c r="T322" i="58"/>
  <c r="T323" i="58"/>
  <c r="T324" i="58"/>
  <c r="T325" i="58"/>
  <c r="T326" i="58"/>
  <c r="T327" i="58"/>
  <c r="T328" i="58"/>
  <c r="T329" i="58"/>
  <c r="T330" i="58"/>
  <c r="T331" i="58"/>
  <c r="T332" i="58"/>
  <c r="T333" i="58"/>
  <c r="T334" i="58"/>
  <c r="T335" i="58"/>
  <c r="T336" i="58"/>
  <c r="T337" i="58"/>
  <c r="T338" i="58"/>
  <c r="T339" i="58"/>
  <c r="T340" i="58"/>
  <c r="T341" i="58"/>
  <c r="T342" i="58"/>
  <c r="T343" i="58"/>
  <c r="U43" i="58"/>
  <c r="U44" i="58"/>
  <c r="U45" i="58"/>
  <c r="U46" i="58"/>
  <c r="U47" i="58"/>
  <c r="U48" i="58"/>
  <c r="U49" i="58"/>
  <c r="U50" i="58"/>
  <c r="U51" i="58"/>
  <c r="U52" i="58"/>
  <c r="U53" i="58"/>
  <c r="U54" i="58"/>
  <c r="U55" i="58"/>
  <c r="U56" i="58"/>
  <c r="U57" i="58"/>
  <c r="U58" i="58"/>
  <c r="U59" i="58"/>
  <c r="U60" i="58"/>
  <c r="U61" i="58"/>
  <c r="U62" i="58"/>
  <c r="U63" i="58"/>
  <c r="U64" i="58"/>
  <c r="U65" i="58"/>
  <c r="U66" i="58"/>
  <c r="U67" i="58"/>
  <c r="U68" i="58"/>
  <c r="U69" i="58"/>
  <c r="U70" i="58"/>
  <c r="U71" i="58"/>
  <c r="U72" i="58"/>
  <c r="U73" i="58"/>
  <c r="U74" i="58"/>
  <c r="U75" i="58"/>
  <c r="U76" i="58"/>
  <c r="U77" i="58"/>
  <c r="U78" i="58"/>
  <c r="U79" i="58"/>
  <c r="U80" i="58"/>
  <c r="U81" i="58"/>
  <c r="U82" i="58"/>
  <c r="U83" i="58"/>
  <c r="U84" i="58"/>
  <c r="U85" i="58"/>
  <c r="U86" i="58"/>
  <c r="U87" i="58"/>
  <c r="U88" i="58"/>
  <c r="U89" i="58"/>
  <c r="U90" i="58"/>
  <c r="U91" i="58"/>
  <c r="U92" i="58"/>
  <c r="U93" i="58"/>
  <c r="U94" i="58"/>
  <c r="U95" i="58"/>
  <c r="U96" i="58"/>
  <c r="U97" i="58"/>
  <c r="U98" i="58"/>
  <c r="U99" i="58"/>
  <c r="U100" i="58"/>
  <c r="U101" i="58"/>
  <c r="U102" i="58"/>
  <c r="U103" i="58"/>
  <c r="U104" i="58"/>
  <c r="U105" i="58"/>
  <c r="U106" i="58"/>
  <c r="U107" i="58"/>
  <c r="U108" i="58"/>
  <c r="U109" i="58"/>
  <c r="U110" i="58"/>
  <c r="U111" i="58"/>
  <c r="U112" i="58"/>
  <c r="U113" i="58"/>
  <c r="U114" i="58"/>
  <c r="U115" i="58"/>
  <c r="U116" i="58"/>
  <c r="U117" i="58"/>
  <c r="U118" i="58"/>
  <c r="U119" i="58"/>
  <c r="U120" i="58"/>
  <c r="U121" i="58"/>
  <c r="U122" i="58"/>
  <c r="U123" i="58"/>
  <c r="U124" i="58"/>
  <c r="U125" i="58"/>
  <c r="U126" i="58"/>
  <c r="U127" i="58"/>
  <c r="U128" i="58"/>
  <c r="U129" i="58"/>
  <c r="U130" i="58"/>
  <c r="U131" i="58"/>
  <c r="U132" i="58"/>
  <c r="U133" i="58"/>
  <c r="U134" i="58"/>
  <c r="U135" i="58"/>
  <c r="U136" i="58"/>
  <c r="U137" i="58"/>
  <c r="U138" i="58"/>
  <c r="U139" i="58"/>
  <c r="U140" i="58"/>
  <c r="U141" i="58"/>
  <c r="U142" i="58"/>
  <c r="U143" i="58"/>
  <c r="U144" i="58"/>
  <c r="U145" i="58"/>
  <c r="U146" i="58"/>
  <c r="U147" i="58"/>
  <c r="U148" i="58"/>
  <c r="U149" i="58"/>
  <c r="U150" i="58"/>
  <c r="U151" i="58"/>
  <c r="U152" i="58"/>
  <c r="U153" i="58"/>
  <c r="U154" i="58"/>
  <c r="U155" i="58"/>
  <c r="U156" i="58"/>
  <c r="U157" i="58"/>
  <c r="U158" i="58"/>
  <c r="U159" i="58"/>
  <c r="U160" i="58"/>
  <c r="U161" i="58"/>
  <c r="U162" i="58"/>
  <c r="U163" i="58"/>
  <c r="U164" i="58"/>
  <c r="U165" i="58"/>
  <c r="U166" i="58"/>
  <c r="U167" i="58"/>
  <c r="U168" i="58"/>
  <c r="U169" i="58"/>
  <c r="U170" i="58"/>
  <c r="U171" i="58"/>
  <c r="U172" i="58"/>
  <c r="U173" i="58"/>
  <c r="U174" i="58"/>
  <c r="U175" i="58"/>
  <c r="U176" i="58"/>
  <c r="U177" i="58"/>
  <c r="U178" i="58"/>
  <c r="U179" i="58"/>
  <c r="U180" i="58"/>
  <c r="U181" i="58"/>
  <c r="U182" i="58"/>
  <c r="U183" i="58"/>
  <c r="U184" i="58"/>
  <c r="U185" i="58"/>
  <c r="U186" i="58"/>
  <c r="U187" i="58"/>
  <c r="U188" i="58"/>
  <c r="U189" i="58"/>
  <c r="U190" i="58"/>
  <c r="U191" i="58"/>
  <c r="U192" i="58"/>
  <c r="U193" i="58"/>
  <c r="U194" i="58"/>
  <c r="U195" i="58"/>
  <c r="U196" i="58"/>
  <c r="U197" i="58"/>
  <c r="U198" i="58"/>
  <c r="U199" i="58"/>
  <c r="U200" i="58"/>
  <c r="U201" i="58"/>
  <c r="U202" i="58"/>
  <c r="U203" i="58"/>
  <c r="U204" i="58"/>
  <c r="U205" i="58"/>
  <c r="U206" i="58"/>
  <c r="U207" i="58"/>
  <c r="U208" i="58"/>
  <c r="U209" i="58"/>
  <c r="U210" i="58"/>
  <c r="U211" i="58"/>
  <c r="U212" i="58"/>
  <c r="U213" i="58"/>
  <c r="U214" i="58"/>
  <c r="U215" i="58"/>
  <c r="U216" i="58"/>
  <c r="U217" i="58"/>
  <c r="U218" i="58"/>
  <c r="U219" i="58"/>
  <c r="U220" i="58"/>
  <c r="U221" i="58"/>
  <c r="U222" i="58"/>
  <c r="U223" i="58"/>
  <c r="U224" i="58"/>
  <c r="U225" i="58"/>
  <c r="U226" i="58"/>
  <c r="U227" i="58"/>
  <c r="U228" i="58"/>
  <c r="U229" i="58"/>
  <c r="U230" i="58"/>
  <c r="U231" i="58"/>
  <c r="U232" i="58"/>
  <c r="U233" i="58"/>
  <c r="U234" i="58"/>
  <c r="U235" i="58"/>
  <c r="U236" i="58"/>
  <c r="U237" i="58"/>
  <c r="U238" i="58"/>
  <c r="U239" i="58"/>
  <c r="U240" i="58"/>
  <c r="U241" i="58"/>
  <c r="U242" i="58"/>
  <c r="U243" i="58"/>
  <c r="U244" i="58"/>
  <c r="U245" i="58"/>
  <c r="U246" i="58"/>
  <c r="U247" i="58"/>
  <c r="U248" i="58"/>
  <c r="U249" i="58"/>
  <c r="U250" i="58"/>
  <c r="U251" i="58"/>
  <c r="U252" i="58"/>
  <c r="U253" i="58"/>
  <c r="U254" i="58"/>
  <c r="U255" i="58"/>
  <c r="U256" i="58"/>
  <c r="U257" i="58"/>
  <c r="U258" i="58"/>
  <c r="U259" i="58"/>
  <c r="U260" i="58"/>
  <c r="U261" i="58"/>
  <c r="U262" i="58"/>
  <c r="U263" i="58"/>
  <c r="U264" i="58"/>
  <c r="U265" i="58"/>
  <c r="U266" i="58"/>
  <c r="U267" i="58"/>
  <c r="U268" i="58"/>
  <c r="U269" i="58"/>
  <c r="U270" i="58"/>
  <c r="U271" i="58"/>
  <c r="U272" i="58"/>
  <c r="U273" i="58"/>
  <c r="U274" i="58"/>
  <c r="U275" i="58"/>
  <c r="U276" i="58"/>
  <c r="U277" i="58"/>
  <c r="U278" i="58"/>
  <c r="U279" i="58"/>
  <c r="U280" i="58"/>
  <c r="U281" i="58"/>
  <c r="U282" i="58"/>
  <c r="U283" i="58"/>
  <c r="U284" i="58"/>
  <c r="U285" i="58"/>
  <c r="U286" i="58"/>
  <c r="U287" i="58"/>
  <c r="U288" i="58"/>
  <c r="U289" i="58"/>
  <c r="U290" i="58"/>
  <c r="U291" i="58"/>
  <c r="U292" i="58"/>
  <c r="U293" i="58"/>
  <c r="U294" i="58"/>
  <c r="U295" i="58"/>
  <c r="U296" i="58"/>
  <c r="U297" i="58"/>
  <c r="U298" i="58"/>
  <c r="U299" i="58"/>
  <c r="U300" i="58"/>
  <c r="U301" i="58"/>
  <c r="U302" i="58"/>
  <c r="U303" i="58"/>
  <c r="U304" i="58"/>
  <c r="U305" i="58"/>
  <c r="U306" i="58"/>
  <c r="U307" i="58"/>
  <c r="U308" i="58"/>
  <c r="U309" i="58"/>
  <c r="U310" i="58"/>
  <c r="U311" i="58"/>
  <c r="U312" i="58"/>
  <c r="U313" i="58"/>
  <c r="U314" i="58"/>
  <c r="U315" i="58"/>
  <c r="U316" i="58"/>
  <c r="U317" i="58"/>
  <c r="U318" i="58"/>
  <c r="U319" i="58"/>
  <c r="U320" i="58"/>
  <c r="U321" i="58"/>
  <c r="U322" i="58"/>
  <c r="U323" i="58"/>
  <c r="U324" i="58"/>
  <c r="U325" i="58"/>
  <c r="U326" i="58"/>
  <c r="U327" i="58"/>
  <c r="U328" i="58"/>
  <c r="U329" i="58"/>
  <c r="U330" i="58"/>
  <c r="U331" i="58"/>
  <c r="U332" i="58"/>
  <c r="U333" i="58"/>
  <c r="U334" i="58"/>
  <c r="U335" i="58"/>
  <c r="U336" i="58"/>
  <c r="U337" i="58"/>
  <c r="U338" i="58"/>
  <c r="U339" i="58"/>
  <c r="U340" i="58"/>
  <c r="U341" i="58"/>
  <c r="U342" i="58"/>
  <c r="U343" i="58"/>
  <c r="V252" i="58"/>
  <c r="V253" i="58"/>
  <c r="V254" i="58"/>
  <c r="V255" i="58"/>
  <c r="V256" i="58"/>
  <c r="V257" i="58"/>
  <c r="V258" i="58"/>
  <c r="V259" i="58"/>
  <c r="V260" i="58"/>
  <c r="V261" i="58"/>
  <c r="V262" i="58"/>
  <c r="V263" i="58"/>
  <c r="V264" i="58"/>
  <c r="V265" i="58"/>
  <c r="V266" i="58"/>
  <c r="V267" i="58"/>
  <c r="V268" i="58"/>
  <c r="V269" i="58"/>
  <c r="V270" i="58"/>
  <c r="V271" i="58"/>
  <c r="V272" i="58"/>
  <c r="V273" i="58"/>
  <c r="V274" i="58"/>
  <c r="V275" i="58"/>
  <c r="V276" i="58"/>
  <c r="V277" i="58"/>
  <c r="V278" i="58"/>
  <c r="V279" i="58"/>
  <c r="V280" i="58"/>
  <c r="V281" i="58"/>
  <c r="V282" i="58"/>
  <c r="V283" i="58"/>
  <c r="V284" i="58"/>
  <c r="V285" i="58"/>
  <c r="V286" i="58"/>
  <c r="V287" i="58"/>
  <c r="V288" i="58"/>
  <c r="V289" i="58"/>
  <c r="V290" i="58"/>
  <c r="V291" i="58"/>
  <c r="V292" i="58"/>
  <c r="V293" i="58"/>
  <c r="V294" i="58"/>
  <c r="V295" i="58"/>
  <c r="V296" i="58"/>
  <c r="V297" i="58"/>
  <c r="V298" i="58"/>
  <c r="V299" i="58"/>
  <c r="V300" i="58"/>
  <c r="V301" i="58"/>
  <c r="V302" i="58"/>
  <c r="V303" i="58"/>
  <c r="V304" i="58"/>
  <c r="V305" i="58"/>
  <c r="V306" i="58"/>
  <c r="V307" i="58"/>
  <c r="V308" i="58"/>
  <c r="V309" i="58"/>
  <c r="V310" i="58"/>
  <c r="V311" i="58"/>
  <c r="V312" i="58"/>
  <c r="V313" i="58"/>
  <c r="V314" i="58"/>
  <c r="V315" i="58"/>
  <c r="V316" i="58"/>
  <c r="V317" i="58"/>
  <c r="V318" i="58"/>
  <c r="V319" i="58"/>
  <c r="V320" i="58"/>
  <c r="V321" i="58"/>
  <c r="V322" i="58"/>
  <c r="V323" i="58"/>
  <c r="V324" i="58"/>
  <c r="V325" i="58"/>
  <c r="V326" i="58"/>
  <c r="V327" i="58"/>
  <c r="V328" i="58"/>
  <c r="V329" i="58"/>
  <c r="V330" i="58"/>
  <c r="V331" i="58"/>
  <c r="V332" i="58"/>
  <c r="V333" i="58"/>
  <c r="V334" i="58"/>
  <c r="V335" i="58"/>
  <c r="V336" i="58"/>
  <c r="V337" i="58"/>
  <c r="V338" i="58"/>
  <c r="V339" i="58"/>
  <c r="V340" i="58"/>
  <c r="V341" i="58"/>
  <c r="V342" i="58"/>
  <c r="V343" i="58"/>
  <c r="W252" i="58"/>
  <c r="W253" i="58"/>
  <c r="W254" i="58"/>
  <c r="W255" i="58"/>
  <c r="W256" i="58"/>
  <c r="W257" i="58"/>
  <c r="W258" i="58"/>
  <c r="W259" i="58"/>
  <c r="W260" i="58"/>
  <c r="W261" i="58"/>
  <c r="W262" i="58"/>
  <c r="W263" i="58"/>
  <c r="W264" i="58"/>
  <c r="W265" i="58"/>
  <c r="W266" i="58"/>
  <c r="W267" i="58"/>
  <c r="W268" i="58"/>
  <c r="W269" i="58"/>
  <c r="W270" i="58"/>
  <c r="W271" i="58"/>
  <c r="W272" i="58"/>
  <c r="W273" i="58"/>
  <c r="W274" i="58"/>
  <c r="W275" i="58"/>
  <c r="W276" i="58"/>
  <c r="W277" i="58"/>
  <c r="W278" i="58"/>
  <c r="W279" i="58"/>
  <c r="W280" i="58"/>
  <c r="W281" i="58"/>
  <c r="W282" i="58"/>
  <c r="W283" i="58"/>
  <c r="W284" i="58"/>
  <c r="W285" i="58"/>
  <c r="W286" i="58"/>
  <c r="W287" i="58"/>
  <c r="W288" i="58"/>
  <c r="W289" i="58"/>
  <c r="W290" i="58"/>
  <c r="W291" i="58"/>
  <c r="W292" i="58"/>
  <c r="W293" i="58"/>
  <c r="W294" i="58"/>
  <c r="W295" i="58"/>
  <c r="W296" i="58"/>
  <c r="W297" i="58"/>
  <c r="W298" i="58"/>
  <c r="W299" i="58"/>
  <c r="W300" i="58"/>
  <c r="W301" i="58"/>
  <c r="W302" i="58"/>
  <c r="W303" i="58"/>
  <c r="W304" i="58"/>
  <c r="W305" i="58"/>
  <c r="W306" i="58"/>
  <c r="W307" i="58"/>
  <c r="W308" i="58"/>
  <c r="W309" i="58"/>
  <c r="W310" i="58"/>
  <c r="W311" i="58"/>
  <c r="W312" i="58"/>
  <c r="W313" i="58"/>
  <c r="W314" i="58"/>
  <c r="W315" i="58"/>
  <c r="W316" i="58"/>
  <c r="W317" i="58"/>
  <c r="W318" i="58"/>
  <c r="W319" i="58"/>
  <c r="W320" i="58"/>
  <c r="W321" i="58"/>
  <c r="W322" i="58"/>
  <c r="W323" i="58"/>
  <c r="W324" i="58"/>
  <c r="W325" i="58"/>
  <c r="W326" i="58"/>
  <c r="W327" i="58"/>
  <c r="W328" i="58"/>
  <c r="W329" i="58"/>
  <c r="W330" i="58"/>
  <c r="W331" i="58"/>
  <c r="W332" i="58"/>
  <c r="W333" i="58"/>
  <c r="W334" i="58"/>
  <c r="W335" i="58"/>
  <c r="W336" i="58"/>
  <c r="W337" i="58"/>
  <c r="W338" i="58"/>
  <c r="W339" i="58"/>
  <c r="W340" i="58"/>
  <c r="W341" i="58"/>
  <c r="W342" i="58"/>
  <c r="W343" i="58"/>
  <c r="X252" i="58"/>
  <c r="X253" i="58"/>
  <c r="X254" i="58"/>
  <c r="X255" i="58"/>
  <c r="X256" i="58"/>
  <c r="X257" i="58"/>
  <c r="X258" i="58"/>
  <c r="X259" i="58"/>
  <c r="X260" i="58"/>
  <c r="X261" i="58"/>
  <c r="X262" i="58"/>
  <c r="X263" i="58"/>
  <c r="X264" i="58"/>
  <c r="X265" i="58"/>
  <c r="X266" i="58"/>
  <c r="X267" i="58"/>
  <c r="X268" i="58"/>
  <c r="X269" i="58"/>
  <c r="X270" i="58"/>
  <c r="X271" i="58"/>
  <c r="X272" i="58"/>
  <c r="X273" i="58"/>
  <c r="X274" i="58"/>
  <c r="X275" i="58"/>
  <c r="X276" i="58"/>
  <c r="X277" i="58"/>
  <c r="X278" i="58"/>
  <c r="X279" i="58"/>
  <c r="X280" i="58"/>
  <c r="X281" i="58"/>
  <c r="X282" i="58"/>
  <c r="X283" i="58"/>
  <c r="X284" i="58"/>
  <c r="X285" i="58"/>
  <c r="X286" i="58"/>
  <c r="X287" i="58"/>
  <c r="X288" i="58"/>
  <c r="X289" i="58"/>
  <c r="X290" i="58"/>
  <c r="X291" i="58"/>
  <c r="X292" i="58"/>
  <c r="X293" i="58"/>
  <c r="X294" i="58"/>
  <c r="X295" i="58"/>
  <c r="X296" i="58"/>
  <c r="X297" i="58"/>
  <c r="X298" i="58"/>
  <c r="X299" i="58"/>
  <c r="X300" i="58"/>
  <c r="X301" i="58"/>
  <c r="X302" i="58"/>
  <c r="X303" i="58"/>
  <c r="X304" i="58"/>
  <c r="X305" i="58"/>
  <c r="X306" i="58"/>
  <c r="X307" i="58"/>
  <c r="X308" i="58"/>
  <c r="X309" i="58"/>
  <c r="X310" i="58"/>
  <c r="X311" i="58"/>
  <c r="X312" i="58"/>
  <c r="X313" i="58"/>
  <c r="X314" i="58"/>
  <c r="X315" i="58"/>
  <c r="X316" i="58"/>
  <c r="X317" i="58"/>
  <c r="X318" i="58"/>
  <c r="X319" i="58"/>
  <c r="X320" i="58"/>
  <c r="X321" i="58"/>
  <c r="X322" i="58"/>
  <c r="X323" i="58"/>
  <c r="X324" i="58"/>
  <c r="X325" i="58"/>
  <c r="X326" i="58"/>
  <c r="X327" i="58"/>
  <c r="X328" i="58"/>
  <c r="X329" i="58"/>
  <c r="X330" i="58"/>
  <c r="X331" i="58"/>
  <c r="X332" i="58"/>
  <c r="X333" i="58"/>
  <c r="X334" i="58"/>
  <c r="X335" i="58"/>
  <c r="X336" i="58"/>
  <c r="X337" i="58"/>
  <c r="X338" i="58"/>
  <c r="X339" i="58"/>
  <c r="X340" i="58"/>
  <c r="X341" i="58"/>
  <c r="X342" i="58"/>
  <c r="X343" i="58"/>
  <c r="Y259" i="58"/>
  <c r="Y266" i="58"/>
  <c r="Y267" i="58"/>
  <c r="Y268" i="58"/>
  <c r="Y269" i="58"/>
  <c r="Y270" i="58"/>
  <c r="Y271" i="58"/>
  <c r="Y272" i="58"/>
  <c r="Y273" i="58"/>
  <c r="Y274" i="58"/>
  <c r="Y275" i="58"/>
  <c r="Y276" i="58"/>
  <c r="Y277" i="58"/>
  <c r="Y278" i="58"/>
  <c r="Y279" i="58"/>
  <c r="Y280" i="58"/>
  <c r="Y281" i="58"/>
  <c r="Y282" i="58"/>
  <c r="Y283" i="58"/>
  <c r="Y284" i="58"/>
  <c r="Y285" i="58"/>
  <c r="Y286" i="58"/>
  <c r="Y287" i="58"/>
  <c r="Y288" i="58"/>
  <c r="Y289" i="58"/>
  <c r="Y290" i="58"/>
  <c r="Y291" i="58"/>
  <c r="Y292" i="58"/>
  <c r="Y293" i="58"/>
  <c r="Y294" i="58"/>
  <c r="Y295" i="58"/>
  <c r="Y296" i="58"/>
  <c r="Y297" i="58"/>
  <c r="Y298" i="58"/>
  <c r="Y299" i="58"/>
  <c r="Y300" i="58"/>
  <c r="Y301" i="58"/>
  <c r="Y302" i="58"/>
  <c r="Y303" i="58"/>
  <c r="Y304" i="58"/>
  <c r="Y305" i="58"/>
  <c r="Y306" i="58"/>
  <c r="Y307" i="58"/>
  <c r="Y308" i="58"/>
  <c r="Y309" i="58"/>
  <c r="Y310" i="58"/>
  <c r="Y311" i="58"/>
  <c r="Y312" i="58"/>
  <c r="Y313" i="58"/>
  <c r="Y314" i="58"/>
  <c r="Y315" i="58"/>
  <c r="Y316" i="58"/>
  <c r="Y317" i="58"/>
  <c r="Y318" i="58"/>
  <c r="Y319" i="58"/>
  <c r="Y320" i="58"/>
  <c r="Y321" i="58"/>
  <c r="Y322" i="58"/>
  <c r="Y323" i="58"/>
  <c r="Y324" i="58"/>
  <c r="Y325" i="58"/>
  <c r="Y326" i="58"/>
  <c r="Y327" i="58"/>
  <c r="Y328" i="58"/>
  <c r="Y329" i="58"/>
  <c r="Y330" i="58"/>
  <c r="Y331" i="58"/>
  <c r="Y332" i="58"/>
  <c r="Y333" i="58"/>
  <c r="Y334" i="58"/>
  <c r="Y335" i="58"/>
  <c r="Y336" i="58"/>
  <c r="Y337" i="58"/>
  <c r="Y338" i="58"/>
  <c r="Y339" i="58"/>
  <c r="Y340" i="58"/>
  <c r="Y341" i="58"/>
  <c r="Y342" i="58"/>
  <c r="Y343" i="58"/>
  <c r="Z252" i="58"/>
  <c r="Z253" i="58"/>
  <c r="Z254" i="58"/>
  <c r="Z255" i="58"/>
  <c r="Z256" i="58"/>
  <c r="Z257" i="58"/>
  <c r="Z258" i="58"/>
  <c r="Z259" i="58"/>
  <c r="Z260" i="58"/>
  <c r="Z261" i="58"/>
  <c r="Z262" i="58"/>
  <c r="Z263" i="58"/>
  <c r="Z264" i="58"/>
  <c r="Z265" i="58"/>
  <c r="Z266" i="58"/>
  <c r="Z267" i="58"/>
  <c r="Z268" i="58"/>
  <c r="Z269" i="58"/>
  <c r="Z270" i="58"/>
  <c r="Z271" i="58"/>
  <c r="Z272" i="58"/>
  <c r="Z273" i="58"/>
  <c r="Z274" i="58"/>
  <c r="Z275" i="58"/>
  <c r="Z276" i="58"/>
  <c r="Z277" i="58"/>
  <c r="Z278" i="58"/>
  <c r="Z279" i="58"/>
  <c r="Z280" i="58"/>
  <c r="Z281" i="58"/>
  <c r="Z282" i="58"/>
  <c r="Z283" i="58"/>
  <c r="Z284" i="58"/>
  <c r="Z285" i="58"/>
  <c r="Z286" i="58"/>
  <c r="Z287" i="58"/>
  <c r="Z288" i="58"/>
  <c r="Z289" i="58"/>
  <c r="Z290" i="58"/>
  <c r="Z291" i="58"/>
  <c r="Z292" i="58"/>
  <c r="Z293" i="58"/>
  <c r="Z294" i="58"/>
  <c r="Z295" i="58"/>
  <c r="Z296" i="58"/>
  <c r="Z297" i="58"/>
  <c r="Z298" i="58"/>
  <c r="Z299" i="58"/>
  <c r="Z300" i="58"/>
  <c r="Z301" i="58"/>
  <c r="Z302" i="58"/>
  <c r="Z303" i="58"/>
  <c r="Z304" i="58"/>
  <c r="Z305" i="58"/>
  <c r="Z306" i="58"/>
  <c r="Z307" i="58"/>
  <c r="Z308" i="58"/>
  <c r="Z309" i="58"/>
  <c r="Z310" i="58"/>
  <c r="Z311" i="58"/>
  <c r="Z312" i="58"/>
  <c r="Z313" i="58"/>
  <c r="Z314" i="58"/>
  <c r="Z315" i="58"/>
  <c r="Z316" i="58"/>
  <c r="Z317" i="58"/>
  <c r="Z318" i="58"/>
  <c r="Z319" i="58"/>
  <c r="Z320" i="58"/>
  <c r="Z321" i="58"/>
  <c r="Z322" i="58"/>
  <c r="Z323" i="58"/>
  <c r="Z324" i="58"/>
  <c r="Z325" i="58"/>
  <c r="Z326" i="58"/>
  <c r="Z327" i="58"/>
  <c r="Z328" i="58"/>
  <c r="Z329" i="58"/>
  <c r="Z330" i="58"/>
  <c r="Z331" i="58"/>
  <c r="Z332" i="58"/>
  <c r="Z333" i="58"/>
  <c r="Z334" i="58"/>
  <c r="Z335" i="58"/>
  <c r="Z336" i="58"/>
  <c r="Z337" i="58"/>
  <c r="Z338" i="58"/>
  <c r="Z339" i="58"/>
  <c r="Z340" i="58"/>
  <c r="Z341" i="58"/>
  <c r="Z342" i="58"/>
  <c r="Z343" i="58"/>
  <c r="U42" i="58"/>
  <c r="T42" i="58"/>
  <c r="S42" i="58"/>
  <c r="R42" i="58"/>
  <c r="Q42" i="58"/>
  <c r="P42" i="58"/>
  <c r="O42" i="58"/>
  <c r="N42" i="58"/>
  <c r="M42" i="58"/>
  <c r="L42" i="58"/>
  <c r="K42" i="58"/>
  <c r="J42" i="58"/>
  <c r="I42" i="58"/>
  <c r="U41" i="58"/>
  <c r="T41" i="58"/>
  <c r="S41" i="58"/>
  <c r="R41" i="58"/>
  <c r="Q41" i="58"/>
  <c r="P41" i="58"/>
  <c r="O41" i="58"/>
  <c r="N41" i="58"/>
  <c r="M41" i="58"/>
  <c r="L41" i="58"/>
  <c r="K41" i="58"/>
  <c r="J41" i="58"/>
  <c r="I41" i="58"/>
  <c r="U40" i="58"/>
  <c r="T40" i="58"/>
  <c r="S40" i="58"/>
  <c r="R40" i="58"/>
  <c r="Q40" i="58"/>
  <c r="P40" i="58"/>
  <c r="O40" i="58"/>
  <c r="N40" i="58"/>
  <c r="M40" i="58"/>
  <c r="L40" i="58"/>
  <c r="K40" i="58"/>
  <c r="J40" i="58"/>
  <c r="I40" i="58"/>
  <c r="E87" i="65" l="1"/>
  <c r="E93" i="65"/>
  <c r="E99" i="65"/>
  <c r="E105" i="65"/>
  <c r="E111" i="65"/>
  <c r="E117" i="65"/>
  <c r="E123" i="65"/>
  <c r="E129" i="65"/>
  <c r="E135" i="65"/>
  <c r="E141" i="65"/>
  <c r="E147" i="65"/>
  <c r="K147" i="65" s="1"/>
  <c r="E153" i="65"/>
  <c r="J153" i="65" s="1"/>
  <c r="E159" i="65"/>
  <c r="E165" i="65"/>
  <c r="E171" i="65"/>
  <c r="E177" i="65"/>
  <c r="E183" i="65"/>
  <c r="K183" i="65" s="1"/>
  <c r="E189" i="65"/>
  <c r="J189" i="65" s="1"/>
  <c r="E195" i="65"/>
  <c r="E201" i="65"/>
  <c r="E207" i="65"/>
  <c r="E213" i="65"/>
  <c r="E219" i="65"/>
  <c r="L219" i="65" s="1"/>
  <c r="E225" i="65"/>
  <c r="L225" i="65" s="1"/>
  <c r="E231" i="65"/>
  <c r="E237" i="65"/>
  <c r="E243" i="65"/>
  <c r="E249" i="65"/>
  <c r="E255" i="65"/>
  <c r="L255" i="65" s="1"/>
  <c r="E261" i="65"/>
  <c r="L261" i="65" s="1"/>
  <c r="E267" i="65"/>
  <c r="E273" i="65"/>
  <c r="E279" i="65"/>
  <c r="E285" i="65"/>
  <c r="E291" i="65"/>
  <c r="L291" i="65" s="1"/>
  <c r="E297" i="65"/>
  <c r="J297" i="65" s="1"/>
  <c r="E303" i="65"/>
  <c r="E309" i="65"/>
  <c r="E315" i="65"/>
  <c r="E321" i="65"/>
  <c r="E327" i="65"/>
  <c r="L327" i="65" s="1"/>
  <c r="E333" i="65"/>
  <c r="J333" i="65" s="1"/>
  <c r="E339" i="65"/>
  <c r="E345" i="65"/>
  <c r="E351" i="65"/>
  <c r="E357" i="65"/>
  <c r="E363" i="65"/>
  <c r="L363" i="65" s="1"/>
  <c r="E369" i="65"/>
  <c r="J369" i="65" s="1"/>
  <c r="E375" i="65"/>
  <c r="F105" i="65"/>
  <c r="F111" i="65"/>
  <c r="F117" i="65"/>
  <c r="F123" i="65"/>
  <c r="G123" i="65" s="1"/>
  <c r="F129" i="65"/>
  <c r="F135" i="65"/>
  <c r="F141" i="65"/>
  <c r="F147" i="65"/>
  <c r="F153" i="65"/>
  <c r="F159" i="65"/>
  <c r="G159" i="65" s="1"/>
  <c r="F165" i="65"/>
  <c r="F171" i="65"/>
  <c r="F177" i="65"/>
  <c r="F183" i="65"/>
  <c r="F189" i="65"/>
  <c r="F195" i="65"/>
  <c r="F201" i="65"/>
  <c r="F207" i="65"/>
  <c r="F213" i="65"/>
  <c r="F219" i="65"/>
  <c r="F225" i="65"/>
  <c r="F231" i="65"/>
  <c r="F237" i="65"/>
  <c r="F243" i="65"/>
  <c r="F249" i="65"/>
  <c r="F255" i="65"/>
  <c r="F261" i="65"/>
  <c r="F267" i="65"/>
  <c r="F273" i="65"/>
  <c r="F279" i="65"/>
  <c r="F285" i="65"/>
  <c r="F291" i="65"/>
  <c r="F297" i="65"/>
  <c r="E88" i="65"/>
  <c r="E94" i="65"/>
  <c r="K94" i="65" s="1"/>
  <c r="E100" i="65"/>
  <c r="L100" i="65" s="1"/>
  <c r="E106" i="65"/>
  <c r="E112" i="65"/>
  <c r="E118" i="65"/>
  <c r="K118" i="65" s="1"/>
  <c r="E124" i="65"/>
  <c r="K124" i="65" s="1"/>
  <c r="E130" i="65"/>
  <c r="K130" i="65" s="1"/>
  <c r="E136" i="65"/>
  <c r="E142" i="65"/>
  <c r="E148" i="65"/>
  <c r="E154" i="65"/>
  <c r="K154" i="65" s="1"/>
  <c r="E160" i="65"/>
  <c r="L160" i="65" s="1"/>
  <c r="E166" i="65"/>
  <c r="J166" i="65" s="1"/>
  <c r="E172" i="65"/>
  <c r="E178" i="65"/>
  <c r="E184" i="65"/>
  <c r="E190" i="65"/>
  <c r="J190" i="65" s="1"/>
  <c r="E196" i="65"/>
  <c r="L196" i="65" s="1"/>
  <c r="E202" i="65"/>
  <c r="J202" i="65" s="1"/>
  <c r="E208" i="65"/>
  <c r="E214" i="65"/>
  <c r="E220" i="65"/>
  <c r="E226" i="65"/>
  <c r="J226" i="65" s="1"/>
  <c r="E232" i="65"/>
  <c r="L232" i="65" s="1"/>
  <c r="E238" i="65"/>
  <c r="K238" i="65" s="1"/>
  <c r="E244" i="65"/>
  <c r="E250" i="65"/>
  <c r="E256" i="65"/>
  <c r="E262" i="65"/>
  <c r="J262" i="65" s="1"/>
  <c r="E268" i="65"/>
  <c r="L268" i="65" s="1"/>
  <c r="E274" i="65"/>
  <c r="J274" i="65" s="1"/>
  <c r="E280" i="65"/>
  <c r="E286" i="65"/>
  <c r="E292" i="65"/>
  <c r="E298" i="65"/>
  <c r="J298" i="65" s="1"/>
  <c r="E304" i="65"/>
  <c r="J304" i="65" s="1"/>
  <c r="E310" i="65"/>
  <c r="J310" i="65" s="1"/>
  <c r="E316" i="65"/>
  <c r="E322" i="65"/>
  <c r="E328" i="65"/>
  <c r="E334" i="65"/>
  <c r="J334" i="65" s="1"/>
  <c r="E340" i="65"/>
  <c r="J340" i="65" s="1"/>
  <c r="E346" i="65"/>
  <c r="K346" i="65" s="1"/>
  <c r="E352" i="65"/>
  <c r="E358" i="65"/>
  <c r="E364" i="65"/>
  <c r="E370" i="65"/>
  <c r="J370" i="65" s="1"/>
  <c r="E376" i="65"/>
  <c r="L376" i="65" s="1"/>
  <c r="F106" i="65"/>
  <c r="F112" i="65"/>
  <c r="F118" i="65"/>
  <c r="F124" i="65"/>
  <c r="F130" i="65"/>
  <c r="F136" i="65"/>
  <c r="F142" i="65"/>
  <c r="F148" i="65"/>
  <c r="F154" i="65"/>
  <c r="F160" i="65"/>
  <c r="F166" i="65"/>
  <c r="F172" i="65"/>
  <c r="F178" i="65"/>
  <c r="F184" i="65"/>
  <c r="F190" i="65"/>
  <c r="F196" i="65"/>
  <c r="E89" i="65"/>
  <c r="E95" i="65"/>
  <c r="K95" i="65" s="1"/>
  <c r="E101" i="65"/>
  <c r="K101" i="65" s="1"/>
  <c r="E107" i="65"/>
  <c r="E113" i="65"/>
  <c r="K113" i="65" s="1"/>
  <c r="E119" i="65"/>
  <c r="E125" i="65"/>
  <c r="E131" i="65"/>
  <c r="K131" i="65" s="1"/>
  <c r="E137" i="65"/>
  <c r="K137" i="65" s="1"/>
  <c r="E143" i="65"/>
  <c r="E149" i="65"/>
  <c r="K149" i="65" s="1"/>
  <c r="E155" i="65"/>
  <c r="E161" i="65"/>
  <c r="E167" i="65"/>
  <c r="K167" i="65" s="1"/>
  <c r="E173" i="65"/>
  <c r="J173" i="65" s="1"/>
  <c r="E179" i="65"/>
  <c r="E185" i="65"/>
  <c r="E191" i="65"/>
  <c r="E197" i="65"/>
  <c r="E203" i="65"/>
  <c r="L203" i="65" s="1"/>
  <c r="E209" i="65"/>
  <c r="J209" i="65" s="1"/>
  <c r="E215" i="65"/>
  <c r="E221" i="65"/>
  <c r="E227" i="65"/>
  <c r="E233" i="65"/>
  <c r="E239" i="65"/>
  <c r="L239" i="65" s="1"/>
  <c r="E245" i="65"/>
  <c r="K245" i="65" s="1"/>
  <c r="E251" i="65"/>
  <c r="E257" i="65"/>
  <c r="J257" i="65" s="1"/>
  <c r="E263" i="65"/>
  <c r="E269" i="65"/>
  <c r="E275" i="65"/>
  <c r="L275" i="65" s="1"/>
  <c r="E281" i="65"/>
  <c r="K281" i="65" s="1"/>
  <c r="E287" i="65"/>
  <c r="E293" i="65"/>
  <c r="E299" i="65"/>
  <c r="E305" i="65"/>
  <c r="E311" i="65"/>
  <c r="L311" i="65" s="1"/>
  <c r="E317" i="65"/>
  <c r="J317" i="65" s="1"/>
  <c r="E323" i="65"/>
  <c r="E329" i="65"/>
  <c r="J329" i="65" s="1"/>
  <c r="E335" i="65"/>
  <c r="E341" i="65"/>
  <c r="E347" i="65"/>
  <c r="L347" i="65" s="1"/>
  <c r="E353" i="65"/>
  <c r="L353" i="65" s="1"/>
  <c r="E359" i="65"/>
  <c r="E365" i="65"/>
  <c r="J365" i="65" s="1"/>
  <c r="E371" i="65"/>
  <c r="E377" i="65"/>
  <c r="F107" i="65"/>
  <c r="F113" i="65"/>
  <c r="F119" i="65"/>
  <c r="F125" i="65"/>
  <c r="F131" i="65"/>
  <c r="F137" i="65"/>
  <c r="F143" i="65"/>
  <c r="F149" i="65"/>
  <c r="F155" i="65"/>
  <c r="F161" i="65"/>
  <c r="F167" i="65"/>
  <c r="F173" i="65"/>
  <c r="F179" i="65"/>
  <c r="F185" i="65"/>
  <c r="E92" i="65"/>
  <c r="L92" i="65" s="1"/>
  <c r="E98" i="65"/>
  <c r="E104" i="65"/>
  <c r="E110" i="65"/>
  <c r="E116" i="65"/>
  <c r="K116" i="65" s="1"/>
  <c r="E122" i="65"/>
  <c r="J122" i="65" s="1"/>
  <c r="E128" i="65"/>
  <c r="J128" i="65" s="1"/>
  <c r="E134" i="65"/>
  <c r="J134" i="65" s="1"/>
  <c r="E140" i="65"/>
  <c r="E146" i="65"/>
  <c r="E152" i="65"/>
  <c r="J152" i="65" s="1"/>
  <c r="E158" i="65"/>
  <c r="L158" i="65" s="1"/>
  <c r="E164" i="65"/>
  <c r="J164" i="65" s="1"/>
  <c r="E170" i="65"/>
  <c r="J170" i="65" s="1"/>
  <c r="E176" i="65"/>
  <c r="E182" i="65"/>
  <c r="E188" i="65"/>
  <c r="J188" i="65" s="1"/>
  <c r="E194" i="65"/>
  <c r="J194" i="65" s="1"/>
  <c r="E200" i="65"/>
  <c r="J200" i="65" s="1"/>
  <c r="E206" i="65"/>
  <c r="J206" i="65" s="1"/>
  <c r="E212" i="65"/>
  <c r="E218" i="65"/>
  <c r="E224" i="65"/>
  <c r="J224" i="65" s="1"/>
  <c r="E230" i="65"/>
  <c r="J230" i="65" s="1"/>
  <c r="E236" i="65"/>
  <c r="J236" i="65" s="1"/>
  <c r="E242" i="65"/>
  <c r="J242" i="65" s="1"/>
  <c r="E248" i="65"/>
  <c r="E254" i="65"/>
  <c r="J254" i="65" s="1"/>
  <c r="E260" i="65"/>
  <c r="J260" i="65" s="1"/>
  <c r="E266" i="65"/>
  <c r="K266" i="65" s="1"/>
  <c r="E272" i="65"/>
  <c r="J272" i="65" s="1"/>
  <c r="E278" i="65"/>
  <c r="J278" i="65" s="1"/>
  <c r="E284" i="65"/>
  <c r="E290" i="65"/>
  <c r="J290" i="65" s="1"/>
  <c r="E296" i="65"/>
  <c r="J296" i="65" s="1"/>
  <c r="E302" i="65"/>
  <c r="J302" i="65" s="1"/>
  <c r="E308" i="65"/>
  <c r="J308" i="65" s="1"/>
  <c r="E314" i="65"/>
  <c r="J314" i="65" s="1"/>
  <c r="E320" i="65"/>
  <c r="E326" i="65"/>
  <c r="J326" i="65" s="1"/>
  <c r="E332" i="65"/>
  <c r="J332" i="65" s="1"/>
  <c r="E338" i="65"/>
  <c r="K338" i="65" s="1"/>
  <c r="E344" i="65"/>
  <c r="J344" i="65" s="1"/>
  <c r="E350" i="65"/>
  <c r="J350" i="65" s="1"/>
  <c r="E356" i="65"/>
  <c r="E362" i="65"/>
  <c r="J362" i="65" s="1"/>
  <c r="E368" i="65"/>
  <c r="J368" i="65" s="1"/>
  <c r="E374" i="65"/>
  <c r="L374" i="65" s="1"/>
  <c r="E380" i="65"/>
  <c r="J380" i="65" s="1"/>
  <c r="F116" i="65"/>
  <c r="F122" i="65"/>
  <c r="F128" i="65"/>
  <c r="F134" i="65"/>
  <c r="F140" i="65"/>
  <c r="F146" i="65"/>
  <c r="F152" i="65"/>
  <c r="F158" i="65"/>
  <c r="F164" i="65"/>
  <c r="F170" i="65"/>
  <c r="F176" i="65"/>
  <c r="F182" i="65"/>
  <c r="F188" i="65"/>
  <c r="F194" i="65"/>
  <c r="F200" i="65"/>
  <c r="F206" i="65"/>
  <c r="F212" i="65"/>
  <c r="F218" i="65"/>
  <c r="F224" i="65"/>
  <c r="F230" i="65"/>
  <c r="F236" i="65"/>
  <c r="F242" i="65"/>
  <c r="F248" i="65"/>
  <c r="F254" i="65"/>
  <c r="F260" i="65"/>
  <c r="F266" i="65"/>
  <c r="F272" i="65"/>
  <c r="F278" i="65"/>
  <c r="F284" i="65"/>
  <c r="F290" i="65"/>
  <c r="F296" i="65"/>
  <c r="F302" i="65"/>
  <c r="E90" i="65"/>
  <c r="L90" i="65" s="1"/>
  <c r="E108" i="65"/>
  <c r="L108" i="65" s="1"/>
  <c r="E126" i="65"/>
  <c r="J126" i="65" s="1"/>
  <c r="E144" i="65"/>
  <c r="E162" i="65"/>
  <c r="E180" i="65"/>
  <c r="L180" i="65" s="1"/>
  <c r="E198" i="65"/>
  <c r="J198" i="65" s="1"/>
  <c r="E216" i="65"/>
  <c r="E234" i="65"/>
  <c r="L234" i="65" s="1"/>
  <c r="E252" i="65"/>
  <c r="E270" i="65"/>
  <c r="E288" i="65"/>
  <c r="L288" i="65" s="1"/>
  <c r="E306" i="65"/>
  <c r="J306" i="65" s="1"/>
  <c r="E324" i="65"/>
  <c r="J324" i="65" s="1"/>
  <c r="E342" i="65"/>
  <c r="K342" i="65" s="1"/>
  <c r="E360" i="65"/>
  <c r="E378" i="65"/>
  <c r="F120" i="65"/>
  <c r="F138" i="65"/>
  <c r="F156" i="65"/>
  <c r="F174" i="65"/>
  <c r="F191" i="65"/>
  <c r="F202" i="65"/>
  <c r="F210" i="65"/>
  <c r="F220" i="65"/>
  <c r="G220" i="65" s="1"/>
  <c r="F228" i="65"/>
  <c r="F238" i="65"/>
  <c r="G238" i="65" s="1"/>
  <c r="F246" i="65"/>
  <c r="F256" i="65"/>
  <c r="G256" i="65" s="1"/>
  <c r="F264" i="65"/>
  <c r="F274" i="65"/>
  <c r="F282" i="65"/>
  <c r="F292" i="65"/>
  <c r="G292" i="65" s="1"/>
  <c r="F300" i="65"/>
  <c r="F307" i="65"/>
  <c r="F313" i="65"/>
  <c r="F319" i="65"/>
  <c r="F325" i="65"/>
  <c r="F331" i="65"/>
  <c r="F337" i="65"/>
  <c r="F343" i="65"/>
  <c r="F349" i="65"/>
  <c r="F355" i="65"/>
  <c r="F361" i="65"/>
  <c r="F367" i="65"/>
  <c r="F373" i="65"/>
  <c r="F379" i="65"/>
  <c r="E91" i="65"/>
  <c r="K91" i="65" s="1"/>
  <c r="E109" i="65"/>
  <c r="J109" i="65" s="1"/>
  <c r="E127" i="65"/>
  <c r="K127" i="65" s="1"/>
  <c r="E145" i="65"/>
  <c r="K145" i="65" s="1"/>
  <c r="E163" i="65"/>
  <c r="E181" i="65"/>
  <c r="E199" i="65"/>
  <c r="J199" i="65" s="1"/>
  <c r="E217" i="65"/>
  <c r="K217" i="65" s="1"/>
  <c r="E235" i="65"/>
  <c r="J235" i="65" s="1"/>
  <c r="E253" i="65"/>
  <c r="L253" i="65" s="1"/>
  <c r="E271" i="65"/>
  <c r="E289" i="65"/>
  <c r="J289" i="65" s="1"/>
  <c r="E307" i="65"/>
  <c r="J307" i="65" s="1"/>
  <c r="E325" i="65"/>
  <c r="J325" i="65" s="1"/>
  <c r="E343" i="65"/>
  <c r="J343" i="65" s="1"/>
  <c r="E361" i="65"/>
  <c r="J361" i="65" s="1"/>
  <c r="E379" i="65"/>
  <c r="F121" i="65"/>
  <c r="F139" i="65"/>
  <c r="F157" i="65"/>
  <c r="F175" i="65"/>
  <c r="F192" i="65"/>
  <c r="F203" i="65"/>
  <c r="F211" i="65"/>
  <c r="F221" i="65"/>
  <c r="F229" i="65"/>
  <c r="E96" i="65"/>
  <c r="K96" i="65" s="1"/>
  <c r="E114" i="65"/>
  <c r="L114" i="65" s="1"/>
  <c r="E132" i="65"/>
  <c r="E150" i="65"/>
  <c r="J150" i="65" s="1"/>
  <c r="E168" i="65"/>
  <c r="K168" i="65" s="1"/>
  <c r="E186" i="65"/>
  <c r="K186" i="65" s="1"/>
  <c r="E204" i="65"/>
  <c r="J204" i="65" s="1"/>
  <c r="E222" i="65"/>
  <c r="K222" i="65" s="1"/>
  <c r="E240" i="65"/>
  <c r="E258" i="65"/>
  <c r="J258" i="65" s="1"/>
  <c r="E276" i="65"/>
  <c r="J276" i="65" s="1"/>
  <c r="E294" i="65"/>
  <c r="K294" i="65" s="1"/>
  <c r="E312" i="65"/>
  <c r="J312" i="65" s="1"/>
  <c r="E330" i="65"/>
  <c r="J330" i="65" s="1"/>
  <c r="E348" i="65"/>
  <c r="E366" i="65"/>
  <c r="J366" i="65" s="1"/>
  <c r="F108" i="65"/>
  <c r="F126" i="65"/>
  <c r="F144" i="65"/>
  <c r="F162" i="65"/>
  <c r="F180" i="65"/>
  <c r="F193" i="65"/>
  <c r="F204" i="65"/>
  <c r="F214" i="65"/>
  <c r="G214" i="65" s="1"/>
  <c r="F222" i="65"/>
  <c r="F232" i="65"/>
  <c r="F240" i="65"/>
  <c r="E103" i="65"/>
  <c r="E121" i="65"/>
  <c r="K121" i="65" s="1"/>
  <c r="E139" i="65"/>
  <c r="J139" i="65" s="1"/>
  <c r="E157" i="65"/>
  <c r="J157" i="65" s="1"/>
  <c r="E175" i="65"/>
  <c r="J175" i="65" s="1"/>
  <c r="E193" i="65"/>
  <c r="E211" i="65"/>
  <c r="K211" i="65" s="1"/>
  <c r="E229" i="65"/>
  <c r="K229" i="65" s="1"/>
  <c r="E247" i="65"/>
  <c r="J247" i="65" s="1"/>
  <c r="E265" i="65"/>
  <c r="J265" i="65" s="1"/>
  <c r="E283" i="65"/>
  <c r="K283" i="65" s="1"/>
  <c r="E301" i="65"/>
  <c r="E319" i="65"/>
  <c r="J319" i="65" s="1"/>
  <c r="E337" i="65"/>
  <c r="L337" i="65" s="1"/>
  <c r="E355" i="65"/>
  <c r="K355" i="65" s="1"/>
  <c r="E373" i="65"/>
  <c r="J373" i="65" s="1"/>
  <c r="F115" i="65"/>
  <c r="F133" i="65"/>
  <c r="F151" i="65"/>
  <c r="F169" i="65"/>
  <c r="F187" i="65"/>
  <c r="F199" i="65"/>
  <c r="F209" i="65"/>
  <c r="G209" i="65" s="1"/>
  <c r="F217" i="65"/>
  <c r="F227" i="65"/>
  <c r="F235" i="65"/>
  <c r="F245" i="65"/>
  <c r="F253" i="65"/>
  <c r="F263" i="65"/>
  <c r="F271" i="65"/>
  <c r="G271" i="65" s="1"/>
  <c r="F281" i="65"/>
  <c r="F289" i="65"/>
  <c r="F299" i="65"/>
  <c r="F306" i="65"/>
  <c r="F312" i="65"/>
  <c r="F318" i="65"/>
  <c r="F324" i="65"/>
  <c r="F330" i="65"/>
  <c r="F336" i="65"/>
  <c r="F342" i="65"/>
  <c r="F348" i="65"/>
  <c r="F354" i="65"/>
  <c r="F360" i="65"/>
  <c r="F366" i="65"/>
  <c r="F372" i="65"/>
  <c r="F378" i="65"/>
  <c r="H109" i="65"/>
  <c r="H115" i="65"/>
  <c r="H121" i="65"/>
  <c r="H127" i="65"/>
  <c r="H133" i="65"/>
  <c r="H139" i="65"/>
  <c r="H145" i="65"/>
  <c r="H151" i="65"/>
  <c r="H157" i="65"/>
  <c r="H163" i="65"/>
  <c r="H169" i="65"/>
  <c r="H175" i="65"/>
  <c r="H181" i="65"/>
  <c r="H187" i="65"/>
  <c r="H193" i="65"/>
  <c r="H199" i="65"/>
  <c r="H205" i="65"/>
  <c r="H211" i="65"/>
  <c r="H217" i="65"/>
  <c r="H223" i="65"/>
  <c r="H229" i="65"/>
  <c r="H235" i="65"/>
  <c r="E97" i="65"/>
  <c r="L97" i="65" s="1"/>
  <c r="E151" i="65"/>
  <c r="J151" i="65" s="1"/>
  <c r="E205" i="65"/>
  <c r="L205" i="65" s="1"/>
  <c r="E259" i="65"/>
  <c r="E313" i="65"/>
  <c r="L313" i="65" s="1"/>
  <c r="E367" i="65"/>
  <c r="J367" i="65" s="1"/>
  <c r="F127" i="65"/>
  <c r="F181" i="65"/>
  <c r="F215" i="65"/>
  <c r="G215" i="65" s="1"/>
  <c r="F239" i="65"/>
  <c r="F252" i="65"/>
  <c r="F268" i="65"/>
  <c r="F280" i="65"/>
  <c r="G280" i="65" s="1"/>
  <c r="F294" i="65"/>
  <c r="F305" i="65"/>
  <c r="G305" i="65" s="1"/>
  <c r="F315" i="65"/>
  <c r="G315" i="65" s="1"/>
  <c r="F323" i="65"/>
  <c r="F333" i="65"/>
  <c r="F341" i="65"/>
  <c r="G341" i="65" s="1"/>
  <c r="F351" i="65"/>
  <c r="G351" i="65" s="1"/>
  <c r="F359" i="65"/>
  <c r="G359" i="65" s="1"/>
  <c r="F369" i="65"/>
  <c r="F377" i="65"/>
  <c r="H117" i="65"/>
  <c r="H124" i="65"/>
  <c r="H131" i="65"/>
  <c r="H138" i="65"/>
  <c r="H146" i="65"/>
  <c r="H153" i="65"/>
  <c r="H160" i="65"/>
  <c r="H167" i="65"/>
  <c r="H174" i="65"/>
  <c r="H182" i="65"/>
  <c r="H189" i="65"/>
  <c r="H196" i="65"/>
  <c r="H203" i="65"/>
  <c r="H210" i="65"/>
  <c r="H218" i="65"/>
  <c r="H225" i="65"/>
  <c r="H232" i="65"/>
  <c r="H239" i="65"/>
  <c r="H245" i="65"/>
  <c r="E102" i="65"/>
  <c r="K102" i="65" s="1"/>
  <c r="E156" i="65"/>
  <c r="J156" i="65" s="1"/>
  <c r="E210" i="65"/>
  <c r="J210" i="65" s="1"/>
  <c r="E264" i="65"/>
  <c r="E318" i="65"/>
  <c r="J318" i="65" s="1"/>
  <c r="E372" i="65"/>
  <c r="J372" i="65" s="1"/>
  <c r="F132" i="65"/>
  <c r="F186" i="65"/>
  <c r="F216" i="65"/>
  <c r="F241" i="65"/>
  <c r="F257" i="65"/>
  <c r="G257" i="65" s="1"/>
  <c r="F269" i="65"/>
  <c r="G269" i="65" s="1"/>
  <c r="F283" i="65"/>
  <c r="F295" i="65"/>
  <c r="F308" i="65"/>
  <c r="F316" i="65"/>
  <c r="G316" i="65" s="1"/>
  <c r="F326" i="65"/>
  <c r="F334" i="65"/>
  <c r="F344" i="65"/>
  <c r="F352" i="65"/>
  <c r="G352" i="65" s="1"/>
  <c r="F362" i="65"/>
  <c r="F370" i="65"/>
  <c r="F380" i="65"/>
  <c r="H111" i="65"/>
  <c r="H118" i="65"/>
  <c r="H125" i="65"/>
  <c r="H132" i="65"/>
  <c r="H140" i="65"/>
  <c r="H147" i="65"/>
  <c r="H154" i="65"/>
  <c r="H161" i="65"/>
  <c r="H168" i="65"/>
  <c r="H176" i="65"/>
  <c r="H183" i="65"/>
  <c r="H190" i="65"/>
  <c r="H197" i="65"/>
  <c r="H204" i="65"/>
  <c r="H212" i="65"/>
  <c r="H219" i="65"/>
  <c r="H226" i="65"/>
  <c r="H233" i="65"/>
  <c r="H240" i="65"/>
  <c r="E115" i="65"/>
  <c r="L115" i="65" s="1"/>
  <c r="E169" i="65"/>
  <c r="K169" i="65" s="1"/>
  <c r="E223" i="65"/>
  <c r="J223" i="65" s="1"/>
  <c r="E277" i="65"/>
  <c r="J277" i="65" s="1"/>
  <c r="E331" i="65"/>
  <c r="L331" i="65" s="1"/>
  <c r="F145" i="65"/>
  <c r="F197" i="65"/>
  <c r="G197" i="65" s="1"/>
  <c r="F223" i="65"/>
  <c r="F244" i="65"/>
  <c r="G244" i="65" s="1"/>
  <c r="F258" i="65"/>
  <c r="F270" i="65"/>
  <c r="G270" i="65" s="1"/>
  <c r="F286" i="65"/>
  <c r="G286" i="65" s="1"/>
  <c r="F298" i="65"/>
  <c r="F309" i="65"/>
  <c r="G309" i="65" s="1"/>
  <c r="F317" i="65"/>
  <c r="G317" i="65" s="1"/>
  <c r="F327" i="65"/>
  <c r="F335" i="65"/>
  <c r="F345" i="65"/>
  <c r="G345" i="65" s="1"/>
  <c r="F353" i="65"/>
  <c r="F363" i="65"/>
  <c r="F371" i="65"/>
  <c r="G371" i="65" s="1"/>
  <c r="H105" i="65"/>
  <c r="H112" i="65"/>
  <c r="H119" i="65"/>
  <c r="H126" i="65"/>
  <c r="H134" i="65"/>
  <c r="H141" i="65"/>
  <c r="H148" i="65"/>
  <c r="H155" i="65"/>
  <c r="H162" i="65"/>
  <c r="H170" i="65"/>
  <c r="H177" i="65"/>
  <c r="H184" i="65"/>
  <c r="H191" i="65"/>
  <c r="H198" i="65"/>
  <c r="H206" i="65"/>
  <c r="H213" i="65"/>
  <c r="H220" i="65"/>
  <c r="H227" i="65"/>
  <c r="H234" i="65"/>
  <c r="H241" i="65"/>
  <c r="H247" i="65"/>
  <c r="E120" i="65"/>
  <c r="L120" i="65" s="1"/>
  <c r="E174" i="65"/>
  <c r="J174" i="65" s="1"/>
  <c r="E228" i="65"/>
  <c r="L228" i="65" s="1"/>
  <c r="E282" i="65"/>
  <c r="J282" i="65" s="1"/>
  <c r="E336" i="65"/>
  <c r="J336" i="65" s="1"/>
  <c r="F150" i="65"/>
  <c r="F198" i="65"/>
  <c r="F226" i="65"/>
  <c r="F247" i="65"/>
  <c r="F259" i="65"/>
  <c r="G259" i="65" s="1"/>
  <c r="F275" i="65"/>
  <c r="F287" i="65"/>
  <c r="F301" i="65"/>
  <c r="F310" i="65"/>
  <c r="F320" i="65"/>
  <c r="F328" i="65"/>
  <c r="G328" i="65" s="1"/>
  <c r="F338" i="65"/>
  <c r="F346" i="65"/>
  <c r="F356" i="65"/>
  <c r="G356" i="65" s="1"/>
  <c r="F364" i="65"/>
  <c r="G364" i="65" s="1"/>
  <c r="F374" i="65"/>
  <c r="G374" i="65" s="1"/>
  <c r="H106" i="65"/>
  <c r="H113" i="65"/>
  <c r="H120" i="65"/>
  <c r="H128" i="65"/>
  <c r="H135" i="65"/>
  <c r="H142" i="65"/>
  <c r="H149" i="65"/>
  <c r="H156" i="65"/>
  <c r="H164" i="65"/>
  <c r="H171" i="65"/>
  <c r="H178" i="65"/>
  <c r="H185" i="65"/>
  <c r="H192" i="65"/>
  <c r="H200" i="65"/>
  <c r="H207" i="65"/>
  <c r="H214" i="65"/>
  <c r="H221" i="65"/>
  <c r="H228" i="65"/>
  <c r="H236" i="65"/>
  <c r="H242" i="65"/>
  <c r="H248" i="65"/>
  <c r="E133" i="65"/>
  <c r="E187" i="65"/>
  <c r="L187" i="65" s="1"/>
  <c r="E241" i="65"/>
  <c r="J241" i="65" s="1"/>
  <c r="E295" i="65"/>
  <c r="J295" i="65" s="1"/>
  <c r="E349" i="65"/>
  <c r="L349" i="65" s="1"/>
  <c r="F109" i="65"/>
  <c r="G109" i="65" s="1"/>
  <c r="F163" i="65"/>
  <c r="F205" i="65"/>
  <c r="F233" i="65"/>
  <c r="G233" i="65" s="1"/>
  <c r="F250" i="65"/>
  <c r="G250" i="65" s="1"/>
  <c r="F262" i="65"/>
  <c r="F276" i="65"/>
  <c r="F288" i="65"/>
  <c r="F303" i="65"/>
  <c r="G303" i="65" s="1"/>
  <c r="F311" i="65"/>
  <c r="F321" i="65"/>
  <c r="G321" i="65" s="1"/>
  <c r="F329" i="65"/>
  <c r="G329" i="65" s="1"/>
  <c r="F339" i="65"/>
  <c r="G339" i="65" s="1"/>
  <c r="F347" i="65"/>
  <c r="F357" i="65"/>
  <c r="G357" i="65" s="1"/>
  <c r="F365" i="65"/>
  <c r="F375" i="65"/>
  <c r="G375" i="65" s="1"/>
  <c r="H107" i="65"/>
  <c r="H114" i="65"/>
  <c r="H122" i="65"/>
  <c r="H129" i="65"/>
  <c r="H136" i="65"/>
  <c r="H143" i="65"/>
  <c r="H150" i="65"/>
  <c r="H158" i="65"/>
  <c r="H165" i="65"/>
  <c r="H172" i="65"/>
  <c r="H179" i="65"/>
  <c r="H186" i="65"/>
  <c r="H194" i="65"/>
  <c r="H201" i="65"/>
  <c r="H208" i="65"/>
  <c r="H215" i="65"/>
  <c r="H222" i="65"/>
  <c r="H230" i="65"/>
  <c r="H237" i="65"/>
  <c r="H243" i="65"/>
  <c r="H249" i="65"/>
  <c r="H255" i="65"/>
  <c r="H261" i="65"/>
  <c r="H267" i="65"/>
  <c r="H273" i="65"/>
  <c r="H279" i="65"/>
  <c r="E138" i="65"/>
  <c r="K138" i="65" s="1"/>
  <c r="E192" i="65"/>
  <c r="J192" i="65" s="1"/>
  <c r="E246" i="65"/>
  <c r="J246" i="65" s="1"/>
  <c r="E300" i="65"/>
  <c r="J300" i="65" s="1"/>
  <c r="E354" i="65"/>
  <c r="L354" i="65" s="1"/>
  <c r="F114" i="65"/>
  <c r="F168" i="65"/>
  <c r="F208" i="65"/>
  <c r="G208" i="65" s="1"/>
  <c r="F234" i="65"/>
  <c r="F251" i="65"/>
  <c r="G251" i="65" s="1"/>
  <c r="F265" i="65"/>
  <c r="F277" i="65"/>
  <c r="F293" i="65"/>
  <c r="F304" i="65"/>
  <c r="F314" i="65"/>
  <c r="F322" i="65"/>
  <c r="G322" i="65" s="1"/>
  <c r="F332" i="65"/>
  <c r="F340" i="65"/>
  <c r="F350" i="65"/>
  <c r="F358" i="65"/>
  <c r="G358" i="65" s="1"/>
  <c r="F368" i="65"/>
  <c r="F376" i="65"/>
  <c r="H108" i="65"/>
  <c r="H116" i="65"/>
  <c r="H123" i="65"/>
  <c r="H130" i="65"/>
  <c r="H137" i="65"/>
  <c r="H144" i="65"/>
  <c r="H152" i="65"/>
  <c r="H159" i="65"/>
  <c r="H166" i="65"/>
  <c r="H173" i="65"/>
  <c r="H180" i="65"/>
  <c r="H188" i="65"/>
  <c r="H195" i="65"/>
  <c r="H202" i="65"/>
  <c r="H209" i="65"/>
  <c r="H216" i="65"/>
  <c r="H224" i="65"/>
  <c r="H231" i="65"/>
  <c r="H238" i="65"/>
  <c r="H244" i="65"/>
  <c r="H254" i="65"/>
  <c r="H262" i="65"/>
  <c r="H269" i="65"/>
  <c r="H276" i="65"/>
  <c r="H283" i="65"/>
  <c r="H289" i="65"/>
  <c r="H295" i="65"/>
  <c r="H301" i="65"/>
  <c r="H307" i="65"/>
  <c r="H313" i="65"/>
  <c r="H319" i="65"/>
  <c r="H325" i="65"/>
  <c r="H331" i="65"/>
  <c r="H337" i="65"/>
  <c r="H343" i="65"/>
  <c r="H349" i="65"/>
  <c r="H355" i="65"/>
  <c r="H361" i="65"/>
  <c r="H367" i="65"/>
  <c r="H373" i="65"/>
  <c r="H379" i="65"/>
  <c r="J140" i="65"/>
  <c r="J146" i="65"/>
  <c r="J176" i="65"/>
  <c r="J182" i="65"/>
  <c r="J212" i="65"/>
  <c r="J218" i="65"/>
  <c r="J248" i="65"/>
  <c r="J284" i="65"/>
  <c r="J320" i="65"/>
  <c r="J356" i="65"/>
  <c r="K93" i="65"/>
  <c r="K99" i="65"/>
  <c r="K105" i="65"/>
  <c r="K117" i="65"/>
  <c r="K123" i="65"/>
  <c r="K129" i="65"/>
  <c r="K135" i="65"/>
  <c r="K141" i="65"/>
  <c r="K159" i="65"/>
  <c r="K165" i="65"/>
  <c r="K171" i="65"/>
  <c r="K177" i="65"/>
  <c r="H246" i="65"/>
  <c r="H256" i="65"/>
  <c r="H263" i="65"/>
  <c r="H270" i="65"/>
  <c r="H277" i="65"/>
  <c r="H284" i="65"/>
  <c r="H290" i="65"/>
  <c r="H296" i="65"/>
  <c r="H302" i="65"/>
  <c r="H308" i="65"/>
  <c r="H314" i="65"/>
  <c r="H320" i="65"/>
  <c r="H326" i="65"/>
  <c r="H332" i="65"/>
  <c r="H338" i="65"/>
  <c r="H344" i="65"/>
  <c r="H350" i="65"/>
  <c r="H356" i="65"/>
  <c r="H362" i="65"/>
  <c r="H368" i="65"/>
  <c r="H374" i="65"/>
  <c r="H380" i="65"/>
  <c r="J105" i="65"/>
  <c r="J123" i="65"/>
  <c r="J129" i="65"/>
  <c r="J135" i="65"/>
  <c r="J141" i="65"/>
  <c r="J159" i="65"/>
  <c r="J165" i="65"/>
  <c r="J171" i="65"/>
  <c r="J177" i="65"/>
  <c r="J195" i="65"/>
  <c r="J201" i="65"/>
  <c r="J207" i="65"/>
  <c r="J213" i="65"/>
  <c r="J225" i="65"/>
  <c r="J231" i="65"/>
  <c r="J237" i="65"/>
  <c r="J243" i="65"/>
  <c r="J249" i="65"/>
  <c r="J267" i="65"/>
  <c r="J273" i="65"/>
  <c r="J279" i="65"/>
  <c r="J285" i="65"/>
  <c r="J303" i="65"/>
  <c r="J309" i="65"/>
  <c r="J315" i="65"/>
  <c r="J321" i="65"/>
  <c r="J339" i="65"/>
  <c r="J345" i="65"/>
  <c r="J351" i="65"/>
  <c r="J357" i="65"/>
  <c r="J375" i="65"/>
  <c r="K106" i="65"/>
  <c r="K112" i="65"/>
  <c r="K136" i="65"/>
  <c r="K142" i="65"/>
  <c r="K148" i="65"/>
  <c r="H250" i="65"/>
  <c r="H257" i="65"/>
  <c r="H264" i="65"/>
  <c r="H271" i="65"/>
  <c r="H278" i="65"/>
  <c r="H285" i="65"/>
  <c r="H291" i="65"/>
  <c r="H297" i="65"/>
  <c r="H303" i="65"/>
  <c r="H309" i="65"/>
  <c r="H315" i="65"/>
  <c r="H321" i="65"/>
  <c r="H327" i="65"/>
  <c r="H333" i="65"/>
  <c r="H339" i="65"/>
  <c r="H345" i="65"/>
  <c r="H351" i="65"/>
  <c r="H357" i="65"/>
  <c r="H363" i="65"/>
  <c r="H369" i="65"/>
  <c r="H375" i="65"/>
  <c r="J106" i="65"/>
  <c r="J112" i="65"/>
  <c r="J136" i="65"/>
  <c r="J142" i="65"/>
  <c r="J148" i="65"/>
  <c r="J172" i="65"/>
  <c r="J178" i="65"/>
  <c r="J184" i="65"/>
  <c r="J208" i="65"/>
  <c r="J214" i="65"/>
  <c r="J220" i="65"/>
  <c r="J244" i="65"/>
  <c r="J250" i="65"/>
  <c r="J256" i="65"/>
  <c r="J280" i="65"/>
  <c r="J286" i="65"/>
  <c r="J292" i="65"/>
  <c r="J316" i="65"/>
  <c r="J322" i="65"/>
  <c r="J328" i="65"/>
  <c r="J352" i="65"/>
  <c r="J358" i="65"/>
  <c r="J364" i="65"/>
  <c r="K89" i="65"/>
  <c r="K107" i="65"/>
  <c r="K119" i="65"/>
  <c r="K125" i="65"/>
  <c r="K143" i="65"/>
  <c r="K155" i="65"/>
  <c r="K161" i="65"/>
  <c r="H251" i="65"/>
  <c r="H258" i="65"/>
  <c r="H265" i="65"/>
  <c r="H272" i="65"/>
  <c r="H280" i="65"/>
  <c r="H286" i="65"/>
  <c r="H292" i="65"/>
  <c r="H298" i="65"/>
  <c r="H304" i="65"/>
  <c r="H310" i="65"/>
  <c r="H316" i="65"/>
  <c r="H322" i="65"/>
  <c r="H328" i="65"/>
  <c r="H334" i="65"/>
  <c r="H340" i="65"/>
  <c r="H346" i="65"/>
  <c r="H352" i="65"/>
  <c r="H358" i="65"/>
  <c r="H364" i="65"/>
  <c r="H370" i="65"/>
  <c r="H376" i="65"/>
  <c r="J107" i="65"/>
  <c r="J113" i="65"/>
  <c r="J119" i="65"/>
  <c r="J125" i="65"/>
  <c r="J143" i="65"/>
  <c r="J149" i="65"/>
  <c r="J155" i="65"/>
  <c r="J161" i="65"/>
  <c r="J179" i="65"/>
  <c r="J185" i="65"/>
  <c r="J191" i="65"/>
  <c r="J197" i="65"/>
  <c r="J215" i="65"/>
  <c r="J221" i="65"/>
  <c r="J227" i="65"/>
  <c r="J233" i="65"/>
  <c r="J245" i="65"/>
  <c r="J251" i="65"/>
  <c r="J263" i="65"/>
  <c r="J269" i="65"/>
  <c r="J287" i="65"/>
  <c r="J293" i="65"/>
  <c r="J299" i="65"/>
  <c r="J305" i="65"/>
  <c r="J323" i="65"/>
  <c r="J335" i="65"/>
  <c r="J341" i="65"/>
  <c r="J359" i="65"/>
  <c r="J371" i="65"/>
  <c r="J377" i="65"/>
  <c r="K132" i="65"/>
  <c r="K144" i="65"/>
  <c r="K162" i="65"/>
  <c r="H252" i="65"/>
  <c r="H259" i="65"/>
  <c r="H266" i="65"/>
  <c r="H274" i="65"/>
  <c r="H281" i="65"/>
  <c r="H287" i="65"/>
  <c r="H293" i="65"/>
  <c r="H299" i="65"/>
  <c r="H305" i="65"/>
  <c r="H311" i="65"/>
  <c r="H317" i="65"/>
  <c r="H323" i="65"/>
  <c r="H329" i="65"/>
  <c r="H335" i="65"/>
  <c r="H341" i="65"/>
  <c r="H347" i="65"/>
  <c r="H353" i="65"/>
  <c r="H359" i="65"/>
  <c r="H365" i="65"/>
  <c r="H371" i="65"/>
  <c r="H377" i="65"/>
  <c r="J114" i="65"/>
  <c r="J132" i="65"/>
  <c r="J144" i="65"/>
  <c r="J162" i="65"/>
  <c r="J216" i="65"/>
  <c r="J234" i="65"/>
  <c r="J240" i="65"/>
  <c r="J252" i="65"/>
  <c r="J264" i="65"/>
  <c r="J270" i="65"/>
  <c r="J288" i="65"/>
  <c r="J348" i="65"/>
  <c r="J354" i="65"/>
  <c r="J360" i="65"/>
  <c r="J378" i="65"/>
  <c r="K133" i="65"/>
  <c r="K163" i="65"/>
  <c r="H253" i="65"/>
  <c r="H260" i="65"/>
  <c r="H268" i="65"/>
  <c r="H275" i="65"/>
  <c r="H282" i="65"/>
  <c r="H288" i="65"/>
  <c r="H294" i="65"/>
  <c r="H300" i="65"/>
  <c r="H306" i="65"/>
  <c r="H312" i="65"/>
  <c r="H318" i="65"/>
  <c r="H324" i="65"/>
  <c r="H330" i="65"/>
  <c r="H336" i="65"/>
  <c r="H342" i="65"/>
  <c r="H348" i="65"/>
  <c r="H354" i="65"/>
  <c r="H360" i="65"/>
  <c r="H366" i="65"/>
  <c r="H372" i="65"/>
  <c r="H378" i="65"/>
  <c r="J121" i="65"/>
  <c r="J133" i="65"/>
  <c r="J145" i="65"/>
  <c r="J163" i="65"/>
  <c r="J181" i="65"/>
  <c r="J193" i="65"/>
  <c r="J259" i="65"/>
  <c r="J271" i="65"/>
  <c r="J301" i="65"/>
  <c r="J379" i="65"/>
  <c r="K98" i="65"/>
  <c r="K104" i="65"/>
  <c r="K110" i="65"/>
  <c r="K128" i="65"/>
  <c r="K134" i="65"/>
  <c r="K140" i="65"/>
  <c r="K146" i="65"/>
  <c r="K158" i="65"/>
  <c r="K164" i="65"/>
  <c r="K170" i="65"/>
  <c r="K176" i="65"/>
  <c r="K182" i="65"/>
  <c r="K172" i="65"/>
  <c r="K184" i="65"/>
  <c r="K190" i="65"/>
  <c r="K208" i="65"/>
  <c r="K214" i="65"/>
  <c r="K220" i="65"/>
  <c r="K226" i="65"/>
  <c r="K244" i="65"/>
  <c r="K250" i="65"/>
  <c r="K256" i="65"/>
  <c r="K262" i="65"/>
  <c r="K274" i="65"/>
  <c r="K280" i="65"/>
  <c r="K286" i="65"/>
  <c r="K292" i="65"/>
  <c r="K298" i="65"/>
  <c r="K316" i="65"/>
  <c r="K322" i="65"/>
  <c r="K328" i="65"/>
  <c r="K334" i="65"/>
  <c r="K352" i="65"/>
  <c r="K358" i="65"/>
  <c r="K364" i="65"/>
  <c r="K370" i="65"/>
  <c r="L89" i="65"/>
  <c r="L107" i="65"/>
  <c r="L113" i="65"/>
  <c r="L119" i="65"/>
  <c r="L125" i="65"/>
  <c r="L143" i="65"/>
  <c r="L149" i="65"/>
  <c r="L155" i="65"/>
  <c r="L161" i="65"/>
  <c r="L179" i="65"/>
  <c r="L185" i="65"/>
  <c r="L191" i="65"/>
  <c r="L197" i="65"/>
  <c r="L215" i="65"/>
  <c r="L221" i="65"/>
  <c r="L227" i="65"/>
  <c r="L233" i="65"/>
  <c r="L245" i="65"/>
  <c r="L251" i="65"/>
  <c r="L257" i="65"/>
  <c r="L263" i="65"/>
  <c r="L269" i="65"/>
  <c r="L287" i="65"/>
  <c r="L293" i="65"/>
  <c r="L299" i="65"/>
  <c r="L305" i="65"/>
  <c r="K185" i="65"/>
  <c r="K191" i="65"/>
  <c r="K197" i="65"/>
  <c r="K215" i="65"/>
  <c r="K221" i="65"/>
  <c r="K227" i="65"/>
  <c r="K233" i="65"/>
  <c r="K251" i="65"/>
  <c r="K257" i="65"/>
  <c r="K263" i="65"/>
  <c r="K269" i="65"/>
  <c r="K287" i="65"/>
  <c r="K293" i="65"/>
  <c r="K299" i="65"/>
  <c r="K305" i="65"/>
  <c r="K317" i="65"/>
  <c r="K323" i="65"/>
  <c r="K329" i="65"/>
  <c r="K335" i="65"/>
  <c r="K341" i="65"/>
  <c r="K359" i="65"/>
  <c r="K365" i="65"/>
  <c r="K371" i="65"/>
  <c r="K377" i="65"/>
  <c r="L126" i="65"/>
  <c r="L132" i="65"/>
  <c r="L138" i="65"/>
  <c r="L144" i="65"/>
  <c r="L162" i="65"/>
  <c r="L186" i="65"/>
  <c r="L204" i="65"/>
  <c r="L216" i="65"/>
  <c r="L222" i="65"/>
  <c r="L240" i="65"/>
  <c r="L252" i="65"/>
  <c r="L258" i="65"/>
  <c r="L264" i="65"/>
  <c r="L270" i="65"/>
  <c r="L282" i="65"/>
  <c r="L300" i="65"/>
  <c r="L318" i="65"/>
  <c r="L324" i="65"/>
  <c r="L348" i="65"/>
  <c r="L360" i="65"/>
  <c r="L378" i="65"/>
  <c r="K178" i="65"/>
  <c r="K204" i="65"/>
  <c r="K210" i="65"/>
  <c r="K216" i="65"/>
  <c r="K240" i="65"/>
  <c r="K246" i="65"/>
  <c r="K252" i="65"/>
  <c r="K258" i="65"/>
  <c r="K264" i="65"/>
  <c r="K270" i="65"/>
  <c r="K276" i="65"/>
  <c r="K282" i="65"/>
  <c r="K300" i="65"/>
  <c r="K318" i="65"/>
  <c r="K324" i="65"/>
  <c r="K336" i="65"/>
  <c r="K348" i="65"/>
  <c r="K360" i="65"/>
  <c r="K366" i="65"/>
  <c r="K378" i="65"/>
  <c r="L91" i="65"/>
  <c r="L127" i="65"/>
  <c r="L133" i="65"/>
  <c r="L145" i="65"/>
  <c r="L163" i="65"/>
  <c r="L181" i="65"/>
  <c r="L193" i="65"/>
  <c r="L211" i="65"/>
  <c r="L229" i="65"/>
  <c r="L235" i="65"/>
  <c r="L259" i="65"/>
  <c r="L271" i="65"/>
  <c r="L277" i="65"/>
  <c r="L289" i="65"/>
  <c r="L295" i="65"/>
  <c r="L301" i="65"/>
  <c r="L319" i="65"/>
  <c r="L373" i="65"/>
  <c r="L379" i="65"/>
  <c r="K179" i="65"/>
  <c r="K193" i="65"/>
  <c r="K223" i="65"/>
  <c r="K235" i="65"/>
  <c r="K259" i="65"/>
  <c r="K265" i="65"/>
  <c r="K271" i="65"/>
  <c r="K277" i="65"/>
  <c r="K289" i="65"/>
  <c r="K295" i="65"/>
  <c r="K301" i="65"/>
  <c r="K319" i="65"/>
  <c r="K337" i="65"/>
  <c r="K343" i="65"/>
  <c r="K379" i="65"/>
  <c r="L98" i="65"/>
  <c r="L104" i="65"/>
  <c r="L110" i="65"/>
  <c r="L128" i="65"/>
  <c r="L134" i="65"/>
  <c r="L140" i="65"/>
  <c r="L146" i="65"/>
  <c r="L164" i="65"/>
  <c r="L170" i="65"/>
  <c r="L176" i="65"/>
  <c r="L182" i="65"/>
  <c r="L194" i="65"/>
  <c r="L200" i="65"/>
  <c r="L206" i="65"/>
  <c r="L212" i="65"/>
  <c r="L218" i="65"/>
  <c r="L236" i="65"/>
  <c r="L242" i="65"/>
  <c r="L248" i="65"/>
  <c r="L254" i="65"/>
  <c r="L272" i="65"/>
  <c r="L278" i="65"/>
  <c r="L284" i="65"/>
  <c r="L290" i="65"/>
  <c r="L308" i="65"/>
  <c r="L314" i="65"/>
  <c r="L320" i="65"/>
  <c r="L326" i="65"/>
  <c r="L344" i="65"/>
  <c r="L350" i="65"/>
  <c r="L356" i="65"/>
  <c r="L362" i="65"/>
  <c r="L380" i="65"/>
  <c r="M116" i="65"/>
  <c r="K200" i="65"/>
  <c r="K206" i="65"/>
  <c r="K212" i="65"/>
  <c r="K218" i="65"/>
  <c r="K236" i="65"/>
  <c r="K242" i="65"/>
  <c r="K248" i="65"/>
  <c r="K254" i="65"/>
  <c r="K272" i="65"/>
  <c r="K278" i="65"/>
  <c r="K284" i="65"/>
  <c r="K290" i="65"/>
  <c r="K308" i="65"/>
  <c r="K314" i="65"/>
  <c r="K320" i="65"/>
  <c r="K326" i="65"/>
  <c r="K344" i="65"/>
  <c r="K350" i="65"/>
  <c r="K356" i="65"/>
  <c r="K362" i="65"/>
  <c r="K374" i="65"/>
  <c r="K380" i="65"/>
  <c r="L93" i="65"/>
  <c r="L99" i="65"/>
  <c r="L105" i="65"/>
  <c r="L123" i="65"/>
  <c r="L129" i="65"/>
  <c r="L135" i="65"/>
  <c r="L141" i="65"/>
  <c r="L159" i="65"/>
  <c r="L165" i="65"/>
  <c r="L171" i="65"/>
  <c r="L177" i="65"/>
  <c r="L195" i="65"/>
  <c r="L201" i="65"/>
  <c r="L207" i="65"/>
  <c r="L213" i="65"/>
  <c r="L231" i="65"/>
  <c r="L237" i="65"/>
  <c r="L243" i="65"/>
  <c r="L249" i="65"/>
  <c r="L267" i="65"/>
  <c r="L273" i="65"/>
  <c r="L279" i="65"/>
  <c r="L285" i="65"/>
  <c r="L297" i="65"/>
  <c r="L303" i="65"/>
  <c r="L309" i="65"/>
  <c r="L315" i="65"/>
  <c r="L321" i="65"/>
  <c r="L339" i="65"/>
  <c r="L345" i="65"/>
  <c r="L351" i="65"/>
  <c r="L357" i="65"/>
  <c r="L375" i="65"/>
  <c r="M105" i="65"/>
  <c r="M111" i="65"/>
  <c r="K181" i="65"/>
  <c r="K195" i="65"/>
  <c r="K201" i="65"/>
  <c r="K207" i="65"/>
  <c r="K213" i="65"/>
  <c r="K231" i="65"/>
  <c r="K237" i="65"/>
  <c r="K243" i="65"/>
  <c r="K249" i="65"/>
  <c r="K267" i="65"/>
  <c r="K273" i="65"/>
  <c r="K279" i="65"/>
  <c r="K285" i="65"/>
  <c r="K297" i="65"/>
  <c r="K303" i="65"/>
  <c r="K309" i="65"/>
  <c r="K315" i="65"/>
  <c r="K321" i="65"/>
  <c r="K339" i="65"/>
  <c r="K345" i="65"/>
  <c r="K351" i="65"/>
  <c r="K357" i="65"/>
  <c r="K375" i="65"/>
  <c r="L94" i="65"/>
  <c r="L106" i="65"/>
  <c r="L112" i="65"/>
  <c r="L118" i="65"/>
  <c r="L136" i="65"/>
  <c r="L142" i="65"/>
  <c r="L148" i="65"/>
  <c r="L154" i="65"/>
  <c r="L172" i="65"/>
  <c r="L178" i="65"/>
  <c r="L184" i="65"/>
  <c r="L190" i="65"/>
  <c r="L208" i="65"/>
  <c r="L214" i="65"/>
  <c r="L220" i="65"/>
  <c r="L226" i="65"/>
  <c r="L244" i="65"/>
  <c r="L250" i="65"/>
  <c r="L256" i="65"/>
  <c r="L262" i="65"/>
  <c r="L274" i="65"/>
  <c r="L280" i="65"/>
  <c r="L286" i="65"/>
  <c r="L292" i="65"/>
  <c r="L298" i="65"/>
  <c r="L316" i="65"/>
  <c r="L322" i="65"/>
  <c r="L328" i="65"/>
  <c r="L334" i="65"/>
  <c r="L352" i="65"/>
  <c r="L358" i="65"/>
  <c r="L364" i="65"/>
  <c r="L370" i="65"/>
  <c r="M106" i="65"/>
  <c r="M112" i="65"/>
  <c r="M118" i="65"/>
  <c r="M124" i="65"/>
  <c r="L323" i="65"/>
  <c r="L359" i="65"/>
  <c r="M109" i="65"/>
  <c r="M120" i="65"/>
  <c r="M127" i="65"/>
  <c r="M133" i="65"/>
  <c r="M139" i="65"/>
  <c r="M145" i="65"/>
  <c r="M151" i="65"/>
  <c r="M157" i="65"/>
  <c r="M163" i="65"/>
  <c r="M169" i="65"/>
  <c r="M175" i="65"/>
  <c r="M181" i="65"/>
  <c r="M187" i="65"/>
  <c r="M193" i="65"/>
  <c r="M199" i="65"/>
  <c r="M205" i="65"/>
  <c r="M211" i="65"/>
  <c r="M217" i="65"/>
  <c r="M223" i="65"/>
  <c r="M229" i="65"/>
  <c r="M235" i="65"/>
  <c r="M241" i="65"/>
  <c r="M247" i="65"/>
  <c r="M253" i="65"/>
  <c r="M259" i="65"/>
  <c r="M265" i="65"/>
  <c r="M271" i="65"/>
  <c r="M277" i="65"/>
  <c r="M283" i="65"/>
  <c r="M289" i="65"/>
  <c r="M295" i="65"/>
  <c r="M301" i="65"/>
  <c r="M307" i="65"/>
  <c r="M313" i="65"/>
  <c r="M319" i="65"/>
  <c r="M325" i="65"/>
  <c r="M331" i="65"/>
  <c r="M337" i="65"/>
  <c r="M343" i="65"/>
  <c r="M349" i="65"/>
  <c r="M355" i="65"/>
  <c r="M361" i="65"/>
  <c r="M367" i="65"/>
  <c r="M373" i="65"/>
  <c r="M379" i="65"/>
  <c r="N109" i="65"/>
  <c r="N115" i="65"/>
  <c r="N121" i="65"/>
  <c r="N127" i="65"/>
  <c r="N133" i="65"/>
  <c r="N139" i="65"/>
  <c r="N145" i="65"/>
  <c r="N151" i="65"/>
  <c r="N157" i="65"/>
  <c r="N163" i="65"/>
  <c r="N169" i="65"/>
  <c r="N175" i="65"/>
  <c r="N181" i="65"/>
  <c r="N187" i="65"/>
  <c r="N193" i="65"/>
  <c r="N199" i="65"/>
  <c r="N205" i="65"/>
  <c r="N211" i="65"/>
  <c r="N217" i="65"/>
  <c r="N223" i="65"/>
  <c r="N229" i="65"/>
  <c r="N235" i="65"/>
  <c r="N241" i="65"/>
  <c r="N247" i="65"/>
  <c r="N253" i="65"/>
  <c r="N259" i="65"/>
  <c r="N265" i="65"/>
  <c r="N271" i="65"/>
  <c r="N277" i="65"/>
  <c r="N283" i="65"/>
  <c r="N289" i="65"/>
  <c r="N295" i="65"/>
  <c r="N301" i="65"/>
  <c r="N307" i="65"/>
  <c r="N313" i="65"/>
  <c r="N319" i="65"/>
  <c r="N325" i="65"/>
  <c r="N331" i="65"/>
  <c r="N337" i="65"/>
  <c r="N343" i="65"/>
  <c r="L329" i="65"/>
  <c r="L365" i="65"/>
  <c r="M113" i="65"/>
  <c r="M121" i="65"/>
  <c r="M128" i="65"/>
  <c r="M134" i="65"/>
  <c r="M140" i="65"/>
  <c r="M146" i="65"/>
  <c r="M152" i="65"/>
  <c r="M158" i="65"/>
  <c r="M164" i="65"/>
  <c r="M170" i="65"/>
  <c r="M176" i="65"/>
  <c r="M182" i="65"/>
  <c r="M188" i="65"/>
  <c r="M194" i="65"/>
  <c r="M200" i="65"/>
  <c r="M206" i="65"/>
  <c r="M212" i="65"/>
  <c r="M218" i="65"/>
  <c r="M224" i="65"/>
  <c r="M230" i="65"/>
  <c r="M236" i="65"/>
  <c r="M242" i="65"/>
  <c r="M248" i="65"/>
  <c r="M254" i="65"/>
  <c r="M260" i="65"/>
  <c r="M266" i="65"/>
  <c r="M272" i="65"/>
  <c r="M278" i="65"/>
  <c r="M284" i="65"/>
  <c r="M290" i="65"/>
  <c r="M296" i="65"/>
  <c r="M302" i="65"/>
  <c r="M308" i="65"/>
  <c r="M314" i="65"/>
  <c r="M320" i="65"/>
  <c r="M326" i="65"/>
  <c r="M332" i="65"/>
  <c r="M338" i="65"/>
  <c r="M344" i="65"/>
  <c r="M350" i="65"/>
  <c r="M356" i="65"/>
  <c r="M362" i="65"/>
  <c r="M368" i="65"/>
  <c r="M374" i="65"/>
  <c r="M380" i="65"/>
  <c r="N116" i="65"/>
  <c r="N122" i="65"/>
  <c r="N128" i="65"/>
  <c r="N134" i="65"/>
  <c r="N140" i="65"/>
  <c r="N146" i="65"/>
  <c r="N152" i="65"/>
  <c r="N158" i="65"/>
  <c r="N164" i="65"/>
  <c r="N170" i="65"/>
  <c r="N176" i="65"/>
  <c r="N182" i="65"/>
  <c r="N188" i="65"/>
  <c r="N194" i="65"/>
  <c r="N200" i="65"/>
  <c r="N206" i="65"/>
  <c r="N212" i="65"/>
  <c r="N218" i="65"/>
  <c r="N224" i="65"/>
  <c r="N230" i="65"/>
  <c r="N236" i="65"/>
  <c r="N242" i="65"/>
  <c r="N248" i="65"/>
  <c r="N254" i="65"/>
  <c r="N260" i="65"/>
  <c r="N266" i="65"/>
  <c r="N272" i="65"/>
  <c r="N278" i="65"/>
  <c r="N284" i="65"/>
  <c r="N290" i="65"/>
  <c r="N296" i="65"/>
  <c r="N302" i="65"/>
  <c r="N308" i="65"/>
  <c r="N314" i="65"/>
  <c r="N320" i="65"/>
  <c r="N326" i="65"/>
  <c r="N332" i="65"/>
  <c r="N338" i="65"/>
  <c r="L335" i="65"/>
  <c r="L371" i="65"/>
  <c r="M114" i="65"/>
  <c r="M122" i="65"/>
  <c r="M129" i="65"/>
  <c r="M135" i="65"/>
  <c r="M141" i="65"/>
  <c r="M147" i="65"/>
  <c r="M153" i="65"/>
  <c r="M159" i="65"/>
  <c r="M165" i="65"/>
  <c r="M171" i="65"/>
  <c r="M177" i="65"/>
  <c r="M183" i="65"/>
  <c r="M189" i="65"/>
  <c r="M195" i="65"/>
  <c r="M201" i="65"/>
  <c r="M207" i="65"/>
  <c r="M213" i="65"/>
  <c r="M219" i="65"/>
  <c r="M225" i="65"/>
  <c r="M231" i="65"/>
  <c r="M237" i="65"/>
  <c r="M243" i="65"/>
  <c r="M249" i="65"/>
  <c r="M255" i="65"/>
  <c r="M261" i="65"/>
  <c r="M267" i="65"/>
  <c r="M273" i="65"/>
  <c r="M279" i="65"/>
  <c r="M285" i="65"/>
  <c r="M291" i="65"/>
  <c r="M297" i="65"/>
  <c r="M303" i="65"/>
  <c r="M309" i="65"/>
  <c r="M315" i="65"/>
  <c r="M321" i="65"/>
  <c r="M327" i="65"/>
  <c r="M333" i="65"/>
  <c r="M339" i="65"/>
  <c r="M345" i="65"/>
  <c r="M351" i="65"/>
  <c r="M357" i="65"/>
  <c r="M363" i="65"/>
  <c r="M369" i="65"/>
  <c r="M375" i="65"/>
  <c r="N105" i="65"/>
  <c r="N111" i="65"/>
  <c r="N117" i="65"/>
  <c r="N123" i="65"/>
  <c r="N129" i="65"/>
  <c r="N135" i="65"/>
  <c r="N141" i="65"/>
  <c r="N147" i="65"/>
  <c r="N153" i="65"/>
  <c r="N159" i="65"/>
  <c r="N165" i="65"/>
  <c r="N171" i="65"/>
  <c r="N177" i="65"/>
  <c r="N183" i="65"/>
  <c r="N189" i="65"/>
  <c r="N195" i="65"/>
  <c r="N201" i="65"/>
  <c r="N207" i="65"/>
  <c r="N213" i="65"/>
  <c r="N219" i="65"/>
  <c r="N225" i="65"/>
  <c r="N231" i="65"/>
  <c r="N237" i="65"/>
  <c r="N243" i="65"/>
  <c r="N249" i="65"/>
  <c r="N255" i="65"/>
  <c r="N261" i="65"/>
  <c r="N267" i="65"/>
  <c r="N273" i="65"/>
  <c r="N279" i="65"/>
  <c r="N285" i="65"/>
  <c r="N291" i="65"/>
  <c r="N297" i="65"/>
  <c r="N303" i="65"/>
  <c r="N309" i="65"/>
  <c r="L341" i="65"/>
  <c r="L377" i="65"/>
  <c r="M115" i="65"/>
  <c r="M123" i="65"/>
  <c r="M130" i="65"/>
  <c r="M136" i="65"/>
  <c r="M142" i="65"/>
  <c r="M148" i="65"/>
  <c r="M154" i="65"/>
  <c r="M160" i="65"/>
  <c r="M166" i="65"/>
  <c r="M172" i="65"/>
  <c r="M178" i="65"/>
  <c r="M184" i="65"/>
  <c r="M190" i="65"/>
  <c r="M196" i="65"/>
  <c r="M202" i="65"/>
  <c r="M208" i="65"/>
  <c r="M214" i="65"/>
  <c r="M220" i="65"/>
  <c r="M226" i="65"/>
  <c r="M232" i="65"/>
  <c r="M238" i="65"/>
  <c r="M244" i="65"/>
  <c r="M250" i="65"/>
  <c r="M256" i="65"/>
  <c r="M262" i="65"/>
  <c r="M268" i="65"/>
  <c r="M274" i="65"/>
  <c r="M280" i="65"/>
  <c r="M286" i="65"/>
  <c r="M292" i="65"/>
  <c r="M298" i="65"/>
  <c r="M304" i="65"/>
  <c r="M310" i="65"/>
  <c r="M316" i="65"/>
  <c r="M322" i="65"/>
  <c r="M328" i="65"/>
  <c r="M334" i="65"/>
  <c r="M340" i="65"/>
  <c r="M346" i="65"/>
  <c r="M352" i="65"/>
  <c r="M358" i="65"/>
  <c r="M364" i="65"/>
  <c r="M370" i="65"/>
  <c r="M376" i="65"/>
  <c r="N106" i="65"/>
  <c r="N112" i="65"/>
  <c r="N118" i="65"/>
  <c r="N124" i="65"/>
  <c r="N130" i="65"/>
  <c r="N136" i="65"/>
  <c r="N142" i="65"/>
  <c r="N148" i="65"/>
  <c r="N154" i="65"/>
  <c r="N160" i="65"/>
  <c r="N166" i="65"/>
  <c r="N172" i="65"/>
  <c r="N178" i="65"/>
  <c r="N184" i="65"/>
  <c r="N190" i="65"/>
  <c r="N196" i="65"/>
  <c r="N202" i="65"/>
  <c r="N208" i="65"/>
  <c r="N214" i="65"/>
  <c r="N220" i="65"/>
  <c r="N226" i="65"/>
  <c r="N232" i="65"/>
  <c r="N238" i="65"/>
  <c r="N244" i="65"/>
  <c r="N250" i="65"/>
  <c r="N256" i="65"/>
  <c r="N262" i="65"/>
  <c r="N268" i="65"/>
  <c r="N274" i="65"/>
  <c r="N280" i="65"/>
  <c r="N286" i="65"/>
  <c r="N292" i="65"/>
  <c r="N298" i="65"/>
  <c r="N304" i="65"/>
  <c r="N310" i="65"/>
  <c r="N316" i="65"/>
  <c r="N322" i="65"/>
  <c r="N328" i="65"/>
  <c r="N334" i="65"/>
  <c r="N340" i="65"/>
  <c r="N346" i="65"/>
  <c r="N352" i="65"/>
  <c r="M107" i="65"/>
  <c r="M117" i="65"/>
  <c r="M125" i="65"/>
  <c r="M131" i="65"/>
  <c r="M137" i="65"/>
  <c r="M143" i="65"/>
  <c r="M149" i="65"/>
  <c r="M155" i="65"/>
  <c r="M161" i="65"/>
  <c r="M167" i="65"/>
  <c r="M173" i="65"/>
  <c r="M179" i="65"/>
  <c r="M185" i="65"/>
  <c r="M191" i="65"/>
  <c r="M197" i="65"/>
  <c r="M203" i="65"/>
  <c r="M209" i="65"/>
  <c r="M215" i="65"/>
  <c r="M221" i="65"/>
  <c r="M227" i="65"/>
  <c r="M233" i="65"/>
  <c r="M239" i="65"/>
  <c r="M245" i="65"/>
  <c r="M251" i="65"/>
  <c r="M257" i="65"/>
  <c r="M263" i="65"/>
  <c r="M269" i="65"/>
  <c r="M275" i="65"/>
  <c r="M281" i="65"/>
  <c r="M287" i="65"/>
  <c r="M293" i="65"/>
  <c r="M299" i="65"/>
  <c r="M305" i="65"/>
  <c r="M311" i="65"/>
  <c r="M317" i="65"/>
  <c r="M323" i="65"/>
  <c r="M329" i="65"/>
  <c r="M335" i="65"/>
  <c r="M341" i="65"/>
  <c r="M347" i="65"/>
  <c r="M353" i="65"/>
  <c r="M359" i="65"/>
  <c r="M365" i="65"/>
  <c r="M371" i="65"/>
  <c r="M377" i="65"/>
  <c r="N107" i="65"/>
  <c r="N113" i="65"/>
  <c r="N119" i="65"/>
  <c r="N125" i="65"/>
  <c r="N131" i="65"/>
  <c r="N137" i="65"/>
  <c r="N143" i="65"/>
  <c r="N149" i="65"/>
  <c r="N155" i="65"/>
  <c r="N161" i="65"/>
  <c r="N167" i="65"/>
  <c r="N173" i="65"/>
  <c r="N179" i="65"/>
  <c r="N185" i="65"/>
  <c r="N191" i="65"/>
  <c r="N197" i="65"/>
  <c r="N203" i="65"/>
  <c r="N209" i="65"/>
  <c r="N215" i="65"/>
  <c r="N221" i="65"/>
  <c r="N227" i="65"/>
  <c r="N233" i="65"/>
  <c r="N239" i="65"/>
  <c r="N245" i="65"/>
  <c r="N251" i="65"/>
  <c r="N257" i="65"/>
  <c r="N263" i="65"/>
  <c r="N269" i="65"/>
  <c r="N275" i="65"/>
  <c r="N281" i="65"/>
  <c r="N287" i="65"/>
  <c r="N293" i="65"/>
  <c r="N299" i="65"/>
  <c r="N305" i="65"/>
  <c r="N311" i="65"/>
  <c r="N317" i="65"/>
  <c r="N323" i="65"/>
  <c r="N329" i="65"/>
  <c r="N335" i="65"/>
  <c r="N341" i="65"/>
  <c r="N347" i="65"/>
  <c r="N353" i="65"/>
  <c r="N359" i="65"/>
  <c r="N365" i="65"/>
  <c r="M108" i="65"/>
  <c r="M119" i="65"/>
  <c r="M126" i="65"/>
  <c r="M132" i="65"/>
  <c r="M138" i="65"/>
  <c r="M144" i="65"/>
  <c r="M150" i="65"/>
  <c r="M156" i="65"/>
  <c r="M162" i="65"/>
  <c r="M168" i="65"/>
  <c r="M174" i="65"/>
  <c r="M180" i="65"/>
  <c r="M186" i="65"/>
  <c r="M192" i="65"/>
  <c r="M198" i="65"/>
  <c r="M204" i="65"/>
  <c r="M210" i="65"/>
  <c r="M216" i="65"/>
  <c r="M222" i="65"/>
  <c r="M228" i="65"/>
  <c r="M234" i="65"/>
  <c r="M240" i="65"/>
  <c r="M246" i="65"/>
  <c r="M252" i="65"/>
  <c r="M258" i="65"/>
  <c r="M264" i="65"/>
  <c r="M270" i="65"/>
  <c r="M276" i="65"/>
  <c r="M282" i="65"/>
  <c r="M288" i="65"/>
  <c r="M294" i="65"/>
  <c r="M300" i="65"/>
  <c r="M306" i="65"/>
  <c r="M312" i="65"/>
  <c r="M318" i="65"/>
  <c r="M324" i="65"/>
  <c r="M330" i="65"/>
  <c r="M336" i="65"/>
  <c r="M342" i="65"/>
  <c r="M348" i="65"/>
  <c r="M354" i="65"/>
  <c r="M360" i="65"/>
  <c r="M366" i="65"/>
  <c r="M372" i="65"/>
  <c r="M378" i="65"/>
  <c r="N108" i="65"/>
  <c r="N114" i="65"/>
  <c r="N120" i="65"/>
  <c r="N126" i="65"/>
  <c r="N132" i="65"/>
  <c r="N138" i="65"/>
  <c r="N144" i="65"/>
  <c r="N150" i="65"/>
  <c r="N156" i="65"/>
  <c r="N162" i="65"/>
  <c r="N168" i="65"/>
  <c r="N174" i="65"/>
  <c r="N180" i="65"/>
  <c r="N186" i="65"/>
  <c r="N192" i="65"/>
  <c r="N198" i="65"/>
  <c r="N204" i="65"/>
  <c r="N210" i="65"/>
  <c r="N216" i="65"/>
  <c r="N222" i="65"/>
  <c r="N228" i="65"/>
  <c r="N234" i="65"/>
  <c r="N240" i="65"/>
  <c r="N246" i="65"/>
  <c r="N252" i="65"/>
  <c r="N258" i="65"/>
  <c r="N264" i="65"/>
  <c r="N270" i="65"/>
  <c r="N276" i="65"/>
  <c r="N282" i="65"/>
  <c r="N288" i="65"/>
  <c r="N294" i="65"/>
  <c r="N300" i="65"/>
  <c r="N306" i="65"/>
  <c r="N312" i="65"/>
  <c r="N318" i="65"/>
  <c r="N324" i="65"/>
  <c r="N330" i="65"/>
  <c r="N321" i="65"/>
  <c r="N344" i="65"/>
  <c r="N354" i="65"/>
  <c r="N361" i="65"/>
  <c r="N368" i="65"/>
  <c r="N374" i="65"/>
  <c r="N380" i="65"/>
  <c r="N327" i="65"/>
  <c r="N345" i="65"/>
  <c r="N355" i="65"/>
  <c r="N362" i="65"/>
  <c r="N369" i="65"/>
  <c r="N375" i="65"/>
  <c r="N351" i="65"/>
  <c r="N333" i="65"/>
  <c r="N348" i="65"/>
  <c r="N356" i="65"/>
  <c r="N363" i="65"/>
  <c r="N370" i="65"/>
  <c r="N376" i="65"/>
  <c r="N360" i="65"/>
  <c r="N336" i="65"/>
  <c r="N349" i="65"/>
  <c r="N357" i="65"/>
  <c r="N364" i="65"/>
  <c r="N371" i="65"/>
  <c r="N377" i="65"/>
  <c r="N342" i="65"/>
  <c r="N373" i="65"/>
  <c r="N339" i="65"/>
  <c r="N350" i="65"/>
  <c r="N358" i="65"/>
  <c r="N366" i="65"/>
  <c r="N372" i="65"/>
  <c r="N378" i="65"/>
  <c r="N315" i="65"/>
  <c r="N367" i="65"/>
  <c r="N379" i="65"/>
  <c r="C93" i="64"/>
  <c r="C91" i="64"/>
  <c r="C90" i="64"/>
  <c r="C89" i="64"/>
  <c r="F88" i="64"/>
  <c r="C88" i="64"/>
  <c r="C92" i="64"/>
  <c r="L88" i="64"/>
  <c r="D88" i="64"/>
  <c r="K88" i="64"/>
  <c r="C87" i="64"/>
  <c r="E335" i="58"/>
  <c r="D340" i="58"/>
  <c r="D334" i="58"/>
  <c r="D328" i="58"/>
  <c r="D322" i="58"/>
  <c r="D316" i="58"/>
  <c r="D310" i="58"/>
  <c r="D304" i="58"/>
  <c r="D298" i="58"/>
  <c r="D292" i="58"/>
  <c r="E339" i="58"/>
  <c r="D338" i="58"/>
  <c r="D332" i="58"/>
  <c r="E326" i="58"/>
  <c r="D320" i="58"/>
  <c r="D314" i="58"/>
  <c r="D308" i="58"/>
  <c r="D302" i="58"/>
  <c r="D296" i="58"/>
  <c r="D337" i="58"/>
  <c r="D331" i="58"/>
  <c r="D325" i="58"/>
  <c r="D313" i="58"/>
  <c r="D301" i="58"/>
  <c r="D295" i="58"/>
  <c r="E342" i="58"/>
  <c r="E324" i="58"/>
  <c r="E318" i="58"/>
  <c r="E306" i="58"/>
  <c r="E300" i="58"/>
  <c r="D286" i="58"/>
  <c r="D280" i="58"/>
  <c r="D274" i="58"/>
  <c r="D268" i="58"/>
  <c r="D290" i="58"/>
  <c r="D284" i="58"/>
  <c r="E278" i="58"/>
  <c r="D266" i="58"/>
  <c r="D289" i="58"/>
  <c r="D277" i="58"/>
  <c r="E288" i="58"/>
  <c r="E282" i="58"/>
  <c r="E270" i="58"/>
  <c r="D260" i="58"/>
  <c r="D254" i="58"/>
  <c r="D265" i="58"/>
  <c r="D253" i="58"/>
  <c r="E264" i="58"/>
  <c r="E252" i="58"/>
  <c r="D262" i="58"/>
  <c r="E262" i="58"/>
  <c r="E295" i="58"/>
  <c r="D256" i="58"/>
  <c r="E256" i="58"/>
  <c r="D326" i="58"/>
  <c r="E272" i="58"/>
  <c r="D272" i="58"/>
  <c r="D343" i="58"/>
  <c r="E343" i="58"/>
  <c r="D319" i="58"/>
  <c r="E319" i="58"/>
  <c r="D307" i="58"/>
  <c r="E307" i="58"/>
  <c r="D283" i="58"/>
  <c r="E283" i="58"/>
  <c r="D271" i="58"/>
  <c r="E271" i="58"/>
  <c r="D259" i="58"/>
  <c r="E259" i="58"/>
  <c r="E331" i="58"/>
  <c r="E332" i="58"/>
  <c r="E320" i="58"/>
  <c r="E308" i="58"/>
  <c r="E296" i="58"/>
  <c r="E284" i="58"/>
  <c r="E260" i="58"/>
  <c r="D306" i="58"/>
  <c r="D278" i="58"/>
  <c r="D252" i="58"/>
  <c r="E336" i="58"/>
  <c r="D336" i="58"/>
  <c r="D330" i="58"/>
  <c r="E330" i="58"/>
  <c r="D312" i="58"/>
  <c r="E312" i="58"/>
  <c r="D294" i="58"/>
  <c r="E294" i="58"/>
  <c r="D276" i="58"/>
  <c r="E276" i="58"/>
  <c r="D258" i="58"/>
  <c r="E258" i="58"/>
  <c r="D300" i="58"/>
  <c r="D341" i="58"/>
  <c r="E341" i="58"/>
  <c r="D329" i="58"/>
  <c r="E329" i="58"/>
  <c r="D323" i="58"/>
  <c r="E323" i="58"/>
  <c r="D317" i="58"/>
  <c r="E317" i="58"/>
  <c r="D311" i="58"/>
  <c r="E311" i="58"/>
  <c r="D305" i="58"/>
  <c r="E305" i="58"/>
  <c r="D299" i="58"/>
  <c r="E299" i="58"/>
  <c r="D293" i="58"/>
  <c r="E293" i="58"/>
  <c r="D287" i="58"/>
  <c r="E287" i="58"/>
  <c r="D281" i="58"/>
  <c r="E281" i="58"/>
  <c r="D275" i="58"/>
  <c r="E275" i="58"/>
  <c r="D269" i="58"/>
  <c r="E269" i="58"/>
  <c r="D263" i="58"/>
  <c r="E263" i="58"/>
  <c r="D257" i="58"/>
  <c r="E257" i="58"/>
  <c r="E340" i="58"/>
  <c r="E328" i="58"/>
  <c r="E316" i="58"/>
  <c r="E304" i="58"/>
  <c r="E292" i="58"/>
  <c r="E280" i="58"/>
  <c r="E268" i="58"/>
  <c r="D324" i="58"/>
  <c r="D270" i="58"/>
  <c r="E338" i="58"/>
  <c r="E314" i="58"/>
  <c r="E302" i="58"/>
  <c r="E290" i="58"/>
  <c r="E266" i="58"/>
  <c r="E254" i="58"/>
  <c r="D342" i="58"/>
  <c r="D318" i="58"/>
  <c r="D264" i="58"/>
  <c r="D333" i="58"/>
  <c r="E333" i="58"/>
  <c r="E327" i="58"/>
  <c r="D327" i="58"/>
  <c r="D321" i="58"/>
  <c r="E321" i="58"/>
  <c r="D315" i="58"/>
  <c r="E315" i="58"/>
  <c r="E309" i="58"/>
  <c r="D309" i="58"/>
  <c r="D303" i="58"/>
  <c r="E303" i="58"/>
  <c r="D297" i="58"/>
  <c r="E297" i="58"/>
  <c r="E291" i="58"/>
  <c r="D291" i="58"/>
  <c r="D285" i="58"/>
  <c r="E285" i="58"/>
  <c r="D279" i="58"/>
  <c r="E279" i="58"/>
  <c r="E273" i="58"/>
  <c r="D273" i="58"/>
  <c r="D267" i="58"/>
  <c r="E267" i="58"/>
  <c r="D261" i="58"/>
  <c r="E261" i="58"/>
  <c r="E255" i="58"/>
  <c r="D255" i="58"/>
  <c r="E337" i="58"/>
  <c r="E325" i="58"/>
  <c r="E313" i="58"/>
  <c r="E301" i="58"/>
  <c r="E289" i="58"/>
  <c r="E277" i="58"/>
  <c r="E265" i="58"/>
  <c r="E253" i="58"/>
  <c r="D339" i="58"/>
  <c r="D288" i="58"/>
  <c r="E334" i="58"/>
  <c r="E322" i="58"/>
  <c r="E310" i="58"/>
  <c r="E298" i="58"/>
  <c r="E286" i="58"/>
  <c r="E274" i="58"/>
  <c r="D335" i="58"/>
  <c r="D282" i="58"/>
  <c r="C217" i="58"/>
  <c r="C218" i="58"/>
  <c r="C219" i="58"/>
  <c r="C220" i="58"/>
  <c r="C221" i="58"/>
  <c r="C222" i="58"/>
  <c r="C223" i="58"/>
  <c r="C224" i="58"/>
  <c r="C225" i="58"/>
  <c r="C226" i="58"/>
  <c r="C227" i="58"/>
  <c r="C228" i="58"/>
  <c r="C229" i="58"/>
  <c r="C230" i="58"/>
  <c r="C231" i="58"/>
  <c r="C232" i="58"/>
  <c r="C233" i="58"/>
  <c r="C234" i="58"/>
  <c r="C235" i="58"/>
  <c r="C236" i="58"/>
  <c r="C237" i="58"/>
  <c r="C238" i="58"/>
  <c r="C239" i="58"/>
  <c r="C240" i="58"/>
  <c r="C241" i="58"/>
  <c r="C242" i="58"/>
  <c r="C243" i="58"/>
  <c r="C244" i="58"/>
  <c r="C245" i="58"/>
  <c r="C246" i="58"/>
  <c r="C247" i="58"/>
  <c r="C248" i="58"/>
  <c r="C249" i="58"/>
  <c r="C250" i="58"/>
  <c r="C251" i="58"/>
  <c r="F217" i="58"/>
  <c r="E217" i="58" s="1"/>
  <c r="F218" i="58"/>
  <c r="E218" i="58" s="1"/>
  <c r="F219" i="58"/>
  <c r="E219" i="58" s="1"/>
  <c r="F220" i="58"/>
  <c r="D220" i="58" s="1"/>
  <c r="F221" i="58"/>
  <c r="D221" i="58" s="1"/>
  <c r="F222" i="58"/>
  <c r="D222" i="58" s="1"/>
  <c r="F223" i="58"/>
  <c r="E223" i="58" s="1"/>
  <c r="F224" i="58"/>
  <c r="E224" i="58" s="1"/>
  <c r="F225" i="58"/>
  <c r="E225" i="58" s="1"/>
  <c r="F226" i="58"/>
  <c r="E226" i="58" s="1"/>
  <c r="F227" i="58"/>
  <c r="D227" i="58" s="1"/>
  <c r="F228" i="58"/>
  <c r="E228" i="58" s="1"/>
  <c r="F229" i="58"/>
  <c r="D229" i="58" s="1"/>
  <c r="F230" i="58"/>
  <c r="E230" i="58" s="1"/>
  <c r="F231" i="58"/>
  <c r="D231" i="58" s="1"/>
  <c r="F232" i="58"/>
  <c r="E232" i="58" s="1"/>
  <c r="F233" i="58"/>
  <c r="D233" i="58" s="1"/>
  <c r="F234" i="58"/>
  <c r="D234" i="58" s="1"/>
  <c r="F235" i="58"/>
  <c r="D235" i="58" s="1"/>
  <c r="F236" i="58"/>
  <c r="D236" i="58" s="1"/>
  <c r="F237" i="58"/>
  <c r="E237" i="58" s="1"/>
  <c r="F238" i="58"/>
  <c r="E238" i="58" s="1"/>
  <c r="F239" i="58"/>
  <c r="D239" i="58" s="1"/>
  <c r="F240" i="58"/>
  <c r="D240" i="58" s="1"/>
  <c r="F241" i="58"/>
  <c r="D241" i="58" s="1"/>
  <c r="F242" i="58"/>
  <c r="D242" i="58" s="1"/>
  <c r="F243" i="58"/>
  <c r="E243" i="58" s="1"/>
  <c r="F244" i="58"/>
  <c r="E244" i="58" s="1"/>
  <c r="F245" i="58"/>
  <c r="D245" i="58" s="1"/>
  <c r="F246" i="58"/>
  <c r="E246" i="58" s="1"/>
  <c r="F247" i="58"/>
  <c r="D247" i="58" s="1"/>
  <c r="F248" i="58"/>
  <c r="E248" i="58" s="1"/>
  <c r="F249" i="58"/>
  <c r="D249" i="58" s="1"/>
  <c r="F250" i="58"/>
  <c r="D250" i="58" s="1"/>
  <c r="F251" i="58"/>
  <c r="D251" i="58" s="1"/>
  <c r="G217" i="58"/>
  <c r="G218" i="58"/>
  <c r="G219" i="58"/>
  <c r="G220" i="58"/>
  <c r="G221" i="58"/>
  <c r="G222" i="58"/>
  <c r="G223" i="58"/>
  <c r="G224" i="58"/>
  <c r="G225" i="58"/>
  <c r="G226" i="58"/>
  <c r="G227" i="58"/>
  <c r="G228" i="58"/>
  <c r="G229" i="58"/>
  <c r="G230" i="58"/>
  <c r="G231" i="58"/>
  <c r="G232" i="58"/>
  <c r="G233" i="58"/>
  <c r="G234" i="58"/>
  <c r="G235" i="58"/>
  <c r="G236" i="58"/>
  <c r="G237" i="58"/>
  <c r="G238" i="58"/>
  <c r="G239" i="58"/>
  <c r="G240" i="58"/>
  <c r="G241" i="58"/>
  <c r="G242" i="58"/>
  <c r="G243" i="58"/>
  <c r="G244" i="58"/>
  <c r="G245" i="58"/>
  <c r="G246" i="58"/>
  <c r="G247" i="58"/>
  <c r="G248" i="58"/>
  <c r="G249" i="58"/>
  <c r="G250" i="58"/>
  <c r="G251" i="58"/>
  <c r="H217" i="58"/>
  <c r="H218" i="58"/>
  <c r="H219" i="58"/>
  <c r="H220" i="58"/>
  <c r="H221" i="58"/>
  <c r="H222" i="58"/>
  <c r="H223" i="58"/>
  <c r="H224" i="58"/>
  <c r="H225" i="58"/>
  <c r="H226" i="58"/>
  <c r="H227" i="58"/>
  <c r="H228" i="58"/>
  <c r="H229" i="58"/>
  <c r="H230" i="58"/>
  <c r="H231" i="58"/>
  <c r="H232" i="58"/>
  <c r="H233" i="58"/>
  <c r="H234" i="58"/>
  <c r="H235" i="58"/>
  <c r="H236" i="58"/>
  <c r="H237" i="58"/>
  <c r="H238" i="58"/>
  <c r="H239" i="58"/>
  <c r="H240" i="58"/>
  <c r="H241" i="58"/>
  <c r="H242" i="58"/>
  <c r="H243" i="58"/>
  <c r="H244" i="58"/>
  <c r="H245" i="58"/>
  <c r="H246" i="58"/>
  <c r="H247" i="58"/>
  <c r="H248" i="58"/>
  <c r="H249" i="58"/>
  <c r="H250" i="58"/>
  <c r="H251" i="58"/>
  <c r="V217" i="58"/>
  <c r="V218" i="58"/>
  <c r="V220" i="58"/>
  <c r="V221" i="58"/>
  <c r="V222" i="58"/>
  <c r="V223" i="58"/>
  <c r="V224" i="58"/>
  <c r="V226" i="58"/>
  <c r="V227" i="58"/>
  <c r="V228" i="58"/>
  <c r="V229" i="58"/>
  <c r="V230" i="58"/>
  <c r="V232" i="58"/>
  <c r="V233" i="58"/>
  <c r="V234" i="58"/>
  <c r="V235" i="58"/>
  <c r="V236" i="58"/>
  <c r="V238" i="58"/>
  <c r="V239" i="58"/>
  <c r="V240" i="58"/>
  <c r="V241" i="58"/>
  <c r="V242" i="58"/>
  <c r="V244" i="58"/>
  <c r="V245" i="58"/>
  <c r="V246" i="58"/>
  <c r="V247" i="58"/>
  <c r="V248" i="58"/>
  <c r="V250" i="58"/>
  <c r="V251" i="58"/>
  <c r="W217" i="58"/>
  <c r="W218" i="58"/>
  <c r="W219" i="58"/>
  <c r="W221" i="58"/>
  <c r="W222" i="58"/>
  <c r="W223" i="58"/>
  <c r="W224" i="58"/>
  <c r="W225" i="58"/>
  <c r="W227" i="58"/>
  <c r="W228" i="58"/>
  <c r="W229" i="58"/>
  <c r="W230" i="58"/>
  <c r="W231" i="58"/>
  <c r="W233" i="58"/>
  <c r="W234" i="58"/>
  <c r="W235" i="58"/>
  <c r="W236" i="58"/>
  <c r="W237" i="58"/>
  <c r="W239" i="58"/>
  <c r="W240" i="58"/>
  <c r="W241" i="58"/>
  <c r="W242" i="58"/>
  <c r="W243" i="58"/>
  <c r="W245" i="58"/>
  <c r="W246" i="58"/>
  <c r="W247" i="58"/>
  <c r="W248" i="58"/>
  <c r="W249" i="58"/>
  <c r="W251" i="58"/>
  <c r="X218" i="58"/>
  <c r="X219" i="58"/>
  <c r="X220" i="58"/>
  <c r="X222" i="58"/>
  <c r="X224" i="58"/>
  <c r="X225" i="58"/>
  <c r="X226" i="58"/>
  <c r="X228" i="58"/>
  <c r="X230" i="58"/>
  <c r="X231" i="58"/>
  <c r="X232" i="58"/>
  <c r="X234" i="58"/>
  <c r="X236" i="58"/>
  <c r="X237" i="58"/>
  <c r="X238" i="58"/>
  <c r="X240" i="58"/>
  <c r="X242" i="58"/>
  <c r="X243" i="58"/>
  <c r="X244" i="58"/>
  <c r="X246" i="58"/>
  <c r="X248" i="58"/>
  <c r="X249" i="58"/>
  <c r="X250" i="58"/>
  <c r="Z217" i="58"/>
  <c r="Z218" i="58"/>
  <c r="Z219" i="58"/>
  <c r="Z220" i="58"/>
  <c r="Z221" i="58"/>
  <c r="Z222" i="58"/>
  <c r="Z223" i="58"/>
  <c r="Z224" i="58"/>
  <c r="Z225" i="58"/>
  <c r="Z226" i="58"/>
  <c r="Z227" i="58"/>
  <c r="Z228" i="58"/>
  <c r="Z229" i="58"/>
  <c r="Z230" i="58"/>
  <c r="Z231" i="58"/>
  <c r="Z232" i="58"/>
  <c r="Z233" i="58"/>
  <c r="Z234" i="58"/>
  <c r="Z235" i="58"/>
  <c r="Z236" i="58"/>
  <c r="Z237" i="58"/>
  <c r="Z238" i="58"/>
  <c r="Z239" i="58"/>
  <c r="Z240" i="58"/>
  <c r="Z241" i="58"/>
  <c r="Z242" i="58"/>
  <c r="Z243" i="58"/>
  <c r="Z244" i="58"/>
  <c r="Z245" i="58"/>
  <c r="Z246" i="58"/>
  <c r="Z247" i="58"/>
  <c r="Z248" i="58"/>
  <c r="Z249" i="58"/>
  <c r="Z250" i="58"/>
  <c r="Z251" i="58"/>
  <c r="K120" i="65" l="1"/>
  <c r="L151" i="65"/>
  <c r="G144" i="65"/>
  <c r="G267" i="65"/>
  <c r="G231" i="65"/>
  <c r="G195" i="65"/>
  <c r="G163" i="65"/>
  <c r="G301" i="65"/>
  <c r="G287" i="65"/>
  <c r="G323" i="65"/>
  <c r="J120" i="65"/>
  <c r="J117" i="65"/>
  <c r="K349" i="65"/>
  <c r="L336" i="65"/>
  <c r="J349" i="65"/>
  <c r="G314" i="65"/>
  <c r="G365" i="65"/>
  <c r="J331" i="65"/>
  <c r="K354" i="65"/>
  <c r="J211" i="65"/>
  <c r="G350" i="65"/>
  <c r="G293" i="65"/>
  <c r="K331" i="65"/>
  <c r="L366" i="65"/>
  <c r="L150" i="65"/>
  <c r="J313" i="65"/>
  <c r="G221" i="65"/>
  <c r="K313" i="65"/>
  <c r="K150" i="65"/>
  <c r="L241" i="65"/>
  <c r="K175" i="65"/>
  <c r="K115" i="65"/>
  <c r="K180" i="65"/>
  <c r="K367" i="65"/>
  <c r="L367" i="65"/>
  <c r="L307" i="65"/>
  <c r="L276" i="65"/>
  <c r="J337" i="65"/>
  <c r="J180" i="65"/>
  <c r="K307" i="65"/>
  <c r="K199" i="65"/>
  <c r="L121" i="65"/>
  <c r="K288" i="65"/>
  <c r="J168" i="65"/>
  <c r="J229" i="65"/>
  <c r="L199" i="65"/>
  <c r="L168" i="65"/>
  <c r="L310" i="65"/>
  <c r="K333" i="65"/>
  <c r="L333" i="65"/>
  <c r="L117" i="65"/>
  <c r="K194" i="65"/>
  <c r="L230" i="65"/>
  <c r="L283" i="65"/>
  <c r="K330" i="65"/>
  <c r="L342" i="65"/>
  <c r="K353" i="65"/>
  <c r="K173" i="65"/>
  <c r="L281" i="65"/>
  <c r="K310" i="65"/>
  <c r="J283" i="65"/>
  <c r="J205" i="65"/>
  <c r="J228" i="65"/>
  <c r="J281" i="65"/>
  <c r="J346" i="65"/>
  <c r="J238" i="65"/>
  <c r="J130" i="65"/>
  <c r="K166" i="65"/>
  <c r="J261" i="65"/>
  <c r="K153" i="65"/>
  <c r="J338" i="65"/>
  <c r="J158" i="65"/>
  <c r="G310" i="65"/>
  <c r="L346" i="65"/>
  <c r="L130" i="65"/>
  <c r="K369" i="65"/>
  <c r="L369" i="65"/>
  <c r="L153" i="65"/>
  <c r="K230" i="65"/>
  <c r="L266" i="65"/>
  <c r="K253" i="65"/>
  <c r="K205" i="65"/>
  <c r="K234" i="65"/>
  <c r="L246" i="65"/>
  <c r="L210" i="65"/>
  <c r="L317" i="65"/>
  <c r="L101" i="65"/>
  <c r="J222" i="65"/>
  <c r="K126" i="65"/>
  <c r="J266" i="65"/>
  <c r="G353" i="65"/>
  <c r="G245" i="65"/>
  <c r="G274" i="65"/>
  <c r="L166" i="65"/>
  <c r="K189" i="65"/>
  <c r="L189" i="65"/>
  <c r="L302" i="65"/>
  <c r="K241" i="65"/>
  <c r="L361" i="65"/>
  <c r="L223" i="65"/>
  <c r="L175" i="65"/>
  <c r="K228" i="65"/>
  <c r="L330" i="65"/>
  <c r="K209" i="65"/>
  <c r="L137" i="65"/>
  <c r="J342" i="65"/>
  <c r="J353" i="65"/>
  <c r="J137" i="65"/>
  <c r="G114" i="65"/>
  <c r="G346" i="65"/>
  <c r="G333" i="65"/>
  <c r="L202" i="65"/>
  <c r="K225" i="65"/>
  <c r="K302" i="65"/>
  <c r="L338" i="65"/>
  <c r="L122" i="65"/>
  <c r="K361" i="65"/>
  <c r="L173" i="65"/>
  <c r="K202" i="65"/>
  <c r="J253" i="65"/>
  <c r="K114" i="65"/>
  <c r="J374" i="65"/>
  <c r="G338" i="65"/>
  <c r="G202" i="65"/>
  <c r="L238" i="65"/>
  <c r="K261" i="65"/>
  <c r="L209" i="65"/>
  <c r="K122" i="65"/>
  <c r="G369" i="65"/>
  <c r="J115" i="65"/>
  <c r="L169" i="65"/>
  <c r="L102" i="65"/>
  <c r="L343" i="65"/>
  <c r="L265" i="65"/>
  <c r="L312" i="65"/>
  <c r="J127" i="65"/>
  <c r="K157" i="65"/>
  <c r="K373" i="65"/>
  <c r="L157" i="65"/>
  <c r="K312" i="65"/>
  <c r="G340" i="65"/>
  <c r="K88" i="65"/>
  <c r="L96" i="65"/>
  <c r="K111" i="65"/>
  <c r="K156" i="65"/>
  <c r="J108" i="65"/>
  <c r="K108" i="65"/>
  <c r="J138" i="65"/>
  <c r="K151" i="65"/>
  <c r="G252" i="65"/>
  <c r="G164" i="65"/>
  <c r="G128" i="65"/>
  <c r="G108" i="65"/>
  <c r="L87" i="65"/>
  <c r="G285" i="65"/>
  <c r="G249" i="65"/>
  <c r="G213" i="65"/>
  <c r="G177" i="65"/>
  <c r="G141" i="65"/>
  <c r="G105" i="65"/>
  <c r="G184" i="65"/>
  <c r="G148" i="65"/>
  <c r="G112" i="65"/>
  <c r="G135" i="65"/>
  <c r="G166" i="65"/>
  <c r="G130" i="65"/>
  <c r="G302" i="65"/>
  <c r="G266" i="65"/>
  <c r="G230" i="65"/>
  <c r="G194" i="65"/>
  <c r="G158" i="65"/>
  <c r="G122" i="65"/>
  <c r="G216" i="65"/>
  <c r="G320" i="65"/>
  <c r="G284" i="65"/>
  <c r="G248" i="65"/>
  <c r="G212" i="65"/>
  <c r="G176" i="65"/>
  <c r="G140" i="65"/>
  <c r="G377" i="65"/>
  <c r="K192" i="65"/>
  <c r="J187" i="65"/>
  <c r="K187" i="65"/>
  <c r="L156" i="65"/>
  <c r="J169" i="65"/>
  <c r="L192" i="65"/>
  <c r="G324" i="65"/>
  <c r="J196" i="65"/>
  <c r="J363" i="65"/>
  <c r="J327" i="65"/>
  <c r="J291" i="65"/>
  <c r="J255" i="65"/>
  <c r="J219" i="65"/>
  <c r="J183" i="65"/>
  <c r="J147" i="65"/>
  <c r="J111" i="65"/>
  <c r="K363" i="65"/>
  <c r="K327" i="65"/>
  <c r="K291" i="65"/>
  <c r="K255" i="65"/>
  <c r="K219" i="65"/>
  <c r="L294" i="65"/>
  <c r="K109" i="65"/>
  <c r="L139" i="65"/>
  <c r="L372" i="65"/>
  <c r="L247" i="65"/>
  <c r="L355" i="65"/>
  <c r="K92" i="65"/>
  <c r="K100" i="65"/>
  <c r="L183" i="65"/>
  <c r="L147" i="65"/>
  <c r="L111" i="65"/>
  <c r="K368" i="65"/>
  <c r="K332" i="65"/>
  <c r="K296" i="65"/>
  <c r="K260" i="65"/>
  <c r="K224" i="65"/>
  <c r="K188" i="65"/>
  <c r="L368" i="65"/>
  <c r="L332" i="65"/>
  <c r="L296" i="65"/>
  <c r="L260" i="65"/>
  <c r="L224" i="65"/>
  <c r="L188" i="65"/>
  <c r="L152" i="65"/>
  <c r="L116" i="65"/>
  <c r="L325" i="65"/>
  <c r="L217" i="65"/>
  <c r="L109" i="65"/>
  <c r="K376" i="65"/>
  <c r="K340" i="65"/>
  <c r="K304" i="65"/>
  <c r="K268" i="65"/>
  <c r="K232" i="65"/>
  <c r="K196" i="65"/>
  <c r="J355" i="65"/>
  <c r="J217" i="65"/>
  <c r="J294" i="65"/>
  <c r="J376" i="65"/>
  <c r="J160" i="65"/>
  <c r="K160" i="65"/>
  <c r="G198" i="65"/>
  <c r="K325" i="65"/>
  <c r="K306" i="65"/>
  <c r="K198" i="65"/>
  <c r="K139" i="65"/>
  <c r="K97" i="65"/>
  <c r="J186" i="65"/>
  <c r="K90" i="65"/>
  <c r="J347" i="65"/>
  <c r="J311" i="65"/>
  <c r="J275" i="65"/>
  <c r="J239" i="65"/>
  <c r="J203" i="65"/>
  <c r="J167" i="65"/>
  <c r="J131" i="65"/>
  <c r="J232" i="65"/>
  <c r="J116" i="65"/>
  <c r="G268" i="65"/>
  <c r="K247" i="65"/>
  <c r="K372" i="65"/>
  <c r="K152" i="65"/>
  <c r="J268" i="65"/>
  <c r="G376" i="65"/>
  <c r="L340" i="65"/>
  <c r="L304" i="65"/>
  <c r="L124" i="65"/>
  <c r="L88" i="65"/>
  <c r="K347" i="65"/>
  <c r="K311" i="65"/>
  <c r="K275" i="65"/>
  <c r="K239" i="65"/>
  <c r="K203" i="65"/>
  <c r="L167" i="65"/>
  <c r="L131" i="65"/>
  <c r="L95" i="65"/>
  <c r="G247" i="65"/>
  <c r="L306" i="65"/>
  <c r="L198" i="65"/>
  <c r="J124" i="65"/>
  <c r="G186" i="65"/>
  <c r="O349" i="65"/>
  <c r="I349" i="65" s="1"/>
  <c r="O374" i="65"/>
  <c r="I374" i="65" s="1"/>
  <c r="G145" i="65"/>
  <c r="G380" i="65"/>
  <c r="G234" i="65"/>
  <c r="O315" i="65"/>
  <c r="I315" i="65" s="1"/>
  <c r="O370" i="65"/>
  <c r="I370" i="65" s="1"/>
  <c r="G332" i="65"/>
  <c r="G368" i="65"/>
  <c r="G311" i="65"/>
  <c r="G304" i="65"/>
  <c r="O367" i="65"/>
  <c r="I367" i="65" s="1"/>
  <c r="G275" i="65"/>
  <c r="G116" i="65"/>
  <c r="G239" i="65"/>
  <c r="G203" i="65"/>
  <c r="O355" i="65"/>
  <c r="I355" i="65" s="1"/>
  <c r="G168" i="65"/>
  <c r="G347" i="65"/>
  <c r="G288" i="65"/>
  <c r="G232" i="65"/>
  <c r="G378" i="65"/>
  <c r="O375" i="65"/>
  <c r="I375" i="65" s="1"/>
  <c r="O120" i="65"/>
  <c r="I120" i="65" s="1"/>
  <c r="O373" i="65"/>
  <c r="I373" i="65" s="1"/>
  <c r="O116" i="65"/>
  <c r="I116" i="65" s="1"/>
  <c r="G185" i="65"/>
  <c r="G149" i="65"/>
  <c r="G113" i="65"/>
  <c r="G205" i="65"/>
  <c r="G201" i="65"/>
  <c r="G165" i="65"/>
  <c r="G129" i="65"/>
  <c r="G237" i="65"/>
  <c r="G297" i="65"/>
  <c r="G261" i="65"/>
  <c r="G225" i="65"/>
  <c r="G189" i="65"/>
  <c r="G153" i="65"/>
  <c r="G117" i="65"/>
  <c r="G278" i="65"/>
  <c r="G242" i="65"/>
  <c r="G206" i="65"/>
  <c r="G170" i="65"/>
  <c r="G134" i="65"/>
  <c r="O308" i="65"/>
  <c r="I308" i="65" s="1"/>
  <c r="O272" i="65"/>
  <c r="I272" i="65" s="1"/>
  <c r="O236" i="65"/>
  <c r="I236" i="65" s="1"/>
  <c r="O200" i="65"/>
  <c r="I200" i="65" s="1"/>
  <c r="O164" i="65"/>
  <c r="I164" i="65" s="1"/>
  <c r="O128" i="65"/>
  <c r="I128" i="65" s="1"/>
  <c r="G296" i="65"/>
  <c r="G260" i="65"/>
  <c r="G224" i="65"/>
  <c r="G188" i="65"/>
  <c r="G152" i="65"/>
  <c r="O326" i="65"/>
  <c r="I326" i="65" s="1"/>
  <c r="O290" i="65"/>
  <c r="I290" i="65" s="1"/>
  <c r="O254" i="65"/>
  <c r="I254" i="65" s="1"/>
  <c r="O218" i="65"/>
  <c r="I218" i="65" s="1"/>
  <c r="O182" i="65"/>
  <c r="I182" i="65" s="1"/>
  <c r="O146" i="65"/>
  <c r="I146" i="65" s="1"/>
  <c r="G277" i="65"/>
  <c r="G276" i="65"/>
  <c r="O369" i="65"/>
  <c r="I369" i="65" s="1"/>
  <c r="O114" i="65"/>
  <c r="I114" i="65" s="1"/>
  <c r="O105" i="65"/>
  <c r="I105" i="65" s="1"/>
  <c r="O314" i="65"/>
  <c r="I314" i="65" s="1"/>
  <c r="O278" i="65"/>
  <c r="I278" i="65" s="1"/>
  <c r="O242" i="65"/>
  <c r="I242" i="65" s="1"/>
  <c r="O206" i="65"/>
  <c r="I206" i="65" s="1"/>
  <c r="O170" i="65"/>
  <c r="I170" i="65" s="1"/>
  <c r="O134" i="65"/>
  <c r="I134" i="65" s="1"/>
  <c r="O324" i="65"/>
  <c r="I324" i="65" s="1"/>
  <c r="O288" i="65"/>
  <c r="I288" i="65" s="1"/>
  <c r="O252" i="65"/>
  <c r="I252" i="65" s="1"/>
  <c r="O216" i="65"/>
  <c r="I216" i="65" s="1"/>
  <c r="O180" i="65"/>
  <c r="I180" i="65" s="1"/>
  <c r="O144" i="65"/>
  <c r="I144" i="65" s="1"/>
  <c r="O338" i="65"/>
  <c r="I338" i="65" s="1"/>
  <c r="O302" i="65"/>
  <c r="I302" i="65" s="1"/>
  <c r="O266" i="65"/>
  <c r="I266" i="65" s="1"/>
  <c r="O230" i="65"/>
  <c r="I230" i="65" s="1"/>
  <c r="O194" i="65"/>
  <c r="I194" i="65" s="1"/>
  <c r="O158" i="65"/>
  <c r="I158" i="65" s="1"/>
  <c r="G290" i="65"/>
  <c r="G254" i="65"/>
  <c r="G218" i="65"/>
  <c r="G182" i="65"/>
  <c r="G146" i="65"/>
  <c r="G167" i="65"/>
  <c r="G131" i="65"/>
  <c r="G196" i="65"/>
  <c r="G160" i="65"/>
  <c r="G124" i="65"/>
  <c r="G162" i="65"/>
  <c r="G180" i="65"/>
  <c r="O356" i="65"/>
  <c r="I356" i="65" s="1"/>
  <c r="O331" i="65"/>
  <c r="I331" i="65" s="1"/>
  <c r="O295" i="65"/>
  <c r="I295" i="65" s="1"/>
  <c r="O259" i="65"/>
  <c r="I259" i="65" s="1"/>
  <c r="O223" i="65"/>
  <c r="I223" i="65" s="1"/>
  <c r="O187" i="65"/>
  <c r="I187" i="65" s="1"/>
  <c r="O151" i="65"/>
  <c r="I151" i="65" s="1"/>
  <c r="G294" i="65"/>
  <c r="G178" i="65"/>
  <c r="G142" i="65"/>
  <c r="G106" i="65"/>
  <c r="G279" i="65"/>
  <c r="G243" i="65"/>
  <c r="G207" i="65"/>
  <c r="G171" i="65"/>
  <c r="G217" i="65"/>
  <c r="G179" i="65"/>
  <c r="G143" i="65"/>
  <c r="G107" i="65"/>
  <c r="O345" i="65"/>
  <c r="I345" i="65" s="1"/>
  <c r="O313" i="65"/>
  <c r="I313" i="65" s="1"/>
  <c r="O277" i="65"/>
  <c r="I277" i="65" s="1"/>
  <c r="O241" i="65"/>
  <c r="I241" i="65" s="1"/>
  <c r="O205" i="65"/>
  <c r="I205" i="65" s="1"/>
  <c r="O169" i="65"/>
  <c r="I169" i="65" s="1"/>
  <c r="O133" i="65"/>
  <c r="I133" i="65" s="1"/>
  <c r="O343" i="65"/>
  <c r="I343" i="65" s="1"/>
  <c r="O307" i="65"/>
  <c r="I307" i="65" s="1"/>
  <c r="O271" i="65"/>
  <c r="I271" i="65" s="1"/>
  <c r="O235" i="65"/>
  <c r="I235" i="65" s="1"/>
  <c r="O199" i="65"/>
  <c r="I199" i="65" s="1"/>
  <c r="O163" i="65"/>
  <c r="I163" i="65" s="1"/>
  <c r="O127" i="65"/>
  <c r="I127" i="65" s="1"/>
  <c r="O327" i="65"/>
  <c r="I327" i="65" s="1"/>
  <c r="O306" i="65"/>
  <c r="I306" i="65" s="1"/>
  <c r="O270" i="65"/>
  <c r="I270" i="65" s="1"/>
  <c r="O234" i="65"/>
  <c r="I234" i="65" s="1"/>
  <c r="O198" i="65"/>
  <c r="I198" i="65" s="1"/>
  <c r="O162" i="65"/>
  <c r="I162" i="65" s="1"/>
  <c r="O126" i="65"/>
  <c r="I126" i="65" s="1"/>
  <c r="G283" i="65"/>
  <c r="G222" i="65"/>
  <c r="O312" i="65"/>
  <c r="I312" i="65" s="1"/>
  <c r="O276" i="65"/>
  <c r="I276" i="65" s="1"/>
  <c r="O240" i="65"/>
  <c r="I240" i="65" s="1"/>
  <c r="O204" i="65"/>
  <c r="I204" i="65" s="1"/>
  <c r="O168" i="65"/>
  <c r="I168" i="65" s="1"/>
  <c r="O132" i="65"/>
  <c r="I132" i="65" s="1"/>
  <c r="O300" i="65"/>
  <c r="I300" i="65" s="1"/>
  <c r="O264" i="65"/>
  <c r="I264" i="65" s="1"/>
  <c r="O228" i="65"/>
  <c r="I228" i="65" s="1"/>
  <c r="O192" i="65"/>
  <c r="I192" i="65" s="1"/>
  <c r="O156" i="65"/>
  <c r="I156" i="65" s="1"/>
  <c r="G330" i="65"/>
  <c r="O319" i="65"/>
  <c r="I319" i="65" s="1"/>
  <c r="O283" i="65"/>
  <c r="I283" i="65" s="1"/>
  <c r="O247" i="65"/>
  <c r="I247" i="65" s="1"/>
  <c r="O211" i="65"/>
  <c r="I211" i="65" s="1"/>
  <c r="O175" i="65"/>
  <c r="I175" i="65" s="1"/>
  <c r="O139" i="65"/>
  <c r="I139" i="65" s="1"/>
  <c r="O347" i="65"/>
  <c r="I347" i="65" s="1"/>
  <c r="O311" i="65"/>
  <c r="I311" i="65" s="1"/>
  <c r="O275" i="65"/>
  <c r="I275" i="65" s="1"/>
  <c r="O239" i="65"/>
  <c r="I239" i="65" s="1"/>
  <c r="O203" i="65"/>
  <c r="I203" i="65" s="1"/>
  <c r="O167" i="65"/>
  <c r="I167" i="65" s="1"/>
  <c r="O131" i="65"/>
  <c r="I131" i="65" s="1"/>
  <c r="G235" i="65"/>
  <c r="G126" i="65"/>
  <c r="K103" i="65"/>
  <c r="L103" i="65"/>
  <c r="G173" i="65"/>
  <c r="G137" i="65"/>
  <c r="G289" i="65"/>
  <c r="G132" i="65"/>
  <c r="G281" i="65"/>
  <c r="O368" i="65"/>
  <c r="I368" i="65" s="1"/>
  <c r="G181" i="65"/>
  <c r="G172" i="65"/>
  <c r="G136" i="65"/>
  <c r="G273" i="65"/>
  <c r="G125" i="65"/>
  <c r="G161" i="65"/>
  <c r="O365" i="65"/>
  <c r="I365" i="65" s="1"/>
  <c r="O329" i="65"/>
  <c r="I329" i="65" s="1"/>
  <c r="O293" i="65"/>
  <c r="I293" i="65" s="1"/>
  <c r="O257" i="65"/>
  <c r="I257" i="65" s="1"/>
  <c r="O221" i="65"/>
  <c r="I221" i="65" s="1"/>
  <c r="O185" i="65"/>
  <c r="I185" i="65" s="1"/>
  <c r="O149" i="65"/>
  <c r="I149" i="65" s="1"/>
  <c r="G127" i="65"/>
  <c r="O335" i="65"/>
  <c r="I335" i="65" s="1"/>
  <c r="O299" i="65"/>
  <c r="I299" i="65" s="1"/>
  <c r="O263" i="65"/>
  <c r="I263" i="65" s="1"/>
  <c r="O227" i="65"/>
  <c r="I227" i="65" s="1"/>
  <c r="O191" i="65"/>
  <c r="I191" i="65" s="1"/>
  <c r="O155" i="65"/>
  <c r="I155" i="65" s="1"/>
  <c r="G155" i="65"/>
  <c r="G119" i="65"/>
  <c r="F17" i="4" s="1"/>
  <c r="O372" i="65"/>
  <c r="I372" i="65" s="1"/>
  <c r="O336" i="65"/>
  <c r="I336" i="65" s="1"/>
  <c r="O359" i="65"/>
  <c r="I359" i="65" s="1"/>
  <c r="O323" i="65"/>
  <c r="I323" i="65" s="1"/>
  <c r="O287" i="65"/>
  <c r="I287" i="65" s="1"/>
  <c r="O251" i="65"/>
  <c r="I251" i="65" s="1"/>
  <c r="O215" i="65"/>
  <c r="I215" i="65" s="1"/>
  <c r="O179" i="65"/>
  <c r="I179" i="65" s="1"/>
  <c r="O143" i="65"/>
  <c r="I143" i="65" s="1"/>
  <c r="G342" i="65"/>
  <c r="O348" i="65"/>
  <c r="I348" i="65" s="1"/>
  <c r="O361" i="65"/>
  <c r="I361" i="65" s="1"/>
  <c r="O111" i="65"/>
  <c r="L174" i="65"/>
  <c r="K174" i="65"/>
  <c r="G226" i="65"/>
  <c r="G327" i="65"/>
  <c r="G258" i="65"/>
  <c r="G334" i="65"/>
  <c r="G227" i="65"/>
  <c r="O379" i="65"/>
  <c r="I379" i="65" s="1"/>
  <c r="O358" i="65"/>
  <c r="I358" i="65" s="1"/>
  <c r="O376" i="65"/>
  <c r="I376" i="65" s="1"/>
  <c r="O351" i="65"/>
  <c r="I351" i="65" s="1"/>
  <c r="O344" i="65"/>
  <c r="I344" i="65" s="1"/>
  <c r="O107" i="65"/>
  <c r="I107" i="65" s="1"/>
  <c r="O322" i="65"/>
  <c r="I322" i="65" s="1"/>
  <c r="O286" i="65"/>
  <c r="I286" i="65" s="1"/>
  <c r="O250" i="65"/>
  <c r="I250" i="65" s="1"/>
  <c r="O214" i="65"/>
  <c r="I214" i="65" s="1"/>
  <c r="O178" i="65"/>
  <c r="I178" i="65" s="1"/>
  <c r="O142" i="65"/>
  <c r="I142" i="65" s="1"/>
  <c r="O106" i="65"/>
  <c r="I106" i="65" s="1"/>
  <c r="O279" i="65"/>
  <c r="I279" i="65" s="1"/>
  <c r="O243" i="65"/>
  <c r="I243" i="65" s="1"/>
  <c r="O207" i="65"/>
  <c r="I207" i="65" s="1"/>
  <c r="O171" i="65"/>
  <c r="I171" i="65" s="1"/>
  <c r="O135" i="65"/>
  <c r="I135" i="65" s="1"/>
  <c r="J154" i="65"/>
  <c r="J118" i="65"/>
  <c r="G262" i="65"/>
  <c r="G150" i="65"/>
  <c r="G363" i="65"/>
  <c r="G370" i="65"/>
  <c r="G263" i="65"/>
  <c r="G190" i="65"/>
  <c r="G154" i="65"/>
  <c r="G118" i="65"/>
  <c r="G291" i="65"/>
  <c r="G255" i="65"/>
  <c r="G219" i="65"/>
  <c r="G183" i="65"/>
  <c r="G147" i="65"/>
  <c r="G111" i="65"/>
  <c r="E88" i="64"/>
  <c r="O333" i="65"/>
  <c r="I333" i="65" s="1"/>
  <c r="O380" i="65"/>
  <c r="I380" i="65" s="1"/>
  <c r="G298" i="65"/>
  <c r="G308" i="65"/>
  <c r="G306" i="65"/>
  <c r="G199" i="65"/>
  <c r="G191" i="65"/>
  <c r="G299" i="65"/>
  <c r="O362" i="65"/>
  <c r="I362" i="65" s="1"/>
  <c r="O124" i="65"/>
  <c r="I124" i="65" s="1"/>
  <c r="G335" i="65"/>
  <c r="G344" i="65"/>
  <c r="G366" i="65"/>
  <c r="O371" i="65"/>
  <c r="I371" i="65" s="1"/>
  <c r="G360" i="65"/>
  <c r="O350" i="65"/>
  <c r="I350" i="65" s="1"/>
  <c r="G265" i="65"/>
  <c r="G326" i="65"/>
  <c r="O364" i="65"/>
  <c r="I364" i="65" s="1"/>
  <c r="O321" i="65"/>
  <c r="I321" i="65" s="1"/>
  <c r="O339" i="65"/>
  <c r="I339" i="65" s="1"/>
  <c r="O357" i="65"/>
  <c r="I357" i="65" s="1"/>
  <c r="O363" i="65"/>
  <c r="I363" i="65" s="1"/>
  <c r="O346" i="65"/>
  <c r="I346" i="65" s="1"/>
  <c r="O310" i="65"/>
  <c r="I310" i="65" s="1"/>
  <c r="O274" i="65"/>
  <c r="I274" i="65" s="1"/>
  <c r="O238" i="65"/>
  <c r="I238" i="65" s="1"/>
  <c r="O202" i="65"/>
  <c r="I202" i="65" s="1"/>
  <c r="O166" i="65"/>
  <c r="I166" i="65" s="1"/>
  <c r="O130" i="65"/>
  <c r="I130" i="65" s="1"/>
  <c r="O303" i="65"/>
  <c r="I303" i="65" s="1"/>
  <c r="O267" i="65"/>
  <c r="I267" i="65" s="1"/>
  <c r="O231" i="65"/>
  <c r="I231" i="65" s="1"/>
  <c r="O195" i="65"/>
  <c r="I195" i="65" s="1"/>
  <c r="O159" i="65"/>
  <c r="I159" i="65" s="1"/>
  <c r="O109" i="65"/>
  <c r="I109" i="65" s="1"/>
  <c r="G362" i="65"/>
  <c r="G253" i="65"/>
  <c r="O377" i="65"/>
  <c r="I377" i="65" s="1"/>
  <c r="O113" i="65"/>
  <c r="O112" i="65"/>
  <c r="O122" i="65"/>
  <c r="I122" i="65" s="1"/>
  <c r="O119" i="65"/>
  <c r="I119" i="65" s="1"/>
  <c r="O360" i="65"/>
  <c r="I360" i="65" s="1"/>
  <c r="O354" i="65"/>
  <c r="I354" i="65" s="1"/>
  <c r="O309" i="65"/>
  <c r="I309" i="65" s="1"/>
  <c r="O273" i="65"/>
  <c r="I273" i="65" s="1"/>
  <c r="O237" i="65"/>
  <c r="I237" i="65" s="1"/>
  <c r="O201" i="65"/>
  <c r="I201" i="65" s="1"/>
  <c r="O165" i="65"/>
  <c r="I165" i="65" s="1"/>
  <c r="O129" i="65"/>
  <c r="I129" i="65" s="1"/>
  <c r="G121" i="65"/>
  <c r="G223" i="65"/>
  <c r="G312" i="65"/>
  <c r="G379" i="65"/>
  <c r="G343" i="65"/>
  <c r="G307" i="65"/>
  <c r="O378" i="65"/>
  <c r="I378" i="65" s="1"/>
  <c r="O108" i="65"/>
  <c r="O340" i="65"/>
  <c r="I340" i="65" s="1"/>
  <c r="O304" i="65"/>
  <c r="I304" i="65" s="1"/>
  <c r="O268" i="65"/>
  <c r="I268" i="65" s="1"/>
  <c r="O232" i="65"/>
  <c r="I232" i="65" s="1"/>
  <c r="O196" i="65"/>
  <c r="I196" i="65" s="1"/>
  <c r="O160" i="65"/>
  <c r="I160" i="65" s="1"/>
  <c r="O342" i="65"/>
  <c r="I342" i="65" s="1"/>
  <c r="O334" i="65"/>
  <c r="I334" i="65" s="1"/>
  <c r="O298" i="65"/>
  <c r="I298" i="65" s="1"/>
  <c r="O262" i="65"/>
  <c r="I262" i="65" s="1"/>
  <c r="O226" i="65"/>
  <c r="I226" i="65" s="1"/>
  <c r="O190" i="65"/>
  <c r="I190" i="65" s="1"/>
  <c r="O154" i="65"/>
  <c r="I154" i="65" s="1"/>
  <c r="O118" i="65"/>
  <c r="I118" i="65" s="1"/>
  <c r="O291" i="65"/>
  <c r="I291" i="65" s="1"/>
  <c r="O255" i="65"/>
  <c r="I255" i="65" s="1"/>
  <c r="O219" i="65"/>
  <c r="I219" i="65" s="1"/>
  <c r="O183" i="65"/>
  <c r="I183" i="65" s="1"/>
  <c r="O147" i="65"/>
  <c r="I147" i="65" s="1"/>
  <c r="O366" i="65"/>
  <c r="I366" i="65" s="1"/>
  <c r="O318" i="65"/>
  <c r="I318" i="65" s="1"/>
  <c r="O282" i="65"/>
  <c r="I282" i="65" s="1"/>
  <c r="O246" i="65"/>
  <c r="I246" i="65" s="1"/>
  <c r="O210" i="65"/>
  <c r="I210" i="65" s="1"/>
  <c r="O174" i="65"/>
  <c r="I174" i="65" s="1"/>
  <c r="O138" i="65"/>
  <c r="I138" i="65" s="1"/>
  <c r="O341" i="65"/>
  <c r="I341" i="65" s="1"/>
  <c r="O305" i="65"/>
  <c r="I305" i="65" s="1"/>
  <c r="O269" i="65"/>
  <c r="I269" i="65" s="1"/>
  <c r="O233" i="65"/>
  <c r="I233" i="65" s="1"/>
  <c r="O197" i="65"/>
  <c r="I197" i="65" s="1"/>
  <c r="O161" i="65"/>
  <c r="I161" i="65" s="1"/>
  <c r="O125" i="65"/>
  <c r="I125" i="65" s="1"/>
  <c r="O352" i="65"/>
  <c r="I352" i="65" s="1"/>
  <c r="O316" i="65"/>
  <c r="I316" i="65" s="1"/>
  <c r="O280" i="65"/>
  <c r="I280" i="65" s="1"/>
  <c r="O244" i="65"/>
  <c r="I244" i="65" s="1"/>
  <c r="O208" i="65"/>
  <c r="I208" i="65" s="1"/>
  <c r="O172" i="65"/>
  <c r="I172" i="65" s="1"/>
  <c r="O136" i="65"/>
  <c r="I136" i="65" s="1"/>
  <c r="O285" i="65"/>
  <c r="I285" i="65" s="1"/>
  <c r="O249" i="65"/>
  <c r="I249" i="65" s="1"/>
  <c r="O213" i="65"/>
  <c r="I213" i="65" s="1"/>
  <c r="O177" i="65"/>
  <c r="I177" i="65" s="1"/>
  <c r="O141" i="65"/>
  <c r="I141" i="65" s="1"/>
  <c r="O320" i="65"/>
  <c r="I320" i="65" s="1"/>
  <c r="O284" i="65"/>
  <c r="I284" i="65" s="1"/>
  <c r="O248" i="65"/>
  <c r="I248" i="65" s="1"/>
  <c r="O212" i="65"/>
  <c r="I212" i="65" s="1"/>
  <c r="O176" i="65"/>
  <c r="I176" i="65" s="1"/>
  <c r="O140" i="65"/>
  <c r="I140" i="65" s="1"/>
  <c r="O325" i="65"/>
  <c r="I325" i="65" s="1"/>
  <c r="O289" i="65"/>
  <c r="I289" i="65" s="1"/>
  <c r="O253" i="65"/>
  <c r="I253" i="65" s="1"/>
  <c r="O217" i="65"/>
  <c r="I217" i="65" s="1"/>
  <c r="O181" i="65"/>
  <c r="I181" i="65" s="1"/>
  <c r="O145" i="65"/>
  <c r="I145" i="65" s="1"/>
  <c r="G295" i="65"/>
  <c r="G348" i="65"/>
  <c r="G115" i="65"/>
  <c r="G240" i="65"/>
  <c r="G211" i="65"/>
  <c r="G349" i="65"/>
  <c r="G313" i="65"/>
  <c r="G264" i="65"/>
  <c r="G210" i="65"/>
  <c r="G120" i="65"/>
  <c r="G272" i="65"/>
  <c r="G236" i="65"/>
  <c r="G200" i="65"/>
  <c r="G372" i="65"/>
  <c r="G336" i="65"/>
  <c r="G187" i="65"/>
  <c r="G192" i="65"/>
  <c r="G373" i="65"/>
  <c r="G337" i="65"/>
  <c r="G300" i="65"/>
  <c r="G246" i="65"/>
  <c r="O123" i="65"/>
  <c r="I123" i="65" s="1"/>
  <c r="G169" i="65"/>
  <c r="G175" i="65"/>
  <c r="G367" i="65"/>
  <c r="G331" i="65"/>
  <c r="G174" i="65"/>
  <c r="O330" i="65"/>
  <c r="I330" i="65" s="1"/>
  <c r="O294" i="65"/>
  <c r="I294" i="65" s="1"/>
  <c r="O258" i="65"/>
  <c r="I258" i="65" s="1"/>
  <c r="O222" i="65"/>
  <c r="I222" i="65" s="1"/>
  <c r="O186" i="65"/>
  <c r="I186" i="65" s="1"/>
  <c r="O150" i="65"/>
  <c r="I150" i="65" s="1"/>
  <c r="O353" i="65"/>
  <c r="I353" i="65" s="1"/>
  <c r="O317" i="65"/>
  <c r="I317" i="65" s="1"/>
  <c r="O281" i="65"/>
  <c r="I281" i="65" s="1"/>
  <c r="O245" i="65"/>
  <c r="I245" i="65" s="1"/>
  <c r="O209" i="65"/>
  <c r="I209" i="65" s="1"/>
  <c r="O173" i="65"/>
  <c r="I173" i="65" s="1"/>
  <c r="O137" i="65"/>
  <c r="I137" i="65" s="1"/>
  <c r="O328" i="65"/>
  <c r="I328" i="65" s="1"/>
  <c r="O292" i="65"/>
  <c r="I292" i="65" s="1"/>
  <c r="O256" i="65"/>
  <c r="I256" i="65" s="1"/>
  <c r="O220" i="65"/>
  <c r="I220" i="65" s="1"/>
  <c r="O184" i="65"/>
  <c r="I184" i="65" s="1"/>
  <c r="O148" i="65"/>
  <c r="I148" i="65" s="1"/>
  <c r="O297" i="65"/>
  <c r="I297" i="65" s="1"/>
  <c r="O261" i="65"/>
  <c r="I261" i="65" s="1"/>
  <c r="O225" i="65"/>
  <c r="I225" i="65" s="1"/>
  <c r="O189" i="65"/>
  <c r="I189" i="65" s="1"/>
  <c r="O153" i="65"/>
  <c r="I153" i="65" s="1"/>
  <c r="O117" i="65"/>
  <c r="I117" i="65" s="1"/>
  <c r="O332" i="65"/>
  <c r="I332" i="65" s="1"/>
  <c r="O296" i="65"/>
  <c r="I296" i="65" s="1"/>
  <c r="O260" i="65"/>
  <c r="I260" i="65" s="1"/>
  <c r="O224" i="65"/>
  <c r="I224" i="65" s="1"/>
  <c r="O188" i="65"/>
  <c r="I188" i="65" s="1"/>
  <c r="O152" i="65"/>
  <c r="I152" i="65" s="1"/>
  <c r="O337" i="65"/>
  <c r="I337" i="65" s="1"/>
  <c r="O301" i="65"/>
  <c r="I301" i="65" s="1"/>
  <c r="O265" i="65"/>
  <c r="I265" i="65" s="1"/>
  <c r="O229" i="65"/>
  <c r="I229" i="65" s="1"/>
  <c r="O193" i="65"/>
  <c r="I193" i="65" s="1"/>
  <c r="O157" i="65"/>
  <c r="I157" i="65" s="1"/>
  <c r="O121" i="65"/>
  <c r="I121" i="65" s="1"/>
  <c r="G241" i="65"/>
  <c r="G151" i="65"/>
  <c r="G204" i="65"/>
  <c r="G229" i="65"/>
  <c r="G157" i="65"/>
  <c r="G361" i="65"/>
  <c r="G325" i="65"/>
  <c r="G282" i="65"/>
  <c r="G228" i="65"/>
  <c r="G156" i="65"/>
  <c r="K87" i="65"/>
  <c r="E84" i="65"/>
  <c r="A2" i="65"/>
  <c r="O115" i="65"/>
  <c r="I115" i="65" s="1"/>
  <c r="G354" i="65"/>
  <c r="G318" i="65"/>
  <c r="G133" i="65"/>
  <c r="G193" i="65"/>
  <c r="G139" i="65"/>
  <c r="G355" i="65"/>
  <c r="G319" i="65"/>
  <c r="G138" i="65"/>
  <c r="J89" i="64"/>
  <c r="I89" i="64"/>
  <c r="J90" i="64"/>
  <c r="I90" i="64"/>
  <c r="C84" i="64"/>
  <c r="I87" i="64"/>
  <c r="J87" i="64"/>
  <c r="I91" i="64"/>
  <c r="J91" i="64"/>
  <c r="M88" i="64"/>
  <c r="I92" i="64"/>
  <c r="J92" i="64"/>
  <c r="H88" i="64"/>
  <c r="I88" i="64"/>
  <c r="J88" i="64"/>
  <c r="J93" i="64"/>
  <c r="I93" i="64"/>
  <c r="Y234" i="58"/>
  <c r="Y240" i="58"/>
  <c r="D219" i="58"/>
  <c r="D230" i="58"/>
  <c r="E235" i="58"/>
  <c r="E241" i="58"/>
  <c r="D217" i="58"/>
  <c r="E233" i="58"/>
  <c r="Y230" i="58"/>
  <c r="Y228" i="58"/>
  <c r="D225" i="58"/>
  <c r="E245" i="58"/>
  <c r="D224" i="58"/>
  <c r="Y248" i="58"/>
  <c r="Y222" i="58"/>
  <c r="D232" i="58"/>
  <c r="D237" i="58"/>
  <c r="Y246" i="58"/>
  <c r="Y233" i="58"/>
  <c r="X233" i="58"/>
  <c r="Y226" i="58"/>
  <c r="W226" i="58"/>
  <c r="Y236" i="58"/>
  <c r="Y218" i="58"/>
  <c r="D226" i="58"/>
  <c r="E221" i="58"/>
  <c r="D248" i="58"/>
  <c r="E239" i="58"/>
  <c r="E231" i="58"/>
  <c r="E249" i="58"/>
  <c r="E222" i="58"/>
  <c r="D228" i="58"/>
  <c r="D218" i="58"/>
  <c r="Y251" i="58"/>
  <c r="X251" i="58"/>
  <c r="Y227" i="58"/>
  <c r="X227" i="58"/>
  <c r="Y238" i="58"/>
  <c r="W238" i="58"/>
  <c r="Y243" i="58"/>
  <c r="V243" i="58"/>
  <c r="Y231" i="58"/>
  <c r="V231" i="58"/>
  <c r="Y219" i="58"/>
  <c r="V219" i="58"/>
  <c r="D238" i="58"/>
  <c r="E234" i="58"/>
  <c r="E247" i="58"/>
  <c r="D223" i="58"/>
  <c r="Y221" i="58"/>
  <c r="X221" i="58"/>
  <c r="Y249" i="58"/>
  <c r="V249" i="58"/>
  <c r="D244" i="58"/>
  <c r="D243" i="58"/>
  <c r="E240" i="58"/>
  <c r="E227" i="58"/>
  <c r="E251" i="58"/>
  <c r="E250" i="58"/>
  <c r="Y245" i="58"/>
  <c r="X245" i="58"/>
  <c r="Y244" i="58"/>
  <c r="W244" i="58"/>
  <c r="Y220" i="58"/>
  <c r="W220" i="58"/>
  <c r="D246" i="58"/>
  <c r="Y242" i="58"/>
  <c r="Y224" i="58"/>
  <c r="E236" i="58"/>
  <c r="E229" i="58"/>
  <c r="Y239" i="58"/>
  <c r="X239" i="58"/>
  <c r="Y250" i="58"/>
  <c r="W250" i="58"/>
  <c r="Y232" i="58"/>
  <c r="W232" i="58"/>
  <c r="Y237" i="58"/>
  <c r="V237" i="58"/>
  <c r="Y225" i="58"/>
  <c r="V225" i="58"/>
  <c r="Y247" i="58"/>
  <c r="X247" i="58"/>
  <c r="Y241" i="58"/>
  <c r="X241" i="58"/>
  <c r="Y235" i="58"/>
  <c r="X235" i="58"/>
  <c r="Y229" i="58"/>
  <c r="X229" i="58"/>
  <c r="Y223" i="58"/>
  <c r="X223" i="58"/>
  <c r="Y217" i="58"/>
  <c r="X217" i="58"/>
  <c r="E220" i="58"/>
  <c r="E242" i="58"/>
  <c r="C204" i="58"/>
  <c r="C205" i="58"/>
  <c r="C206" i="58"/>
  <c r="C207" i="58"/>
  <c r="C208" i="58"/>
  <c r="C209" i="58"/>
  <c r="C210" i="58"/>
  <c r="C211" i="58"/>
  <c r="C212" i="58"/>
  <c r="C213" i="58"/>
  <c r="C214" i="58"/>
  <c r="C215" i="58"/>
  <c r="C216" i="58"/>
  <c r="F204" i="58"/>
  <c r="F205" i="58"/>
  <c r="F206" i="58"/>
  <c r="F207" i="58"/>
  <c r="F208" i="58"/>
  <c r="F209" i="58"/>
  <c r="F210" i="58"/>
  <c r="F211" i="58"/>
  <c r="F212" i="58"/>
  <c r="F213" i="58"/>
  <c r="F214" i="58"/>
  <c r="F215" i="58"/>
  <c r="F216" i="58"/>
  <c r="G204" i="58"/>
  <c r="G205" i="58"/>
  <c r="G206" i="58"/>
  <c r="G207" i="58"/>
  <c r="G208" i="58"/>
  <c r="G209" i="58"/>
  <c r="G210" i="58"/>
  <c r="G211" i="58"/>
  <c r="G212" i="58"/>
  <c r="G213" i="58"/>
  <c r="G214" i="58"/>
  <c r="G215" i="58"/>
  <c r="G216" i="58"/>
  <c r="H204" i="58"/>
  <c r="H205" i="58"/>
  <c r="H206" i="58"/>
  <c r="H207" i="58"/>
  <c r="H208" i="58"/>
  <c r="H209" i="58"/>
  <c r="H210" i="58"/>
  <c r="H211" i="58"/>
  <c r="H212" i="58"/>
  <c r="H213" i="58"/>
  <c r="H214" i="58"/>
  <c r="H215" i="58"/>
  <c r="H216" i="58"/>
  <c r="V204" i="58"/>
  <c r="V205" i="58"/>
  <c r="V206" i="58"/>
  <c r="V207" i="58"/>
  <c r="V208" i="58"/>
  <c r="V209" i="58"/>
  <c r="V210" i="58"/>
  <c r="V211" i="58"/>
  <c r="V212" i="58"/>
  <c r="V213" i="58"/>
  <c r="V214" i="58"/>
  <c r="V215" i="58"/>
  <c r="V216" i="58"/>
  <c r="W204" i="58"/>
  <c r="W205" i="58"/>
  <c r="W206" i="58"/>
  <c r="W207" i="58"/>
  <c r="W208" i="58"/>
  <c r="W209" i="58"/>
  <c r="W210" i="58"/>
  <c r="W211" i="58"/>
  <c r="W212" i="58"/>
  <c r="W213" i="58"/>
  <c r="W214" i="58"/>
  <c r="W215" i="58"/>
  <c r="W216" i="58"/>
  <c r="X204" i="58"/>
  <c r="X205" i="58"/>
  <c r="X206" i="58"/>
  <c r="X207" i="58"/>
  <c r="X208" i="58"/>
  <c r="X209" i="58"/>
  <c r="X210" i="58"/>
  <c r="X211" i="58"/>
  <c r="X212" i="58"/>
  <c r="X213" i="58"/>
  <c r="X214" i="58"/>
  <c r="X215" i="58"/>
  <c r="X216" i="58"/>
  <c r="Z204" i="58"/>
  <c r="Z205" i="58"/>
  <c r="Z206" i="58"/>
  <c r="Z207" i="58"/>
  <c r="Z208" i="58"/>
  <c r="Z209" i="58"/>
  <c r="Z210" i="58"/>
  <c r="Z211" i="58"/>
  <c r="Z212" i="58"/>
  <c r="Z213" i="58"/>
  <c r="Z214" i="58"/>
  <c r="Z215" i="58"/>
  <c r="Z216" i="58"/>
  <c r="I113" i="65" l="1"/>
  <c r="I112" i="65"/>
  <c r="I111" i="65"/>
  <c r="I108" i="65"/>
  <c r="L84" i="65"/>
  <c r="K84" i="65"/>
  <c r="N88" i="64"/>
  <c r="G88" i="64"/>
  <c r="I84" i="64"/>
  <c r="J84" i="64"/>
  <c r="E216" i="58"/>
  <c r="D216" i="58"/>
  <c r="E204" i="58"/>
  <c r="D204" i="58"/>
  <c r="E208" i="58"/>
  <c r="D208" i="58"/>
  <c r="D213" i="58"/>
  <c r="E213" i="58"/>
  <c r="E207" i="58"/>
  <c r="D207" i="58"/>
  <c r="D206" i="58"/>
  <c r="E206" i="58"/>
  <c r="E211" i="58"/>
  <c r="D211" i="58"/>
  <c r="D205" i="58"/>
  <c r="E205" i="58"/>
  <c r="E212" i="58"/>
  <c r="D212" i="58"/>
  <c r="D215" i="58"/>
  <c r="E215" i="58"/>
  <c r="D209" i="58"/>
  <c r="E209" i="58"/>
  <c r="E210" i="58"/>
  <c r="D210" i="58"/>
  <c r="D214" i="58"/>
  <c r="E214" i="58"/>
  <c r="Y208" i="58"/>
  <c r="Y205" i="58"/>
  <c r="Y214" i="58"/>
  <c r="Y213" i="58"/>
  <c r="Y211" i="58"/>
  <c r="Y209" i="58"/>
  <c r="Y204" i="58"/>
  <c r="Y212" i="58"/>
  <c r="Y206" i="58"/>
  <c r="Y215" i="58"/>
  <c r="Y216" i="58"/>
  <c r="Y210" i="58"/>
  <c r="Y207" i="58"/>
  <c r="Z40" i="58"/>
  <c r="Z41" i="58"/>
  <c r="Z42" i="58"/>
  <c r="Z43" i="58"/>
  <c r="Z44" i="58"/>
  <c r="Z45" i="58"/>
  <c r="Z46" i="58"/>
  <c r="Z47" i="58"/>
  <c r="Z48" i="58"/>
  <c r="Z49" i="58"/>
  <c r="Z50" i="58"/>
  <c r="Z51" i="58"/>
  <c r="Z52" i="58"/>
  <c r="Z53" i="58"/>
  <c r="Z54" i="58"/>
  <c r="Z55" i="58"/>
  <c r="Z56" i="58"/>
  <c r="Z57" i="58"/>
  <c r="Z58" i="58"/>
  <c r="Z59" i="58"/>
  <c r="Z60" i="58"/>
  <c r="Z61" i="58"/>
  <c r="Z62" i="58"/>
  <c r="Z63" i="58"/>
  <c r="Z64" i="58"/>
  <c r="Z65" i="58"/>
  <c r="Z66" i="58"/>
  <c r="Z67" i="58"/>
  <c r="Z68" i="58"/>
  <c r="H110" i="65" s="1"/>
  <c r="Z69" i="58"/>
  <c r="Z70" i="58"/>
  <c r="Z71" i="58"/>
  <c r="Z72" i="58"/>
  <c r="Z73" i="58"/>
  <c r="Z74" i="58"/>
  <c r="Z75" i="58"/>
  <c r="Z76" i="58"/>
  <c r="Z77" i="58"/>
  <c r="Z78" i="58"/>
  <c r="Z79" i="58"/>
  <c r="Z80" i="58"/>
  <c r="Z81" i="58"/>
  <c r="Z82" i="58"/>
  <c r="Z83" i="58"/>
  <c r="Z84" i="58"/>
  <c r="Z85" i="58"/>
  <c r="Z86" i="58"/>
  <c r="Z87" i="58"/>
  <c r="Z88" i="58"/>
  <c r="Z89" i="58"/>
  <c r="Z90" i="58"/>
  <c r="Z91" i="58"/>
  <c r="Z92" i="58"/>
  <c r="Z93" i="58"/>
  <c r="Z94" i="58"/>
  <c r="Z95" i="58"/>
  <c r="Z96" i="58"/>
  <c r="Z97" i="58"/>
  <c r="Z98" i="58"/>
  <c r="Z99" i="58"/>
  <c r="Z100" i="58"/>
  <c r="Z101" i="58"/>
  <c r="Z102" i="58"/>
  <c r="Z103" i="58"/>
  <c r="Z104" i="58"/>
  <c r="Z105" i="58"/>
  <c r="Z106" i="58"/>
  <c r="Z107" i="58"/>
  <c r="Z108" i="58"/>
  <c r="Z109" i="58"/>
  <c r="Z110" i="58"/>
  <c r="Z111" i="58"/>
  <c r="Z112" i="58"/>
  <c r="Z113" i="58"/>
  <c r="Z114" i="58"/>
  <c r="Z115" i="58"/>
  <c r="Z116" i="58"/>
  <c r="Z117" i="58"/>
  <c r="Z118" i="58"/>
  <c r="Z119" i="58"/>
  <c r="Z120" i="58"/>
  <c r="Z121" i="58"/>
  <c r="Z122" i="58"/>
  <c r="Z123" i="58"/>
  <c r="Z124" i="58"/>
  <c r="Z125" i="58"/>
  <c r="Z126" i="58"/>
  <c r="Z127" i="58"/>
  <c r="Z128" i="58"/>
  <c r="Z129" i="58"/>
  <c r="Z130" i="58"/>
  <c r="Z131" i="58"/>
  <c r="Z132" i="58"/>
  <c r="Z133" i="58"/>
  <c r="Z134" i="58"/>
  <c r="Z135" i="58"/>
  <c r="Z136" i="58"/>
  <c r="Z137" i="58"/>
  <c r="Z138" i="58"/>
  <c r="Z139" i="58"/>
  <c r="Z140" i="58"/>
  <c r="Z141" i="58"/>
  <c r="Z142" i="58"/>
  <c r="Z143" i="58"/>
  <c r="Z144" i="58"/>
  <c r="Z145" i="58"/>
  <c r="Z146" i="58"/>
  <c r="Z147" i="58"/>
  <c r="Z148" i="58"/>
  <c r="Z149" i="58"/>
  <c r="Z150" i="58"/>
  <c r="Z151" i="58"/>
  <c r="Z152" i="58"/>
  <c r="Z153" i="58"/>
  <c r="Z154" i="58"/>
  <c r="Z155" i="58"/>
  <c r="Z156" i="58"/>
  <c r="Z157" i="58"/>
  <c r="Z158" i="58"/>
  <c r="Z159" i="58"/>
  <c r="Z160" i="58"/>
  <c r="Z161" i="58"/>
  <c r="Z162" i="58"/>
  <c r="Z163" i="58"/>
  <c r="Z164" i="58"/>
  <c r="Z165" i="58"/>
  <c r="Z166" i="58"/>
  <c r="Z167" i="58"/>
  <c r="Z168" i="58"/>
  <c r="Z169" i="58"/>
  <c r="Z170" i="58"/>
  <c r="Z171" i="58"/>
  <c r="Z172" i="58"/>
  <c r="Z173" i="58"/>
  <c r="Z174" i="58"/>
  <c r="Z175" i="58"/>
  <c r="Z176" i="58"/>
  <c r="Z177" i="58"/>
  <c r="Z178" i="58"/>
  <c r="Z179" i="58"/>
  <c r="Z180" i="58"/>
  <c r="Z181" i="58"/>
  <c r="Z182" i="58"/>
  <c r="Z183" i="58"/>
  <c r="Z184" i="58"/>
  <c r="Z185" i="58"/>
  <c r="Z186" i="58"/>
  <c r="Z187" i="58"/>
  <c r="Z188" i="58"/>
  <c r="Z189" i="58"/>
  <c r="Z190" i="58"/>
  <c r="Z191" i="58"/>
  <c r="Z192" i="58"/>
  <c r="Z193" i="58"/>
  <c r="Z194" i="58"/>
  <c r="Z195" i="58"/>
  <c r="Z196" i="58"/>
  <c r="Z197" i="58"/>
  <c r="Z198" i="58"/>
  <c r="Z199" i="58"/>
  <c r="Z200" i="58"/>
  <c r="Z201" i="58"/>
  <c r="Z202" i="58"/>
  <c r="Z203" i="58"/>
  <c r="C197" i="58"/>
  <c r="C198" i="58"/>
  <c r="C199" i="58"/>
  <c r="C200" i="58"/>
  <c r="C201" i="58"/>
  <c r="C202" i="58"/>
  <c r="C203" i="58"/>
  <c r="F197" i="58"/>
  <c r="F198" i="58"/>
  <c r="F199" i="58"/>
  <c r="F200" i="58"/>
  <c r="F201" i="58"/>
  <c r="F202" i="58"/>
  <c r="F203" i="58"/>
  <c r="G197" i="58"/>
  <c r="G198" i="58"/>
  <c r="G199" i="58"/>
  <c r="G200" i="58"/>
  <c r="G201" i="58"/>
  <c r="G202" i="58"/>
  <c r="G203" i="58"/>
  <c r="H197" i="58"/>
  <c r="H198" i="58"/>
  <c r="H199" i="58"/>
  <c r="H200" i="58"/>
  <c r="H201" i="58"/>
  <c r="H202" i="58"/>
  <c r="H203" i="58"/>
  <c r="V197" i="58"/>
  <c r="V198" i="58"/>
  <c r="V199" i="58"/>
  <c r="V200" i="58"/>
  <c r="V201" i="58"/>
  <c r="V202" i="58"/>
  <c r="V203" i="58"/>
  <c r="W197" i="58"/>
  <c r="W198" i="58"/>
  <c r="W199" i="58"/>
  <c r="W200" i="58"/>
  <c r="W201" i="58"/>
  <c r="W202" i="58"/>
  <c r="W203" i="58"/>
  <c r="X197" i="58"/>
  <c r="X198" i="58"/>
  <c r="X199" i="58"/>
  <c r="X200" i="58"/>
  <c r="X201" i="58"/>
  <c r="X202" i="58"/>
  <c r="X203" i="58"/>
  <c r="C192" i="58"/>
  <c r="C193" i="58"/>
  <c r="C194" i="58"/>
  <c r="C195" i="58"/>
  <c r="C196" i="58"/>
  <c r="F192" i="58"/>
  <c r="F193" i="58"/>
  <c r="F194" i="58"/>
  <c r="F195" i="58"/>
  <c r="F196" i="58"/>
  <c r="G192" i="58"/>
  <c r="G193" i="58"/>
  <c r="G194" i="58"/>
  <c r="G195" i="58"/>
  <c r="G196" i="58"/>
  <c r="H192" i="58"/>
  <c r="H193" i="58"/>
  <c r="H194" i="58"/>
  <c r="H195" i="58"/>
  <c r="H196" i="58"/>
  <c r="V192" i="58"/>
  <c r="V193" i="58"/>
  <c r="V194" i="58"/>
  <c r="V195" i="58"/>
  <c r="V196" i="58"/>
  <c r="W192" i="58"/>
  <c r="W193" i="58"/>
  <c r="W194" i="58"/>
  <c r="W195" i="58"/>
  <c r="W196" i="58"/>
  <c r="X192" i="58"/>
  <c r="X193" i="58"/>
  <c r="X194" i="58"/>
  <c r="X195" i="58"/>
  <c r="X196" i="58"/>
  <c r="C168" i="58"/>
  <c r="C169" i="58"/>
  <c r="C170" i="58"/>
  <c r="C171" i="58"/>
  <c r="C172" i="58"/>
  <c r="C173" i="58"/>
  <c r="C174" i="58"/>
  <c r="C175" i="58"/>
  <c r="C176" i="58"/>
  <c r="C177" i="58"/>
  <c r="C178" i="58"/>
  <c r="C179" i="58"/>
  <c r="C180" i="58"/>
  <c r="C181" i="58"/>
  <c r="C182" i="58"/>
  <c r="C183" i="58"/>
  <c r="C184" i="58"/>
  <c r="C185" i="58"/>
  <c r="C186" i="58"/>
  <c r="C187" i="58"/>
  <c r="C188" i="58"/>
  <c r="C189" i="58"/>
  <c r="C190" i="58"/>
  <c r="C191" i="58"/>
  <c r="F168" i="58"/>
  <c r="F169" i="58"/>
  <c r="F170" i="58"/>
  <c r="F171" i="58"/>
  <c r="F172" i="58"/>
  <c r="F173" i="58"/>
  <c r="F174" i="58"/>
  <c r="F175" i="58"/>
  <c r="F176" i="58"/>
  <c r="F177" i="58"/>
  <c r="F178" i="58"/>
  <c r="F179" i="58"/>
  <c r="F180" i="58"/>
  <c r="F181" i="58"/>
  <c r="F182" i="58"/>
  <c r="F183" i="58"/>
  <c r="F184" i="58"/>
  <c r="F185" i="58"/>
  <c r="F186" i="58"/>
  <c r="F187" i="58"/>
  <c r="F188" i="58"/>
  <c r="F189" i="58"/>
  <c r="F190" i="58"/>
  <c r="F191" i="58"/>
  <c r="G168" i="58"/>
  <c r="G169" i="58"/>
  <c r="G170" i="58"/>
  <c r="G171" i="58"/>
  <c r="G172" i="58"/>
  <c r="G173" i="58"/>
  <c r="G174" i="58"/>
  <c r="G175" i="58"/>
  <c r="G176" i="58"/>
  <c r="G177" i="58"/>
  <c r="G178" i="58"/>
  <c r="G179" i="58"/>
  <c r="G180" i="58"/>
  <c r="G181" i="58"/>
  <c r="G182" i="58"/>
  <c r="G183" i="58"/>
  <c r="G184" i="58"/>
  <c r="G185" i="58"/>
  <c r="G186" i="58"/>
  <c r="G187" i="58"/>
  <c r="G188" i="58"/>
  <c r="G189" i="58"/>
  <c r="G190" i="58"/>
  <c r="G191" i="58"/>
  <c r="H168" i="58"/>
  <c r="H169" i="58"/>
  <c r="H170" i="58"/>
  <c r="H171" i="58"/>
  <c r="H172" i="58"/>
  <c r="H173" i="58"/>
  <c r="H174" i="58"/>
  <c r="H175" i="58"/>
  <c r="H176" i="58"/>
  <c r="H177" i="58"/>
  <c r="H178" i="58"/>
  <c r="H179" i="58"/>
  <c r="H180" i="58"/>
  <c r="H181" i="58"/>
  <c r="H182" i="58"/>
  <c r="H183" i="58"/>
  <c r="H184" i="58"/>
  <c r="H185" i="58"/>
  <c r="H186" i="58"/>
  <c r="H187" i="58"/>
  <c r="H188" i="58"/>
  <c r="H189" i="58"/>
  <c r="H190" i="58"/>
  <c r="H191" i="58"/>
  <c r="V168" i="58"/>
  <c r="V169" i="58"/>
  <c r="V170" i="58"/>
  <c r="V171" i="58"/>
  <c r="V172" i="58"/>
  <c r="V173" i="58"/>
  <c r="V174" i="58"/>
  <c r="V175" i="58"/>
  <c r="V176" i="58"/>
  <c r="V177" i="58"/>
  <c r="V178" i="58"/>
  <c r="V179" i="58"/>
  <c r="V180" i="58"/>
  <c r="V181" i="58"/>
  <c r="V182" i="58"/>
  <c r="V183" i="58"/>
  <c r="V184" i="58"/>
  <c r="V185" i="58"/>
  <c r="V186" i="58"/>
  <c r="V187" i="58"/>
  <c r="V188" i="58"/>
  <c r="V189" i="58"/>
  <c r="V190" i="58"/>
  <c r="V191" i="58"/>
  <c r="W168" i="58"/>
  <c r="W169" i="58"/>
  <c r="W170" i="58"/>
  <c r="W171" i="58"/>
  <c r="W172" i="58"/>
  <c r="W173" i="58"/>
  <c r="W174" i="58"/>
  <c r="W175" i="58"/>
  <c r="W176" i="58"/>
  <c r="W177" i="58"/>
  <c r="W178" i="58"/>
  <c r="W179" i="58"/>
  <c r="W180" i="58"/>
  <c r="W181" i="58"/>
  <c r="W182" i="58"/>
  <c r="W183" i="58"/>
  <c r="W184" i="58"/>
  <c r="W185" i="58"/>
  <c r="W186" i="58"/>
  <c r="W187" i="58"/>
  <c r="W188" i="58"/>
  <c r="W189" i="58"/>
  <c r="W190" i="58"/>
  <c r="W191" i="58"/>
  <c r="X168" i="58"/>
  <c r="X169" i="58"/>
  <c r="X170" i="58"/>
  <c r="X171" i="58"/>
  <c r="X176" i="58"/>
  <c r="X184" i="58"/>
  <c r="Y168" i="58"/>
  <c r="Y169" i="58"/>
  <c r="Y170" i="58"/>
  <c r="Y171" i="58"/>
  <c r="H87" i="65" l="1"/>
  <c r="H100" i="65"/>
  <c r="H104" i="65"/>
  <c r="F90" i="64"/>
  <c r="H99" i="65"/>
  <c r="H97" i="65"/>
  <c r="H98" i="65"/>
  <c r="H102" i="65"/>
  <c r="H94" i="65"/>
  <c r="H96" i="65"/>
  <c r="H103" i="65"/>
  <c r="H101" i="65"/>
  <c r="H95" i="65"/>
  <c r="H93" i="65"/>
  <c r="H91" i="65"/>
  <c r="H88" i="65"/>
  <c r="H84" i="65"/>
  <c r="H92" i="65"/>
  <c r="H90" i="65"/>
  <c r="H89" i="65"/>
  <c r="F87" i="64"/>
  <c r="F84" i="64"/>
  <c r="F93" i="64"/>
  <c r="F91" i="64"/>
  <c r="F92" i="64"/>
  <c r="F89" i="64"/>
  <c r="Y184" i="58"/>
  <c r="F39" i="61"/>
  <c r="F84" i="60"/>
  <c r="D174" i="58"/>
  <c r="E174" i="58"/>
  <c r="Y183" i="58"/>
  <c r="X183" i="58"/>
  <c r="D177" i="58"/>
  <c r="E177" i="58"/>
  <c r="Y187" i="58"/>
  <c r="X187" i="58"/>
  <c r="Y181" i="58"/>
  <c r="X181" i="58"/>
  <c r="Y175" i="58"/>
  <c r="X175" i="58"/>
  <c r="D187" i="58"/>
  <c r="E187" i="58"/>
  <c r="E181" i="58"/>
  <c r="D181" i="58"/>
  <c r="E175" i="58"/>
  <c r="D175" i="58"/>
  <c r="E169" i="58"/>
  <c r="D169" i="58"/>
  <c r="E193" i="58"/>
  <c r="D193" i="58"/>
  <c r="E203" i="58"/>
  <c r="D203" i="58"/>
  <c r="D197" i="58"/>
  <c r="E197" i="58"/>
  <c r="E191" i="58"/>
  <c r="D191" i="58"/>
  <c r="D185" i="58"/>
  <c r="E185" i="58"/>
  <c r="D179" i="58"/>
  <c r="E179" i="58"/>
  <c r="E173" i="58"/>
  <c r="D173" i="58"/>
  <c r="E201" i="58"/>
  <c r="D201" i="58"/>
  <c r="Y186" i="58"/>
  <c r="X186" i="58"/>
  <c r="Y174" i="58"/>
  <c r="X174" i="58"/>
  <c r="D168" i="58"/>
  <c r="E168" i="58"/>
  <c r="Y173" i="58"/>
  <c r="X173" i="58"/>
  <c r="Y190" i="58"/>
  <c r="X190" i="58"/>
  <c r="Y178" i="58"/>
  <c r="X178" i="58"/>
  <c r="Y172" i="58"/>
  <c r="X172" i="58"/>
  <c r="E190" i="58"/>
  <c r="D190" i="58"/>
  <c r="D184" i="58"/>
  <c r="E184" i="58"/>
  <c r="D178" i="58"/>
  <c r="E178" i="58"/>
  <c r="D172" i="58"/>
  <c r="E172" i="58"/>
  <c r="E196" i="58"/>
  <c r="D196" i="58"/>
  <c r="D200" i="58"/>
  <c r="E200" i="58"/>
  <c r="Y180" i="58"/>
  <c r="X180" i="58"/>
  <c r="D180" i="58"/>
  <c r="E180" i="58"/>
  <c r="D202" i="58"/>
  <c r="E202" i="58"/>
  <c r="Y185" i="58"/>
  <c r="X185" i="58"/>
  <c r="Y189" i="58"/>
  <c r="X189" i="58"/>
  <c r="Y177" i="58"/>
  <c r="X177" i="58"/>
  <c r="E189" i="58"/>
  <c r="D189" i="58"/>
  <c r="E171" i="58"/>
  <c r="D171" i="58"/>
  <c r="D195" i="58"/>
  <c r="E195" i="58"/>
  <c r="D199" i="58"/>
  <c r="E199" i="58"/>
  <c r="E186" i="58"/>
  <c r="D186" i="58"/>
  <c r="E192" i="58"/>
  <c r="D192" i="58"/>
  <c r="Y191" i="58"/>
  <c r="X191" i="58"/>
  <c r="Y179" i="58"/>
  <c r="X179" i="58"/>
  <c r="E183" i="58"/>
  <c r="D183" i="58"/>
  <c r="Y188" i="58"/>
  <c r="X188" i="58"/>
  <c r="Y182" i="58"/>
  <c r="X182" i="58"/>
  <c r="E188" i="58"/>
  <c r="D188" i="58"/>
  <c r="D182" i="58"/>
  <c r="E182" i="58"/>
  <c r="D176" i="58"/>
  <c r="E176" i="58"/>
  <c r="D170" i="58"/>
  <c r="E170" i="58"/>
  <c r="E194" i="58"/>
  <c r="D194" i="58"/>
  <c r="D198" i="58"/>
  <c r="E198" i="58"/>
  <c r="Y176" i="58"/>
  <c r="Y199" i="58"/>
  <c r="Y203" i="58"/>
  <c r="Y194" i="58"/>
  <c r="Y200" i="58"/>
  <c r="Y197" i="58"/>
  <c r="Y192" i="58"/>
  <c r="Y202" i="58"/>
  <c r="Y198" i="58"/>
  <c r="Y201" i="58"/>
  <c r="Y196" i="58"/>
  <c r="Y195" i="58"/>
  <c r="Y193" i="58"/>
  <c r="C164" i="58"/>
  <c r="C165" i="58"/>
  <c r="C166" i="58"/>
  <c r="C167" i="58"/>
  <c r="F164" i="58"/>
  <c r="F165" i="58"/>
  <c r="F166" i="58"/>
  <c r="F167" i="58"/>
  <c r="G164" i="58"/>
  <c r="G165" i="58"/>
  <c r="G166" i="58"/>
  <c r="G167" i="58"/>
  <c r="H164" i="58"/>
  <c r="H165" i="58"/>
  <c r="H166" i="58"/>
  <c r="H167" i="58"/>
  <c r="V164" i="58"/>
  <c r="V165" i="58"/>
  <c r="V166" i="58"/>
  <c r="V167" i="58"/>
  <c r="W164" i="58"/>
  <c r="W165" i="58"/>
  <c r="W166" i="58"/>
  <c r="W167" i="58"/>
  <c r="X164" i="58"/>
  <c r="X165" i="58"/>
  <c r="X166" i="58"/>
  <c r="X167" i="58"/>
  <c r="C162" i="58"/>
  <c r="C163" i="58"/>
  <c r="F162" i="58"/>
  <c r="F163" i="58"/>
  <c r="G162" i="58"/>
  <c r="G163" i="58"/>
  <c r="H162" i="58"/>
  <c r="H163" i="58"/>
  <c r="V162" i="58"/>
  <c r="V163" i="58"/>
  <c r="W162" i="58"/>
  <c r="W163" i="58"/>
  <c r="X162" i="58"/>
  <c r="X163" i="58"/>
  <c r="C159" i="58"/>
  <c r="C160" i="58"/>
  <c r="C161" i="58"/>
  <c r="F159" i="58"/>
  <c r="F160" i="58"/>
  <c r="F161" i="58"/>
  <c r="G159" i="58"/>
  <c r="G160" i="58"/>
  <c r="G161" i="58"/>
  <c r="H159" i="58"/>
  <c r="H160" i="58"/>
  <c r="H161" i="58"/>
  <c r="V159" i="58"/>
  <c r="V160" i="58"/>
  <c r="V161" i="58"/>
  <c r="W159" i="58"/>
  <c r="W160" i="58"/>
  <c r="W161" i="58"/>
  <c r="X159" i="58"/>
  <c r="X160" i="58"/>
  <c r="X161" i="58"/>
  <c r="C146" i="58"/>
  <c r="C147" i="58"/>
  <c r="C148" i="58"/>
  <c r="C149" i="58"/>
  <c r="C150" i="58"/>
  <c r="C151" i="58"/>
  <c r="C152" i="58"/>
  <c r="C153" i="58"/>
  <c r="C154" i="58"/>
  <c r="C155" i="58"/>
  <c r="C156" i="58"/>
  <c r="C157" i="58"/>
  <c r="C158" i="58"/>
  <c r="F146" i="58"/>
  <c r="F147" i="58"/>
  <c r="F148" i="58"/>
  <c r="F149" i="58"/>
  <c r="F150" i="58"/>
  <c r="F151" i="58"/>
  <c r="F152" i="58"/>
  <c r="F153" i="58"/>
  <c r="F154" i="58"/>
  <c r="F155" i="58"/>
  <c r="F156" i="58"/>
  <c r="F157" i="58"/>
  <c r="F158" i="58"/>
  <c r="G146" i="58"/>
  <c r="G147" i="58"/>
  <c r="G148" i="58"/>
  <c r="G149" i="58"/>
  <c r="G150" i="58"/>
  <c r="G151" i="58"/>
  <c r="G152" i="58"/>
  <c r="G153" i="58"/>
  <c r="G154" i="58"/>
  <c r="G155" i="58"/>
  <c r="G156" i="58"/>
  <c r="G157" i="58"/>
  <c r="G158" i="58"/>
  <c r="H146" i="58"/>
  <c r="H147" i="58"/>
  <c r="H148" i="58"/>
  <c r="H149" i="58"/>
  <c r="H150" i="58"/>
  <c r="H151" i="58"/>
  <c r="H152" i="58"/>
  <c r="H153" i="58"/>
  <c r="H154" i="58"/>
  <c r="H155" i="58"/>
  <c r="H156" i="58"/>
  <c r="H157" i="58"/>
  <c r="H158" i="58"/>
  <c r="V146" i="58"/>
  <c r="V147" i="58"/>
  <c r="V148" i="58"/>
  <c r="V149" i="58"/>
  <c r="V150" i="58"/>
  <c r="V151" i="58"/>
  <c r="V152" i="58"/>
  <c r="V153" i="58"/>
  <c r="V154" i="58"/>
  <c r="V155" i="58"/>
  <c r="V156" i="58"/>
  <c r="V157" i="58"/>
  <c r="V158" i="58"/>
  <c r="W146" i="58"/>
  <c r="W147" i="58"/>
  <c r="W148" i="58"/>
  <c r="W149" i="58"/>
  <c r="W150" i="58"/>
  <c r="W151" i="58"/>
  <c r="W152" i="58"/>
  <c r="W153" i="58"/>
  <c r="W154" i="58"/>
  <c r="W155" i="58"/>
  <c r="W156" i="58"/>
  <c r="W157" i="58"/>
  <c r="W158" i="58"/>
  <c r="X146" i="58"/>
  <c r="X147" i="58"/>
  <c r="X148" i="58"/>
  <c r="X149" i="58"/>
  <c r="X150" i="58"/>
  <c r="X151" i="58"/>
  <c r="X152" i="58"/>
  <c r="X153" i="58"/>
  <c r="X154" i="58"/>
  <c r="X155" i="58"/>
  <c r="X156" i="58"/>
  <c r="X157" i="58"/>
  <c r="X158" i="58"/>
  <c r="C141" i="58"/>
  <c r="C142" i="58"/>
  <c r="C143" i="58"/>
  <c r="C144" i="58"/>
  <c r="C145" i="58"/>
  <c r="F141" i="58"/>
  <c r="F142" i="58"/>
  <c r="F143" i="58"/>
  <c r="F144" i="58"/>
  <c r="F145" i="58"/>
  <c r="G141" i="58"/>
  <c r="G142" i="58"/>
  <c r="G143" i="58"/>
  <c r="G144" i="58"/>
  <c r="G145" i="58"/>
  <c r="H141" i="58"/>
  <c r="H142" i="58"/>
  <c r="H143" i="58"/>
  <c r="H144" i="58"/>
  <c r="H145" i="58"/>
  <c r="V141" i="58"/>
  <c r="V142" i="58"/>
  <c r="V143" i="58"/>
  <c r="V144" i="58"/>
  <c r="V145" i="58"/>
  <c r="W141" i="58"/>
  <c r="W142" i="58"/>
  <c r="W143" i="58"/>
  <c r="W144" i="58"/>
  <c r="W145" i="58"/>
  <c r="X141" i="58"/>
  <c r="X142" i="58"/>
  <c r="X143" i="58"/>
  <c r="X144" i="58"/>
  <c r="X145" i="58"/>
  <c r="C129" i="58"/>
  <c r="C130" i="58"/>
  <c r="C131" i="58"/>
  <c r="C132" i="58"/>
  <c r="C133" i="58"/>
  <c r="C134" i="58"/>
  <c r="C135" i="58"/>
  <c r="C136" i="58"/>
  <c r="C137" i="58"/>
  <c r="C138" i="58"/>
  <c r="C139" i="58"/>
  <c r="C140" i="58"/>
  <c r="F129" i="58"/>
  <c r="F130" i="58"/>
  <c r="F131" i="58"/>
  <c r="F132" i="58"/>
  <c r="F133" i="58"/>
  <c r="F134" i="58"/>
  <c r="F135" i="58"/>
  <c r="F136" i="58"/>
  <c r="F137" i="58"/>
  <c r="F138" i="58"/>
  <c r="F139" i="58"/>
  <c r="F140" i="58"/>
  <c r="G129" i="58"/>
  <c r="G130" i="58"/>
  <c r="G131" i="58"/>
  <c r="G132" i="58"/>
  <c r="G133" i="58"/>
  <c r="G134" i="58"/>
  <c r="G135" i="58"/>
  <c r="G136" i="58"/>
  <c r="G137" i="58"/>
  <c r="G138" i="58"/>
  <c r="G139" i="58"/>
  <c r="G140" i="58"/>
  <c r="H129" i="58"/>
  <c r="H130" i="58"/>
  <c r="H131" i="58"/>
  <c r="H132" i="58"/>
  <c r="H133" i="58"/>
  <c r="H134" i="58"/>
  <c r="H135" i="58"/>
  <c r="H136" i="58"/>
  <c r="H137" i="58"/>
  <c r="H138" i="58"/>
  <c r="H139" i="58"/>
  <c r="H140" i="58"/>
  <c r="V129" i="58"/>
  <c r="V130" i="58"/>
  <c r="V131" i="58"/>
  <c r="V132" i="58"/>
  <c r="V133" i="58"/>
  <c r="V134" i="58"/>
  <c r="V135" i="58"/>
  <c r="V136" i="58"/>
  <c r="V137" i="58"/>
  <c r="V138" i="58"/>
  <c r="V139" i="58"/>
  <c r="V140" i="58"/>
  <c r="W129" i="58"/>
  <c r="W130" i="58"/>
  <c r="W131" i="58"/>
  <c r="W132" i="58"/>
  <c r="W133" i="58"/>
  <c r="W134" i="58"/>
  <c r="W135" i="58"/>
  <c r="W136" i="58"/>
  <c r="W137" i="58"/>
  <c r="W138" i="58"/>
  <c r="W139" i="58"/>
  <c r="W140" i="58"/>
  <c r="X129" i="58"/>
  <c r="X132" i="58"/>
  <c r="X136" i="58"/>
  <c r="Y135" i="58" l="1"/>
  <c r="X135" i="58"/>
  <c r="D133" i="58"/>
  <c r="E133" i="58"/>
  <c r="D138" i="58"/>
  <c r="E138" i="58"/>
  <c r="Y137" i="58"/>
  <c r="X137" i="58"/>
  <c r="Y131" i="58"/>
  <c r="X131" i="58"/>
  <c r="D137" i="58"/>
  <c r="E137" i="58"/>
  <c r="Y130" i="58"/>
  <c r="X130" i="58"/>
  <c r="D136" i="58"/>
  <c r="E136" i="58"/>
  <c r="E130" i="58"/>
  <c r="D130" i="58"/>
  <c r="E142" i="58"/>
  <c r="D142" i="58"/>
  <c r="D158" i="58"/>
  <c r="E158" i="58"/>
  <c r="D152" i="58"/>
  <c r="E152" i="58"/>
  <c r="E146" i="58"/>
  <c r="D146" i="58"/>
  <c r="E160" i="58"/>
  <c r="D160" i="58"/>
  <c r="E164" i="58"/>
  <c r="D164" i="58"/>
  <c r="E129" i="58"/>
  <c r="D129" i="58"/>
  <c r="Y140" i="58"/>
  <c r="X140" i="58"/>
  <c r="Y134" i="58"/>
  <c r="X134" i="58"/>
  <c r="D140" i="58"/>
  <c r="E140" i="58"/>
  <c r="E134" i="58"/>
  <c r="D134" i="58"/>
  <c r="D156" i="58"/>
  <c r="E156" i="58"/>
  <c r="D150" i="58"/>
  <c r="E150" i="58"/>
  <c r="D157" i="58"/>
  <c r="E157" i="58"/>
  <c r="E139" i="58"/>
  <c r="D139" i="58"/>
  <c r="D145" i="58"/>
  <c r="E145" i="58"/>
  <c r="D155" i="58"/>
  <c r="E155" i="58"/>
  <c r="E149" i="58"/>
  <c r="D149" i="58"/>
  <c r="E163" i="58"/>
  <c r="D163" i="58"/>
  <c r="E167" i="58"/>
  <c r="D167" i="58"/>
  <c r="E135" i="58"/>
  <c r="D135" i="58"/>
  <c r="D159" i="58"/>
  <c r="E159" i="58"/>
  <c r="Y133" i="58"/>
  <c r="X133" i="58"/>
  <c r="Y138" i="58"/>
  <c r="X138" i="58"/>
  <c r="E132" i="58"/>
  <c r="D132" i="58"/>
  <c r="D144" i="58"/>
  <c r="E144" i="58"/>
  <c r="E154" i="58"/>
  <c r="D154" i="58"/>
  <c r="D148" i="58"/>
  <c r="E148" i="58"/>
  <c r="E162" i="58"/>
  <c r="D162" i="58"/>
  <c r="E166" i="58"/>
  <c r="D166" i="58"/>
  <c r="D141" i="58"/>
  <c r="E141" i="58"/>
  <c r="E151" i="58"/>
  <c r="D151" i="58"/>
  <c r="Y139" i="58"/>
  <c r="X139" i="58"/>
  <c r="E131" i="58"/>
  <c r="D131" i="58"/>
  <c r="E143" i="58"/>
  <c r="D143" i="58"/>
  <c r="E153" i="58"/>
  <c r="D153" i="58"/>
  <c r="E147" i="58"/>
  <c r="D147" i="58"/>
  <c r="D161" i="58"/>
  <c r="E161" i="58"/>
  <c r="E165" i="58"/>
  <c r="D165" i="58"/>
  <c r="Y167" i="58"/>
  <c r="Y132" i="58"/>
  <c r="Y156" i="58"/>
  <c r="Y150" i="58"/>
  <c r="Y160" i="58"/>
  <c r="Y164" i="58"/>
  <c r="Y129" i="58"/>
  <c r="Y165" i="58"/>
  <c r="Y136" i="58"/>
  <c r="Y147" i="58"/>
  <c r="Y163" i="58"/>
  <c r="Y166" i="58"/>
  <c r="Y162" i="58"/>
  <c r="Y161" i="58"/>
  <c r="Y157" i="58"/>
  <c r="Y151" i="58"/>
  <c r="Y158" i="58"/>
  <c r="Y152" i="58"/>
  <c r="Y146" i="58"/>
  <c r="Y141" i="58"/>
  <c r="Y154" i="58"/>
  <c r="Y148" i="58"/>
  <c r="Y155" i="58"/>
  <c r="Y149" i="58"/>
  <c r="Y159" i="58"/>
  <c r="Y153" i="58"/>
  <c r="Y142" i="58"/>
  <c r="Y145" i="58"/>
  <c r="Y143" i="58"/>
  <c r="Y144" i="58"/>
  <c r="C128" i="58"/>
  <c r="F128" i="58"/>
  <c r="G128" i="58"/>
  <c r="H128" i="58"/>
  <c r="V128" i="58"/>
  <c r="W128" i="58"/>
  <c r="X128" i="58"/>
  <c r="C126" i="58"/>
  <c r="C127" i="58"/>
  <c r="F126" i="58"/>
  <c r="F127" i="58"/>
  <c r="G126" i="58"/>
  <c r="G127" i="58"/>
  <c r="H126" i="58"/>
  <c r="H127" i="58"/>
  <c r="V126" i="58"/>
  <c r="V127" i="58"/>
  <c r="W126" i="58"/>
  <c r="W127" i="58"/>
  <c r="X126" i="58"/>
  <c r="X127" i="58"/>
  <c r="C123" i="58"/>
  <c r="C124" i="58"/>
  <c r="C125" i="58"/>
  <c r="F123" i="58"/>
  <c r="F124" i="58"/>
  <c r="F125" i="58"/>
  <c r="G123" i="58"/>
  <c r="G124" i="58"/>
  <c r="G125" i="58"/>
  <c r="H123" i="58"/>
  <c r="H124" i="58"/>
  <c r="H125" i="58"/>
  <c r="V123" i="58"/>
  <c r="V124" i="58"/>
  <c r="V125" i="58"/>
  <c r="W123" i="58"/>
  <c r="W124" i="58"/>
  <c r="W125" i="58"/>
  <c r="X123" i="58"/>
  <c r="X124" i="58"/>
  <c r="X125" i="58"/>
  <c r="C122" i="58"/>
  <c r="F122" i="58"/>
  <c r="G122" i="58"/>
  <c r="H122" i="58"/>
  <c r="V122" i="58"/>
  <c r="W122" i="58"/>
  <c r="X122" i="58"/>
  <c r="C121" i="58"/>
  <c r="F121" i="58"/>
  <c r="G121" i="58"/>
  <c r="H121" i="58"/>
  <c r="V121" i="58"/>
  <c r="W121" i="58"/>
  <c r="X121" i="58"/>
  <c r="C119" i="58"/>
  <c r="C120" i="58"/>
  <c r="F119" i="58"/>
  <c r="F120" i="58"/>
  <c r="G119" i="58"/>
  <c r="G120" i="58"/>
  <c r="H119" i="58"/>
  <c r="H120" i="58"/>
  <c r="V119" i="58"/>
  <c r="V120" i="58"/>
  <c r="W119" i="58"/>
  <c r="W120" i="58"/>
  <c r="X119" i="58"/>
  <c r="X120" i="58"/>
  <c r="C102" i="58"/>
  <c r="C103" i="58"/>
  <c r="C104" i="58"/>
  <c r="C105" i="58"/>
  <c r="C106" i="58"/>
  <c r="C107" i="58"/>
  <c r="C108" i="58"/>
  <c r="C109" i="58"/>
  <c r="C110" i="58"/>
  <c r="C111" i="58"/>
  <c r="C112" i="58"/>
  <c r="C113" i="58"/>
  <c r="C114" i="58"/>
  <c r="C115" i="58"/>
  <c r="C116" i="58"/>
  <c r="C117" i="58"/>
  <c r="C118" i="58"/>
  <c r="F102" i="58"/>
  <c r="F103" i="58"/>
  <c r="F104" i="58"/>
  <c r="F105" i="58"/>
  <c r="F106" i="58"/>
  <c r="F107" i="58"/>
  <c r="F108" i="58"/>
  <c r="F109" i="58"/>
  <c r="F110" i="58"/>
  <c r="F111" i="58"/>
  <c r="F112" i="58"/>
  <c r="F113" i="58"/>
  <c r="F114" i="58"/>
  <c r="F115" i="58"/>
  <c r="F116" i="58"/>
  <c r="F117" i="58"/>
  <c r="F118" i="58"/>
  <c r="G102" i="58"/>
  <c r="G103" i="58"/>
  <c r="G104" i="58"/>
  <c r="G105" i="58"/>
  <c r="G106" i="58"/>
  <c r="G107" i="58"/>
  <c r="G108" i="58"/>
  <c r="G109" i="58"/>
  <c r="G110" i="58"/>
  <c r="G111" i="58"/>
  <c r="G112" i="58"/>
  <c r="G113" i="58"/>
  <c r="G114" i="58"/>
  <c r="G115" i="58"/>
  <c r="G116" i="58"/>
  <c r="G117" i="58"/>
  <c r="G118" i="58"/>
  <c r="H102" i="58"/>
  <c r="H103" i="58"/>
  <c r="H104" i="58"/>
  <c r="H105" i="58"/>
  <c r="H106" i="58"/>
  <c r="H107" i="58"/>
  <c r="H108" i="58"/>
  <c r="H109" i="58"/>
  <c r="H110" i="58"/>
  <c r="H111" i="58"/>
  <c r="H112" i="58"/>
  <c r="H113" i="58"/>
  <c r="H114" i="58"/>
  <c r="H115" i="58"/>
  <c r="H116" i="58"/>
  <c r="H117" i="58"/>
  <c r="H118" i="58"/>
  <c r="V102" i="58"/>
  <c r="V103" i="58"/>
  <c r="V104" i="58"/>
  <c r="V105" i="58"/>
  <c r="V106" i="58"/>
  <c r="V107" i="58"/>
  <c r="V108" i="58"/>
  <c r="V109" i="58"/>
  <c r="V110" i="58"/>
  <c r="V111" i="58"/>
  <c r="V112" i="58"/>
  <c r="V113" i="58"/>
  <c r="V114" i="58"/>
  <c r="V115" i="58"/>
  <c r="V116" i="58"/>
  <c r="V117" i="58"/>
  <c r="V118" i="58"/>
  <c r="W102" i="58"/>
  <c r="W103" i="58"/>
  <c r="W104" i="58"/>
  <c r="W105" i="58"/>
  <c r="W106" i="58"/>
  <c r="W107" i="58"/>
  <c r="W108" i="58"/>
  <c r="W109" i="58"/>
  <c r="W110" i="58"/>
  <c r="W111" i="58"/>
  <c r="W112" i="58"/>
  <c r="W113" i="58"/>
  <c r="W114" i="58"/>
  <c r="W115" i="58"/>
  <c r="W116" i="58"/>
  <c r="W117" i="58"/>
  <c r="W118" i="58"/>
  <c r="X102" i="58"/>
  <c r="X103" i="58"/>
  <c r="X104" i="58"/>
  <c r="X105" i="58"/>
  <c r="X106" i="58"/>
  <c r="X107" i="58"/>
  <c r="X108" i="58"/>
  <c r="X109" i="58"/>
  <c r="X110" i="58"/>
  <c r="X111" i="58"/>
  <c r="X112" i="58"/>
  <c r="X113" i="58"/>
  <c r="X114" i="58"/>
  <c r="X115" i="58"/>
  <c r="X116" i="58"/>
  <c r="X117" i="58"/>
  <c r="X118" i="58"/>
  <c r="D114" i="58" l="1"/>
  <c r="E114" i="58"/>
  <c r="E117" i="58"/>
  <c r="D117" i="58"/>
  <c r="E110" i="58"/>
  <c r="D110" i="58"/>
  <c r="D115" i="58"/>
  <c r="E115" i="58"/>
  <c r="E109" i="58"/>
  <c r="D109" i="58"/>
  <c r="E103" i="58"/>
  <c r="D103" i="58"/>
  <c r="D119" i="58"/>
  <c r="E119" i="58"/>
  <c r="D127" i="58"/>
  <c r="E127" i="58"/>
  <c r="D102" i="58"/>
  <c r="E102" i="58"/>
  <c r="D113" i="58"/>
  <c r="E113" i="58"/>
  <c r="D107" i="58"/>
  <c r="E107" i="58"/>
  <c r="E121" i="58"/>
  <c r="D121" i="58"/>
  <c r="E125" i="58"/>
  <c r="D125" i="58"/>
  <c r="E118" i="58"/>
  <c r="D118" i="58"/>
  <c r="D112" i="58"/>
  <c r="E112" i="58"/>
  <c r="D106" i="58"/>
  <c r="E106" i="58"/>
  <c r="E122" i="58"/>
  <c r="D122" i="58"/>
  <c r="E124" i="58"/>
  <c r="D124" i="58"/>
  <c r="D128" i="58"/>
  <c r="E128" i="58"/>
  <c r="D108" i="58"/>
  <c r="E108" i="58"/>
  <c r="E126" i="58"/>
  <c r="D126" i="58"/>
  <c r="D105" i="58"/>
  <c r="E105" i="58"/>
  <c r="D123" i="58"/>
  <c r="E123" i="58"/>
  <c r="E111" i="58"/>
  <c r="D111" i="58"/>
  <c r="E116" i="58"/>
  <c r="D116" i="58"/>
  <c r="D104" i="58"/>
  <c r="E104" i="58"/>
  <c r="E120" i="58"/>
  <c r="D120" i="58"/>
  <c r="Y128" i="58"/>
  <c r="Y127" i="58"/>
  <c r="Y122" i="58"/>
  <c r="Y123" i="58"/>
  <c r="Y126" i="58"/>
  <c r="Y125" i="58"/>
  <c r="Y124" i="58"/>
  <c r="Y111" i="58"/>
  <c r="Y104" i="58"/>
  <c r="Y114" i="58"/>
  <c r="Y108" i="58"/>
  <c r="Y119" i="58"/>
  <c r="Y121" i="58"/>
  <c r="Y117" i="58"/>
  <c r="Y120" i="58"/>
  <c r="Y115" i="58"/>
  <c r="Y109" i="58"/>
  <c r="Y113" i="58"/>
  <c r="Y102" i="58"/>
  <c r="Y118" i="58"/>
  <c r="Y112" i="58"/>
  <c r="Y116" i="58"/>
  <c r="Y110" i="58"/>
  <c r="Y103" i="58"/>
  <c r="Y107" i="58"/>
  <c r="Y106" i="58"/>
  <c r="Y105" i="58"/>
  <c r="C101" i="58" l="1"/>
  <c r="F101" i="58"/>
  <c r="G101" i="58"/>
  <c r="H101" i="58"/>
  <c r="V101" i="58"/>
  <c r="W101" i="58"/>
  <c r="X101" i="58"/>
  <c r="C100" i="58"/>
  <c r="F100" i="58"/>
  <c r="G100" i="58"/>
  <c r="H100" i="58"/>
  <c r="V100" i="58"/>
  <c r="W100" i="58"/>
  <c r="X100" i="58"/>
  <c r="C99" i="58"/>
  <c r="F99" i="58"/>
  <c r="G99" i="58"/>
  <c r="H99" i="58"/>
  <c r="V99" i="58"/>
  <c r="W99" i="58"/>
  <c r="X99" i="58"/>
  <c r="C98" i="58"/>
  <c r="F98" i="58"/>
  <c r="G98" i="58"/>
  <c r="H98" i="58"/>
  <c r="V98" i="58"/>
  <c r="W98" i="58"/>
  <c r="X98" i="58"/>
  <c r="C97" i="58"/>
  <c r="F97" i="58"/>
  <c r="G97" i="58"/>
  <c r="H97" i="58"/>
  <c r="V97" i="58"/>
  <c r="W97" i="58"/>
  <c r="X97" i="58"/>
  <c r="C96" i="58"/>
  <c r="F96" i="58"/>
  <c r="G96" i="58"/>
  <c r="H96" i="58"/>
  <c r="V96" i="58"/>
  <c r="W96" i="58"/>
  <c r="X96" i="58"/>
  <c r="C94" i="58"/>
  <c r="C95" i="58"/>
  <c r="F94" i="58"/>
  <c r="F95" i="58"/>
  <c r="G94" i="58"/>
  <c r="G95" i="58"/>
  <c r="H94" i="58"/>
  <c r="H95" i="58"/>
  <c r="V94" i="58"/>
  <c r="V95" i="58"/>
  <c r="W94" i="58"/>
  <c r="W95" i="58"/>
  <c r="X94" i="58"/>
  <c r="X95" i="58"/>
  <c r="C92" i="58"/>
  <c r="C93" i="58"/>
  <c r="F92" i="58"/>
  <c r="F93" i="58"/>
  <c r="G92" i="58"/>
  <c r="G93" i="58"/>
  <c r="H92" i="58"/>
  <c r="H93" i="58"/>
  <c r="V92" i="58"/>
  <c r="V93" i="58"/>
  <c r="W92" i="58"/>
  <c r="W93" i="58"/>
  <c r="X92" i="58"/>
  <c r="X93" i="58"/>
  <c r="C87" i="58"/>
  <c r="C88" i="58"/>
  <c r="C89" i="58"/>
  <c r="C90" i="58"/>
  <c r="C91" i="58"/>
  <c r="F87" i="58"/>
  <c r="F88" i="58"/>
  <c r="F89" i="58"/>
  <c r="F90" i="58"/>
  <c r="F91" i="58"/>
  <c r="G87" i="58"/>
  <c r="G88" i="58"/>
  <c r="G89" i="58"/>
  <c r="G90" i="58"/>
  <c r="G91" i="58"/>
  <c r="H87" i="58"/>
  <c r="H88" i="58"/>
  <c r="H89" i="58"/>
  <c r="H90" i="58"/>
  <c r="H91" i="58"/>
  <c r="V87" i="58"/>
  <c r="V88" i="58"/>
  <c r="V89" i="58"/>
  <c r="V90" i="58"/>
  <c r="V91" i="58"/>
  <c r="W87" i="58"/>
  <c r="W88" i="58"/>
  <c r="W89" i="58"/>
  <c r="W90" i="58"/>
  <c r="W91" i="58"/>
  <c r="X87" i="58"/>
  <c r="X88" i="58"/>
  <c r="X89" i="58"/>
  <c r="X90" i="58"/>
  <c r="X91" i="58"/>
  <c r="D92" i="58" l="1"/>
  <c r="E92" i="58"/>
  <c r="D87" i="58"/>
  <c r="E87" i="58"/>
  <c r="E95" i="58"/>
  <c r="D95" i="58"/>
  <c r="E94" i="58"/>
  <c r="D94" i="58"/>
  <c r="D100" i="58"/>
  <c r="E100" i="58"/>
  <c r="E91" i="58"/>
  <c r="D91" i="58"/>
  <c r="E90" i="58"/>
  <c r="D90" i="58"/>
  <c r="E96" i="58"/>
  <c r="D96" i="58"/>
  <c r="E89" i="58"/>
  <c r="D89" i="58"/>
  <c r="E93" i="58"/>
  <c r="D93" i="58"/>
  <c r="D97" i="58"/>
  <c r="E97" i="58"/>
  <c r="D101" i="58"/>
  <c r="E101" i="58"/>
  <c r="E88" i="58"/>
  <c r="D88" i="58"/>
  <c r="D98" i="58"/>
  <c r="E98" i="58"/>
  <c r="E99" i="58"/>
  <c r="D99" i="58"/>
  <c r="Y100" i="58"/>
  <c r="Y101" i="58"/>
  <c r="Y98" i="58"/>
  <c r="Y96" i="58"/>
  <c r="Y99" i="58"/>
  <c r="Y97" i="58"/>
  <c r="Y94" i="58"/>
  <c r="Y95" i="58"/>
  <c r="Y87" i="58"/>
  <c r="Y92" i="58"/>
  <c r="Y93" i="58"/>
  <c r="Y88" i="58"/>
  <c r="Y90" i="58"/>
  <c r="Y91" i="58"/>
  <c r="Y89" i="58"/>
  <c r="C86" i="58" l="1"/>
  <c r="F86" i="58"/>
  <c r="G86" i="58"/>
  <c r="H86" i="58"/>
  <c r="V86" i="58"/>
  <c r="W86" i="58"/>
  <c r="X86" i="58"/>
  <c r="C83" i="58"/>
  <c r="C84" i="58"/>
  <c r="C85" i="58"/>
  <c r="F83" i="58"/>
  <c r="F84" i="58"/>
  <c r="F85" i="58"/>
  <c r="G83" i="58"/>
  <c r="G84" i="58"/>
  <c r="G85" i="58"/>
  <c r="H83" i="58"/>
  <c r="H84" i="58"/>
  <c r="H85" i="58"/>
  <c r="V83" i="58"/>
  <c r="V84" i="58"/>
  <c r="V85" i="58"/>
  <c r="W83" i="58"/>
  <c r="W84" i="58"/>
  <c r="W85" i="58"/>
  <c r="X83" i="58"/>
  <c r="X84" i="58"/>
  <c r="X85" i="58"/>
  <c r="C82" i="58"/>
  <c r="F82" i="58"/>
  <c r="G82" i="58"/>
  <c r="H82" i="58"/>
  <c r="V82" i="58"/>
  <c r="W82" i="58"/>
  <c r="X82" i="58"/>
  <c r="C81" i="58"/>
  <c r="F81" i="58"/>
  <c r="G81" i="58"/>
  <c r="H81" i="58"/>
  <c r="V81" i="58"/>
  <c r="W81" i="58"/>
  <c r="X81" i="58"/>
  <c r="C79" i="58"/>
  <c r="C80" i="58"/>
  <c r="F79" i="58"/>
  <c r="F80" i="58"/>
  <c r="G79" i="58"/>
  <c r="G80" i="58"/>
  <c r="H79" i="58"/>
  <c r="H80" i="58"/>
  <c r="V79" i="58"/>
  <c r="V80" i="58"/>
  <c r="W79" i="58"/>
  <c r="W80" i="58"/>
  <c r="X79" i="58"/>
  <c r="X80" i="58"/>
  <c r="C78" i="58"/>
  <c r="F78" i="58"/>
  <c r="G78" i="58"/>
  <c r="H78" i="58"/>
  <c r="V78" i="58"/>
  <c r="W78" i="58"/>
  <c r="X78" i="58"/>
  <c r="C74" i="58"/>
  <c r="C75" i="58"/>
  <c r="C76" i="58"/>
  <c r="C77" i="58"/>
  <c r="F74" i="58"/>
  <c r="F75" i="58"/>
  <c r="F76" i="58"/>
  <c r="F77" i="58"/>
  <c r="G74" i="58"/>
  <c r="G75" i="58"/>
  <c r="G76" i="58"/>
  <c r="G77" i="58"/>
  <c r="H74" i="58"/>
  <c r="H75" i="58"/>
  <c r="H76" i="58"/>
  <c r="H77" i="58"/>
  <c r="V74" i="58"/>
  <c r="V75" i="58"/>
  <c r="V76" i="58"/>
  <c r="V77" i="58"/>
  <c r="W74" i="58"/>
  <c r="W75" i="58"/>
  <c r="W76" i="58"/>
  <c r="W77" i="58"/>
  <c r="X74" i="58"/>
  <c r="X75" i="58"/>
  <c r="X76" i="58"/>
  <c r="X77" i="58"/>
  <c r="C73" i="58"/>
  <c r="F73" i="58"/>
  <c r="G73" i="58"/>
  <c r="H73" i="58"/>
  <c r="V73" i="58"/>
  <c r="W73" i="58"/>
  <c r="X73" i="58"/>
  <c r="C72" i="58"/>
  <c r="F72" i="58"/>
  <c r="G72" i="58"/>
  <c r="H72" i="58"/>
  <c r="V72" i="58"/>
  <c r="W72" i="58"/>
  <c r="X72" i="58"/>
  <c r="C68" i="58"/>
  <c r="C69" i="58"/>
  <c r="C70" i="58"/>
  <c r="C71" i="58"/>
  <c r="F68" i="58"/>
  <c r="F69" i="58"/>
  <c r="F70" i="58"/>
  <c r="F71" i="58"/>
  <c r="G68" i="58"/>
  <c r="G69" i="58"/>
  <c r="G70" i="58"/>
  <c r="G71" i="58"/>
  <c r="H68" i="58"/>
  <c r="H69" i="58"/>
  <c r="H70" i="58"/>
  <c r="H71" i="58"/>
  <c r="V68" i="58"/>
  <c r="F110" i="65" s="1"/>
  <c r="V69" i="58"/>
  <c r="V70" i="58"/>
  <c r="V71" i="58"/>
  <c r="W68" i="58"/>
  <c r="M110" i="65" s="1"/>
  <c r="W69" i="58"/>
  <c r="W70" i="58"/>
  <c r="W71" i="58"/>
  <c r="X68" i="58"/>
  <c r="X69" i="58"/>
  <c r="X70" i="58"/>
  <c r="X71" i="58"/>
  <c r="C67" i="58"/>
  <c r="F67" i="58"/>
  <c r="G67" i="58"/>
  <c r="H67" i="58"/>
  <c r="V67" i="58"/>
  <c r="W67" i="58"/>
  <c r="X67" i="58"/>
  <c r="J110" i="65" l="1"/>
  <c r="N110" i="65"/>
  <c r="G110" i="65"/>
  <c r="D74" i="58"/>
  <c r="E74" i="58"/>
  <c r="E86" i="58"/>
  <c r="D86" i="58"/>
  <c r="D76" i="58"/>
  <c r="E76" i="58"/>
  <c r="E80" i="58"/>
  <c r="D80" i="58"/>
  <c r="D67" i="58"/>
  <c r="E67" i="58"/>
  <c r="D69" i="58"/>
  <c r="E69" i="58"/>
  <c r="D73" i="58"/>
  <c r="E73" i="58"/>
  <c r="E75" i="58"/>
  <c r="D75" i="58"/>
  <c r="D79" i="58"/>
  <c r="E79" i="58"/>
  <c r="E81" i="58"/>
  <c r="D81" i="58"/>
  <c r="D85" i="58"/>
  <c r="E85" i="58"/>
  <c r="E82" i="58"/>
  <c r="D82" i="58"/>
  <c r="E84" i="58"/>
  <c r="D84" i="58"/>
  <c r="E71" i="58"/>
  <c r="D71" i="58"/>
  <c r="E77" i="58"/>
  <c r="D77" i="58"/>
  <c r="D83" i="58"/>
  <c r="E83" i="58"/>
  <c r="E68" i="58"/>
  <c r="D68" i="58"/>
  <c r="E70" i="58"/>
  <c r="D70" i="58"/>
  <c r="E72" i="58"/>
  <c r="D72" i="58"/>
  <c r="D78" i="58"/>
  <c r="E78" i="58"/>
  <c r="Y82" i="58"/>
  <c r="Y86" i="58"/>
  <c r="Y85" i="58"/>
  <c r="Y83" i="58"/>
  <c r="Y71" i="58"/>
  <c r="Y79" i="58"/>
  <c r="Y77" i="58"/>
  <c r="Y76" i="58"/>
  <c r="Y74" i="58"/>
  <c r="Y67" i="58"/>
  <c r="Y72" i="58"/>
  <c r="Y78" i="58"/>
  <c r="Y68" i="58"/>
  <c r="Y75" i="58"/>
  <c r="Y73" i="58"/>
  <c r="Y70" i="58"/>
  <c r="Y69" i="58"/>
  <c r="L26" i="4"/>
  <c r="L28" i="4"/>
  <c r="L29" i="4"/>
  <c r="L33" i="4"/>
  <c r="L34" i="4"/>
  <c r="L35" i="4"/>
  <c r="L36" i="4"/>
  <c r="L38" i="4"/>
  <c r="L39" i="4"/>
  <c r="L42" i="4"/>
  <c r="L45" i="4"/>
  <c r="L46" i="4"/>
  <c r="L47" i="4"/>
  <c r="L48" i="4"/>
  <c r="L49" i="4"/>
  <c r="L50" i="4"/>
  <c r="L51" i="4"/>
  <c r="L52" i="4"/>
  <c r="L53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M26" i="4"/>
  <c r="M28" i="4"/>
  <c r="M29" i="4"/>
  <c r="M33" i="4"/>
  <c r="M34" i="4"/>
  <c r="M35" i="4"/>
  <c r="M36" i="4"/>
  <c r="M38" i="4"/>
  <c r="M39" i="4"/>
  <c r="M42" i="4"/>
  <c r="M45" i="4"/>
  <c r="M46" i="4"/>
  <c r="M47" i="4"/>
  <c r="M48" i="4"/>
  <c r="M49" i="4"/>
  <c r="M50" i="4"/>
  <c r="M51" i="4"/>
  <c r="M52" i="4"/>
  <c r="M53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N26" i="4"/>
  <c r="N28" i="4"/>
  <c r="N29" i="4"/>
  <c r="N33" i="4"/>
  <c r="N34" i="4"/>
  <c r="N35" i="4"/>
  <c r="N36" i="4"/>
  <c r="N38" i="4"/>
  <c r="N39" i="4"/>
  <c r="N42" i="4"/>
  <c r="N45" i="4"/>
  <c r="N46" i="4"/>
  <c r="N47" i="4"/>
  <c r="N48" i="4"/>
  <c r="N49" i="4"/>
  <c r="N50" i="4"/>
  <c r="N51" i="4"/>
  <c r="N52" i="4"/>
  <c r="N53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5" i="4"/>
  <c r="O110" i="65" l="1"/>
  <c r="Y81" i="58"/>
  <c r="Y84" i="58"/>
  <c r="Y80" i="58"/>
  <c r="C66" i="58"/>
  <c r="F66" i="58"/>
  <c r="G66" i="58"/>
  <c r="H66" i="58"/>
  <c r="V66" i="58"/>
  <c r="C61" i="58"/>
  <c r="C62" i="58"/>
  <c r="C63" i="58"/>
  <c r="C64" i="58"/>
  <c r="C65" i="58"/>
  <c r="F61" i="58"/>
  <c r="F62" i="58"/>
  <c r="F63" i="58"/>
  <c r="F64" i="58"/>
  <c r="F65" i="58"/>
  <c r="G61" i="58"/>
  <c r="G62" i="58"/>
  <c r="G63" i="58"/>
  <c r="G64" i="58"/>
  <c r="G65" i="58"/>
  <c r="H61" i="58"/>
  <c r="H62" i="58"/>
  <c r="H63" i="58"/>
  <c r="H64" i="58"/>
  <c r="H65" i="58"/>
  <c r="V61" i="58"/>
  <c r="V62" i="58"/>
  <c r="V63" i="58"/>
  <c r="V64" i="58"/>
  <c r="V65" i="58"/>
  <c r="F104" i="65" s="1"/>
  <c r="G104" i="65" s="1"/>
  <c r="W62" i="58"/>
  <c r="W63" i="58"/>
  <c r="W65" i="58"/>
  <c r="X62" i="58"/>
  <c r="X63" i="58"/>
  <c r="X65" i="58"/>
  <c r="C60" i="58"/>
  <c r="F60" i="58"/>
  <c r="G60" i="58"/>
  <c r="H60" i="58"/>
  <c r="V60" i="58"/>
  <c r="C59" i="58"/>
  <c r="F59" i="58"/>
  <c r="G59" i="58"/>
  <c r="H59" i="58"/>
  <c r="V59" i="58"/>
  <c r="C58" i="58"/>
  <c r="F58" i="58"/>
  <c r="G58" i="58"/>
  <c r="H58" i="58"/>
  <c r="V58" i="58"/>
  <c r="C57" i="58"/>
  <c r="F57" i="58"/>
  <c r="G57" i="58"/>
  <c r="H57" i="58"/>
  <c r="V57" i="58"/>
  <c r="W57" i="58"/>
  <c r="X57" i="58"/>
  <c r="C56" i="58"/>
  <c r="F56" i="58"/>
  <c r="G56" i="58"/>
  <c r="H56" i="58"/>
  <c r="V56" i="58"/>
  <c r="W56" i="58"/>
  <c r="X56" i="58"/>
  <c r="C55" i="58"/>
  <c r="F55" i="58"/>
  <c r="G55" i="58"/>
  <c r="H55" i="58"/>
  <c r="V55" i="58"/>
  <c r="W55" i="58"/>
  <c r="X55" i="58"/>
  <c r="C54" i="58"/>
  <c r="F54" i="58"/>
  <c r="G54" i="58"/>
  <c r="H54" i="58"/>
  <c r="V54" i="58"/>
  <c r="W54" i="58"/>
  <c r="X54" i="58"/>
  <c r="C51" i="58"/>
  <c r="C52" i="58"/>
  <c r="C53" i="58"/>
  <c r="F51" i="58"/>
  <c r="F52" i="58"/>
  <c r="F53" i="58"/>
  <c r="G51" i="58"/>
  <c r="G52" i="58"/>
  <c r="G53" i="58"/>
  <c r="H51" i="58"/>
  <c r="H52" i="58"/>
  <c r="H53" i="58"/>
  <c r="V51" i="58"/>
  <c r="V52" i="58"/>
  <c r="V53" i="58"/>
  <c r="W51" i="58"/>
  <c r="W52" i="58"/>
  <c r="W53" i="58"/>
  <c r="X51" i="58"/>
  <c r="X52" i="58"/>
  <c r="X53" i="58"/>
  <c r="C50" i="58"/>
  <c r="F50" i="58"/>
  <c r="G50" i="58"/>
  <c r="H50" i="58"/>
  <c r="V50" i="58"/>
  <c r="W50" i="58"/>
  <c r="X50" i="58"/>
  <c r="C49" i="58"/>
  <c r="F49" i="58"/>
  <c r="G49" i="58"/>
  <c r="H49" i="58"/>
  <c r="V49" i="58"/>
  <c r="W49" i="58"/>
  <c r="X49" i="58"/>
  <c r="C48" i="58"/>
  <c r="F48" i="58"/>
  <c r="G48" i="58"/>
  <c r="H48" i="58"/>
  <c r="V48" i="58"/>
  <c r="W48" i="58"/>
  <c r="X48" i="58"/>
  <c r="X59" i="58" l="1"/>
  <c r="M16" i="4"/>
  <c r="X61" i="58"/>
  <c r="W60" i="58"/>
  <c r="W64" i="58"/>
  <c r="L21" i="4"/>
  <c r="W66" i="58"/>
  <c r="L23" i="4"/>
  <c r="X64" i="58"/>
  <c r="M21" i="4"/>
  <c r="X58" i="58"/>
  <c r="M15" i="4"/>
  <c r="W61" i="58"/>
  <c r="W58" i="58"/>
  <c r="L15" i="4"/>
  <c r="W59" i="58"/>
  <c r="L16" i="4"/>
  <c r="X60" i="58"/>
  <c r="X66" i="58"/>
  <c r="M23" i="4"/>
  <c r="F100" i="65"/>
  <c r="G100" i="65" s="1"/>
  <c r="M100" i="65"/>
  <c r="J100" i="65"/>
  <c r="N100" i="65"/>
  <c r="M104" i="65"/>
  <c r="I110" i="65"/>
  <c r="N104" i="65"/>
  <c r="J104" i="65"/>
  <c r="F91" i="65"/>
  <c r="G91" i="65" s="1"/>
  <c r="M91" i="65"/>
  <c r="M90" i="65"/>
  <c r="M89" i="65"/>
  <c r="F90" i="65"/>
  <c r="G90" i="65" s="1"/>
  <c r="J91" i="65"/>
  <c r="N91" i="65"/>
  <c r="F89" i="65"/>
  <c r="G89" i="65" s="1"/>
  <c r="N89" i="65"/>
  <c r="J89" i="65"/>
  <c r="J90" i="65"/>
  <c r="N90" i="65"/>
  <c r="F102" i="65"/>
  <c r="G102" i="65" s="1"/>
  <c r="F101" i="65"/>
  <c r="G101" i="65" s="1"/>
  <c r="M101" i="65"/>
  <c r="M102" i="65"/>
  <c r="N101" i="65"/>
  <c r="J101" i="65"/>
  <c r="N102" i="65"/>
  <c r="J102" i="65"/>
  <c r="E60" i="58"/>
  <c r="D60" i="58"/>
  <c r="D50" i="58"/>
  <c r="E50" i="58"/>
  <c r="D51" i="58"/>
  <c r="E51" i="58"/>
  <c r="E57" i="58"/>
  <c r="D57" i="58"/>
  <c r="D65" i="58"/>
  <c r="E65" i="58"/>
  <c r="D64" i="58"/>
  <c r="E64" i="58"/>
  <c r="E59" i="58"/>
  <c r="D59" i="58"/>
  <c r="E63" i="58"/>
  <c r="D63" i="58"/>
  <c r="D62" i="58"/>
  <c r="E62" i="58"/>
  <c r="D66" i="58"/>
  <c r="E66" i="58"/>
  <c r="E58" i="58"/>
  <c r="D58" i="58"/>
  <c r="E54" i="58"/>
  <c r="D54" i="58"/>
  <c r="E49" i="58"/>
  <c r="D49" i="58"/>
  <c r="D53" i="58"/>
  <c r="E53" i="58"/>
  <c r="D55" i="58"/>
  <c r="E55" i="58"/>
  <c r="D61" i="58"/>
  <c r="E61" i="58"/>
  <c r="D48" i="58"/>
  <c r="E48" i="58"/>
  <c r="E52" i="58"/>
  <c r="D52" i="58"/>
  <c r="D56" i="58"/>
  <c r="E56" i="58"/>
  <c r="Y63" i="58"/>
  <c r="Y65" i="58"/>
  <c r="Y62" i="58"/>
  <c r="Y57" i="58"/>
  <c r="Y56" i="58"/>
  <c r="Y53" i="58"/>
  <c r="Y55" i="58"/>
  <c r="Y54" i="58"/>
  <c r="Y52" i="58"/>
  <c r="Y51" i="58"/>
  <c r="Y50" i="58"/>
  <c r="Y49" i="58"/>
  <c r="Y48" i="58"/>
  <c r="Y60" i="58" l="1"/>
  <c r="Y66" i="58"/>
  <c r="N23" i="4"/>
  <c r="Y64" i="58"/>
  <c r="N21" i="4"/>
  <c r="Y58" i="58"/>
  <c r="N15" i="4"/>
  <c r="Y59" i="58"/>
  <c r="N16" i="4"/>
  <c r="Y61" i="58"/>
  <c r="O100" i="65"/>
  <c r="I100" i="65" s="1"/>
  <c r="O104" i="65"/>
  <c r="I104" i="65" s="1"/>
  <c r="O90" i="65"/>
  <c r="I90" i="65" s="1"/>
  <c r="O91" i="65"/>
  <c r="I91" i="65" s="1"/>
  <c r="O89" i="65"/>
  <c r="I89" i="65" s="1"/>
  <c r="O102" i="65"/>
  <c r="I102" i="65" s="1"/>
  <c r="O101" i="65"/>
  <c r="I101" i="65" s="1"/>
  <c r="C46" i="58"/>
  <c r="C47" i="58"/>
  <c r="F46" i="58"/>
  <c r="F47" i="58"/>
  <c r="G46" i="58"/>
  <c r="G47" i="58"/>
  <c r="H46" i="58"/>
  <c r="H47" i="58"/>
  <c r="V46" i="58"/>
  <c r="V47" i="58"/>
  <c r="F98" i="65" s="1"/>
  <c r="G98" i="65" s="1"/>
  <c r="C45" i="58"/>
  <c r="F45" i="58"/>
  <c r="G45" i="58"/>
  <c r="H45" i="58"/>
  <c r="V45" i="58"/>
  <c r="C42" i="58"/>
  <c r="C43" i="58"/>
  <c r="C44" i="58"/>
  <c r="F42" i="58"/>
  <c r="F43" i="58"/>
  <c r="F44" i="58"/>
  <c r="G42" i="58"/>
  <c r="G43" i="58"/>
  <c r="G44" i="58"/>
  <c r="H42" i="58"/>
  <c r="H43" i="58"/>
  <c r="H44" i="58"/>
  <c r="V42" i="58"/>
  <c r="V43" i="58"/>
  <c r="V44" i="58"/>
  <c r="C41" i="58"/>
  <c r="F41" i="58"/>
  <c r="G41" i="58"/>
  <c r="H41" i="58"/>
  <c r="V41" i="58"/>
  <c r="F103" i="65" s="1"/>
  <c r="C40" i="58"/>
  <c r="F40" i="58"/>
  <c r="E40" i="58" s="1"/>
  <c r="G40" i="58"/>
  <c r="H40" i="58"/>
  <c r="V40" i="58"/>
  <c r="F99" i="65" l="1"/>
  <c r="G99" i="65" s="1"/>
  <c r="F96" i="65"/>
  <c r="G96" i="65" s="1"/>
  <c r="D90" i="64"/>
  <c r="E90" i="64" s="1"/>
  <c r="F97" i="65"/>
  <c r="G97" i="65" s="1"/>
  <c r="F95" i="65"/>
  <c r="G95" i="65" s="1"/>
  <c r="F94" i="65"/>
  <c r="G94" i="65" s="1"/>
  <c r="F92" i="65"/>
  <c r="G92" i="65" s="1"/>
  <c r="F93" i="65"/>
  <c r="G93" i="65" s="1"/>
  <c r="G103" i="65"/>
  <c r="F88" i="65"/>
  <c r="F87" i="65"/>
  <c r="D91" i="64"/>
  <c r="E91" i="64" s="1"/>
  <c r="D89" i="64"/>
  <c r="E89" i="64" s="1"/>
  <c r="D92" i="64"/>
  <c r="E92" i="64" s="1"/>
  <c r="D93" i="64"/>
  <c r="E93" i="64" s="1"/>
  <c r="D87" i="64"/>
  <c r="F116" i="64"/>
  <c r="D116" i="64"/>
  <c r="D115" i="64"/>
  <c r="C114" i="64"/>
  <c r="F112" i="64"/>
  <c r="D111" i="64"/>
  <c r="F110" i="64"/>
  <c r="C116" i="64"/>
  <c r="C115" i="64"/>
  <c r="D113" i="64"/>
  <c r="D112" i="64"/>
  <c r="C111" i="64"/>
  <c r="C113" i="64"/>
  <c r="C112" i="64"/>
  <c r="D110" i="64"/>
  <c r="C110" i="64"/>
  <c r="F114" i="64"/>
  <c r="F115" i="64"/>
  <c r="D114" i="64"/>
  <c r="F113" i="64"/>
  <c r="F111" i="64"/>
  <c r="F106" i="64"/>
  <c r="K104" i="64"/>
  <c r="K103" i="64"/>
  <c r="F107" i="64"/>
  <c r="D106" i="64"/>
  <c r="F105" i="64"/>
  <c r="F103" i="64"/>
  <c r="K101" i="64"/>
  <c r="K100" i="64"/>
  <c r="L98" i="64"/>
  <c r="L97" i="64"/>
  <c r="C96" i="64"/>
  <c r="D107" i="64"/>
  <c r="C107" i="64"/>
  <c r="K105" i="64"/>
  <c r="C105" i="64"/>
  <c r="C104" i="64"/>
  <c r="L102" i="64"/>
  <c r="D102" i="64"/>
  <c r="D101" i="64"/>
  <c r="C100" i="64"/>
  <c r="F98" i="64"/>
  <c r="D97" i="64"/>
  <c r="F96" i="64"/>
  <c r="D103" i="64"/>
  <c r="L101" i="64"/>
  <c r="D100" i="64"/>
  <c r="C99" i="64"/>
  <c r="F97" i="64"/>
  <c r="D96" i="64"/>
  <c r="D105" i="64"/>
  <c r="C103" i="64"/>
  <c r="L99" i="64"/>
  <c r="K98" i="64"/>
  <c r="C97" i="64"/>
  <c r="L104" i="64"/>
  <c r="K102" i="64"/>
  <c r="F101" i="64"/>
  <c r="K99" i="64"/>
  <c r="C106" i="64"/>
  <c r="F104" i="64"/>
  <c r="F102" i="64"/>
  <c r="C101" i="64"/>
  <c r="D98" i="64"/>
  <c r="L103" i="64"/>
  <c r="C102" i="64"/>
  <c r="F100" i="64"/>
  <c r="D99" i="64"/>
  <c r="K97" i="64"/>
  <c r="F99" i="64"/>
  <c r="C98" i="64"/>
  <c r="L105" i="64"/>
  <c r="D104" i="64"/>
  <c r="L100" i="64"/>
  <c r="A2" i="58"/>
  <c r="D47" i="58"/>
  <c r="E47" i="58"/>
  <c r="M10" i="4"/>
  <c r="X45" i="58"/>
  <c r="E41" i="58"/>
  <c r="D41" i="58"/>
  <c r="L8" i="4"/>
  <c r="W43" i="58"/>
  <c r="L10" i="4"/>
  <c r="W45" i="58"/>
  <c r="M8" i="4"/>
  <c r="X43" i="58"/>
  <c r="W46" i="58"/>
  <c r="M7" i="4"/>
  <c r="X42" i="58"/>
  <c r="L115" i="64" s="1"/>
  <c r="E45" i="58"/>
  <c r="D45" i="58"/>
  <c r="D44" i="58"/>
  <c r="E44" i="58"/>
  <c r="E43" i="58"/>
  <c r="D43" i="58"/>
  <c r="M12" i="4"/>
  <c r="X47" i="58"/>
  <c r="X41" i="58"/>
  <c r="D42" i="58"/>
  <c r="E42" i="58"/>
  <c r="X46" i="58"/>
  <c r="D40" i="58"/>
  <c r="L9" i="4"/>
  <c r="W44" i="58"/>
  <c r="E46" i="58"/>
  <c r="D46" i="58"/>
  <c r="M5" i="4"/>
  <c r="X40" i="58"/>
  <c r="L5" i="4"/>
  <c r="W40" i="58"/>
  <c r="L7" i="4"/>
  <c r="W42" i="58"/>
  <c r="L6" i="4"/>
  <c r="W41" i="58"/>
  <c r="M9" i="4"/>
  <c r="X44" i="58"/>
  <c r="L12" i="4"/>
  <c r="W47" i="58"/>
  <c r="M98" i="65" s="1"/>
  <c r="L96" i="64" l="1"/>
  <c r="K96" i="64"/>
  <c r="L11" i="4"/>
  <c r="AH5" i="71"/>
  <c r="G88" i="65"/>
  <c r="M99" i="65"/>
  <c r="J99" i="65"/>
  <c r="N99" i="65"/>
  <c r="K115" i="64"/>
  <c r="M115" i="64" s="1"/>
  <c r="N115" i="64" s="1"/>
  <c r="N97" i="65"/>
  <c r="J97" i="65"/>
  <c r="K90" i="64"/>
  <c r="M96" i="65"/>
  <c r="J98" i="65"/>
  <c r="N98" i="65"/>
  <c r="O98" i="65" s="1"/>
  <c r="I98" i="65" s="1"/>
  <c r="M97" i="65"/>
  <c r="L90" i="64"/>
  <c r="H90" i="64"/>
  <c r="N96" i="65"/>
  <c r="O96" i="65" s="1"/>
  <c r="I96" i="65" s="1"/>
  <c r="J96" i="65"/>
  <c r="N87" i="65"/>
  <c r="J87" i="65"/>
  <c r="G87" i="65"/>
  <c r="F27" i="4" s="1"/>
  <c r="M95" i="65"/>
  <c r="J94" i="65"/>
  <c r="N94" i="65"/>
  <c r="N95" i="65"/>
  <c r="J95" i="65"/>
  <c r="M94" i="65"/>
  <c r="L116" i="64"/>
  <c r="L110" i="64"/>
  <c r="J93" i="65"/>
  <c r="N93" i="65"/>
  <c r="M93" i="65"/>
  <c r="M92" i="65"/>
  <c r="K116" i="64"/>
  <c r="K114" i="64"/>
  <c r="M103" i="65"/>
  <c r="J92" i="65"/>
  <c r="N92" i="65"/>
  <c r="L114" i="64"/>
  <c r="J103" i="65"/>
  <c r="N103" i="65"/>
  <c r="F84" i="65"/>
  <c r="G84" i="65" s="1"/>
  <c r="N88" i="65"/>
  <c r="J88" i="65"/>
  <c r="M88" i="65"/>
  <c r="M87" i="65"/>
  <c r="J84" i="65"/>
  <c r="E114" i="64"/>
  <c r="M101" i="64"/>
  <c r="N101" i="64" s="1"/>
  <c r="K89" i="64"/>
  <c r="K112" i="64"/>
  <c r="K91" i="64"/>
  <c r="K110" i="64"/>
  <c r="L112" i="64"/>
  <c r="K113" i="64"/>
  <c r="K107" i="64"/>
  <c r="L92" i="64"/>
  <c r="H92" i="64"/>
  <c r="K92" i="64"/>
  <c r="L89" i="64"/>
  <c r="H89" i="64"/>
  <c r="L113" i="64"/>
  <c r="L91" i="64"/>
  <c r="H91" i="64"/>
  <c r="L107" i="64"/>
  <c r="E104" i="64"/>
  <c r="M100" i="64"/>
  <c r="E100" i="64"/>
  <c r="M105" i="64"/>
  <c r="G105" i="64" s="1"/>
  <c r="E96" i="64"/>
  <c r="K93" i="64"/>
  <c r="E103" i="64"/>
  <c r="L106" i="64"/>
  <c r="M103" i="64"/>
  <c r="M96" i="64"/>
  <c r="M99" i="64"/>
  <c r="N99" i="64" s="1"/>
  <c r="M102" i="64"/>
  <c r="K87" i="64"/>
  <c r="L87" i="64"/>
  <c r="H87" i="64"/>
  <c r="M104" i="64"/>
  <c r="E105" i="64"/>
  <c r="E101" i="64"/>
  <c r="M97" i="64"/>
  <c r="E106" i="64"/>
  <c r="H110" i="64"/>
  <c r="J110" i="64"/>
  <c r="I110" i="64"/>
  <c r="H114" i="64"/>
  <c r="I114" i="64"/>
  <c r="J114" i="64"/>
  <c r="L93" i="64"/>
  <c r="H93" i="64"/>
  <c r="H84" i="64"/>
  <c r="H102" i="64"/>
  <c r="J102" i="64"/>
  <c r="I102" i="64"/>
  <c r="H106" i="64"/>
  <c r="I106" i="64"/>
  <c r="J106" i="64"/>
  <c r="K106" i="64"/>
  <c r="E102" i="64"/>
  <c r="M98" i="64"/>
  <c r="E110" i="64"/>
  <c r="H115" i="64"/>
  <c r="J115" i="64"/>
  <c r="I115" i="64"/>
  <c r="E115" i="64"/>
  <c r="D181" i="61"/>
  <c r="D187" i="61"/>
  <c r="D193" i="61"/>
  <c r="D199" i="61"/>
  <c r="D205" i="61"/>
  <c r="D211" i="61"/>
  <c r="D217" i="61"/>
  <c r="D223" i="61"/>
  <c r="D229" i="61"/>
  <c r="D235" i="61"/>
  <c r="D241" i="61"/>
  <c r="D247" i="61"/>
  <c r="D253" i="61"/>
  <c r="E181" i="61"/>
  <c r="E187" i="61"/>
  <c r="E193" i="61"/>
  <c r="E199" i="61"/>
  <c r="E205" i="61"/>
  <c r="E211" i="61"/>
  <c r="E217" i="61"/>
  <c r="E223" i="61"/>
  <c r="E229" i="61"/>
  <c r="E235" i="61"/>
  <c r="E241" i="61"/>
  <c r="E247" i="61"/>
  <c r="E253" i="61"/>
  <c r="F181" i="61"/>
  <c r="F187" i="61"/>
  <c r="F193" i="61"/>
  <c r="F199" i="61"/>
  <c r="F205" i="61"/>
  <c r="F211" i="61"/>
  <c r="F217" i="61"/>
  <c r="F223" i="61"/>
  <c r="F229" i="61"/>
  <c r="F235" i="61"/>
  <c r="F241" i="61"/>
  <c r="F247" i="61"/>
  <c r="F253" i="61"/>
  <c r="D178" i="61"/>
  <c r="D184" i="61"/>
  <c r="D190" i="61"/>
  <c r="D196" i="61"/>
  <c r="D202" i="61"/>
  <c r="D208" i="61"/>
  <c r="D214" i="61"/>
  <c r="D220" i="61"/>
  <c r="D226" i="61"/>
  <c r="D232" i="61"/>
  <c r="D238" i="61"/>
  <c r="D244" i="61"/>
  <c r="D250" i="61"/>
  <c r="E178" i="61"/>
  <c r="E184" i="61"/>
  <c r="E190" i="61"/>
  <c r="E196" i="61"/>
  <c r="E202" i="61"/>
  <c r="E208" i="61"/>
  <c r="E214" i="61"/>
  <c r="E220" i="61"/>
  <c r="E226" i="61"/>
  <c r="E232" i="61"/>
  <c r="E238" i="61"/>
  <c r="E244" i="61"/>
  <c r="E250" i="61"/>
  <c r="F178" i="61"/>
  <c r="F184" i="61"/>
  <c r="F190" i="61"/>
  <c r="F196" i="61"/>
  <c r="F202" i="61"/>
  <c r="F208" i="61"/>
  <c r="F214" i="61"/>
  <c r="F220" i="61"/>
  <c r="F226" i="61"/>
  <c r="F232" i="61"/>
  <c r="F238" i="61"/>
  <c r="F244" i="61"/>
  <c r="F250" i="61"/>
  <c r="D185" i="61"/>
  <c r="D194" i="61"/>
  <c r="D203" i="61"/>
  <c r="D212" i="61"/>
  <c r="D221" i="61"/>
  <c r="D230" i="61"/>
  <c r="D239" i="61"/>
  <c r="D248" i="61"/>
  <c r="E179" i="61"/>
  <c r="E188" i="61"/>
  <c r="E197" i="61"/>
  <c r="E206" i="61"/>
  <c r="E215" i="61"/>
  <c r="E224" i="61"/>
  <c r="E233" i="61"/>
  <c r="E242" i="61"/>
  <c r="E251" i="61"/>
  <c r="F182" i="61"/>
  <c r="F191" i="61"/>
  <c r="F200" i="61"/>
  <c r="F209" i="61"/>
  <c r="F218" i="61"/>
  <c r="F227" i="61"/>
  <c r="D186" i="61"/>
  <c r="D195" i="61"/>
  <c r="D204" i="61"/>
  <c r="D213" i="61"/>
  <c r="D222" i="61"/>
  <c r="D231" i="61"/>
  <c r="D240" i="61"/>
  <c r="D249" i="61"/>
  <c r="E180" i="61"/>
  <c r="E189" i="61"/>
  <c r="E198" i="61"/>
  <c r="E207" i="61"/>
  <c r="E216" i="61"/>
  <c r="D179" i="61"/>
  <c r="D188" i="61"/>
  <c r="D197" i="61"/>
  <c r="D206" i="61"/>
  <c r="D215" i="61"/>
  <c r="D224" i="61"/>
  <c r="D233" i="61"/>
  <c r="D242" i="61"/>
  <c r="D251" i="61"/>
  <c r="E182" i="61"/>
  <c r="E191" i="61"/>
  <c r="E200" i="61"/>
  <c r="E209" i="61"/>
  <c r="E218" i="61"/>
  <c r="E227" i="61"/>
  <c r="E236" i="61"/>
  <c r="E245" i="61"/>
  <c r="E254" i="61"/>
  <c r="F185" i="61"/>
  <c r="F194" i="61"/>
  <c r="F203" i="61"/>
  <c r="F212" i="61"/>
  <c r="F221" i="61"/>
  <c r="F230" i="61"/>
  <c r="F239" i="61"/>
  <c r="F248" i="61"/>
  <c r="K179" i="61"/>
  <c r="K185" i="61"/>
  <c r="K191" i="61"/>
  <c r="K197" i="61"/>
  <c r="K203" i="61"/>
  <c r="K209" i="61"/>
  <c r="K215" i="61"/>
  <c r="K221" i="61"/>
  <c r="K227" i="61"/>
  <c r="K233" i="61"/>
  <c r="D180" i="61"/>
  <c r="D189" i="61"/>
  <c r="D198" i="61"/>
  <c r="D207" i="61"/>
  <c r="D216" i="61"/>
  <c r="D225" i="61"/>
  <c r="D234" i="61"/>
  <c r="D243" i="61"/>
  <c r="D252" i="61"/>
  <c r="E183" i="61"/>
  <c r="E192" i="61"/>
  <c r="E201" i="61"/>
  <c r="E210" i="61"/>
  <c r="E219" i="61"/>
  <c r="E228" i="61"/>
  <c r="E237" i="61"/>
  <c r="E246" i="61"/>
  <c r="E255" i="61"/>
  <c r="F186" i="61"/>
  <c r="F195" i="61"/>
  <c r="F204" i="61"/>
  <c r="F213" i="61"/>
  <c r="F222" i="61"/>
  <c r="F231" i="61"/>
  <c r="F240" i="61"/>
  <c r="F249" i="61"/>
  <c r="K180" i="61"/>
  <c r="K186" i="61"/>
  <c r="K192" i="61"/>
  <c r="K198" i="61"/>
  <c r="K204" i="61"/>
  <c r="K210" i="61"/>
  <c r="K216" i="61"/>
  <c r="K222" i="61"/>
  <c r="K228" i="61"/>
  <c r="K234" i="61"/>
  <c r="D183" i="61"/>
  <c r="D192" i="61"/>
  <c r="D201" i="61"/>
  <c r="D210" i="61"/>
  <c r="D219" i="61"/>
  <c r="D228" i="61"/>
  <c r="D237" i="61"/>
  <c r="D246" i="61"/>
  <c r="D255" i="61"/>
  <c r="E186" i="61"/>
  <c r="E195" i="61"/>
  <c r="E204" i="61"/>
  <c r="E213" i="61"/>
  <c r="E222" i="61"/>
  <c r="E231" i="61"/>
  <c r="E240" i="61"/>
  <c r="E249" i="61"/>
  <c r="F180" i="61"/>
  <c r="F189" i="61"/>
  <c r="F198" i="61"/>
  <c r="F207" i="61"/>
  <c r="F216" i="61"/>
  <c r="F225" i="61"/>
  <c r="F234" i="61"/>
  <c r="F243" i="61"/>
  <c r="F252" i="61"/>
  <c r="K182" i="61"/>
  <c r="K188" i="61"/>
  <c r="K194" i="61"/>
  <c r="K200" i="61"/>
  <c r="K206" i="61"/>
  <c r="K212" i="61"/>
  <c r="K218" i="61"/>
  <c r="K224" i="61"/>
  <c r="K230" i="61"/>
  <c r="K236" i="61"/>
  <c r="K242" i="61"/>
  <c r="K248" i="61"/>
  <c r="D191" i="61"/>
  <c r="D245" i="61"/>
  <c r="E221" i="61"/>
  <c r="E248" i="61"/>
  <c r="F197" i="61"/>
  <c r="F224" i="61"/>
  <c r="F245" i="61"/>
  <c r="K183" i="61"/>
  <c r="K195" i="61"/>
  <c r="K207" i="61"/>
  <c r="K219" i="61"/>
  <c r="K231" i="61"/>
  <c r="K240" i="61"/>
  <c r="K247" i="61"/>
  <c r="K254" i="61"/>
  <c r="L182" i="61"/>
  <c r="L188" i="61"/>
  <c r="L194" i="61"/>
  <c r="L200" i="61"/>
  <c r="L206" i="61"/>
  <c r="L212" i="61"/>
  <c r="L218" i="61"/>
  <c r="L224" i="61"/>
  <c r="L230" i="61"/>
  <c r="L236" i="61"/>
  <c r="L242" i="61"/>
  <c r="L248" i="61"/>
  <c r="L254" i="61"/>
  <c r="D200" i="61"/>
  <c r="D254" i="61"/>
  <c r="E225" i="61"/>
  <c r="E252" i="61"/>
  <c r="F201" i="61"/>
  <c r="F228" i="61"/>
  <c r="F246" i="61"/>
  <c r="K184" i="61"/>
  <c r="K196" i="61"/>
  <c r="K208" i="61"/>
  <c r="K220" i="61"/>
  <c r="K232" i="61"/>
  <c r="K241" i="61"/>
  <c r="K249" i="61"/>
  <c r="K255" i="61"/>
  <c r="L183" i="61"/>
  <c r="M183" i="61" s="1"/>
  <c r="L189" i="61"/>
  <c r="L195" i="61"/>
  <c r="L201" i="61"/>
  <c r="L207" i="61"/>
  <c r="L213" i="61"/>
  <c r="L219" i="61"/>
  <c r="L225" i="61"/>
  <c r="L231" i="61"/>
  <c r="L237" i="61"/>
  <c r="L243" i="61"/>
  <c r="L249" i="61"/>
  <c r="L255" i="61"/>
  <c r="D209" i="61"/>
  <c r="E185" i="61"/>
  <c r="E230" i="61"/>
  <c r="F179" i="61"/>
  <c r="F206" i="61"/>
  <c r="F233" i="61"/>
  <c r="F251" i="61"/>
  <c r="K187" i="61"/>
  <c r="K199" i="61"/>
  <c r="K211" i="61"/>
  <c r="K223" i="61"/>
  <c r="K235" i="61"/>
  <c r="K243" i="61"/>
  <c r="K250" i="61"/>
  <c r="L178" i="61"/>
  <c r="L184" i="61"/>
  <c r="L190" i="61"/>
  <c r="L196" i="61"/>
  <c r="L202" i="61"/>
  <c r="L208" i="61"/>
  <c r="L214" i="61"/>
  <c r="L220" i="61"/>
  <c r="L226" i="61"/>
  <c r="L232" i="61"/>
  <c r="L238" i="61"/>
  <c r="L244" i="61"/>
  <c r="L250" i="61"/>
  <c r="D218" i="61"/>
  <c r="E194" i="61"/>
  <c r="E234" i="61"/>
  <c r="F183" i="61"/>
  <c r="F210" i="61"/>
  <c r="F236" i="61"/>
  <c r="F254" i="61"/>
  <c r="K189" i="61"/>
  <c r="K201" i="61"/>
  <c r="K213" i="61"/>
  <c r="K225" i="61"/>
  <c r="K237" i="61"/>
  <c r="K244" i="61"/>
  <c r="K251" i="61"/>
  <c r="L179" i="61"/>
  <c r="L185" i="61"/>
  <c r="L191" i="61"/>
  <c r="L197" i="61"/>
  <c r="L203" i="61"/>
  <c r="L209" i="61"/>
  <c r="L215" i="61"/>
  <c r="L221" i="61"/>
  <c r="L227" i="61"/>
  <c r="L233" i="61"/>
  <c r="L239" i="61"/>
  <c r="L245" i="61"/>
  <c r="L251" i="61"/>
  <c r="D227" i="61"/>
  <c r="E203" i="61"/>
  <c r="E239" i="61"/>
  <c r="F188" i="61"/>
  <c r="F215" i="61"/>
  <c r="F237" i="61"/>
  <c r="F255" i="61"/>
  <c r="K178" i="61"/>
  <c r="K190" i="61"/>
  <c r="D182" i="61"/>
  <c r="D236" i="61"/>
  <c r="E212" i="61"/>
  <c r="E243" i="61"/>
  <c r="F192" i="61"/>
  <c r="F219" i="61"/>
  <c r="F242" i="61"/>
  <c r="K181" i="61"/>
  <c r="K193" i="61"/>
  <c r="K205" i="61"/>
  <c r="K217" i="61"/>
  <c r="K229" i="61"/>
  <c r="K239" i="61"/>
  <c r="K246" i="61"/>
  <c r="K253" i="61"/>
  <c r="L181" i="61"/>
  <c r="L187" i="61"/>
  <c r="L193" i="61"/>
  <c r="L199" i="61"/>
  <c r="L205" i="61"/>
  <c r="L211" i="61"/>
  <c r="L217" i="61"/>
  <c r="L223" i="61"/>
  <c r="L229" i="61"/>
  <c r="M229" i="61" s="1"/>
  <c r="L235" i="61"/>
  <c r="L241" i="61"/>
  <c r="L247" i="61"/>
  <c r="M247" i="61" s="1"/>
  <c r="L253" i="61"/>
  <c r="K226" i="61"/>
  <c r="L192" i="61"/>
  <c r="L228" i="61"/>
  <c r="K238" i="61"/>
  <c r="L198" i="61"/>
  <c r="L234" i="61"/>
  <c r="K245" i="61"/>
  <c r="L204" i="61"/>
  <c r="L240" i="61"/>
  <c r="K252" i="61"/>
  <c r="L210" i="61"/>
  <c r="L246" i="61"/>
  <c r="K202" i="61"/>
  <c r="L180" i="61"/>
  <c r="L216" i="61"/>
  <c r="L252" i="61"/>
  <c r="K214" i="61"/>
  <c r="L186" i="61"/>
  <c r="L222" i="61"/>
  <c r="D227" i="60"/>
  <c r="D233" i="60"/>
  <c r="D239" i="60"/>
  <c r="D245" i="60"/>
  <c r="D251" i="60"/>
  <c r="D228" i="60"/>
  <c r="D234" i="60"/>
  <c r="D240" i="60"/>
  <c r="D246" i="60"/>
  <c r="D252" i="60"/>
  <c r="D258" i="60"/>
  <c r="D264" i="60"/>
  <c r="D223" i="60"/>
  <c r="D229" i="60"/>
  <c r="D235" i="60"/>
  <c r="D241" i="60"/>
  <c r="D247" i="60"/>
  <c r="D253" i="60"/>
  <c r="D259" i="60"/>
  <c r="D265" i="60"/>
  <c r="D271" i="60"/>
  <c r="D277" i="60"/>
  <c r="D283" i="60"/>
  <c r="D289" i="60"/>
  <c r="D295" i="60"/>
  <c r="B97" i="71" s="1"/>
  <c r="D301" i="60"/>
  <c r="D224" i="60"/>
  <c r="D230" i="60"/>
  <c r="D236" i="60"/>
  <c r="D242" i="60"/>
  <c r="D248" i="60"/>
  <c r="D254" i="60"/>
  <c r="D260" i="60"/>
  <c r="D266" i="60"/>
  <c r="D272" i="60"/>
  <c r="D278" i="60"/>
  <c r="D284" i="60"/>
  <c r="D290" i="60"/>
  <c r="D296" i="60"/>
  <c r="D226" i="60"/>
  <c r="D232" i="60"/>
  <c r="D238" i="60"/>
  <c r="D244" i="60"/>
  <c r="D250" i="60"/>
  <c r="D225" i="60"/>
  <c r="D256" i="60"/>
  <c r="D268" i="60"/>
  <c r="D276" i="60"/>
  <c r="D286" i="60"/>
  <c r="D294" i="60"/>
  <c r="D303" i="60"/>
  <c r="D309" i="60"/>
  <c r="D315" i="60"/>
  <c r="D321" i="60"/>
  <c r="D327" i="60"/>
  <c r="D333" i="60"/>
  <c r="D339" i="60"/>
  <c r="D345" i="60"/>
  <c r="D351" i="60"/>
  <c r="D357" i="60"/>
  <c r="D363" i="60"/>
  <c r="D369" i="60"/>
  <c r="D375" i="60"/>
  <c r="E223" i="60"/>
  <c r="E229" i="60"/>
  <c r="E235" i="60"/>
  <c r="E241" i="60"/>
  <c r="E247" i="60"/>
  <c r="E253" i="60"/>
  <c r="E259" i="60"/>
  <c r="E265" i="60"/>
  <c r="E271" i="60"/>
  <c r="E277" i="60"/>
  <c r="E283" i="60"/>
  <c r="E289" i="60"/>
  <c r="E295" i="60"/>
  <c r="E301" i="60"/>
  <c r="E307" i="60"/>
  <c r="D231" i="60"/>
  <c r="D257" i="60"/>
  <c r="D269" i="60"/>
  <c r="D279" i="60"/>
  <c r="B83" i="71" s="1"/>
  <c r="D287" i="60"/>
  <c r="D297" i="60"/>
  <c r="D304" i="60"/>
  <c r="D310" i="60"/>
  <c r="D316" i="60"/>
  <c r="D322" i="60"/>
  <c r="D328" i="60"/>
  <c r="D334" i="60"/>
  <c r="D340" i="60"/>
  <c r="D346" i="60"/>
  <c r="D352" i="60"/>
  <c r="D358" i="60"/>
  <c r="D364" i="60"/>
  <c r="D370" i="60"/>
  <c r="D376" i="60"/>
  <c r="E224" i="60"/>
  <c r="E230" i="60"/>
  <c r="E236" i="60"/>
  <c r="E242" i="60"/>
  <c r="E248" i="60"/>
  <c r="E254" i="60"/>
  <c r="E260" i="60"/>
  <c r="E266" i="60"/>
  <c r="E272" i="60"/>
  <c r="E278" i="60"/>
  <c r="E284" i="60"/>
  <c r="E290" i="60"/>
  <c r="E296" i="60"/>
  <c r="E302" i="60"/>
  <c r="E308" i="60"/>
  <c r="E314" i="60"/>
  <c r="E320" i="60"/>
  <c r="E326" i="60"/>
  <c r="E332" i="60"/>
  <c r="E338" i="60"/>
  <c r="E344" i="60"/>
  <c r="E350" i="60"/>
  <c r="E356" i="60"/>
  <c r="E362" i="60"/>
  <c r="E368" i="60"/>
  <c r="E374" i="60"/>
  <c r="E380" i="60"/>
  <c r="F228" i="60"/>
  <c r="F234" i="60"/>
  <c r="F240" i="60"/>
  <c r="F246" i="60"/>
  <c r="F252" i="60"/>
  <c r="F258" i="60"/>
  <c r="F264" i="60"/>
  <c r="F270" i="60"/>
  <c r="F276" i="60"/>
  <c r="F282" i="60"/>
  <c r="F288" i="60"/>
  <c r="F294" i="60"/>
  <c r="F300" i="60"/>
  <c r="F306" i="60"/>
  <c r="F312" i="60"/>
  <c r="F318" i="60"/>
  <c r="F324" i="60"/>
  <c r="F330" i="60"/>
  <c r="F336" i="60"/>
  <c r="F342" i="60"/>
  <c r="F348" i="60"/>
  <c r="F354" i="60"/>
  <c r="F360" i="60"/>
  <c r="F366" i="60"/>
  <c r="F372" i="60"/>
  <c r="F378" i="60"/>
  <c r="D237" i="60"/>
  <c r="D261" i="60"/>
  <c r="D270" i="60"/>
  <c r="B76" i="71" s="1"/>
  <c r="D280" i="60"/>
  <c r="D288" i="60"/>
  <c r="D298" i="60"/>
  <c r="D305" i="60"/>
  <c r="D311" i="60"/>
  <c r="D317" i="60"/>
  <c r="D323" i="60"/>
  <c r="D329" i="60"/>
  <c r="D335" i="60"/>
  <c r="D341" i="60"/>
  <c r="D347" i="60"/>
  <c r="D353" i="60"/>
  <c r="D359" i="60"/>
  <c r="D365" i="60"/>
  <c r="D371" i="60"/>
  <c r="D377" i="60"/>
  <c r="E225" i="60"/>
  <c r="E231" i="60"/>
  <c r="E237" i="60"/>
  <c r="E243" i="60"/>
  <c r="E249" i="60"/>
  <c r="E255" i="60"/>
  <c r="E261" i="60"/>
  <c r="E267" i="60"/>
  <c r="E273" i="60"/>
  <c r="E279" i="60"/>
  <c r="E285" i="60"/>
  <c r="E291" i="60"/>
  <c r="E297" i="60"/>
  <c r="E303" i="60"/>
  <c r="E309" i="60"/>
  <c r="E315" i="60"/>
  <c r="E321" i="60"/>
  <c r="E327" i="60"/>
  <c r="E333" i="60"/>
  <c r="E339" i="60"/>
  <c r="E345" i="60"/>
  <c r="E351" i="60"/>
  <c r="E357" i="60"/>
  <c r="E363" i="60"/>
  <c r="E369" i="60"/>
  <c r="E375" i="60"/>
  <c r="F223" i="60"/>
  <c r="F229" i="60"/>
  <c r="F235" i="60"/>
  <c r="F241" i="60"/>
  <c r="F247" i="60"/>
  <c r="F253" i="60"/>
  <c r="F259" i="60"/>
  <c r="F265" i="60"/>
  <c r="F271" i="60"/>
  <c r="F277" i="60"/>
  <c r="F283" i="60"/>
  <c r="F289" i="60"/>
  <c r="F295" i="60"/>
  <c r="F301" i="60"/>
  <c r="F307" i="60"/>
  <c r="F313" i="60"/>
  <c r="F319" i="60"/>
  <c r="F325" i="60"/>
  <c r="F331" i="60"/>
  <c r="F337" i="60"/>
  <c r="F343" i="60"/>
  <c r="F349" i="60"/>
  <c r="F355" i="60"/>
  <c r="F361" i="60"/>
  <c r="F367" i="60"/>
  <c r="F373" i="60"/>
  <c r="F379" i="60"/>
  <c r="D243" i="60"/>
  <c r="D262" i="60"/>
  <c r="B72" i="71" s="1"/>
  <c r="D273" i="60"/>
  <c r="B79" i="71" s="1"/>
  <c r="D281" i="60"/>
  <c r="B84" i="71" s="1"/>
  <c r="D291" i="60"/>
  <c r="D299" i="60"/>
  <c r="B98" i="71" s="1"/>
  <c r="D306" i="60"/>
  <c r="D312" i="60"/>
  <c r="D318" i="60"/>
  <c r="D324" i="60"/>
  <c r="D330" i="60"/>
  <c r="D336" i="60"/>
  <c r="D342" i="60"/>
  <c r="D348" i="60"/>
  <c r="D354" i="60"/>
  <c r="D360" i="60"/>
  <c r="D366" i="60"/>
  <c r="D372" i="60"/>
  <c r="D378" i="60"/>
  <c r="E226" i="60"/>
  <c r="E232" i="60"/>
  <c r="E238" i="60"/>
  <c r="E244" i="60"/>
  <c r="E250" i="60"/>
  <c r="E256" i="60"/>
  <c r="E262" i="60"/>
  <c r="E268" i="60"/>
  <c r="E274" i="60"/>
  <c r="E280" i="60"/>
  <c r="E286" i="60"/>
  <c r="E292" i="60"/>
  <c r="E298" i="60"/>
  <c r="E304" i="60"/>
  <c r="E310" i="60"/>
  <c r="E316" i="60"/>
  <c r="E322" i="60"/>
  <c r="E328" i="60"/>
  <c r="E334" i="60"/>
  <c r="E340" i="60"/>
  <c r="E346" i="60"/>
  <c r="E352" i="60"/>
  <c r="E358" i="60"/>
  <c r="E364" i="60"/>
  <c r="E370" i="60"/>
  <c r="E376" i="60"/>
  <c r="F224" i="60"/>
  <c r="F230" i="60"/>
  <c r="F236" i="60"/>
  <c r="F242" i="60"/>
  <c r="F248" i="60"/>
  <c r="F254" i="60"/>
  <c r="F260" i="60"/>
  <c r="F266" i="60"/>
  <c r="F272" i="60"/>
  <c r="F278" i="60"/>
  <c r="F284" i="60"/>
  <c r="F290" i="60"/>
  <c r="F296" i="60"/>
  <c r="F302" i="60"/>
  <c r="F308" i="60"/>
  <c r="F314" i="60"/>
  <c r="F320" i="60"/>
  <c r="F326" i="60"/>
  <c r="F332" i="60"/>
  <c r="F338" i="60"/>
  <c r="F344" i="60"/>
  <c r="F350" i="60"/>
  <c r="F356" i="60"/>
  <c r="D249" i="60"/>
  <c r="B67" i="71" s="1"/>
  <c r="D263" i="60"/>
  <c r="D274" i="60"/>
  <c r="B81" i="71" s="1"/>
  <c r="D282" i="60"/>
  <c r="D292" i="60"/>
  <c r="B94" i="71" s="1"/>
  <c r="D300" i="60"/>
  <c r="B99" i="71" s="1"/>
  <c r="D307" i="60"/>
  <c r="D313" i="60"/>
  <c r="D319" i="60"/>
  <c r="D325" i="60"/>
  <c r="D331" i="60"/>
  <c r="D337" i="60"/>
  <c r="D343" i="60"/>
  <c r="D255" i="60"/>
  <c r="D267" i="60"/>
  <c r="D275" i="60"/>
  <c r="D285" i="60"/>
  <c r="B88" i="71" s="1"/>
  <c r="D293" i="60"/>
  <c r="D302" i="60"/>
  <c r="D308" i="60"/>
  <c r="D314" i="60"/>
  <c r="D320" i="60"/>
  <c r="D326" i="60"/>
  <c r="D332" i="60"/>
  <c r="D338" i="60"/>
  <c r="D344" i="60"/>
  <c r="D350" i="60"/>
  <c r="D356" i="60"/>
  <c r="D362" i="60"/>
  <c r="D368" i="60"/>
  <c r="D374" i="60"/>
  <c r="D380" i="60"/>
  <c r="E228" i="60"/>
  <c r="E234" i="60"/>
  <c r="E240" i="60"/>
  <c r="E246" i="60"/>
  <c r="E252" i="60"/>
  <c r="E258" i="60"/>
  <c r="E264" i="60"/>
  <c r="E270" i="60"/>
  <c r="E276" i="60"/>
  <c r="E282" i="60"/>
  <c r="E288" i="60"/>
  <c r="E294" i="60"/>
  <c r="E300" i="60"/>
  <c r="E306" i="60"/>
  <c r="E312" i="60"/>
  <c r="E318" i="60"/>
  <c r="E324" i="60"/>
  <c r="E330" i="60"/>
  <c r="E336" i="60"/>
  <c r="E342" i="60"/>
  <c r="E348" i="60"/>
  <c r="E354" i="60"/>
  <c r="E360" i="60"/>
  <c r="E366" i="60"/>
  <c r="E372" i="60"/>
  <c r="E378" i="60"/>
  <c r="F226" i="60"/>
  <c r="F232" i="60"/>
  <c r="F238" i="60"/>
  <c r="F244" i="60"/>
  <c r="F250" i="60"/>
  <c r="F256" i="60"/>
  <c r="F262" i="60"/>
  <c r="F268" i="60"/>
  <c r="F274" i="60"/>
  <c r="F280" i="60"/>
  <c r="F286" i="60"/>
  <c r="F292" i="60"/>
  <c r="F298" i="60"/>
  <c r="F304" i="60"/>
  <c r="F310" i="60"/>
  <c r="F316" i="60"/>
  <c r="F322" i="60"/>
  <c r="F328" i="60"/>
  <c r="F334" i="60"/>
  <c r="F340" i="60"/>
  <c r="F346" i="60"/>
  <c r="F352" i="60"/>
  <c r="D361" i="60"/>
  <c r="E239" i="60"/>
  <c r="E275" i="60"/>
  <c r="E311" i="60"/>
  <c r="E329" i="60"/>
  <c r="E347" i="60"/>
  <c r="E365" i="60"/>
  <c r="F225" i="60"/>
  <c r="F243" i="60"/>
  <c r="F261" i="60"/>
  <c r="F279" i="60"/>
  <c r="F297" i="60"/>
  <c r="F315" i="60"/>
  <c r="F333" i="60"/>
  <c r="F351" i="60"/>
  <c r="F363" i="60"/>
  <c r="F371" i="60"/>
  <c r="D367" i="60"/>
  <c r="E245" i="60"/>
  <c r="E281" i="60"/>
  <c r="E313" i="60"/>
  <c r="E331" i="60"/>
  <c r="E349" i="60"/>
  <c r="E367" i="60"/>
  <c r="F227" i="60"/>
  <c r="F245" i="60"/>
  <c r="F263" i="60"/>
  <c r="F281" i="60"/>
  <c r="F299" i="60"/>
  <c r="F317" i="60"/>
  <c r="F335" i="60"/>
  <c r="F353" i="60"/>
  <c r="F364" i="60"/>
  <c r="F374" i="60"/>
  <c r="K224" i="60"/>
  <c r="D373" i="60"/>
  <c r="E251" i="60"/>
  <c r="E287" i="60"/>
  <c r="E317" i="60"/>
  <c r="E335" i="60"/>
  <c r="E353" i="60"/>
  <c r="E371" i="60"/>
  <c r="F231" i="60"/>
  <c r="F249" i="60"/>
  <c r="F267" i="60"/>
  <c r="F285" i="60"/>
  <c r="F303" i="60"/>
  <c r="F321" i="60"/>
  <c r="F339" i="60"/>
  <c r="F357" i="60"/>
  <c r="F365" i="60"/>
  <c r="F375" i="60"/>
  <c r="K225" i="60"/>
  <c r="K231" i="60"/>
  <c r="K237" i="60"/>
  <c r="K243" i="60"/>
  <c r="K249" i="60"/>
  <c r="K255" i="60"/>
  <c r="K261" i="60"/>
  <c r="K267" i="60"/>
  <c r="K273" i="60"/>
  <c r="K279" i="60"/>
  <c r="K285" i="60"/>
  <c r="K291" i="60"/>
  <c r="K297" i="60"/>
  <c r="K303" i="60"/>
  <c r="K309" i="60"/>
  <c r="D379" i="60"/>
  <c r="D355" i="60"/>
  <c r="E233" i="60"/>
  <c r="E269" i="60"/>
  <c r="E305" i="60"/>
  <c r="E325" i="60"/>
  <c r="E343" i="60"/>
  <c r="E361" i="60"/>
  <c r="E379" i="60"/>
  <c r="F239" i="60"/>
  <c r="F257" i="60"/>
  <c r="F275" i="60"/>
  <c r="F293" i="60"/>
  <c r="F311" i="60"/>
  <c r="F329" i="60"/>
  <c r="F347" i="60"/>
  <c r="F362" i="60"/>
  <c r="F370" i="60"/>
  <c r="F380" i="60"/>
  <c r="K228" i="60"/>
  <c r="K234" i="60"/>
  <c r="K240" i="60"/>
  <c r="K246" i="60"/>
  <c r="K252" i="60"/>
  <c r="K258" i="60"/>
  <c r="K264" i="60"/>
  <c r="K270" i="60"/>
  <c r="K276" i="60"/>
  <c r="K282" i="60"/>
  <c r="K288" i="60"/>
  <c r="K294" i="60"/>
  <c r="K300" i="60"/>
  <c r="K306" i="60"/>
  <c r="K312" i="60"/>
  <c r="E257" i="60"/>
  <c r="E337" i="60"/>
  <c r="F233" i="60"/>
  <c r="F287" i="60"/>
  <c r="F341" i="60"/>
  <c r="F376" i="60"/>
  <c r="K223" i="60"/>
  <c r="K233" i="60"/>
  <c r="K242" i="60"/>
  <c r="K251" i="60"/>
  <c r="K260" i="60"/>
  <c r="K269" i="60"/>
  <c r="K278" i="60"/>
  <c r="K287" i="60"/>
  <c r="K296" i="60"/>
  <c r="K305" i="60"/>
  <c r="K314" i="60"/>
  <c r="K320" i="60"/>
  <c r="K326" i="60"/>
  <c r="K332" i="60"/>
  <c r="K338" i="60"/>
  <c r="K344" i="60"/>
  <c r="K350" i="60"/>
  <c r="K356" i="60"/>
  <c r="K362" i="60"/>
  <c r="K368" i="60"/>
  <c r="K374" i="60"/>
  <c r="K380" i="60"/>
  <c r="L228" i="60"/>
  <c r="L234" i="60"/>
  <c r="L240" i="60"/>
  <c r="L246" i="60"/>
  <c r="L252" i="60"/>
  <c r="L258" i="60"/>
  <c r="L264" i="60"/>
  <c r="L270" i="60"/>
  <c r="L276" i="60"/>
  <c r="L282" i="60"/>
  <c r="L288" i="60"/>
  <c r="L294" i="60"/>
  <c r="L300" i="60"/>
  <c r="L306" i="60"/>
  <c r="L312" i="60"/>
  <c r="L318" i="60"/>
  <c r="L324" i="60"/>
  <c r="L330" i="60"/>
  <c r="L336" i="60"/>
  <c r="L342" i="60"/>
  <c r="L348" i="60"/>
  <c r="L354" i="60"/>
  <c r="L360" i="60"/>
  <c r="L366" i="60"/>
  <c r="L372" i="60"/>
  <c r="L378" i="60"/>
  <c r="K335" i="60"/>
  <c r="L255" i="60"/>
  <c r="L297" i="60"/>
  <c r="L327" i="60"/>
  <c r="L357" i="60"/>
  <c r="E373" i="60"/>
  <c r="K248" i="60"/>
  <c r="K318" i="60"/>
  <c r="K354" i="60"/>
  <c r="K378" i="60"/>
  <c r="L250" i="60"/>
  <c r="L274" i="60"/>
  <c r="L286" i="60"/>
  <c r="L310" i="60"/>
  <c r="L334" i="60"/>
  <c r="L364" i="60"/>
  <c r="E263" i="60"/>
  <c r="E341" i="60"/>
  <c r="F237" i="60"/>
  <c r="F291" i="60"/>
  <c r="F345" i="60"/>
  <c r="F377" i="60"/>
  <c r="K226" i="60"/>
  <c r="K235" i="60"/>
  <c r="K244" i="60"/>
  <c r="K253" i="60"/>
  <c r="K262" i="60"/>
  <c r="K271" i="60"/>
  <c r="K280" i="60"/>
  <c r="K289" i="60"/>
  <c r="K298" i="60"/>
  <c r="K307" i="60"/>
  <c r="K315" i="60"/>
  <c r="K321" i="60"/>
  <c r="K327" i="60"/>
  <c r="K333" i="60"/>
  <c r="K339" i="60"/>
  <c r="K345" i="60"/>
  <c r="K351" i="60"/>
  <c r="K357" i="60"/>
  <c r="K363" i="60"/>
  <c r="K369" i="60"/>
  <c r="K375" i="60"/>
  <c r="L223" i="60"/>
  <c r="L229" i="60"/>
  <c r="L235" i="60"/>
  <c r="L241" i="60"/>
  <c r="L247" i="60"/>
  <c r="L253" i="60"/>
  <c r="L259" i="60"/>
  <c r="L265" i="60"/>
  <c r="L271" i="60"/>
  <c r="L277" i="60"/>
  <c r="L283" i="60"/>
  <c r="L289" i="60"/>
  <c r="L295" i="60"/>
  <c r="L301" i="60"/>
  <c r="L307" i="60"/>
  <c r="L313" i="60"/>
  <c r="L319" i="60"/>
  <c r="L325" i="60"/>
  <c r="L331" i="60"/>
  <c r="L337" i="60"/>
  <c r="L343" i="60"/>
  <c r="L349" i="60"/>
  <c r="L355" i="60"/>
  <c r="L361" i="60"/>
  <c r="L367" i="60"/>
  <c r="L373" i="60"/>
  <c r="L379" i="60"/>
  <c r="K317" i="60"/>
  <c r="L237" i="60"/>
  <c r="L285" i="60"/>
  <c r="L315" i="60"/>
  <c r="L339" i="60"/>
  <c r="L369" i="60"/>
  <c r="F269" i="60"/>
  <c r="F368" i="60"/>
  <c r="K239" i="60"/>
  <c r="K330" i="60"/>
  <c r="K360" i="60"/>
  <c r="L232" i="60"/>
  <c r="L268" i="60"/>
  <c r="L292" i="60"/>
  <c r="L322" i="60"/>
  <c r="L346" i="60"/>
  <c r="L370" i="60"/>
  <c r="E293" i="60"/>
  <c r="E355" i="60"/>
  <c r="F251" i="60"/>
  <c r="F305" i="60"/>
  <c r="F358" i="60"/>
  <c r="K227" i="60"/>
  <c r="K236" i="60"/>
  <c r="K245" i="60"/>
  <c r="K254" i="60"/>
  <c r="K263" i="60"/>
  <c r="K272" i="60"/>
  <c r="K281" i="60"/>
  <c r="K290" i="60"/>
  <c r="K299" i="60"/>
  <c r="K308" i="60"/>
  <c r="K316" i="60"/>
  <c r="K322" i="60"/>
  <c r="K328" i="60"/>
  <c r="K334" i="60"/>
  <c r="K340" i="60"/>
  <c r="K346" i="60"/>
  <c r="K352" i="60"/>
  <c r="K358" i="60"/>
  <c r="K364" i="60"/>
  <c r="K370" i="60"/>
  <c r="K376" i="60"/>
  <c r="L224" i="60"/>
  <c r="L230" i="60"/>
  <c r="L236" i="60"/>
  <c r="L242" i="60"/>
  <c r="L248" i="60"/>
  <c r="L254" i="60"/>
  <c r="L260" i="60"/>
  <c r="L266" i="60"/>
  <c r="L272" i="60"/>
  <c r="L278" i="60"/>
  <c r="L284" i="60"/>
  <c r="L290" i="60"/>
  <c r="L296" i="60"/>
  <c r="L302" i="60"/>
  <c r="L308" i="60"/>
  <c r="L314" i="60"/>
  <c r="L320" i="60"/>
  <c r="L326" i="60"/>
  <c r="L332" i="60"/>
  <c r="L338" i="60"/>
  <c r="L344" i="60"/>
  <c r="L350" i="60"/>
  <c r="L356" i="60"/>
  <c r="L362" i="60"/>
  <c r="L368" i="60"/>
  <c r="L374" i="60"/>
  <c r="L380" i="60"/>
  <c r="K247" i="60"/>
  <c r="K347" i="60"/>
  <c r="K365" i="60"/>
  <c r="K377" i="60"/>
  <c r="L231" i="60"/>
  <c r="L249" i="60"/>
  <c r="L273" i="60"/>
  <c r="L291" i="60"/>
  <c r="L309" i="60"/>
  <c r="L333" i="60"/>
  <c r="M333" i="60" s="1"/>
  <c r="L363" i="60"/>
  <c r="E319" i="60"/>
  <c r="K257" i="60"/>
  <c r="K311" i="60"/>
  <c r="K342" i="60"/>
  <c r="K372" i="60"/>
  <c r="L244" i="60"/>
  <c r="L262" i="60"/>
  <c r="L328" i="60"/>
  <c r="L358" i="60"/>
  <c r="E299" i="60"/>
  <c r="E359" i="60"/>
  <c r="F255" i="60"/>
  <c r="F309" i="60"/>
  <c r="F359" i="60"/>
  <c r="K229" i="60"/>
  <c r="K238" i="60"/>
  <c r="K256" i="60"/>
  <c r="K265" i="60"/>
  <c r="K274" i="60"/>
  <c r="K283" i="60"/>
  <c r="K292" i="60"/>
  <c r="K301" i="60"/>
  <c r="K323" i="60"/>
  <c r="K329" i="60"/>
  <c r="K341" i="60"/>
  <c r="K353" i="60"/>
  <c r="K359" i="60"/>
  <c r="K371" i="60"/>
  <c r="L225" i="60"/>
  <c r="L261" i="60"/>
  <c r="L345" i="60"/>
  <c r="M345" i="60" s="1"/>
  <c r="D349" i="60"/>
  <c r="K230" i="60"/>
  <c r="K302" i="60"/>
  <c r="K336" i="60"/>
  <c r="K366" i="60"/>
  <c r="L238" i="60"/>
  <c r="L256" i="60"/>
  <c r="L304" i="60"/>
  <c r="L340" i="60"/>
  <c r="E227" i="60"/>
  <c r="E323" i="60"/>
  <c r="E377" i="60"/>
  <c r="F273" i="60"/>
  <c r="F327" i="60"/>
  <c r="F369" i="60"/>
  <c r="K232" i="60"/>
  <c r="K241" i="60"/>
  <c r="K250" i="60"/>
  <c r="K259" i="60"/>
  <c r="K268" i="60"/>
  <c r="K277" i="60"/>
  <c r="K286" i="60"/>
  <c r="K295" i="60"/>
  <c r="K304" i="60"/>
  <c r="K313" i="60"/>
  <c r="K319" i="60"/>
  <c r="K325" i="60"/>
  <c r="K331" i="60"/>
  <c r="K337" i="60"/>
  <c r="K343" i="60"/>
  <c r="K349" i="60"/>
  <c r="K355" i="60"/>
  <c r="K361" i="60"/>
  <c r="K367" i="60"/>
  <c r="K373" i="60"/>
  <c r="K379" i="60"/>
  <c r="L227" i="60"/>
  <c r="L233" i="60"/>
  <c r="L239" i="60"/>
  <c r="L245" i="60"/>
  <c r="L251" i="60"/>
  <c r="L257" i="60"/>
  <c r="L263" i="60"/>
  <c r="L269" i="60"/>
  <c r="L275" i="60"/>
  <c r="L281" i="60"/>
  <c r="L287" i="60"/>
  <c r="L293" i="60"/>
  <c r="L299" i="60"/>
  <c r="L305" i="60"/>
  <c r="L311" i="60"/>
  <c r="L317" i="60"/>
  <c r="L323" i="60"/>
  <c r="L329" i="60"/>
  <c r="L335" i="60"/>
  <c r="L341" i="60"/>
  <c r="L347" i="60"/>
  <c r="L353" i="60"/>
  <c r="L359" i="60"/>
  <c r="L365" i="60"/>
  <c r="L371" i="60"/>
  <c r="L377" i="60"/>
  <c r="K310" i="60"/>
  <c r="L243" i="60"/>
  <c r="L267" i="60"/>
  <c r="L279" i="60"/>
  <c r="L303" i="60"/>
  <c r="L321" i="60"/>
  <c r="L351" i="60"/>
  <c r="L375" i="60"/>
  <c r="F323" i="60"/>
  <c r="K266" i="60"/>
  <c r="K275" i="60"/>
  <c r="K284" i="60"/>
  <c r="K293" i="60"/>
  <c r="K324" i="60"/>
  <c r="K348" i="60"/>
  <c r="L226" i="60"/>
  <c r="L280" i="60"/>
  <c r="L298" i="60"/>
  <c r="L316" i="60"/>
  <c r="L352" i="60"/>
  <c r="L376" i="60"/>
  <c r="H98" i="64"/>
  <c r="J98" i="64"/>
  <c r="I98" i="64"/>
  <c r="N103" i="64"/>
  <c r="G103" i="64"/>
  <c r="N96" i="64"/>
  <c r="G96" i="64"/>
  <c r="H97" i="64"/>
  <c r="I97" i="64"/>
  <c r="J97" i="64"/>
  <c r="N102" i="64"/>
  <c r="G102" i="64"/>
  <c r="H107" i="64"/>
  <c r="J107" i="64"/>
  <c r="I107" i="64"/>
  <c r="L111" i="64"/>
  <c r="M110" i="64"/>
  <c r="M116" i="64"/>
  <c r="H116" i="64"/>
  <c r="J116" i="64"/>
  <c r="I116" i="64"/>
  <c r="E116" i="64"/>
  <c r="E98" i="64"/>
  <c r="E97" i="64"/>
  <c r="H104" i="64"/>
  <c r="J104" i="64"/>
  <c r="I104" i="64"/>
  <c r="E107" i="64"/>
  <c r="K111" i="64"/>
  <c r="H112" i="64"/>
  <c r="J112" i="64"/>
  <c r="I112" i="64"/>
  <c r="H111" i="64"/>
  <c r="J111" i="64"/>
  <c r="I111" i="64"/>
  <c r="H101" i="64"/>
  <c r="J101" i="64"/>
  <c r="I101" i="64"/>
  <c r="H99" i="64"/>
  <c r="J99" i="64"/>
  <c r="I99" i="64"/>
  <c r="H105" i="64"/>
  <c r="I105" i="64"/>
  <c r="J105" i="64"/>
  <c r="H96" i="64"/>
  <c r="J96" i="64"/>
  <c r="I96" i="64"/>
  <c r="H113" i="64"/>
  <c r="J113" i="64"/>
  <c r="I113" i="64"/>
  <c r="E112" i="64"/>
  <c r="E111" i="64"/>
  <c r="D84" i="64"/>
  <c r="A2" i="64"/>
  <c r="E87" i="64"/>
  <c r="N100" i="64"/>
  <c r="G100" i="64"/>
  <c r="E99" i="64"/>
  <c r="H103" i="64"/>
  <c r="I103" i="64"/>
  <c r="J103" i="64"/>
  <c r="H100" i="64"/>
  <c r="J100" i="64"/>
  <c r="I100" i="64"/>
  <c r="E113" i="64"/>
  <c r="L13" i="4"/>
  <c r="L14" i="4" s="1"/>
  <c r="M6" i="4"/>
  <c r="M13" i="4" s="1"/>
  <c r="L42" i="61"/>
  <c r="L48" i="61"/>
  <c r="L54" i="61"/>
  <c r="L60" i="61"/>
  <c r="L66" i="61"/>
  <c r="L72" i="61"/>
  <c r="L78" i="61"/>
  <c r="L84" i="61"/>
  <c r="L90" i="61"/>
  <c r="L96" i="61"/>
  <c r="L102" i="61"/>
  <c r="L108" i="61"/>
  <c r="L114" i="61"/>
  <c r="L120" i="61"/>
  <c r="L126" i="61"/>
  <c r="L132" i="61"/>
  <c r="L138" i="61"/>
  <c r="L144" i="61"/>
  <c r="L150" i="61"/>
  <c r="L156" i="61"/>
  <c r="L162" i="61"/>
  <c r="L168" i="61"/>
  <c r="L174" i="61"/>
  <c r="K44" i="61"/>
  <c r="K50" i="61"/>
  <c r="K56" i="61"/>
  <c r="K62" i="61"/>
  <c r="K68" i="61"/>
  <c r="K74" i="61"/>
  <c r="K80" i="61"/>
  <c r="K86" i="61"/>
  <c r="K92" i="61"/>
  <c r="K98" i="61"/>
  <c r="K104" i="61"/>
  <c r="K110" i="61"/>
  <c r="K116" i="61"/>
  <c r="K122" i="61"/>
  <c r="K128" i="61"/>
  <c r="K134" i="61"/>
  <c r="K140" i="61"/>
  <c r="K146" i="61"/>
  <c r="K152" i="61"/>
  <c r="K158" i="61"/>
  <c r="K164" i="61"/>
  <c r="K170" i="61"/>
  <c r="K176" i="61"/>
  <c r="L43" i="61"/>
  <c r="L49" i="61"/>
  <c r="L55" i="61"/>
  <c r="L61" i="61"/>
  <c r="L67" i="61"/>
  <c r="L73" i="61"/>
  <c r="L79" i="61"/>
  <c r="L85" i="61"/>
  <c r="L91" i="61"/>
  <c r="L97" i="61"/>
  <c r="L103" i="61"/>
  <c r="L109" i="61"/>
  <c r="L115" i="61"/>
  <c r="L121" i="61"/>
  <c r="L127" i="61"/>
  <c r="L133" i="61"/>
  <c r="L139" i="61"/>
  <c r="L145" i="61"/>
  <c r="L151" i="61"/>
  <c r="L157" i="61"/>
  <c r="L163" i="61"/>
  <c r="L169" i="61"/>
  <c r="L175" i="61"/>
  <c r="K45" i="61"/>
  <c r="K51" i="61"/>
  <c r="K57" i="61"/>
  <c r="K63" i="61"/>
  <c r="K69" i="61"/>
  <c r="K75" i="61"/>
  <c r="K81" i="61"/>
  <c r="K87" i="61"/>
  <c r="K93" i="61"/>
  <c r="K99" i="61"/>
  <c r="K105" i="61"/>
  <c r="K111" i="61"/>
  <c r="K117" i="61"/>
  <c r="K123" i="61"/>
  <c r="K129" i="61"/>
  <c r="K135" i="61"/>
  <c r="K141" i="61"/>
  <c r="K147" i="61"/>
  <c r="K153" i="61"/>
  <c r="K159" i="61"/>
  <c r="K165" i="61"/>
  <c r="K171" i="61"/>
  <c r="K177" i="61"/>
  <c r="L44" i="61"/>
  <c r="L50" i="61"/>
  <c r="L56" i="61"/>
  <c r="L62" i="61"/>
  <c r="L68" i="61"/>
  <c r="L74" i="61"/>
  <c r="L80" i="61"/>
  <c r="L86" i="61"/>
  <c r="L92" i="61"/>
  <c r="L98" i="61"/>
  <c r="L104" i="61"/>
  <c r="L110" i="61"/>
  <c r="L116" i="61"/>
  <c r="L122" i="61"/>
  <c r="L128" i="61"/>
  <c r="L134" i="61"/>
  <c r="L140" i="61"/>
  <c r="L146" i="61"/>
  <c r="L152" i="61"/>
  <c r="L158" i="61"/>
  <c r="L164" i="61"/>
  <c r="L170" i="61"/>
  <c r="L176" i="61"/>
  <c r="K46" i="61"/>
  <c r="K52" i="61"/>
  <c r="K58" i="61"/>
  <c r="K64" i="61"/>
  <c r="K70" i="61"/>
  <c r="K76" i="61"/>
  <c r="K82" i="61"/>
  <c r="K88" i="61"/>
  <c r="K94" i="61"/>
  <c r="K100" i="61"/>
  <c r="K106" i="61"/>
  <c r="K112" i="61"/>
  <c r="K118" i="61"/>
  <c r="K124" i="61"/>
  <c r="K130" i="61"/>
  <c r="K136" i="61"/>
  <c r="K142" i="61"/>
  <c r="K148" i="61"/>
  <c r="K154" i="61"/>
  <c r="K160" i="61"/>
  <c r="K166" i="61"/>
  <c r="K172" i="61"/>
  <c r="L47" i="61"/>
  <c r="L53" i="61"/>
  <c r="L59" i="61"/>
  <c r="L65" i="61"/>
  <c r="L71" i="61"/>
  <c r="L77" i="61"/>
  <c r="L83" i="61"/>
  <c r="L89" i="61"/>
  <c r="L95" i="61"/>
  <c r="L101" i="61"/>
  <c r="L107" i="61"/>
  <c r="L113" i="61"/>
  <c r="L119" i="61"/>
  <c r="L125" i="61"/>
  <c r="L131" i="61"/>
  <c r="L137" i="61"/>
  <c r="L143" i="61"/>
  <c r="L149" i="61"/>
  <c r="L155" i="61"/>
  <c r="L161" i="61"/>
  <c r="L167" i="61"/>
  <c r="L173" i="61"/>
  <c r="K43" i="61"/>
  <c r="K49" i="61"/>
  <c r="K55" i="61"/>
  <c r="K61" i="61"/>
  <c r="K67" i="61"/>
  <c r="K73" i="61"/>
  <c r="K79" i="61"/>
  <c r="K85" i="61"/>
  <c r="K91" i="61"/>
  <c r="K97" i="61"/>
  <c r="K103" i="61"/>
  <c r="K109" i="61"/>
  <c r="K115" i="61"/>
  <c r="K121" i="61"/>
  <c r="K127" i="61"/>
  <c r="K133" i="61"/>
  <c r="K139" i="61"/>
  <c r="K145" i="61"/>
  <c r="K151" i="61"/>
  <c r="K157" i="61"/>
  <c r="K163" i="61"/>
  <c r="K169" i="61"/>
  <c r="K175" i="61"/>
  <c r="L45" i="61"/>
  <c r="L63" i="61"/>
  <c r="L81" i="61"/>
  <c r="L99" i="61"/>
  <c r="L117" i="61"/>
  <c r="L135" i="61"/>
  <c r="L153" i="61"/>
  <c r="L171" i="61"/>
  <c r="K53" i="61"/>
  <c r="K71" i="61"/>
  <c r="K89" i="61"/>
  <c r="K107" i="61"/>
  <c r="K125" i="61"/>
  <c r="K143" i="61"/>
  <c r="K161" i="61"/>
  <c r="F46" i="61"/>
  <c r="F52" i="61"/>
  <c r="L46" i="61"/>
  <c r="L64" i="61"/>
  <c r="L82" i="61"/>
  <c r="L100" i="61"/>
  <c r="L118" i="61"/>
  <c r="L136" i="61"/>
  <c r="L154" i="61"/>
  <c r="L172" i="61"/>
  <c r="K54" i="61"/>
  <c r="K72" i="61"/>
  <c r="K90" i="61"/>
  <c r="K108" i="61"/>
  <c r="K126" i="61"/>
  <c r="K144" i="61"/>
  <c r="K162" i="61"/>
  <c r="F47" i="61"/>
  <c r="F53" i="61"/>
  <c r="L51" i="61"/>
  <c r="L69" i="61"/>
  <c r="L87" i="61"/>
  <c r="L105" i="61"/>
  <c r="L123" i="61"/>
  <c r="L141" i="61"/>
  <c r="L159" i="61"/>
  <c r="L177" i="61"/>
  <c r="K59" i="61"/>
  <c r="K77" i="61"/>
  <c r="K95" i="61"/>
  <c r="K113" i="61"/>
  <c r="K131" i="61"/>
  <c r="K149" i="61"/>
  <c r="K167" i="61"/>
  <c r="L52" i="61"/>
  <c r="L70" i="61"/>
  <c r="L88" i="61"/>
  <c r="L106" i="61"/>
  <c r="L124" i="61"/>
  <c r="L142" i="61"/>
  <c r="L160" i="61"/>
  <c r="K42" i="61"/>
  <c r="K60" i="61"/>
  <c r="K78" i="61"/>
  <c r="K96" i="61"/>
  <c r="K114" i="61"/>
  <c r="K132" i="61"/>
  <c r="K150" i="61"/>
  <c r="K168" i="61"/>
  <c r="F43" i="61"/>
  <c r="F49" i="61"/>
  <c r="L58" i="61"/>
  <c r="L76" i="61"/>
  <c r="L94" i="61"/>
  <c r="L112" i="61"/>
  <c r="L130" i="61"/>
  <c r="L148" i="61"/>
  <c r="L166" i="61"/>
  <c r="K48" i="61"/>
  <c r="K66" i="61"/>
  <c r="K84" i="61"/>
  <c r="K102" i="61"/>
  <c r="K120" i="61"/>
  <c r="K138" i="61"/>
  <c r="K156" i="61"/>
  <c r="K174" i="61"/>
  <c r="F45" i="61"/>
  <c r="F51" i="61"/>
  <c r="F57" i="61"/>
  <c r="L57" i="61"/>
  <c r="L165" i="61"/>
  <c r="K137" i="61"/>
  <c r="F48" i="61"/>
  <c r="F59" i="61"/>
  <c r="F65" i="61"/>
  <c r="F71" i="61"/>
  <c r="F77" i="61"/>
  <c r="F83" i="61"/>
  <c r="F89" i="61"/>
  <c r="F95" i="61"/>
  <c r="F101" i="61"/>
  <c r="F107" i="61"/>
  <c r="F113" i="61"/>
  <c r="F119" i="61"/>
  <c r="F125" i="61"/>
  <c r="F131" i="61"/>
  <c r="F137" i="61"/>
  <c r="F143" i="61"/>
  <c r="F149" i="61"/>
  <c r="F155" i="61"/>
  <c r="F161" i="61"/>
  <c r="F167" i="61"/>
  <c r="F173" i="61"/>
  <c r="E43" i="61"/>
  <c r="E49" i="61"/>
  <c r="E55" i="61"/>
  <c r="E61" i="61"/>
  <c r="E67" i="61"/>
  <c r="E73" i="61"/>
  <c r="E79" i="61"/>
  <c r="E85" i="61"/>
  <c r="E91" i="61"/>
  <c r="E97" i="61"/>
  <c r="E103" i="61"/>
  <c r="E109" i="61"/>
  <c r="E115" i="61"/>
  <c r="E121" i="61"/>
  <c r="E127" i="61"/>
  <c r="E133" i="61"/>
  <c r="E139" i="61"/>
  <c r="E145" i="61"/>
  <c r="E151" i="61"/>
  <c r="E157" i="61"/>
  <c r="E163" i="61"/>
  <c r="E169" i="61"/>
  <c r="E175" i="61"/>
  <c r="D45" i="61"/>
  <c r="H45" i="61" s="1"/>
  <c r="D51" i="61"/>
  <c r="H51" i="61" s="1"/>
  <c r="D57" i="61"/>
  <c r="J57" i="61" s="1"/>
  <c r="D63" i="61"/>
  <c r="J63" i="61" s="1"/>
  <c r="D69" i="61"/>
  <c r="I69" i="61" s="1"/>
  <c r="D75" i="61"/>
  <c r="I75" i="61" s="1"/>
  <c r="D81" i="61"/>
  <c r="H81" i="61" s="1"/>
  <c r="D87" i="61"/>
  <c r="H87" i="61" s="1"/>
  <c r="D93" i="61"/>
  <c r="J93" i="61" s="1"/>
  <c r="D99" i="61"/>
  <c r="J99" i="61" s="1"/>
  <c r="D105" i="61"/>
  <c r="I105" i="61" s="1"/>
  <c r="D111" i="61"/>
  <c r="I111" i="61" s="1"/>
  <c r="D117" i="61"/>
  <c r="H117" i="61" s="1"/>
  <c r="D123" i="61"/>
  <c r="H123" i="61" s="1"/>
  <c r="D129" i="61"/>
  <c r="J129" i="61" s="1"/>
  <c r="D135" i="61"/>
  <c r="J135" i="61" s="1"/>
  <c r="D141" i="61"/>
  <c r="I141" i="61" s="1"/>
  <c r="D147" i="61"/>
  <c r="I147" i="61" s="1"/>
  <c r="L75" i="61"/>
  <c r="K47" i="61"/>
  <c r="K155" i="61"/>
  <c r="F50" i="61"/>
  <c r="F60" i="61"/>
  <c r="F66" i="61"/>
  <c r="F72" i="61"/>
  <c r="F78" i="61"/>
  <c r="F84" i="61"/>
  <c r="F90" i="61"/>
  <c r="F96" i="61"/>
  <c r="F102" i="61"/>
  <c r="F108" i="61"/>
  <c r="F114" i="61"/>
  <c r="F120" i="61"/>
  <c r="F126" i="61"/>
  <c r="F132" i="61"/>
  <c r="F138" i="61"/>
  <c r="F144" i="61"/>
  <c r="F150" i="61"/>
  <c r="F156" i="61"/>
  <c r="F162" i="61"/>
  <c r="F168" i="61"/>
  <c r="F174" i="61"/>
  <c r="E44" i="61"/>
  <c r="E50" i="61"/>
  <c r="E56" i="61"/>
  <c r="E62" i="61"/>
  <c r="E68" i="61"/>
  <c r="E74" i="61"/>
  <c r="E80" i="61"/>
  <c r="E86" i="61"/>
  <c r="E92" i="61"/>
  <c r="E98" i="61"/>
  <c r="E104" i="61"/>
  <c r="E110" i="61"/>
  <c r="E116" i="61"/>
  <c r="E122" i="61"/>
  <c r="E128" i="61"/>
  <c r="E134" i="61"/>
  <c r="E140" i="61"/>
  <c r="E146" i="61"/>
  <c r="E152" i="61"/>
  <c r="E158" i="61"/>
  <c r="E164" i="61"/>
  <c r="E170" i="61"/>
  <c r="E176" i="61"/>
  <c r="D46" i="61"/>
  <c r="J46" i="61" s="1"/>
  <c r="D52" i="61"/>
  <c r="H52" i="61" s="1"/>
  <c r="D58" i="61"/>
  <c r="H58" i="61" s="1"/>
  <c r="D64" i="61"/>
  <c r="H64" i="61" s="1"/>
  <c r="D70" i="61"/>
  <c r="H70" i="61" s="1"/>
  <c r="D76" i="61"/>
  <c r="I76" i="61" s="1"/>
  <c r="D82" i="61"/>
  <c r="J82" i="61" s="1"/>
  <c r="D88" i="61"/>
  <c r="H88" i="61" s="1"/>
  <c r="D94" i="61"/>
  <c r="H94" i="61" s="1"/>
  <c r="D100" i="61"/>
  <c r="H100" i="61" s="1"/>
  <c r="D106" i="61"/>
  <c r="H106" i="61" s="1"/>
  <c r="D112" i="61"/>
  <c r="H112" i="61" s="1"/>
  <c r="D118" i="61"/>
  <c r="J118" i="61" s="1"/>
  <c r="D124" i="61"/>
  <c r="H124" i="61" s="1"/>
  <c r="D130" i="61"/>
  <c r="H130" i="61" s="1"/>
  <c r="D136" i="61"/>
  <c r="H136" i="61" s="1"/>
  <c r="D142" i="61"/>
  <c r="H142" i="61" s="1"/>
  <c r="D148" i="61"/>
  <c r="H148" i="61" s="1"/>
  <c r="D154" i="61"/>
  <c r="J154" i="61" s="1"/>
  <c r="D160" i="61"/>
  <c r="H160" i="61" s="1"/>
  <c r="D166" i="61"/>
  <c r="H166" i="61" s="1"/>
  <c r="D172" i="61"/>
  <c r="H172" i="61" s="1"/>
  <c r="F139" i="61"/>
  <c r="F151" i="61"/>
  <c r="F157" i="61"/>
  <c r="F169" i="61"/>
  <c r="E45" i="61"/>
  <c r="L93" i="61"/>
  <c r="K65" i="61"/>
  <c r="K173" i="61"/>
  <c r="F54" i="61"/>
  <c r="F61" i="61"/>
  <c r="F67" i="61"/>
  <c r="F73" i="61"/>
  <c r="F79" i="61"/>
  <c r="F85" i="61"/>
  <c r="F91" i="61"/>
  <c r="F97" i="61"/>
  <c r="F103" i="61"/>
  <c r="F109" i="61"/>
  <c r="F115" i="61"/>
  <c r="F121" i="61"/>
  <c r="F127" i="61"/>
  <c r="F133" i="61"/>
  <c r="L111" i="61"/>
  <c r="K83" i="61"/>
  <c r="F55" i="61"/>
  <c r="F62" i="61"/>
  <c r="F68" i="61"/>
  <c r="F74" i="61"/>
  <c r="F80" i="61"/>
  <c r="F86" i="61"/>
  <c r="F92" i="61"/>
  <c r="F98" i="61"/>
  <c r="F104" i="61"/>
  <c r="F110" i="61"/>
  <c r="F116" i="61"/>
  <c r="F122" i="61"/>
  <c r="F128" i="61"/>
  <c r="F134" i="61"/>
  <c r="F140" i="61"/>
  <c r="F146" i="61"/>
  <c r="F152" i="61"/>
  <c r="F158" i="61"/>
  <c r="F164" i="61"/>
  <c r="F170" i="61"/>
  <c r="F176" i="61"/>
  <c r="E46" i="61"/>
  <c r="E52" i="61"/>
  <c r="E58" i="61"/>
  <c r="E64" i="61"/>
  <c r="E70" i="61"/>
  <c r="E76" i="61"/>
  <c r="E82" i="61"/>
  <c r="E88" i="61"/>
  <c r="E94" i="61"/>
  <c r="E100" i="61"/>
  <c r="E106" i="61"/>
  <c r="E112" i="61"/>
  <c r="E118" i="61"/>
  <c r="E124" i="61"/>
  <c r="E130" i="61"/>
  <c r="E136" i="61"/>
  <c r="E142" i="61"/>
  <c r="E148" i="61"/>
  <c r="E154" i="61"/>
  <c r="E160" i="61"/>
  <c r="E166" i="61"/>
  <c r="E172" i="61"/>
  <c r="D42" i="61"/>
  <c r="D48" i="61"/>
  <c r="H48" i="61" s="1"/>
  <c r="D54" i="61"/>
  <c r="H54" i="61" s="1"/>
  <c r="D60" i="61"/>
  <c r="H60" i="61" s="1"/>
  <c r="D66" i="61"/>
  <c r="J66" i="61" s="1"/>
  <c r="D72" i="61"/>
  <c r="J72" i="61" s="1"/>
  <c r="D78" i="61"/>
  <c r="J78" i="61" s="1"/>
  <c r="D84" i="61"/>
  <c r="H84" i="61" s="1"/>
  <c r="D90" i="61"/>
  <c r="H90" i="61" s="1"/>
  <c r="D96" i="61"/>
  <c r="H96" i="61" s="1"/>
  <c r="D102" i="61"/>
  <c r="J102" i="61" s="1"/>
  <c r="D108" i="61"/>
  <c r="J108" i="61" s="1"/>
  <c r="D114" i="61"/>
  <c r="J114" i="61" s="1"/>
  <c r="D120" i="61"/>
  <c r="H120" i="61" s="1"/>
  <c r="D126" i="61"/>
  <c r="J126" i="61" s="1"/>
  <c r="D132" i="61"/>
  <c r="H132" i="61" s="1"/>
  <c r="D138" i="61"/>
  <c r="J138" i="61" s="1"/>
  <c r="D144" i="61"/>
  <c r="J144" i="61" s="1"/>
  <c r="D150" i="61"/>
  <c r="H150" i="61" s="1"/>
  <c r="D156" i="61"/>
  <c r="J156" i="61" s="1"/>
  <c r="D162" i="61"/>
  <c r="J162" i="61" s="1"/>
  <c r="D168" i="61"/>
  <c r="H168" i="61" s="1"/>
  <c r="D174" i="61"/>
  <c r="J174" i="61" s="1"/>
  <c r="L129" i="61"/>
  <c r="K101" i="61"/>
  <c r="L147" i="61"/>
  <c r="K119" i="61"/>
  <c r="F44" i="61"/>
  <c r="F58" i="61"/>
  <c r="F64" i="61"/>
  <c r="F70" i="61"/>
  <c r="F76" i="61"/>
  <c r="F82" i="61"/>
  <c r="F88" i="61"/>
  <c r="F94" i="61"/>
  <c r="F100" i="61"/>
  <c r="F106" i="61"/>
  <c r="F112" i="61"/>
  <c r="F118" i="61"/>
  <c r="F124" i="61"/>
  <c r="F130" i="61"/>
  <c r="F136" i="61"/>
  <c r="F142" i="61"/>
  <c r="F148" i="61"/>
  <c r="F154" i="61"/>
  <c r="F160" i="61"/>
  <c r="F166" i="61"/>
  <c r="F172" i="61"/>
  <c r="E42" i="61"/>
  <c r="E48" i="61"/>
  <c r="E54" i="61"/>
  <c r="E60" i="61"/>
  <c r="E66" i="61"/>
  <c r="E72" i="61"/>
  <c r="E78" i="61"/>
  <c r="E84" i="61"/>
  <c r="E90" i="61"/>
  <c r="E96" i="61"/>
  <c r="E102" i="61"/>
  <c r="E108" i="61"/>
  <c r="E114" i="61"/>
  <c r="E120" i="61"/>
  <c r="E126" i="61"/>
  <c r="E132" i="61"/>
  <c r="E138" i="61"/>
  <c r="E144" i="61"/>
  <c r="E150" i="61"/>
  <c r="E156" i="61"/>
  <c r="E162" i="61"/>
  <c r="E168" i="61"/>
  <c r="E174" i="61"/>
  <c r="D44" i="61"/>
  <c r="I44" i="61" s="1"/>
  <c r="D50" i="61"/>
  <c r="J50" i="61" s="1"/>
  <c r="D56" i="61"/>
  <c r="I56" i="61" s="1"/>
  <c r="D62" i="61"/>
  <c r="J62" i="61" s="1"/>
  <c r="D68" i="61"/>
  <c r="J68" i="61" s="1"/>
  <c r="D74" i="61"/>
  <c r="H74" i="61" s="1"/>
  <c r="D80" i="61"/>
  <c r="I80" i="61" s="1"/>
  <c r="D86" i="61"/>
  <c r="I86" i="61" s="1"/>
  <c r="D92" i="61"/>
  <c r="J92" i="61" s="1"/>
  <c r="D98" i="61"/>
  <c r="J98" i="61" s="1"/>
  <c r="D104" i="61"/>
  <c r="J104" i="61" s="1"/>
  <c r="D110" i="61"/>
  <c r="H110" i="61" s="1"/>
  <c r="D116" i="61"/>
  <c r="I116" i="61" s="1"/>
  <c r="D122" i="61"/>
  <c r="I122" i="61" s="1"/>
  <c r="D128" i="61"/>
  <c r="I128" i="61" s="1"/>
  <c r="D134" i="61"/>
  <c r="I134" i="61" s="1"/>
  <c r="D140" i="61"/>
  <c r="I140" i="61" s="1"/>
  <c r="D146" i="61"/>
  <c r="H146" i="61" s="1"/>
  <c r="D152" i="61"/>
  <c r="I152" i="61" s="1"/>
  <c r="D158" i="61"/>
  <c r="J158" i="61" s="1"/>
  <c r="D164" i="61"/>
  <c r="I164" i="61" s="1"/>
  <c r="D170" i="61"/>
  <c r="J170" i="61" s="1"/>
  <c r="D176" i="61"/>
  <c r="I176" i="61" s="1"/>
  <c r="D153" i="61"/>
  <c r="H153" i="61" s="1"/>
  <c r="D159" i="61"/>
  <c r="H159" i="61" s="1"/>
  <c r="D165" i="61"/>
  <c r="J165" i="61" s="1"/>
  <c r="D171" i="61"/>
  <c r="J171" i="61" s="1"/>
  <c r="D177" i="61"/>
  <c r="I177" i="61" s="1"/>
  <c r="F145" i="61"/>
  <c r="F163" i="61"/>
  <c r="F175" i="61"/>
  <c r="E51" i="61"/>
  <c r="F63" i="61"/>
  <c r="F99" i="61"/>
  <c r="F135" i="61"/>
  <c r="F171" i="61"/>
  <c r="E63" i="61"/>
  <c r="E81" i="61"/>
  <c r="E99" i="61"/>
  <c r="E117" i="61"/>
  <c r="E135" i="61"/>
  <c r="E153" i="61"/>
  <c r="E171" i="61"/>
  <c r="D53" i="61"/>
  <c r="I53" i="61" s="1"/>
  <c r="D71" i="61"/>
  <c r="I71" i="61" s="1"/>
  <c r="D89" i="61"/>
  <c r="I89" i="61" s="1"/>
  <c r="D107" i="61"/>
  <c r="I107" i="61" s="1"/>
  <c r="D125" i="61"/>
  <c r="I125" i="61" s="1"/>
  <c r="D143" i="61"/>
  <c r="I143" i="61" s="1"/>
  <c r="D161" i="61"/>
  <c r="I161" i="61" s="1"/>
  <c r="D73" i="61"/>
  <c r="I73" i="61" s="1"/>
  <c r="D109" i="61"/>
  <c r="I109" i="61" s="1"/>
  <c r="D145" i="61"/>
  <c r="I145" i="61" s="1"/>
  <c r="D163" i="61"/>
  <c r="I163" i="61" s="1"/>
  <c r="D59" i="61"/>
  <c r="I59" i="61" s="1"/>
  <c r="D113" i="61"/>
  <c r="J113" i="61" s="1"/>
  <c r="D167" i="61"/>
  <c r="I167" i="61" s="1"/>
  <c r="D169" i="61"/>
  <c r="H169" i="61" s="1"/>
  <c r="F87" i="61"/>
  <c r="E93" i="61"/>
  <c r="D47" i="61"/>
  <c r="J47" i="61" s="1"/>
  <c r="D173" i="61"/>
  <c r="I173" i="61" s="1"/>
  <c r="F69" i="61"/>
  <c r="F105" i="61"/>
  <c r="F141" i="61"/>
  <c r="F177" i="61"/>
  <c r="E65" i="61"/>
  <c r="E83" i="61"/>
  <c r="E101" i="61"/>
  <c r="E119" i="61"/>
  <c r="E137" i="61"/>
  <c r="E155" i="61"/>
  <c r="E173" i="61"/>
  <c r="D55" i="61"/>
  <c r="I55" i="61" s="1"/>
  <c r="D91" i="61"/>
  <c r="J91" i="61" s="1"/>
  <c r="D127" i="61"/>
  <c r="I127" i="61" s="1"/>
  <c r="E177" i="61"/>
  <c r="D95" i="61"/>
  <c r="I95" i="61" s="1"/>
  <c r="D131" i="61"/>
  <c r="I131" i="61" s="1"/>
  <c r="D133" i="61"/>
  <c r="H133" i="61" s="1"/>
  <c r="F42" i="61"/>
  <c r="E111" i="61"/>
  <c r="E165" i="61"/>
  <c r="D119" i="61"/>
  <c r="J119" i="61" s="1"/>
  <c r="D155" i="61"/>
  <c r="J155" i="61" s="1"/>
  <c r="F75" i="61"/>
  <c r="F111" i="61"/>
  <c r="F147" i="61"/>
  <c r="E47" i="61"/>
  <c r="E69" i="61"/>
  <c r="E87" i="61"/>
  <c r="E105" i="61"/>
  <c r="E123" i="61"/>
  <c r="E141" i="61"/>
  <c r="E159" i="61"/>
  <c r="D77" i="61"/>
  <c r="J77" i="61" s="1"/>
  <c r="D149" i="61"/>
  <c r="J149" i="61" s="1"/>
  <c r="E129" i="61"/>
  <c r="D101" i="61"/>
  <c r="I101" i="61" s="1"/>
  <c r="D137" i="61"/>
  <c r="I137" i="61" s="1"/>
  <c r="F81" i="61"/>
  <c r="F117" i="61"/>
  <c r="F153" i="61"/>
  <c r="E53" i="61"/>
  <c r="E71" i="61"/>
  <c r="E89" i="61"/>
  <c r="E107" i="61"/>
  <c r="E125" i="61"/>
  <c r="E143" i="61"/>
  <c r="E161" i="61"/>
  <c r="D43" i="61"/>
  <c r="J43" i="61" s="1"/>
  <c r="D61" i="61"/>
  <c r="H61" i="61" s="1"/>
  <c r="D79" i="61"/>
  <c r="I79" i="61" s="1"/>
  <c r="D97" i="61"/>
  <c r="H97" i="61" s="1"/>
  <c r="D115" i="61"/>
  <c r="I115" i="61" s="1"/>
  <c r="D151" i="61"/>
  <c r="J151" i="61" s="1"/>
  <c r="F123" i="61"/>
  <c r="E57" i="61"/>
  <c r="E147" i="61"/>
  <c r="D65" i="61"/>
  <c r="I65" i="61" s="1"/>
  <c r="F56" i="61"/>
  <c r="F93" i="61"/>
  <c r="F129" i="61"/>
  <c r="F165" i="61"/>
  <c r="E59" i="61"/>
  <c r="E77" i="61"/>
  <c r="E95" i="61"/>
  <c r="E113" i="61"/>
  <c r="E131" i="61"/>
  <c r="E149" i="61"/>
  <c r="E167" i="61"/>
  <c r="D49" i="61"/>
  <c r="I49" i="61" s="1"/>
  <c r="D67" i="61"/>
  <c r="H67" i="61" s="1"/>
  <c r="D85" i="61"/>
  <c r="J85" i="61" s="1"/>
  <c r="D103" i="61"/>
  <c r="J103" i="61" s="1"/>
  <c r="D121" i="61"/>
  <c r="I121" i="61" s="1"/>
  <c r="D139" i="61"/>
  <c r="H139" i="61" s="1"/>
  <c r="D157" i="61"/>
  <c r="I157" i="61" s="1"/>
  <c r="D175" i="61"/>
  <c r="J175" i="61" s="1"/>
  <c r="F159" i="61"/>
  <c r="E75" i="61"/>
  <c r="D83" i="61"/>
  <c r="J83" i="61" s="1"/>
  <c r="L87" i="60"/>
  <c r="L93" i="60"/>
  <c r="L99" i="60"/>
  <c r="L105" i="60"/>
  <c r="L111" i="60"/>
  <c r="L117" i="60"/>
  <c r="L123" i="60"/>
  <c r="L129" i="60"/>
  <c r="L135" i="60"/>
  <c r="L141" i="60"/>
  <c r="L147" i="60"/>
  <c r="L153" i="60"/>
  <c r="L159" i="60"/>
  <c r="L165" i="60"/>
  <c r="L171" i="60"/>
  <c r="L177" i="60"/>
  <c r="L183" i="60"/>
  <c r="L189" i="60"/>
  <c r="L195" i="60"/>
  <c r="L201" i="60"/>
  <c r="L207" i="60"/>
  <c r="L213" i="60"/>
  <c r="L219" i="60"/>
  <c r="K89" i="60"/>
  <c r="K95" i="60"/>
  <c r="K101" i="60"/>
  <c r="K107" i="60"/>
  <c r="K113" i="60"/>
  <c r="K119" i="60"/>
  <c r="K125" i="60"/>
  <c r="K131" i="60"/>
  <c r="K137" i="60"/>
  <c r="K143" i="60"/>
  <c r="K149" i="60"/>
  <c r="K155" i="60"/>
  <c r="K161" i="60"/>
  <c r="K167" i="60"/>
  <c r="K173" i="60"/>
  <c r="K179" i="60"/>
  <c r="K185" i="60"/>
  <c r="K191" i="60"/>
  <c r="K197" i="60"/>
  <c r="K203" i="60"/>
  <c r="K209" i="60"/>
  <c r="K215" i="60"/>
  <c r="K221" i="60"/>
  <c r="L88" i="60"/>
  <c r="L94" i="60"/>
  <c r="L100" i="60"/>
  <c r="L106" i="60"/>
  <c r="L112" i="60"/>
  <c r="L118" i="60"/>
  <c r="L124" i="60"/>
  <c r="L130" i="60"/>
  <c r="L136" i="60"/>
  <c r="L142" i="60"/>
  <c r="L148" i="60"/>
  <c r="L154" i="60"/>
  <c r="L160" i="60"/>
  <c r="L166" i="60"/>
  <c r="L172" i="60"/>
  <c r="L178" i="60"/>
  <c r="L184" i="60"/>
  <c r="L190" i="60"/>
  <c r="L196" i="60"/>
  <c r="L202" i="60"/>
  <c r="L208" i="60"/>
  <c r="L214" i="60"/>
  <c r="L220" i="60"/>
  <c r="K90" i="60"/>
  <c r="K96" i="60"/>
  <c r="K102" i="60"/>
  <c r="K108" i="60"/>
  <c r="K114" i="60"/>
  <c r="K120" i="60"/>
  <c r="K126" i="60"/>
  <c r="K132" i="60"/>
  <c r="K138" i="60"/>
  <c r="K144" i="60"/>
  <c r="K150" i="60"/>
  <c r="K156" i="60"/>
  <c r="K162" i="60"/>
  <c r="K168" i="60"/>
  <c r="K174" i="60"/>
  <c r="K180" i="60"/>
  <c r="K186" i="60"/>
  <c r="K192" i="60"/>
  <c r="K198" i="60"/>
  <c r="K204" i="60"/>
  <c r="K210" i="60"/>
  <c r="K216" i="60"/>
  <c r="K222" i="60"/>
  <c r="L89" i="60"/>
  <c r="L95" i="60"/>
  <c r="L101" i="60"/>
  <c r="L107" i="60"/>
  <c r="L113" i="60"/>
  <c r="L119" i="60"/>
  <c r="L125" i="60"/>
  <c r="L131" i="60"/>
  <c r="L137" i="60"/>
  <c r="L143" i="60"/>
  <c r="L149" i="60"/>
  <c r="L155" i="60"/>
  <c r="L161" i="60"/>
  <c r="L167" i="60"/>
  <c r="L173" i="60"/>
  <c r="L179" i="60"/>
  <c r="L185" i="60"/>
  <c r="L191" i="60"/>
  <c r="L197" i="60"/>
  <c r="L203" i="60"/>
  <c r="L209" i="60"/>
  <c r="L215" i="60"/>
  <c r="L221" i="60"/>
  <c r="K91" i="60"/>
  <c r="K97" i="60"/>
  <c r="K103" i="60"/>
  <c r="K109" i="60"/>
  <c r="K115" i="60"/>
  <c r="K121" i="60"/>
  <c r="K127" i="60"/>
  <c r="K133" i="60"/>
  <c r="K139" i="60"/>
  <c r="K145" i="60"/>
  <c r="K151" i="60"/>
  <c r="K157" i="60"/>
  <c r="K163" i="60"/>
  <c r="K169" i="60"/>
  <c r="K175" i="60"/>
  <c r="K181" i="60"/>
  <c r="K187" i="60"/>
  <c r="K193" i="60"/>
  <c r="K199" i="60"/>
  <c r="K205" i="60"/>
  <c r="K211" i="60"/>
  <c r="L90" i="60"/>
  <c r="L96" i="60"/>
  <c r="L102" i="60"/>
  <c r="L108" i="60"/>
  <c r="L114" i="60"/>
  <c r="L120" i="60"/>
  <c r="L126" i="60"/>
  <c r="L132" i="60"/>
  <c r="L138" i="60"/>
  <c r="L144" i="60"/>
  <c r="L150" i="60"/>
  <c r="L156" i="60"/>
  <c r="L162" i="60"/>
  <c r="L168" i="60"/>
  <c r="L174" i="60"/>
  <c r="L180" i="60"/>
  <c r="L186" i="60"/>
  <c r="L192" i="60"/>
  <c r="L198" i="60"/>
  <c r="L204" i="60"/>
  <c r="L210" i="60"/>
  <c r="L216" i="60"/>
  <c r="L222" i="60"/>
  <c r="K92" i="60"/>
  <c r="K98" i="60"/>
  <c r="K104" i="60"/>
  <c r="K110" i="60"/>
  <c r="K116" i="60"/>
  <c r="K122" i="60"/>
  <c r="K128" i="60"/>
  <c r="K134" i="60"/>
  <c r="K140" i="60"/>
  <c r="K146" i="60"/>
  <c r="K152" i="60"/>
  <c r="K158" i="60"/>
  <c r="K164" i="60"/>
  <c r="K170" i="60"/>
  <c r="K176" i="60"/>
  <c r="K182" i="60"/>
  <c r="K188" i="60"/>
  <c r="K194" i="60"/>
  <c r="K200" i="60"/>
  <c r="K206" i="60"/>
  <c r="K212" i="60"/>
  <c r="K218" i="60"/>
  <c r="L92" i="60"/>
  <c r="L98" i="60"/>
  <c r="L104" i="60"/>
  <c r="L110" i="60"/>
  <c r="L116" i="60"/>
  <c r="L122" i="60"/>
  <c r="L128" i="60"/>
  <c r="L134" i="60"/>
  <c r="L140" i="60"/>
  <c r="L146" i="60"/>
  <c r="L152" i="60"/>
  <c r="L158" i="60"/>
  <c r="L164" i="60"/>
  <c r="L170" i="60"/>
  <c r="L176" i="60"/>
  <c r="L182" i="60"/>
  <c r="L188" i="60"/>
  <c r="L194" i="60"/>
  <c r="L200" i="60"/>
  <c r="L206" i="60"/>
  <c r="L212" i="60"/>
  <c r="L218" i="60"/>
  <c r="K88" i="60"/>
  <c r="K94" i="60"/>
  <c r="K100" i="60"/>
  <c r="K106" i="60"/>
  <c r="K112" i="60"/>
  <c r="K118" i="60"/>
  <c r="K124" i="60"/>
  <c r="K130" i="60"/>
  <c r="K136" i="60"/>
  <c r="K142" i="60"/>
  <c r="K148" i="60"/>
  <c r="K154" i="60"/>
  <c r="K160" i="60"/>
  <c r="K166" i="60"/>
  <c r="K172" i="60"/>
  <c r="K178" i="60"/>
  <c r="K184" i="60"/>
  <c r="K190" i="60"/>
  <c r="K196" i="60"/>
  <c r="K202" i="60"/>
  <c r="K208" i="60"/>
  <c r="K214" i="60"/>
  <c r="K220" i="60"/>
  <c r="L97" i="60"/>
  <c r="L133" i="60"/>
  <c r="L169" i="60"/>
  <c r="L205" i="60"/>
  <c r="K105" i="60"/>
  <c r="K141" i="60"/>
  <c r="K177" i="60"/>
  <c r="K213" i="60"/>
  <c r="L103" i="60"/>
  <c r="L139" i="60"/>
  <c r="L175" i="60"/>
  <c r="L211" i="60"/>
  <c r="K111" i="60"/>
  <c r="K147" i="60"/>
  <c r="K183" i="60"/>
  <c r="K217" i="60"/>
  <c r="L109" i="60"/>
  <c r="L145" i="60"/>
  <c r="L181" i="60"/>
  <c r="L217" i="60"/>
  <c r="K117" i="60"/>
  <c r="K153" i="60"/>
  <c r="K189" i="60"/>
  <c r="K219" i="60"/>
  <c r="L115" i="60"/>
  <c r="L151" i="60"/>
  <c r="L187" i="60"/>
  <c r="K87" i="60"/>
  <c r="K123" i="60"/>
  <c r="K159" i="60"/>
  <c r="K195" i="60"/>
  <c r="F87" i="60"/>
  <c r="F93" i="60"/>
  <c r="F99" i="60"/>
  <c r="F105" i="60"/>
  <c r="F111" i="60"/>
  <c r="F117" i="60"/>
  <c r="F123" i="60"/>
  <c r="F129" i="60"/>
  <c r="F135" i="60"/>
  <c r="F141" i="60"/>
  <c r="L121" i="60"/>
  <c r="L157" i="60"/>
  <c r="L193" i="60"/>
  <c r="K93" i="60"/>
  <c r="K129" i="60"/>
  <c r="K165" i="60"/>
  <c r="K201" i="60"/>
  <c r="F88" i="60"/>
  <c r="F94" i="60"/>
  <c r="F100" i="60"/>
  <c r="F106" i="60"/>
  <c r="F112" i="60"/>
  <c r="F118" i="60"/>
  <c r="F124" i="60"/>
  <c r="F130" i="60"/>
  <c r="F136" i="60"/>
  <c r="F142" i="60"/>
  <c r="F148" i="60"/>
  <c r="F154" i="60"/>
  <c r="F160" i="60"/>
  <c r="L91" i="60"/>
  <c r="L127" i="60"/>
  <c r="L163" i="60"/>
  <c r="L199" i="60"/>
  <c r="K99" i="60"/>
  <c r="K135" i="60"/>
  <c r="K171" i="60"/>
  <c r="K207" i="60"/>
  <c r="F89" i="60"/>
  <c r="F95" i="60"/>
  <c r="F101" i="60"/>
  <c r="F107" i="60"/>
  <c r="F113" i="60"/>
  <c r="F119" i="60"/>
  <c r="F125" i="60"/>
  <c r="F131" i="60"/>
  <c r="F137" i="60"/>
  <c r="F143" i="60"/>
  <c r="F149" i="60"/>
  <c r="F155" i="60"/>
  <c r="F97" i="60"/>
  <c r="F109" i="60"/>
  <c r="F121" i="60"/>
  <c r="F133" i="60"/>
  <c r="F145" i="60"/>
  <c r="F153" i="60"/>
  <c r="F162" i="60"/>
  <c r="F168" i="60"/>
  <c r="F174" i="60"/>
  <c r="F180" i="60"/>
  <c r="F186" i="60"/>
  <c r="F192" i="60"/>
  <c r="F210" i="60"/>
  <c r="F222" i="60"/>
  <c r="E92" i="60"/>
  <c r="E116" i="60"/>
  <c r="E146" i="60"/>
  <c r="E170" i="60"/>
  <c r="E200" i="60"/>
  <c r="D88" i="60"/>
  <c r="I88" i="60" s="1"/>
  <c r="D112" i="60"/>
  <c r="D142" i="60"/>
  <c r="D172" i="60"/>
  <c r="D190" i="60"/>
  <c r="D214" i="60"/>
  <c r="E165" i="60"/>
  <c r="E183" i="60"/>
  <c r="E207" i="60"/>
  <c r="D101" i="60"/>
  <c r="F98" i="60"/>
  <c r="F110" i="60"/>
  <c r="F122" i="60"/>
  <c r="F134" i="60"/>
  <c r="F146" i="60"/>
  <c r="F156" i="60"/>
  <c r="F163" i="60"/>
  <c r="F169" i="60"/>
  <c r="F175" i="60"/>
  <c r="F181" i="60"/>
  <c r="F187" i="60"/>
  <c r="F193" i="60"/>
  <c r="F199" i="60"/>
  <c r="F205" i="60"/>
  <c r="F211" i="60"/>
  <c r="F217" i="60"/>
  <c r="E87" i="60"/>
  <c r="E93" i="60"/>
  <c r="E99" i="60"/>
  <c r="E105" i="60"/>
  <c r="E111" i="60"/>
  <c r="E117" i="60"/>
  <c r="E123" i="60"/>
  <c r="E129" i="60"/>
  <c r="E135" i="60"/>
  <c r="E141" i="60"/>
  <c r="E171" i="60"/>
  <c r="E177" i="60"/>
  <c r="E189" i="60"/>
  <c r="E201" i="60"/>
  <c r="E219" i="60"/>
  <c r="F90" i="60"/>
  <c r="F102" i="60"/>
  <c r="F114" i="60"/>
  <c r="F126" i="60"/>
  <c r="F138" i="60"/>
  <c r="F147" i="60"/>
  <c r="F157" i="60"/>
  <c r="F164" i="60"/>
  <c r="F170" i="60"/>
  <c r="F176" i="60"/>
  <c r="F182" i="60"/>
  <c r="F188" i="60"/>
  <c r="F194" i="60"/>
  <c r="F200" i="60"/>
  <c r="F206" i="60"/>
  <c r="F212" i="60"/>
  <c r="F218" i="60"/>
  <c r="E88" i="60"/>
  <c r="E94" i="60"/>
  <c r="E100" i="60"/>
  <c r="E106" i="60"/>
  <c r="E112" i="60"/>
  <c r="F91" i="60"/>
  <c r="F103" i="60"/>
  <c r="F115" i="60"/>
  <c r="F127" i="60"/>
  <c r="F139" i="60"/>
  <c r="F150" i="60"/>
  <c r="F158" i="60"/>
  <c r="F165" i="60"/>
  <c r="F171" i="60"/>
  <c r="F177" i="60"/>
  <c r="F183" i="60"/>
  <c r="F189" i="60"/>
  <c r="F195" i="60"/>
  <c r="F201" i="60"/>
  <c r="F207" i="60"/>
  <c r="F213" i="60"/>
  <c r="F219" i="60"/>
  <c r="E89" i="60"/>
  <c r="E95" i="60"/>
  <c r="E101" i="60"/>
  <c r="E107" i="60"/>
  <c r="E113" i="60"/>
  <c r="E119" i="60"/>
  <c r="E125" i="60"/>
  <c r="E131" i="60"/>
  <c r="E137" i="60"/>
  <c r="E143" i="60"/>
  <c r="E149" i="60"/>
  <c r="E155" i="60"/>
  <c r="E161" i="60"/>
  <c r="E167" i="60"/>
  <c r="E173" i="60"/>
  <c r="E179" i="60"/>
  <c r="E185" i="60"/>
  <c r="E191" i="60"/>
  <c r="E197" i="60"/>
  <c r="E203" i="60"/>
  <c r="E209" i="60"/>
  <c r="E215" i="60"/>
  <c r="E221" i="60"/>
  <c r="D91" i="60"/>
  <c r="I91" i="60" s="1"/>
  <c r="D97" i="60"/>
  <c r="D103" i="60"/>
  <c r="D109" i="60"/>
  <c r="D115" i="60"/>
  <c r="D121" i="60"/>
  <c r="D127" i="60"/>
  <c r="D133" i="60"/>
  <c r="D139" i="60"/>
  <c r="D145" i="60"/>
  <c r="D151" i="60"/>
  <c r="D157" i="60"/>
  <c r="D163" i="60"/>
  <c r="D169" i="60"/>
  <c r="D175" i="60"/>
  <c r="D181" i="60"/>
  <c r="D187" i="60"/>
  <c r="D193" i="60"/>
  <c r="D199" i="60"/>
  <c r="D205" i="60"/>
  <c r="D211" i="60"/>
  <c r="D217" i="60"/>
  <c r="D195" i="60"/>
  <c r="D213" i="60"/>
  <c r="F204" i="60"/>
  <c r="E98" i="60"/>
  <c r="E122" i="60"/>
  <c r="E140" i="60"/>
  <c r="E164" i="60"/>
  <c r="E188" i="60"/>
  <c r="E212" i="60"/>
  <c r="D106" i="60"/>
  <c r="D130" i="60"/>
  <c r="D154" i="60"/>
  <c r="D178" i="60"/>
  <c r="D196" i="60"/>
  <c r="D220" i="60"/>
  <c r="E153" i="60"/>
  <c r="F92" i="60"/>
  <c r="F104" i="60"/>
  <c r="F116" i="60"/>
  <c r="F128" i="60"/>
  <c r="F140" i="60"/>
  <c r="F151" i="60"/>
  <c r="F159" i="60"/>
  <c r="F166" i="60"/>
  <c r="F172" i="60"/>
  <c r="F178" i="60"/>
  <c r="F184" i="60"/>
  <c r="F190" i="60"/>
  <c r="F196" i="60"/>
  <c r="F202" i="60"/>
  <c r="F208" i="60"/>
  <c r="F214" i="60"/>
  <c r="F220" i="60"/>
  <c r="E90" i="60"/>
  <c r="E96" i="60"/>
  <c r="E102" i="60"/>
  <c r="E108" i="60"/>
  <c r="E114" i="60"/>
  <c r="E120" i="60"/>
  <c r="E126" i="60"/>
  <c r="E132" i="60"/>
  <c r="E138" i="60"/>
  <c r="E144" i="60"/>
  <c r="E150" i="60"/>
  <c r="E156" i="60"/>
  <c r="E162" i="60"/>
  <c r="E168" i="60"/>
  <c r="E174" i="60"/>
  <c r="E180" i="60"/>
  <c r="E186" i="60"/>
  <c r="E192" i="60"/>
  <c r="E198" i="60"/>
  <c r="E204" i="60"/>
  <c r="E210" i="60"/>
  <c r="E216" i="60"/>
  <c r="E222" i="60"/>
  <c r="D92" i="60"/>
  <c r="I92" i="60" s="1"/>
  <c r="D98" i="60"/>
  <c r="D104" i="60"/>
  <c r="D110" i="60"/>
  <c r="D116" i="60"/>
  <c r="D122" i="60"/>
  <c r="D128" i="60"/>
  <c r="D134" i="60"/>
  <c r="D140" i="60"/>
  <c r="D146" i="60"/>
  <c r="D152" i="60"/>
  <c r="D158" i="60"/>
  <c r="D164" i="60"/>
  <c r="D170" i="60"/>
  <c r="D176" i="60"/>
  <c r="D182" i="60"/>
  <c r="D188" i="60"/>
  <c r="D194" i="60"/>
  <c r="D200" i="60"/>
  <c r="D206" i="60"/>
  <c r="D212" i="60"/>
  <c r="D218" i="60"/>
  <c r="D189" i="60"/>
  <c r="D207" i="60"/>
  <c r="F198" i="60"/>
  <c r="E104" i="60"/>
  <c r="E128" i="60"/>
  <c r="E152" i="60"/>
  <c r="E176" i="60"/>
  <c r="E194" i="60"/>
  <c r="E218" i="60"/>
  <c r="D100" i="60"/>
  <c r="D124" i="60"/>
  <c r="D148" i="60"/>
  <c r="D166" i="60"/>
  <c r="D184" i="60"/>
  <c r="D208" i="60"/>
  <c r="B53" i="71" s="1"/>
  <c r="E147" i="60"/>
  <c r="E195" i="60"/>
  <c r="D89" i="60"/>
  <c r="I89" i="60" s="1"/>
  <c r="F96" i="60"/>
  <c r="F108" i="60"/>
  <c r="F120" i="60"/>
  <c r="F132" i="60"/>
  <c r="F144" i="60"/>
  <c r="F152" i="60"/>
  <c r="F161" i="60"/>
  <c r="F167" i="60"/>
  <c r="F173" i="60"/>
  <c r="F179" i="60"/>
  <c r="F185" i="60"/>
  <c r="F191" i="60"/>
  <c r="F197" i="60"/>
  <c r="F203" i="60"/>
  <c r="F209" i="60"/>
  <c r="F215" i="60"/>
  <c r="F221" i="60"/>
  <c r="E91" i="60"/>
  <c r="E97" i="60"/>
  <c r="E103" i="60"/>
  <c r="E109" i="60"/>
  <c r="E115" i="60"/>
  <c r="E121" i="60"/>
  <c r="E127" i="60"/>
  <c r="E133" i="60"/>
  <c r="E139" i="60"/>
  <c r="E145" i="60"/>
  <c r="E151" i="60"/>
  <c r="E157" i="60"/>
  <c r="E163" i="60"/>
  <c r="E169" i="60"/>
  <c r="E175" i="60"/>
  <c r="E181" i="60"/>
  <c r="E187" i="60"/>
  <c r="E193" i="60"/>
  <c r="E199" i="60"/>
  <c r="E205" i="60"/>
  <c r="E211" i="60"/>
  <c r="E217" i="60"/>
  <c r="D87" i="60"/>
  <c r="D93" i="60"/>
  <c r="I93" i="60" s="1"/>
  <c r="D99" i="60"/>
  <c r="D105" i="60"/>
  <c r="D111" i="60"/>
  <c r="D117" i="60"/>
  <c r="D123" i="60"/>
  <c r="D129" i="60"/>
  <c r="D135" i="60"/>
  <c r="D141" i="60"/>
  <c r="I141" i="60" s="1"/>
  <c r="D147" i="60"/>
  <c r="I147" i="60" s="1"/>
  <c r="D153" i="60"/>
  <c r="D159" i="60"/>
  <c r="D165" i="60"/>
  <c r="D171" i="60"/>
  <c r="D177" i="60"/>
  <c r="D183" i="60"/>
  <c r="D201" i="60"/>
  <c r="B50" i="71" s="1"/>
  <c r="D219" i="60"/>
  <c r="F216" i="60"/>
  <c r="E110" i="60"/>
  <c r="E134" i="60"/>
  <c r="E158" i="60"/>
  <c r="E182" i="60"/>
  <c r="E206" i="60"/>
  <c r="D94" i="60"/>
  <c r="D118" i="60"/>
  <c r="D136" i="60"/>
  <c r="D160" i="60"/>
  <c r="D202" i="60"/>
  <c r="E159" i="60"/>
  <c r="E213" i="60"/>
  <c r="E136" i="60"/>
  <c r="E172" i="60"/>
  <c r="E208" i="60"/>
  <c r="D102" i="60"/>
  <c r="D120" i="60"/>
  <c r="D138" i="60"/>
  <c r="D156" i="60"/>
  <c r="D174" i="60"/>
  <c r="D192" i="60"/>
  <c r="D210" i="60"/>
  <c r="E142" i="60"/>
  <c r="E178" i="60"/>
  <c r="E214" i="60"/>
  <c r="D107" i="60"/>
  <c r="D125" i="60"/>
  <c r="D143" i="60"/>
  <c r="D161" i="60"/>
  <c r="D179" i="60"/>
  <c r="D197" i="60"/>
  <c r="D215" i="60"/>
  <c r="D149" i="60"/>
  <c r="I149" i="60" s="1"/>
  <c r="D203" i="60"/>
  <c r="E124" i="60"/>
  <c r="D95" i="60"/>
  <c r="D132" i="60"/>
  <c r="D168" i="60"/>
  <c r="D204" i="60"/>
  <c r="E130" i="60"/>
  <c r="D96" i="60"/>
  <c r="I96" i="60" s="1"/>
  <c r="D137" i="60"/>
  <c r="D173" i="60"/>
  <c r="I173" i="60" s="1"/>
  <c r="D209" i="60"/>
  <c r="E148" i="60"/>
  <c r="E184" i="60"/>
  <c r="E220" i="60"/>
  <c r="D108" i="60"/>
  <c r="D126" i="60"/>
  <c r="D144" i="60"/>
  <c r="I144" i="60" s="1"/>
  <c r="D162" i="60"/>
  <c r="I162" i="60" s="1"/>
  <c r="D180" i="60"/>
  <c r="D198" i="60"/>
  <c r="D216" i="60"/>
  <c r="E118" i="60"/>
  <c r="E154" i="60"/>
  <c r="E190" i="60"/>
  <c r="D90" i="60"/>
  <c r="I90" i="60" s="1"/>
  <c r="D113" i="60"/>
  <c r="D131" i="60"/>
  <c r="D167" i="60"/>
  <c r="D185" i="60"/>
  <c r="D221" i="60"/>
  <c r="E160" i="60"/>
  <c r="E196" i="60"/>
  <c r="D114" i="60"/>
  <c r="D150" i="60"/>
  <c r="D186" i="60"/>
  <c r="D222" i="60"/>
  <c r="E166" i="60"/>
  <c r="E202" i="60"/>
  <c r="D119" i="60"/>
  <c r="D155" i="60"/>
  <c r="D191" i="60"/>
  <c r="N12" i="4"/>
  <c r="Y47" i="58"/>
  <c r="N9" i="4"/>
  <c r="Y44" i="58"/>
  <c r="N8" i="4"/>
  <c r="Y43" i="58"/>
  <c r="Y41" i="58"/>
  <c r="Y46" i="58"/>
  <c r="N5" i="4"/>
  <c r="Y40" i="58"/>
  <c r="N7" i="4"/>
  <c r="Y42" i="58"/>
  <c r="N10" i="4"/>
  <c r="Y45" i="58"/>
  <c r="Q6" i="4"/>
  <c r="Q7" i="4"/>
  <c r="Q8" i="4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2" i="4"/>
  <c r="Q43" i="4"/>
  <c r="Q44" i="4"/>
  <c r="Q45" i="4"/>
  <c r="Q46" i="4"/>
  <c r="Q47" i="4"/>
  <c r="Q48" i="4"/>
  <c r="Q49" i="4"/>
  <c r="Q50" i="4"/>
  <c r="Q51" i="4"/>
  <c r="Q52" i="4"/>
  <c r="Q53" i="4"/>
  <c r="Q54" i="4"/>
  <c r="Q55" i="4"/>
  <c r="Q56" i="4"/>
  <c r="Q57" i="4"/>
  <c r="Q58" i="4"/>
  <c r="Q59" i="4"/>
  <c r="Q60" i="4"/>
  <c r="Q61" i="4"/>
  <c r="Q62" i="4"/>
  <c r="Q63" i="4"/>
  <c r="Q64" i="4"/>
  <c r="Q65" i="4"/>
  <c r="Q66" i="4"/>
  <c r="Q67" i="4"/>
  <c r="Q68" i="4"/>
  <c r="Q69" i="4"/>
  <c r="Q70" i="4"/>
  <c r="Q71" i="4"/>
  <c r="Q72" i="4"/>
  <c r="Q73" i="4"/>
  <c r="Q74" i="4"/>
  <c r="Q75" i="4"/>
  <c r="Q76" i="4"/>
  <c r="Q77" i="4"/>
  <c r="Q78" i="4"/>
  <c r="Q79" i="4"/>
  <c r="Q80" i="4"/>
  <c r="Q81" i="4"/>
  <c r="Q82" i="4"/>
  <c r="Q83" i="4"/>
  <c r="Q84" i="4"/>
  <c r="Q85" i="4"/>
  <c r="Q86" i="4"/>
  <c r="Q87" i="4"/>
  <c r="Q88" i="4"/>
  <c r="Q89" i="4"/>
  <c r="Q90" i="4"/>
  <c r="Q91" i="4"/>
  <c r="Q92" i="4"/>
  <c r="Q93" i="4"/>
  <c r="Q94" i="4"/>
  <c r="Q95" i="4"/>
  <c r="Q96" i="4"/>
  <c r="Q97" i="4"/>
  <c r="Q98" i="4"/>
  <c r="Q99" i="4"/>
  <c r="Q100" i="4"/>
  <c r="Q101" i="4"/>
  <c r="Q102" i="4"/>
  <c r="Q103" i="4"/>
  <c r="Q104" i="4"/>
  <c r="Q105" i="4"/>
  <c r="Q106" i="4"/>
  <c r="Q107" i="4"/>
  <c r="Q108" i="4"/>
  <c r="Q109" i="4"/>
  <c r="Q110" i="4"/>
  <c r="Q111" i="4"/>
  <c r="Q112" i="4"/>
  <c r="Q113" i="4"/>
  <c r="Q114" i="4"/>
  <c r="Q115" i="4"/>
  <c r="Q116" i="4"/>
  <c r="Q117" i="4"/>
  <c r="Q118" i="4"/>
  <c r="Q119" i="4"/>
  <c r="Q5" i="4"/>
  <c r="P5" i="4"/>
  <c r="P6" i="4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55" i="4"/>
  <c r="P56" i="4"/>
  <c r="P57" i="4"/>
  <c r="P58" i="4"/>
  <c r="P59" i="4"/>
  <c r="P60" i="4"/>
  <c r="P61" i="4"/>
  <c r="P62" i="4"/>
  <c r="P63" i="4"/>
  <c r="P64" i="4"/>
  <c r="P65" i="4"/>
  <c r="P66" i="4"/>
  <c r="P67" i="4"/>
  <c r="P68" i="4"/>
  <c r="P69" i="4"/>
  <c r="P70" i="4"/>
  <c r="P71" i="4"/>
  <c r="P72" i="4"/>
  <c r="P73" i="4"/>
  <c r="P74" i="4"/>
  <c r="P75" i="4"/>
  <c r="P76" i="4"/>
  <c r="P77" i="4"/>
  <c r="P78" i="4"/>
  <c r="P79" i="4"/>
  <c r="P80" i="4"/>
  <c r="P81" i="4"/>
  <c r="P82" i="4"/>
  <c r="P83" i="4"/>
  <c r="P84" i="4"/>
  <c r="P85" i="4"/>
  <c r="P86" i="4"/>
  <c r="P87" i="4"/>
  <c r="P88" i="4"/>
  <c r="P89" i="4"/>
  <c r="P90" i="4"/>
  <c r="P91" i="4"/>
  <c r="P92" i="4"/>
  <c r="P93" i="4"/>
  <c r="P94" i="4"/>
  <c r="P95" i="4"/>
  <c r="P96" i="4"/>
  <c r="P97" i="4"/>
  <c r="P98" i="4"/>
  <c r="P99" i="4"/>
  <c r="P100" i="4"/>
  <c r="P101" i="4"/>
  <c r="P102" i="4"/>
  <c r="P103" i="4"/>
  <c r="P104" i="4"/>
  <c r="P105" i="4"/>
  <c r="P106" i="4"/>
  <c r="P107" i="4"/>
  <c r="P108" i="4"/>
  <c r="P109" i="4"/>
  <c r="P110" i="4"/>
  <c r="P111" i="4"/>
  <c r="P112" i="4"/>
  <c r="P113" i="4"/>
  <c r="P114" i="4"/>
  <c r="P115" i="4"/>
  <c r="P116" i="4"/>
  <c r="P117" i="4"/>
  <c r="P118" i="4"/>
  <c r="P119" i="4"/>
  <c r="E111" i="4"/>
  <c r="E112" i="4"/>
  <c r="E113" i="4"/>
  <c r="E114" i="4"/>
  <c r="E115" i="4"/>
  <c r="E116" i="4"/>
  <c r="E117" i="4"/>
  <c r="E118" i="4"/>
  <c r="E119" i="4"/>
  <c r="B52" i="71" l="1"/>
  <c r="B51" i="71"/>
  <c r="AA794" i="58"/>
  <c r="AB794" i="58" s="1"/>
  <c r="AA780" i="58"/>
  <c r="AB780" i="58" s="1"/>
  <c r="AA773" i="58"/>
  <c r="AB773" i="58" s="1"/>
  <c r="AA792" i="58"/>
  <c r="AB792" i="58" s="1"/>
  <c r="AA778" i="58"/>
  <c r="AB778" i="58" s="1"/>
  <c r="AA783" i="58"/>
  <c r="AB783" i="58" s="1"/>
  <c r="AA779" i="58"/>
  <c r="AB779" i="58" s="1"/>
  <c r="AA799" i="58"/>
  <c r="AB799" i="58" s="1"/>
  <c r="AA803" i="58"/>
  <c r="AB803" i="58" s="1"/>
  <c r="AA774" i="58"/>
  <c r="AB774" i="58" s="1"/>
  <c r="AA772" i="58"/>
  <c r="AB772" i="58" s="1"/>
  <c r="AA777" i="58"/>
  <c r="AB777" i="58" s="1"/>
  <c r="AA775" i="58"/>
  <c r="AB775" i="58" s="1"/>
  <c r="AA793" i="58"/>
  <c r="AB793" i="58" s="1"/>
  <c r="AA788" i="58"/>
  <c r="AB788" i="58" s="1"/>
  <c r="AA797" i="58"/>
  <c r="AB797" i="58" s="1"/>
  <c r="AA802" i="58"/>
  <c r="AB802" i="58" s="1"/>
  <c r="AA776" i="58"/>
  <c r="AB776" i="58" s="1"/>
  <c r="AA771" i="58"/>
  <c r="AB771" i="58" s="1"/>
  <c r="AA804" i="58"/>
  <c r="AB804" i="58" s="1"/>
  <c r="AA787" i="58"/>
  <c r="AB787" i="58" s="1"/>
  <c r="AA786" i="58"/>
  <c r="AB786" i="58" s="1"/>
  <c r="AA791" i="58"/>
  <c r="AB791" i="58" s="1"/>
  <c r="AA800" i="58"/>
  <c r="AB800" i="58" s="1"/>
  <c r="AA796" i="58"/>
  <c r="AB796" i="58" s="1"/>
  <c r="AA801" i="58"/>
  <c r="AB801" i="58" s="1"/>
  <c r="AA798" i="58"/>
  <c r="AB798" i="58" s="1"/>
  <c r="AA789" i="58"/>
  <c r="AB789" i="58" s="1"/>
  <c r="AA781" i="58"/>
  <c r="AB781" i="58" s="1"/>
  <c r="AA782" i="58"/>
  <c r="AB782" i="58" s="1"/>
  <c r="AA785" i="58"/>
  <c r="AB785" i="58" s="1"/>
  <c r="AA770" i="58"/>
  <c r="AB770" i="58" s="1"/>
  <c r="AA790" i="58"/>
  <c r="AB790" i="58" s="1"/>
  <c r="AA795" i="58"/>
  <c r="AB795" i="58" s="1"/>
  <c r="AA784" i="58"/>
  <c r="AB784" i="58" s="1"/>
  <c r="M11" i="4"/>
  <c r="B46" i="71"/>
  <c r="AA764" i="58"/>
  <c r="AB764" i="58" s="1"/>
  <c r="AA769" i="58"/>
  <c r="AB769" i="58" s="1"/>
  <c r="AA768" i="58"/>
  <c r="AB768" i="58" s="1"/>
  <c r="AA767" i="58"/>
  <c r="AB767" i="58" s="1"/>
  <c r="AA766" i="58"/>
  <c r="AB766" i="58" s="1"/>
  <c r="AA765" i="58"/>
  <c r="AB765" i="58" s="1"/>
  <c r="B47" i="71"/>
  <c r="B48" i="71"/>
  <c r="B70" i="71"/>
  <c r="B68" i="71"/>
  <c r="B56" i="71"/>
  <c r="B58" i="71"/>
  <c r="B100" i="71"/>
  <c r="B101" i="71"/>
  <c r="B82" i="71"/>
  <c r="B69" i="71"/>
  <c r="B73" i="71"/>
  <c r="B74" i="71"/>
  <c r="B92" i="71"/>
  <c r="B85" i="71"/>
  <c r="B57" i="71"/>
  <c r="B66" i="71"/>
  <c r="B71" i="71"/>
  <c r="B77" i="71"/>
  <c r="B78" i="71"/>
  <c r="B96" i="71"/>
  <c r="B95" i="71"/>
  <c r="B40" i="71"/>
  <c r="B87" i="71"/>
  <c r="B86" i="71"/>
  <c r="B80" i="71"/>
  <c r="B93" i="71"/>
  <c r="B90" i="71"/>
  <c r="B91" i="71"/>
  <c r="B89" i="71"/>
  <c r="B64" i="71"/>
  <c r="B43" i="71"/>
  <c r="B39" i="71"/>
  <c r="B41" i="71"/>
  <c r="B42" i="71"/>
  <c r="B44" i="71"/>
  <c r="B75" i="71"/>
  <c r="B65" i="71"/>
  <c r="B60" i="71"/>
  <c r="AA740" i="58"/>
  <c r="AB740" i="58" s="1"/>
  <c r="AA733" i="58"/>
  <c r="AB733" i="58" s="1"/>
  <c r="AA744" i="58"/>
  <c r="AB744" i="58" s="1"/>
  <c r="AA755" i="58"/>
  <c r="AB755" i="58" s="1"/>
  <c r="AA746" i="58"/>
  <c r="AB746" i="58" s="1"/>
  <c r="AA730" i="58"/>
  <c r="AB730" i="58" s="1"/>
  <c r="AA747" i="58"/>
  <c r="AB747" i="58" s="1"/>
  <c r="AA725" i="58"/>
  <c r="AB725" i="58" s="1"/>
  <c r="AA763" i="58"/>
  <c r="AB763" i="58" s="1"/>
  <c r="AA727" i="58"/>
  <c r="AB727" i="58" s="1"/>
  <c r="AA752" i="58"/>
  <c r="AB752" i="58" s="1"/>
  <c r="AA738" i="58"/>
  <c r="AB738" i="58" s="1"/>
  <c r="AA749" i="58"/>
  <c r="AB749" i="58" s="1"/>
  <c r="AA760" i="58"/>
  <c r="AB760" i="58" s="1"/>
  <c r="AA724" i="58"/>
  <c r="AB724" i="58" s="1"/>
  <c r="AA741" i="58"/>
  <c r="AB741" i="58" s="1"/>
  <c r="AA739" i="58"/>
  <c r="AB739" i="58" s="1"/>
  <c r="AA736" i="58"/>
  <c r="AB736" i="58" s="1"/>
  <c r="AA753" i="58"/>
  <c r="AB753" i="58" s="1"/>
  <c r="AA757" i="58"/>
  <c r="AB757" i="58" s="1"/>
  <c r="AA721" i="58"/>
  <c r="AB721" i="58" s="1"/>
  <c r="AA722" i="58"/>
  <c r="AB722" i="58" s="1"/>
  <c r="AA732" i="58"/>
  <c r="AB732" i="58" s="1"/>
  <c r="AA743" i="58"/>
  <c r="AB743" i="58" s="1"/>
  <c r="AA754" i="58"/>
  <c r="AB754" i="58" s="1"/>
  <c r="AA758" i="58"/>
  <c r="AB758" i="58" s="1"/>
  <c r="AA735" i="58"/>
  <c r="AB735" i="58" s="1"/>
  <c r="AA761" i="58"/>
  <c r="AB761" i="58" s="1"/>
  <c r="AA751" i="58"/>
  <c r="AB751" i="58" s="1"/>
  <c r="AA762" i="58"/>
  <c r="AB762" i="58" s="1"/>
  <c r="AA726" i="58"/>
  <c r="AB726" i="58" s="1"/>
  <c r="AA737" i="58"/>
  <c r="AB737" i="58" s="1"/>
  <c r="AA748" i="58"/>
  <c r="AB748" i="58" s="1"/>
  <c r="AA728" i="58"/>
  <c r="AB728" i="58" s="1"/>
  <c r="AA729" i="58"/>
  <c r="AB729" i="58" s="1"/>
  <c r="AA745" i="58"/>
  <c r="AB745" i="58" s="1"/>
  <c r="AA756" i="58"/>
  <c r="AB756" i="58" s="1"/>
  <c r="AA734" i="58"/>
  <c r="AB734" i="58" s="1"/>
  <c r="AA731" i="58"/>
  <c r="AB731" i="58" s="1"/>
  <c r="AA742" i="58"/>
  <c r="AB742" i="58" s="1"/>
  <c r="AA759" i="58"/>
  <c r="AB759" i="58" s="1"/>
  <c r="AA723" i="58"/>
  <c r="AB723" i="58" s="1"/>
  <c r="AA750" i="58"/>
  <c r="AB750" i="58" s="1"/>
  <c r="B49" i="71"/>
  <c r="AA43" i="58"/>
  <c r="B61" i="71"/>
  <c r="AA42" i="58"/>
  <c r="AA41" i="58"/>
  <c r="B55" i="71"/>
  <c r="AA44" i="58"/>
  <c r="N84" i="65"/>
  <c r="AA45" i="58"/>
  <c r="AA46" i="58"/>
  <c r="AA47" i="58"/>
  <c r="AA685" i="58"/>
  <c r="AB685" i="58" s="1"/>
  <c r="AA666" i="58"/>
  <c r="AB666" i="58" s="1"/>
  <c r="AA681" i="58"/>
  <c r="AB681" i="58" s="1"/>
  <c r="AA615" i="58"/>
  <c r="AB615" i="58" s="1"/>
  <c r="AA698" i="58"/>
  <c r="AB698" i="58" s="1"/>
  <c r="AA662" i="58"/>
  <c r="AB662" i="58" s="1"/>
  <c r="AA626" i="58"/>
  <c r="AB626" i="58" s="1"/>
  <c r="AA697" i="58"/>
  <c r="AB697" i="58" s="1"/>
  <c r="AA696" i="58"/>
  <c r="AB696" i="58" s="1"/>
  <c r="AA637" i="58"/>
  <c r="AB637" i="58" s="1"/>
  <c r="AA606" i="58"/>
  <c r="AB606" i="58" s="1"/>
  <c r="AA689" i="58"/>
  <c r="AA653" i="58"/>
  <c r="AB653" i="58" s="1"/>
  <c r="AA617" i="58"/>
  <c r="AB617" i="58" s="1"/>
  <c r="AA679" i="58"/>
  <c r="AB679" i="58" s="1"/>
  <c r="AA624" i="58"/>
  <c r="AB624" i="58" s="1"/>
  <c r="AA694" i="58"/>
  <c r="AA658" i="58"/>
  <c r="AB658" i="58" s="1"/>
  <c r="AA622" i="58"/>
  <c r="AB622" i="58" s="1"/>
  <c r="AA667" i="58"/>
  <c r="AB667" i="58" s="1"/>
  <c r="AA699" i="58"/>
  <c r="AB699" i="58" s="1"/>
  <c r="AA621" i="58"/>
  <c r="AB621" i="58" s="1"/>
  <c r="AA649" i="58"/>
  <c r="AB649" i="58" s="1"/>
  <c r="AA648" i="58"/>
  <c r="AB648" i="58" s="1"/>
  <c r="AA669" i="58"/>
  <c r="AB669" i="58" s="1"/>
  <c r="AA609" i="58"/>
  <c r="AB609" i="58" s="1"/>
  <c r="AA692" i="58"/>
  <c r="AB692" i="58" s="1"/>
  <c r="AA656" i="58"/>
  <c r="AB656" i="58" s="1"/>
  <c r="AA620" i="58"/>
  <c r="AB620" i="58" s="1"/>
  <c r="AA661" i="58"/>
  <c r="AA672" i="58"/>
  <c r="AB672" i="58" s="1"/>
  <c r="AA607" i="58"/>
  <c r="AB607" i="58" s="1"/>
  <c r="AA719" i="58"/>
  <c r="AB719" i="58" s="1"/>
  <c r="AA683" i="58"/>
  <c r="AB683" i="58" s="1"/>
  <c r="AA647" i="58"/>
  <c r="AA611" i="58"/>
  <c r="AB611" i="58" s="1"/>
  <c r="AA643" i="58"/>
  <c r="AB643" i="58" s="1"/>
  <c r="AA600" i="58"/>
  <c r="AB600" i="58" s="1"/>
  <c r="AA688" i="58"/>
  <c r="AB688" i="58" s="1"/>
  <c r="AA652" i="58"/>
  <c r="AB652" i="58" s="1"/>
  <c r="AA616" i="58"/>
  <c r="AB616" i="58" s="1"/>
  <c r="AA613" i="58"/>
  <c r="AA687" i="58"/>
  <c r="AB687" i="58" s="1"/>
  <c r="AA603" i="58"/>
  <c r="AB603" i="58" s="1"/>
  <c r="AA631" i="58"/>
  <c r="AB631" i="58" s="1"/>
  <c r="AA618" i="58"/>
  <c r="AB618" i="58" s="1"/>
  <c r="AA657" i="58"/>
  <c r="AB657" i="58" s="1"/>
  <c r="AA597" i="58"/>
  <c r="AB597" i="58" s="1"/>
  <c r="AA686" i="58"/>
  <c r="AB686" i="58" s="1"/>
  <c r="AA650" i="58"/>
  <c r="AB650" i="58" s="1"/>
  <c r="AA614" i="58"/>
  <c r="AB614" i="58" s="1"/>
  <c r="AA601" i="58"/>
  <c r="AB601" i="58" s="1"/>
  <c r="AA636" i="58"/>
  <c r="AB636" i="58" s="1"/>
  <c r="AA714" i="58"/>
  <c r="AA713" i="58"/>
  <c r="AB713" i="58" s="1"/>
  <c r="AA677" i="58"/>
  <c r="AB677" i="58" s="1"/>
  <c r="AA641" i="58"/>
  <c r="AB641" i="58" s="1"/>
  <c r="AA605" i="58"/>
  <c r="AB605" i="58" s="1"/>
  <c r="AA625" i="58"/>
  <c r="AB625" i="58" s="1"/>
  <c r="AA718" i="58"/>
  <c r="AB718" i="58" s="1"/>
  <c r="AA682" i="58"/>
  <c r="AB682" i="58" s="1"/>
  <c r="AA646" i="58"/>
  <c r="AB646" i="58" s="1"/>
  <c r="AA610" i="58"/>
  <c r="AB610" i="58" s="1"/>
  <c r="AA708" i="58"/>
  <c r="AB708" i="58" s="1"/>
  <c r="AA675" i="58"/>
  <c r="AB675" i="58" s="1"/>
  <c r="AA595" i="58"/>
  <c r="AB595" i="58" s="1"/>
  <c r="AA717" i="58"/>
  <c r="AB717" i="58" s="1"/>
  <c r="AA645" i="58"/>
  <c r="AB645" i="58" s="1"/>
  <c r="AA716" i="58"/>
  <c r="AB716" i="58" s="1"/>
  <c r="AA680" i="58"/>
  <c r="AB680" i="58" s="1"/>
  <c r="AA644" i="58"/>
  <c r="AB644" i="58" s="1"/>
  <c r="AA608" i="58"/>
  <c r="AB608" i="58" s="1"/>
  <c r="AA691" i="58"/>
  <c r="AB691" i="58" s="1"/>
  <c r="AA594" i="58"/>
  <c r="AB594" i="58" s="1"/>
  <c r="AA678" i="58"/>
  <c r="AB678" i="58" s="1"/>
  <c r="AA707" i="58"/>
  <c r="AA671" i="58"/>
  <c r="AB671" i="58" s="1"/>
  <c r="AA635" i="58"/>
  <c r="AB635" i="58" s="1"/>
  <c r="AA599" i="58"/>
  <c r="AB599" i="58" s="1"/>
  <c r="AA720" i="58"/>
  <c r="AB720" i="58" s="1"/>
  <c r="AA712" i="58"/>
  <c r="AB712" i="58" s="1"/>
  <c r="AA676" i="58"/>
  <c r="AB676" i="58" s="1"/>
  <c r="AA640" i="58"/>
  <c r="AB640" i="58" s="1"/>
  <c r="AA604" i="58"/>
  <c r="AB604" i="58" s="1"/>
  <c r="AA642" i="58"/>
  <c r="AB642" i="58" s="1"/>
  <c r="AA663" i="58"/>
  <c r="AB663" i="58" s="1"/>
  <c r="AA702" i="58"/>
  <c r="AB702" i="58" s="1"/>
  <c r="AA705" i="58"/>
  <c r="AB705" i="58" s="1"/>
  <c r="AA633" i="58"/>
  <c r="AB633" i="58" s="1"/>
  <c r="AA710" i="58"/>
  <c r="AB710" i="58" s="1"/>
  <c r="AA674" i="58"/>
  <c r="AB674" i="58" s="1"/>
  <c r="AA638" i="58"/>
  <c r="AB638" i="58" s="1"/>
  <c r="AA602" i="58"/>
  <c r="AB602" i="58" s="1"/>
  <c r="AA655" i="58"/>
  <c r="AB655" i="58" s="1"/>
  <c r="AA709" i="58"/>
  <c r="AB709" i="58" s="1"/>
  <c r="AA654" i="58"/>
  <c r="AB654" i="58" s="1"/>
  <c r="AA701" i="58"/>
  <c r="AB701" i="58" s="1"/>
  <c r="AA665" i="58"/>
  <c r="AB665" i="58" s="1"/>
  <c r="AA629" i="58"/>
  <c r="AB629" i="58" s="1"/>
  <c r="AA593" i="58"/>
  <c r="AB593" i="58" s="1"/>
  <c r="AA690" i="58"/>
  <c r="AB690" i="58" s="1"/>
  <c r="AA706" i="58"/>
  <c r="AB706" i="58" s="1"/>
  <c r="AA670" i="58"/>
  <c r="AB670" i="58" s="1"/>
  <c r="AA634" i="58"/>
  <c r="AB634" i="58" s="1"/>
  <c r="AA598" i="58"/>
  <c r="AB598" i="58" s="1"/>
  <c r="AA612" i="58"/>
  <c r="AB612" i="58" s="1"/>
  <c r="AA651" i="58"/>
  <c r="AB651" i="58" s="1"/>
  <c r="AA684" i="58"/>
  <c r="AB684" i="58" s="1"/>
  <c r="AA693" i="58"/>
  <c r="AB693" i="58" s="1"/>
  <c r="AA627" i="58"/>
  <c r="AB627" i="58" s="1"/>
  <c r="AA704" i="58"/>
  <c r="AB704" i="58" s="1"/>
  <c r="AA668" i="58"/>
  <c r="AB668" i="58" s="1"/>
  <c r="AA632" i="58"/>
  <c r="AB632" i="58" s="1"/>
  <c r="AA596" i="58"/>
  <c r="AB596" i="58" s="1"/>
  <c r="AA619" i="58"/>
  <c r="AB619" i="58" s="1"/>
  <c r="AA673" i="58"/>
  <c r="AB673" i="58" s="1"/>
  <c r="AA630" i="58"/>
  <c r="AB630" i="58" s="1"/>
  <c r="AA695" i="58"/>
  <c r="AB695" i="58" s="1"/>
  <c r="AA659" i="58"/>
  <c r="AB659" i="58" s="1"/>
  <c r="AA623" i="58"/>
  <c r="AB623" i="58" s="1"/>
  <c r="AA715" i="58"/>
  <c r="AA660" i="58"/>
  <c r="AB660" i="58" s="1"/>
  <c r="AA700" i="58"/>
  <c r="AB700" i="58" s="1"/>
  <c r="AA664" i="58"/>
  <c r="AB664" i="58" s="1"/>
  <c r="AA628" i="58"/>
  <c r="AB628" i="58" s="1"/>
  <c r="AA703" i="58"/>
  <c r="AB703" i="58" s="1"/>
  <c r="AA711" i="58"/>
  <c r="AB711" i="58" s="1"/>
  <c r="AA639" i="58"/>
  <c r="AB639" i="58" s="1"/>
  <c r="AA589" i="58"/>
  <c r="AB589" i="58" s="1"/>
  <c r="AA553" i="58"/>
  <c r="AB553" i="58" s="1"/>
  <c r="AA517" i="58"/>
  <c r="AB517" i="58" s="1"/>
  <c r="AA481" i="58"/>
  <c r="AB481" i="58" s="1"/>
  <c r="AA445" i="58"/>
  <c r="AA409" i="58"/>
  <c r="AA373" i="58"/>
  <c r="AA582" i="58"/>
  <c r="AB582" i="58" s="1"/>
  <c r="AA546" i="58"/>
  <c r="AB546" i="58" s="1"/>
  <c r="AA510" i="58"/>
  <c r="AB510" i="58" s="1"/>
  <c r="AA474" i="58"/>
  <c r="AB474" i="58" s="1"/>
  <c r="AA438" i="58"/>
  <c r="AA402" i="58"/>
  <c r="AA366" i="58"/>
  <c r="AA575" i="58"/>
  <c r="AB575" i="58" s="1"/>
  <c r="AA539" i="58"/>
  <c r="AB539" i="58" s="1"/>
  <c r="AA503" i="58"/>
  <c r="AB503" i="58" s="1"/>
  <c r="AA467" i="58"/>
  <c r="AB467" i="58" s="1"/>
  <c r="AA431" i="58"/>
  <c r="AA395" i="58"/>
  <c r="AA359" i="58"/>
  <c r="AA574" i="58"/>
  <c r="AB574" i="58" s="1"/>
  <c r="AA538" i="58"/>
  <c r="AB538" i="58" s="1"/>
  <c r="AA502" i="58"/>
  <c r="AB502" i="58" s="1"/>
  <c r="AA466" i="58"/>
  <c r="AB466" i="58" s="1"/>
  <c r="AA430" i="58"/>
  <c r="AA394" i="58"/>
  <c r="AA358" i="58"/>
  <c r="AA573" i="58"/>
  <c r="AB573" i="58" s="1"/>
  <c r="AA537" i="58"/>
  <c r="AB537" i="58" s="1"/>
  <c r="AA501" i="58"/>
  <c r="AB501" i="58" s="1"/>
  <c r="AA465" i="58"/>
  <c r="AB465" i="58" s="1"/>
  <c r="AA429" i="58"/>
  <c r="AA393" i="58"/>
  <c r="AA357" i="58"/>
  <c r="AA572" i="58"/>
  <c r="AB572" i="58" s="1"/>
  <c r="AA536" i="58"/>
  <c r="AB536" i="58" s="1"/>
  <c r="AA500" i="58"/>
  <c r="AB500" i="58" s="1"/>
  <c r="AA464" i="58"/>
  <c r="AB464" i="58" s="1"/>
  <c r="AA428" i="58"/>
  <c r="AA392" i="58"/>
  <c r="AA356" i="58"/>
  <c r="AA571" i="58"/>
  <c r="AB571" i="58" s="1"/>
  <c r="AA463" i="58"/>
  <c r="AB463" i="58" s="1"/>
  <c r="AA355" i="58"/>
  <c r="AA492" i="58"/>
  <c r="AB492" i="58" s="1"/>
  <c r="AA456" i="58"/>
  <c r="AB456" i="58" s="1"/>
  <c r="AA348" i="58"/>
  <c r="AA485" i="58"/>
  <c r="AB485" i="58" s="1"/>
  <c r="AA377" i="58"/>
  <c r="AA520" i="58"/>
  <c r="AB520" i="58" s="1"/>
  <c r="AA412" i="58"/>
  <c r="AA555" i="58"/>
  <c r="AB555" i="58" s="1"/>
  <c r="AA447" i="58"/>
  <c r="AA590" i="58"/>
  <c r="AB590" i="58" s="1"/>
  <c r="AA482" i="58"/>
  <c r="AB482" i="58" s="1"/>
  <c r="AA374" i="58"/>
  <c r="AA583" i="58"/>
  <c r="AB583" i="58" s="1"/>
  <c r="AA547" i="58"/>
  <c r="AB547" i="58" s="1"/>
  <c r="AA511" i="58"/>
  <c r="AB511" i="58" s="1"/>
  <c r="AA475" i="58"/>
  <c r="AB475" i="58" s="1"/>
  <c r="AA439" i="58"/>
  <c r="AA403" i="58"/>
  <c r="AA367" i="58"/>
  <c r="AA576" i="58"/>
  <c r="AB576" i="58" s="1"/>
  <c r="AA540" i="58"/>
  <c r="AB540" i="58" s="1"/>
  <c r="AA504" i="58"/>
  <c r="AB504" i="58" s="1"/>
  <c r="AA468" i="58"/>
  <c r="AB468" i="58" s="1"/>
  <c r="AA432" i="58"/>
  <c r="AA396" i="58"/>
  <c r="AA360" i="58"/>
  <c r="AA569" i="58"/>
  <c r="AB569" i="58" s="1"/>
  <c r="AA533" i="58"/>
  <c r="AB533" i="58" s="1"/>
  <c r="AA497" i="58"/>
  <c r="AB497" i="58" s="1"/>
  <c r="AA461" i="58"/>
  <c r="AB461" i="58" s="1"/>
  <c r="AA425" i="58"/>
  <c r="AA389" i="58"/>
  <c r="AA353" i="58"/>
  <c r="AA568" i="58"/>
  <c r="AB568" i="58" s="1"/>
  <c r="AA532" i="58"/>
  <c r="AB532" i="58" s="1"/>
  <c r="AA496" i="58"/>
  <c r="AB496" i="58" s="1"/>
  <c r="AA460" i="58"/>
  <c r="AB460" i="58" s="1"/>
  <c r="AA424" i="58"/>
  <c r="AA388" i="58"/>
  <c r="AA352" i="58"/>
  <c r="AA567" i="58"/>
  <c r="AB567" i="58" s="1"/>
  <c r="AA531" i="58"/>
  <c r="AB531" i="58" s="1"/>
  <c r="AA495" i="58"/>
  <c r="AB495" i="58" s="1"/>
  <c r="AA459" i="58"/>
  <c r="AB459" i="58" s="1"/>
  <c r="AA423" i="58"/>
  <c r="AA387" i="58"/>
  <c r="AA351" i="58"/>
  <c r="AA566" i="58"/>
  <c r="AB566" i="58" s="1"/>
  <c r="AA530" i="58"/>
  <c r="AB530" i="58" s="1"/>
  <c r="AA494" i="58"/>
  <c r="AB494" i="58" s="1"/>
  <c r="AA458" i="58"/>
  <c r="AB458" i="58" s="1"/>
  <c r="AA422" i="58"/>
  <c r="AA386" i="58"/>
  <c r="AA350" i="58"/>
  <c r="AA535" i="58"/>
  <c r="AB535" i="58" s="1"/>
  <c r="AA391" i="58"/>
  <c r="AA528" i="58"/>
  <c r="AB528" i="58" s="1"/>
  <c r="AA384" i="58"/>
  <c r="AA521" i="58"/>
  <c r="AB521" i="58" s="1"/>
  <c r="AA449" i="58"/>
  <c r="AB449" i="58" s="1"/>
  <c r="AA592" i="58"/>
  <c r="AB592" i="58" s="1"/>
  <c r="AA484" i="58"/>
  <c r="AB484" i="58" s="1"/>
  <c r="AA591" i="58"/>
  <c r="AB591" i="58" s="1"/>
  <c r="AA483" i="58"/>
  <c r="AB483" i="58" s="1"/>
  <c r="AA375" i="58"/>
  <c r="AA518" i="58"/>
  <c r="AB518" i="58" s="1"/>
  <c r="AA410" i="58"/>
  <c r="AA577" i="58"/>
  <c r="AB577" i="58" s="1"/>
  <c r="AA541" i="58"/>
  <c r="AB541" i="58" s="1"/>
  <c r="AA505" i="58"/>
  <c r="AB505" i="58" s="1"/>
  <c r="AA469" i="58"/>
  <c r="AB469" i="58" s="1"/>
  <c r="AA433" i="58"/>
  <c r="AA397" i="58"/>
  <c r="AA361" i="58"/>
  <c r="AA570" i="58"/>
  <c r="AB570" i="58" s="1"/>
  <c r="AA534" i="58"/>
  <c r="AB534" i="58" s="1"/>
  <c r="AA498" i="58"/>
  <c r="AB498" i="58" s="1"/>
  <c r="AA462" i="58"/>
  <c r="AB462" i="58" s="1"/>
  <c r="AA426" i="58"/>
  <c r="AA390" i="58"/>
  <c r="AA354" i="58"/>
  <c r="AA563" i="58"/>
  <c r="AB563" i="58" s="1"/>
  <c r="AA527" i="58"/>
  <c r="AB527" i="58" s="1"/>
  <c r="AA491" i="58"/>
  <c r="AB491" i="58" s="1"/>
  <c r="AA455" i="58"/>
  <c r="AB455" i="58" s="1"/>
  <c r="AA419" i="58"/>
  <c r="AA383" i="58"/>
  <c r="AA347" i="58"/>
  <c r="AA562" i="58"/>
  <c r="AB562" i="58" s="1"/>
  <c r="AA526" i="58"/>
  <c r="AB526" i="58" s="1"/>
  <c r="AA490" i="58"/>
  <c r="AB490" i="58" s="1"/>
  <c r="AA454" i="58"/>
  <c r="AB454" i="58" s="1"/>
  <c r="AA418" i="58"/>
  <c r="AA382" i="58"/>
  <c r="AA346" i="58"/>
  <c r="AA561" i="58"/>
  <c r="AB561" i="58" s="1"/>
  <c r="AA525" i="58"/>
  <c r="AB525" i="58" s="1"/>
  <c r="AA489" i="58"/>
  <c r="AB489" i="58" s="1"/>
  <c r="AA453" i="58"/>
  <c r="AB453" i="58" s="1"/>
  <c r="AA417" i="58"/>
  <c r="AA381" i="58"/>
  <c r="AA345" i="58"/>
  <c r="AA560" i="58"/>
  <c r="AB560" i="58" s="1"/>
  <c r="AA524" i="58"/>
  <c r="AB524" i="58" s="1"/>
  <c r="AA488" i="58"/>
  <c r="AB488" i="58" s="1"/>
  <c r="AA452" i="58"/>
  <c r="AB452" i="58" s="1"/>
  <c r="AA416" i="58"/>
  <c r="AA380" i="58"/>
  <c r="AA344" i="58"/>
  <c r="AA499" i="58"/>
  <c r="AB499" i="58" s="1"/>
  <c r="AA427" i="58"/>
  <c r="AA564" i="58"/>
  <c r="AB564" i="58" s="1"/>
  <c r="AA420" i="58"/>
  <c r="AA557" i="58"/>
  <c r="AB557" i="58" s="1"/>
  <c r="AA413" i="58"/>
  <c r="AA556" i="58"/>
  <c r="AB556" i="58" s="1"/>
  <c r="AA448" i="58"/>
  <c r="AB448" i="58" s="1"/>
  <c r="AA376" i="58"/>
  <c r="AA519" i="58"/>
  <c r="AB519" i="58" s="1"/>
  <c r="AA411" i="58"/>
  <c r="AA554" i="58"/>
  <c r="AB554" i="58" s="1"/>
  <c r="AA446" i="58"/>
  <c r="AA559" i="58"/>
  <c r="AB559" i="58" s="1"/>
  <c r="AA523" i="58"/>
  <c r="AB523" i="58" s="1"/>
  <c r="AA487" i="58"/>
  <c r="AB487" i="58" s="1"/>
  <c r="AA451" i="58"/>
  <c r="AB451" i="58" s="1"/>
  <c r="AA415" i="58"/>
  <c r="AA379" i="58"/>
  <c r="AA588" i="58"/>
  <c r="AB588" i="58" s="1"/>
  <c r="AA552" i="58"/>
  <c r="AB552" i="58" s="1"/>
  <c r="AA516" i="58"/>
  <c r="AB516" i="58" s="1"/>
  <c r="AA480" i="58"/>
  <c r="AB480" i="58" s="1"/>
  <c r="AA444" i="58"/>
  <c r="AA408" i="58"/>
  <c r="AA372" i="58"/>
  <c r="AA581" i="58"/>
  <c r="AB581" i="58" s="1"/>
  <c r="AA545" i="58"/>
  <c r="AB545" i="58" s="1"/>
  <c r="AA509" i="58"/>
  <c r="AB509" i="58" s="1"/>
  <c r="AA473" i="58"/>
  <c r="AB473" i="58" s="1"/>
  <c r="AA437" i="58"/>
  <c r="AA401" i="58"/>
  <c r="AA365" i="58"/>
  <c r="AA580" i="58"/>
  <c r="AB580" i="58" s="1"/>
  <c r="AA544" i="58"/>
  <c r="AB544" i="58" s="1"/>
  <c r="AA508" i="58"/>
  <c r="AB508" i="58" s="1"/>
  <c r="AA472" i="58"/>
  <c r="AB472" i="58" s="1"/>
  <c r="AA436" i="58"/>
  <c r="AA400" i="58"/>
  <c r="AA364" i="58"/>
  <c r="AA579" i="58"/>
  <c r="AB579" i="58" s="1"/>
  <c r="AA543" i="58"/>
  <c r="AB543" i="58" s="1"/>
  <c r="AA507" i="58"/>
  <c r="AB507" i="58" s="1"/>
  <c r="AA471" i="58"/>
  <c r="AB471" i="58" s="1"/>
  <c r="AA435" i="58"/>
  <c r="AA399" i="58"/>
  <c r="AA363" i="58"/>
  <c r="AA578" i="58"/>
  <c r="AB578" i="58" s="1"/>
  <c r="AA542" i="58"/>
  <c r="AB542" i="58" s="1"/>
  <c r="AA506" i="58"/>
  <c r="AB506" i="58" s="1"/>
  <c r="AA470" i="58"/>
  <c r="AB470" i="58" s="1"/>
  <c r="AA434" i="58"/>
  <c r="AA398" i="58"/>
  <c r="AA362" i="58"/>
  <c r="AA565" i="58"/>
  <c r="AB565" i="58" s="1"/>
  <c r="AA349" i="58"/>
  <c r="AA378" i="58"/>
  <c r="AA407" i="58"/>
  <c r="AA442" i="58"/>
  <c r="AA477" i="58"/>
  <c r="AB477" i="58" s="1"/>
  <c r="AA512" i="58"/>
  <c r="AB512" i="58" s="1"/>
  <c r="AA529" i="58"/>
  <c r="AB529" i="58" s="1"/>
  <c r="AA558" i="58"/>
  <c r="AB558" i="58" s="1"/>
  <c r="AA587" i="58"/>
  <c r="AB587" i="58" s="1"/>
  <c r="AA371" i="58"/>
  <c r="AA406" i="58"/>
  <c r="AA441" i="58"/>
  <c r="AA476" i="58"/>
  <c r="AB476" i="58" s="1"/>
  <c r="AA450" i="58"/>
  <c r="AB450" i="58" s="1"/>
  <c r="AA493" i="58"/>
  <c r="AB493" i="58" s="1"/>
  <c r="AA522" i="58"/>
  <c r="AB522" i="58" s="1"/>
  <c r="AA551" i="58"/>
  <c r="AB551" i="58" s="1"/>
  <c r="AA586" i="58"/>
  <c r="AB586" i="58" s="1"/>
  <c r="AA370" i="58"/>
  <c r="AA405" i="58"/>
  <c r="AA440" i="58"/>
  <c r="AA457" i="58"/>
  <c r="AB457" i="58" s="1"/>
  <c r="AA486" i="58"/>
  <c r="AB486" i="58" s="1"/>
  <c r="AA515" i="58"/>
  <c r="AB515" i="58" s="1"/>
  <c r="AA550" i="58"/>
  <c r="AB550" i="58" s="1"/>
  <c r="AA585" i="58"/>
  <c r="AB585" i="58" s="1"/>
  <c r="AA369" i="58"/>
  <c r="AA404" i="58"/>
  <c r="AA421" i="58"/>
  <c r="AA479" i="58"/>
  <c r="AB479" i="58" s="1"/>
  <c r="AA514" i="58"/>
  <c r="AB514" i="58" s="1"/>
  <c r="AA549" i="58"/>
  <c r="AB549" i="58" s="1"/>
  <c r="AA584" i="58"/>
  <c r="AB584" i="58" s="1"/>
  <c r="AA368" i="58"/>
  <c r="AA385" i="58"/>
  <c r="AA414" i="58"/>
  <c r="AA443" i="58"/>
  <c r="AA478" i="58"/>
  <c r="AB478" i="58" s="1"/>
  <c r="AA513" i="58"/>
  <c r="AB513" i="58" s="1"/>
  <c r="AA548" i="58"/>
  <c r="AB548" i="58" s="1"/>
  <c r="AA333" i="58"/>
  <c r="AA279" i="58"/>
  <c r="AA291" i="58"/>
  <c r="AA316" i="58"/>
  <c r="AA280" i="58"/>
  <c r="AA332" i="58"/>
  <c r="AA319" i="58"/>
  <c r="AA283" i="58"/>
  <c r="AA320" i="58"/>
  <c r="AA337" i="58"/>
  <c r="AA270" i="58"/>
  <c r="AA296" i="58"/>
  <c r="AA306" i="58"/>
  <c r="AA329" i="58"/>
  <c r="AA293" i="58"/>
  <c r="AA254" i="58"/>
  <c r="AA309" i="58"/>
  <c r="AA327" i="58"/>
  <c r="AA267" i="58"/>
  <c r="AA310" i="58"/>
  <c r="AA274" i="58"/>
  <c r="AA302" i="58"/>
  <c r="AA313" i="58"/>
  <c r="AA277" i="58"/>
  <c r="AA308" i="58"/>
  <c r="AA336" i="58"/>
  <c r="AA264" i="58"/>
  <c r="AA278" i="58"/>
  <c r="AA294" i="58"/>
  <c r="AA323" i="58"/>
  <c r="AA287" i="58"/>
  <c r="AA257" i="58"/>
  <c r="AA285" i="58"/>
  <c r="AA297" i="58"/>
  <c r="AA340" i="58"/>
  <c r="AA304" i="58"/>
  <c r="AA268" i="58"/>
  <c r="AA284" i="58"/>
  <c r="AA307" i="58"/>
  <c r="AA271" i="58"/>
  <c r="AA290" i="58"/>
  <c r="AA324" i="58"/>
  <c r="AA261" i="58"/>
  <c r="AA331" i="58"/>
  <c r="AA288" i="58"/>
  <c r="AA317" i="58"/>
  <c r="AA281" i="58"/>
  <c r="AA338" i="58"/>
  <c r="AA273" i="58"/>
  <c r="AA334" i="58"/>
  <c r="AA298" i="58"/>
  <c r="AA260" i="58"/>
  <c r="AA266" i="58"/>
  <c r="AA301" i="58"/>
  <c r="AA259" i="58"/>
  <c r="AA272" i="58"/>
  <c r="AA312" i="58"/>
  <c r="AA265" i="58"/>
  <c r="AA342" i="58"/>
  <c r="AA276" i="58"/>
  <c r="AA311" i="58"/>
  <c r="AA275" i="58"/>
  <c r="AA339" i="58"/>
  <c r="AA321" i="58"/>
  <c r="AA328" i="58"/>
  <c r="AA292" i="58"/>
  <c r="AA262" i="58"/>
  <c r="AA343" i="58"/>
  <c r="AA295" i="58"/>
  <c r="AA258" i="58"/>
  <c r="AA252" i="58"/>
  <c r="AA300" i="58"/>
  <c r="AA326" i="58"/>
  <c r="AA330" i="58"/>
  <c r="AA341" i="58"/>
  <c r="AA305" i="58"/>
  <c r="AA269" i="58"/>
  <c r="AA315" i="58"/>
  <c r="AA303" i="58"/>
  <c r="AA322" i="58"/>
  <c r="AA286" i="58"/>
  <c r="AA263" i="58"/>
  <c r="AA325" i="58"/>
  <c r="AA289" i="58"/>
  <c r="AA255" i="58"/>
  <c r="AA253" i="58"/>
  <c r="AA282" i="58"/>
  <c r="AA314" i="58"/>
  <c r="AA318" i="58"/>
  <c r="AA335" i="58"/>
  <c r="AA299" i="58"/>
  <c r="AA256" i="58"/>
  <c r="AA248" i="58"/>
  <c r="AA243" i="58"/>
  <c r="AA222" i="58"/>
  <c r="AA234" i="58"/>
  <c r="AA227" i="58"/>
  <c r="AA219" i="58"/>
  <c r="AA245" i="58"/>
  <c r="AA240" i="58"/>
  <c r="AA251" i="58"/>
  <c r="AA230" i="58"/>
  <c r="AA217" i="58"/>
  <c r="AA218" i="58"/>
  <c r="AA238" i="58"/>
  <c r="AA220" i="58"/>
  <c r="AA241" i="58"/>
  <c r="AA228" i="58"/>
  <c r="AA221" i="58"/>
  <c r="AA225" i="58"/>
  <c r="AA246" i="58"/>
  <c r="AA223" i="58"/>
  <c r="AA250" i="58"/>
  <c r="AA236" i="58"/>
  <c r="AA237" i="58"/>
  <c r="AA229" i="58"/>
  <c r="AA235" i="58"/>
  <c r="AA242" i="58"/>
  <c r="AA232" i="58"/>
  <c r="AA239" i="58"/>
  <c r="AA247" i="58"/>
  <c r="AA224" i="58"/>
  <c r="AA249" i="58"/>
  <c r="AA226" i="58"/>
  <c r="AA233" i="58"/>
  <c r="AA231" i="58"/>
  <c r="AA244" i="58"/>
  <c r="AA210" i="58"/>
  <c r="AA206" i="58"/>
  <c r="AA168" i="58"/>
  <c r="AA209" i="58"/>
  <c r="AA214" i="58"/>
  <c r="AA171" i="58"/>
  <c r="AA216" i="58"/>
  <c r="AA170" i="58"/>
  <c r="AA207" i="58"/>
  <c r="AA215" i="58"/>
  <c r="AA212" i="58"/>
  <c r="AA204" i="58"/>
  <c r="AA213" i="58"/>
  <c r="AA205" i="58"/>
  <c r="AA208" i="58"/>
  <c r="AA211" i="58"/>
  <c r="AA169" i="58"/>
  <c r="AA192" i="58"/>
  <c r="AA173" i="58"/>
  <c r="AA196" i="58"/>
  <c r="AA175" i="58"/>
  <c r="AA188" i="58"/>
  <c r="AA181" i="58"/>
  <c r="AA186" i="58"/>
  <c r="AA195" i="58"/>
  <c r="AA200" i="58"/>
  <c r="AA198" i="58"/>
  <c r="AA191" i="58"/>
  <c r="AA183" i="58"/>
  <c r="AA203" i="58"/>
  <c r="AA197" i="58"/>
  <c r="AA182" i="58"/>
  <c r="AA199" i="58"/>
  <c r="AA185" i="58"/>
  <c r="AA193" i="58"/>
  <c r="AA202" i="58"/>
  <c r="AA179" i="58"/>
  <c r="AA201" i="58"/>
  <c r="AA180" i="58"/>
  <c r="AA176" i="58"/>
  <c r="AA172" i="58"/>
  <c r="AA189" i="58"/>
  <c r="AA194" i="58"/>
  <c r="AA190" i="58"/>
  <c r="AA177" i="58"/>
  <c r="AA187" i="58"/>
  <c r="AA178" i="58"/>
  <c r="AA184" i="58"/>
  <c r="AA174" i="58"/>
  <c r="AA145" i="58"/>
  <c r="AA156" i="58"/>
  <c r="AA161" i="58"/>
  <c r="AA162" i="58"/>
  <c r="AA136" i="58"/>
  <c r="AA133" i="58"/>
  <c r="AA139" i="58"/>
  <c r="AA148" i="58"/>
  <c r="AA140" i="58"/>
  <c r="AA165" i="58"/>
  <c r="AA129" i="58"/>
  <c r="AA144" i="58"/>
  <c r="AA143" i="58"/>
  <c r="AA138" i="58"/>
  <c r="AA151" i="58"/>
  <c r="AA131" i="58"/>
  <c r="AA132" i="58"/>
  <c r="AA167" i="58"/>
  <c r="AA149" i="58"/>
  <c r="AA155" i="58"/>
  <c r="AA134" i="58"/>
  <c r="AA147" i="58"/>
  <c r="AA154" i="58"/>
  <c r="AA157" i="58"/>
  <c r="AA130" i="58"/>
  <c r="AA152" i="58"/>
  <c r="AA158" i="58"/>
  <c r="AA150" i="58"/>
  <c r="AA153" i="58"/>
  <c r="AA159" i="58"/>
  <c r="AA137" i="58"/>
  <c r="AA166" i="58"/>
  <c r="AA163" i="58"/>
  <c r="AA142" i="58"/>
  <c r="AA141" i="58"/>
  <c r="AA146" i="58"/>
  <c r="AA135" i="58"/>
  <c r="AA164" i="58"/>
  <c r="AA160" i="58"/>
  <c r="AA122" i="58"/>
  <c r="AA121" i="58"/>
  <c r="AA102" i="58"/>
  <c r="AA108" i="58"/>
  <c r="AA115" i="58"/>
  <c r="AA120" i="58"/>
  <c r="AA104" i="58"/>
  <c r="AA124" i="58"/>
  <c r="AA126" i="58"/>
  <c r="AA114" i="58"/>
  <c r="AA127" i="58"/>
  <c r="AA110" i="58"/>
  <c r="AA117" i="58"/>
  <c r="AA107" i="58"/>
  <c r="AA128" i="58"/>
  <c r="AA118" i="58"/>
  <c r="AA123" i="58"/>
  <c r="AA125" i="58"/>
  <c r="AA111" i="58"/>
  <c r="AA103" i="58"/>
  <c r="AA119" i="58"/>
  <c r="AA113" i="58"/>
  <c r="AA105" i="58"/>
  <c r="AA106" i="58"/>
  <c r="AA109" i="58"/>
  <c r="AA116" i="58"/>
  <c r="AA112" i="58"/>
  <c r="AA88" i="58"/>
  <c r="AA89" i="58"/>
  <c r="AA90" i="58"/>
  <c r="AA97" i="58"/>
  <c r="AA91" i="58"/>
  <c r="AA94" i="58"/>
  <c r="AA96" i="58"/>
  <c r="AA93" i="58"/>
  <c r="AA101" i="58"/>
  <c r="AA100" i="58"/>
  <c r="AA92" i="58"/>
  <c r="AA99" i="58"/>
  <c r="AA87" i="58"/>
  <c r="AA98" i="58"/>
  <c r="AA95" i="58"/>
  <c r="AA75" i="58"/>
  <c r="AA72" i="58"/>
  <c r="AA67" i="58"/>
  <c r="AA73" i="58"/>
  <c r="AA74" i="58"/>
  <c r="AA79" i="58"/>
  <c r="AA71" i="58"/>
  <c r="AA78" i="58"/>
  <c r="AA86" i="58"/>
  <c r="AA82" i="58"/>
  <c r="AA85" i="58"/>
  <c r="AA77" i="58"/>
  <c r="AA68" i="58"/>
  <c r="AA76" i="58"/>
  <c r="AA69" i="58"/>
  <c r="AA70" i="58"/>
  <c r="AA83" i="58"/>
  <c r="AA80" i="58"/>
  <c r="AA84" i="58"/>
  <c r="AA81" i="58"/>
  <c r="AA56" i="58"/>
  <c r="AA54" i="58"/>
  <c r="AA65" i="58"/>
  <c r="AA48" i="58"/>
  <c r="AA55" i="58"/>
  <c r="AA50" i="58"/>
  <c r="AA49" i="58"/>
  <c r="AA51" i="58"/>
  <c r="AA53" i="58"/>
  <c r="AA57" i="58"/>
  <c r="AA62" i="58"/>
  <c r="AA63" i="58"/>
  <c r="AA52" i="58"/>
  <c r="AA66" i="58"/>
  <c r="AA60" i="58"/>
  <c r="AA58" i="58"/>
  <c r="AA61" i="58"/>
  <c r="AA64" i="58"/>
  <c r="AA59" i="58"/>
  <c r="B54" i="71"/>
  <c r="B63" i="71"/>
  <c r="B59" i="71"/>
  <c r="B45" i="71"/>
  <c r="B62" i="71"/>
  <c r="AB715" i="58"/>
  <c r="AB714" i="58"/>
  <c r="L17" i="4"/>
  <c r="L18" i="4" s="1"/>
  <c r="AB707" i="58"/>
  <c r="M14" i="4"/>
  <c r="M17" i="4" s="1"/>
  <c r="AB694" i="58"/>
  <c r="AB689" i="58"/>
  <c r="M191" i="61"/>
  <c r="N191" i="61" s="1"/>
  <c r="M192" i="61"/>
  <c r="G192" i="61" s="1"/>
  <c r="AB661" i="58"/>
  <c r="O99" i="65"/>
  <c r="I99" i="65" s="1"/>
  <c r="M90" i="64"/>
  <c r="O97" i="65"/>
  <c r="I97" i="65" s="1"/>
  <c r="AB647" i="58"/>
  <c r="O87" i="65"/>
  <c r="P2" i="4" s="1"/>
  <c r="I222" i="60"/>
  <c r="M272" i="60"/>
  <c r="G272" i="60" s="1"/>
  <c r="AB613" i="58"/>
  <c r="M328" i="60"/>
  <c r="M273" i="60"/>
  <c r="C79" i="71" s="1"/>
  <c r="M199" i="61"/>
  <c r="M186" i="61"/>
  <c r="M221" i="61"/>
  <c r="O92" i="65"/>
  <c r="I92" i="65" s="1"/>
  <c r="M114" i="64"/>
  <c r="O95" i="65"/>
  <c r="I95" i="65" s="1"/>
  <c r="O94" i="65"/>
  <c r="I94" i="65" s="1"/>
  <c r="O93" i="65"/>
  <c r="I93" i="65" s="1"/>
  <c r="O103" i="65"/>
  <c r="I103" i="65" s="1"/>
  <c r="M84" i="65"/>
  <c r="O88" i="65"/>
  <c r="I88" i="65" s="1"/>
  <c r="G101" i="64"/>
  <c r="M89" i="64"/>
  <c r="P34" i="71" s="1"/>
  <c r="M113" i="64"/>
  <c r="M309" i="60"/>
  <c r="M368" i="60"/>
  <c r="M332" i="60"/>
  <c r="G332" i="60" s="1"/>
  <c r="M112" i="64"/>
  <c r="N112" i="64" s="1"/>
  <c r="M235" i="61"/>
  <c r="N235" i="61" s="1"/>
  <c r="M195" i="61"/>
  <c r="N195" i="61" s="1"/>
  <c r="M252" i="61"/>
  <c r="M91" i="64"/>
  <c r="L34" i="71" s="1"/>
  <c r="M107" i="64"/>
  <c r="G115" i="64"/>
  <c r="I171" i="60"/>
  <c r="M316" i="60"/>
  <c r="M362" i="60"/>
  <c r="M326" i="60"/>
  <c r="N105" i="64"/>
  <c r="M298" i="60"/>
  <c r="G298" i="60" s="1"/>
  <c r="M305" i="60"/>
  <c r="G305" i="60" s="1"/>
  <c r="M335" i="60"/>
  <c r="N335" i="60" s="1"/>
  <c r="M278" i="60"/>
  <c r="M352" i="60"/>
  <c r="M375" i="60"/>
  <c r="G375" i="60" s="1"/>
  <c r="M209" i="61"/>
  <c r="N209" i="61" s="1"/>
  <c r="M193" i="61"/>
  <c r="G193" i="61" s="1"/>
  <c r="M224" i="61"/>
  <c r="N224" i="61" s="1"/>
  <c r="M188" i="61"/>
  <c r="N188" i="61" s="1"/>
  <c r="M280" i="60"/>
  <c r="M222" i="61"/>
  <c r="G222" i="61" s="1"/>
  <c r="M208" i="61"/>
  <c r="M223" i="60"/>
  <c r="N223" i="60" s="1"/>
  <c r="M253" i="61"/>
  <c r="M210" i="61"/>
  <c r="N210" i="61" s="1"/>
  <c r="M321" i="60"/>
  <c r="G321" i="60" s="1"/>
  <c r="M248" i="60"/>
  <c r="G248" i="60" s="1"/>
  <c r="M271" i="60"/>
  <c r="G271" i="60" s="1"/>
  <c r="M249" i="60"/>
  <c r="N249" i="60" s="1"/>
  <c r="G99" i="64"/>
  <c r="M285" i="60"/>
  <c r="N285" i="60" s="1"/>
  <c r="M239" i="60"/>
  <c r="G239" i="60" s="1"/>
  <c r="M92" i="64"/>
  <c r="N34" i="71" s="1"/>
  <c r="M254" i="61"/>
  <c r="M242" i="60"/>
  <c r="M380" i="60"/>
  <c r="G380" i="60" s="1"/>
  <c r="M344" i="60"/>
  <c r="M226" i="60"/>
  <c r="G226" i="60" s="1"/>
  <c r="M282" i="60"/>
  <c r="N282" i="60" s="1"/>
  <c r="M246" i="60"/>
  <c r="N246" i="60" s="1"/>
  <c r="M317" i="60"/>
  <c r="M255" i="60"/>
  <c r="G255" i="60" s="1"/>
  <c r="M93" i="64"/>
  <c r="K84" i="64"/>
  <c r="M211" i="61"/>
  <c r="M376" i="60"/>
  <c r="N376" i="60" s="1"/>
  <c r="M267" i="60"/>
  <c r="M363" i="60"/>
  <c r="G363" i="60" s="1"/>
  <c r="M231" i="60"/>
  <c r="M215" i="61"/>
  <c r="M179" i="61"/>
  <c r="M196" i="61"/>
  <c r="M111" i="64"/>
  <c r="M340" i="60"/>
  <c r="N340" i="60" s="1"/>
  <c r="M254" i="60"/>
  <c r="G254" i="60" s="1"/>
  <c r="M240" i="61"/>
  <c r="M228" i="61"/>
  <c r="M106" i="64"/>
  <c r="N106" i="64" s="1"/>
  <c r="M131" i="61"/>
  <c r="M269" i="60"/>
  <c r="G269" i="60" s="1"/>
  <c r="M291" i="60"/>
  <c r="G291" i="60" s="1"/>
  <c r="M356" i="60"/>
  <c r="G356" i="60" s="1"/>
  <c r="M320" i="60"/>
  <c r="G320" i="60" s="1"/>
  <c r="M369" i="60"/>
  <c r="G369" i="60" s="1"/>
  <c r="M235" i="60"/>
  <c r="N235" i="60" s="1"/>
  <c r="M180" i="61"/>
  <c r="G180" i="61" s="1"/>
  <c r="M303" i="60"/>
  <c r="M371" i="60"/>
  <c r="G371" i="60" s="1"/>
  <c r="M299" i="60"/>
  <c r="M227" i="60"/>
  <c r="M256" i="60"/>
  <c r="N256" i="60" s="1"/>
  <c r="M350" i="60"/>
  <c r="G350" i="60" s="1"/>
  <c r="M314" i="60"/>
  <c r="N314" i="60" s="1"/>
  <c r="M339" i="60"/>
  <c r="M297" i="60"/>
  <c r="N297" i="60" s="1"/>
  <c r="M223" i="61"/>
  <c r="G223" i="61" s="1"/>
  <c r="M187" i="61"/>
  <c r="G187" i="61" s="1"/>
  <c r="M227" i="61"/>
  <c r="G227" i="61" s="1"/>
  <c r="M218" i="61"/>
  <c r="M182" i="61"/>
  <c r="M329" i="60"/>
  <c r="G329" i="60" s="1"/>
  <c r="M308" i="60"/>
  <c r="N308" i="60" s="1"/>
  <c r="M261" i="60"/>
  <c r="G261" i="60" s="1"/>
  <c r="M377" i="60"/>
  <c r="N377" i="60" s="1"/>
  <c r="M341" i="60"/>
  <c r="G341" i="60" s="1"/>
  <c r="M358" i="60"/>
  <c r="G358" i="60" s="1"/>
  <c r="M251" i="60"/>
  <c r="M244" i="60"/>
  <c r="N244" i="60" s="1"/>
  <c r="M225" i="60"/>
  <c r="N225" i="60" s="1"/>
  <c r="M260" i="60"/>
  <c r="G260" i="60" s="1"/>
  <c r="M224" i="60"/>
  <c r="N224" i="60" s="1"/>
  <c r="M237" i="60"/>
  <c r="M233" i="60"/>
  <c r="M263" i="60"/>
  <c r="G263" i="60" s="1"/>
  <c r="M288" i="60"/>
  <c r="G288" i="60" s="1"/>
  <c r="M252" i="60"/>
  <c r="N252" i="60" s="1"/>
  <c r="M307" i="60"/>
  <c r="G307" i="60" s="1"/>
  <c r="M231" i="61"/>
  <c r="M323" i="60"/>
  <c r="G323" i="60" s="1"/>
  <c r="M312" i="60"/>
  <c r="N312" i="60" s="1"/>
  <c r="M276" i="60"/>
  <c r="M240" i="60"/>
  <c r="N240" i="60" s="1"/>
  <c r="M347" i="60"/>
  <c r="G347" i="60" s="1"/>
  <c r="M311" i="60"/>
  <c r="M300" i="60"/>
  <c r="M264" i="60"/>
  <c r="M228" i="60"/>
  <c r="M246" i="61"/>
  <c r="G246" i="61" s="1"/>
  <c r="M289" i="60"/>
  <c r="N289" i="60" s="1"/>
  <c r="M290" i="60"/>
  <c r="M370" i="60"/>
  <c r="M373" i="60"/>
  <c r="N373" i="60" s="1"/>
  <c r="M337" i="60"/>
  <c r="G337" i="60" s="1"/>
  <c r="M301" i="60"/>
  <c r="G301" i="60" s="1"/>
  <c r="M265" i="60"/>
  <c r="G265" i="60" s="1"/>
  <c r="M229" i="60"/>
  <c r="G229" i="60" s="1"/>
  <c r="M334" i="60"/>
  <c r="G334" i="60" s="1"/>
  <c r="M324" i="60"/>
  <c r="G324" i="60" s="1"/>
  <c r="M244" i="61"/>
  <c r="G244" i="61" s="1"/>
  <c r="M365" i="60"/>
  <c r="N365" i="60" s="1"/>
  <c r="M236" i="60"/>
  <c r="G236" i="60" s="1"/>
  <c r="M359" i="60"/>
  <c r="M253" i="60"/>
  <c r="M251" i="61"/>
  <c r="M219" i="61"/>
  <c r="M245" i="60"/>
  <c r="N245" i="60" s="1"/>
  <c r="E84" i="64"/>
  <c r="M304" i="60"/>
  <c r="M284" i="60"/>
  <c r="M232" i="60"/>
  <c r="M379" i="60"/>
  <c r="M343" i="60"/>
  <c r="M364" i="60"/>
  <c r="M327" i="60"/>
  <c r="M366" i="60"/>
  <c r="M330" i="60"/>
  <c r="M294" i="60"/>
  <c r="M258" i="60"/>
  <c r="H355" i="60"/>
  <c r="I355" i="60"/>
  <c r="J355" i="60"/>
  <c r="H362" i="60"/>
  <c r="J362" i="60"/>
  <c r="I362" i="60"/>
  <c r="H326" i="60"/>
  <c r="J326" i="60"/>
  <c r="I326" i="60"/>
  <c r="J285" i="60"/>
  <c r="H285" i="60"/>
  <c r="I285" i="60"/>
  <c r="H331" i="60"/>
  <c r="I331" i="60"/>
  <c r="J331" i="60"/>
  <c r="J292" i="60"/>
  <c r="I292" i="60"/>
  <c r="H292" i="60"/>
  <c r="I378" i="60"/>
  <c r="H378" i="60"/>
  <c r="J378" i="60"/>
  <c r="I342" i="60"/>
  <c r="H342" i="60"/>
  <c r="J342" i="60"/>
  <c r="I306" i="60"/>
  <c r="H306" i="60"/>
  <c r="J306" i="60"/>
  <c r="J243" i="60"/>
  <c r="H243" i="60"/>
  <c r="I243" i="60"/>
  <c r="I377" i="60"/>
  <c r="J377" i="60"/>
  <c r="H377" i="60"/>
  <c r="I341" i="60"/>
  <c r="J341" i="60"/>
  <c r="H341" i="60"/>
  <c r="I305" i="60"/>
  <c r="J305" i="60"/>
  <c r="H305" i="60"/>
  <c r="H237" i="60"/>
  <c r="J237" i="60"/>
  <c r="I237" i="60"/>
  <c r="J376" i="60"/>
  <c r="I376" i="60"/>
  <c r="H376" i="60"/>
  <c r="J340" i="60"/>
  <c r="I340" i="60"/>
  <c r="H340" i="60"/>
  <c r="J304" i="60"/>
  <c r="I304" i="60"/>
  <c r="H304" i="60"/>
  <c r="J231" i="60"/>
  <c r="H231" i="60"/>
  <c r="I231" i="60"/>
  <c r="H363" i="60"/>
  <c r="I363" i="60"/>
  <c r="J363" i="60"/>
  <c r="H327" i="60"/>
  <c r="I327" i="60"/>
  <c r="J327" i="60"/>
  <c r="J286" i="60"/>
  <c r="I286" i="60"/>
  <c r="H286" i="60"/>
  <c r="H244" i="60"/>
  <c r="J244" i="60"/>
  <c r="I244" i="60"/>
  <c r="H284" i="60"/>
  <c r="J284" i="60"/>
  <c r="I284" i="60"/>
  <c r="J248" i="60"/>
  <c r="I248" i="60"/>
  <c r="H248" i="60"/>
  <c r="H295" i="60"/>
  <c r="I295" i="60"/>
  <c r="J295" i="60"/>
  <c r="H259" i="60"/>
  <c r="I259" i="60"/>
  <c r="J259" i="60"/>
  <c r="H223" i="60"/>
  <c r="I223" i="60"/>
  <c r="J223" i="60"/>
  <c r="I234" i="60"/>
  <c r="J234" i="60"/>
  <c r="H234" i="60"/>
  <c r="I227" i="60"/>
  <c r="J227" i="60"/>
  <c r="H227" i="60"/>
  <c r="M204" i="61"/>
  <c r="G229" i="61"/>
  <c r="N229" i="61"/>
  <c r="M233" i="61"/>
  <c r="M197" i="61"/>
  <c r="M250" i="61"/>
  <c r="M214" i="61"/>
  <c r="M178" i="61"/>
  <c r="M237" i="61"/>
  <c r="M201" i="61"/>
  <c r="J200" i="61"/>
  <c r="H200" i="61"/>
  <c r="I200" i="61"/>
  <c r="H237" i="61"/>
  <c r="J237" i="61"/>
  <c r="I237" i="61"/>
  <c r="H183" i="61"/>
  <c r="I183" i="61"/>
  <c r="J183" i="61"/>
  <c r="I234" i="61"/>
  <c r="J234" i="61"/>
  <c r="H234" i="61"/>
  <c r="H180" i="61"/>
  <c r="J180" i="61"/>
  <c r="I180" i="61"/>
  <c r="I233" i="61"/>
  <c r="J233" i="61"/>
  <c r="H233" i="61"/>
  <c r="H179" i="61"/>
  <c r="J179" i="61"/>
  <c r="I179" i="61"/>
  <c r="J249" i="61"/>
  <c r="H249" i="61"/>
  <c r="I249" i="61"/>
  <c r="I195" i="61"/>
  <c r="H195" i="61"/>
  <c r="J195" i="61"/>
  <c r="I239" i="61"/>
  <c r="J239" i="61"/>
  <c r="H239" i="61"/>
  <c r="J185" i="61"/>
  <c r="I185" i="61"/>
  <c r="H185" i="61"/>
  <c r="H232" i="61"/>
  <c r="I232" i="61"/>
  <c r="J232" i="61"/>
  <c r="H196" i="61"/>
  <c r="I196" i="61"/>
  <c r="J196" i="61"/>
  <c r="H253" i="61"/>
  <c r="J253" i="61"/>
  <c r="I253" i="61"/>
  <c r="H217" i="61"/>
  <c r="J217" i="61"/>
  <c r="I217" i="61"/>
  <c r="H181" i="61"/>
  <c r="I181" i="61"/>
  <c r="J181" i="61"/>
  <c r="G314" i="60"/>
  <c r="G297" i="60"/>
  <c r="M360" i="60"/>
  <c r="H379" i="60"/>
  <c r="I379" i="60"/>
  <c r="J379" i="60"/>
  <c r="H356" i="60"/>
  <c r="J356" i="60"/>
  <c r="I356" i="60"/>
  <c r="H320" i="60"/>
  <c r="J320" i="60"/>
  <c r="I320" i="60"/>
  <c r="I275" i="60"/>
  <c r="J275" i="60"/>
  <c r="H275" i="60"/>
  <c r="H325" i="60"/>
  <c r="I325" i="60"/>
  <c r="J325" i="60"/>
  <c r="I282" i="60"/>
  <c r="H282" i="60"/>
  <c r="J282" i="60"/>
  <c r="I372" i="60"/>
  <c r="H372" i="60"/>
  <c r="J372" i="60"/>
  <c r="I336" i="60"/>
  <c r="H336" i="60"/>
  <c r="J336" i="60"/>
  <c r="I299" i="60"/>
  <c r="J299" i="60"/>
  <c r="H299" i="60"/>
  <c r="I371" i="60"/>
  <c r="J371" i="60"/>
  <c r="H371" i="60"/>
  <c r="I335" i="60"/>
  <c r="J335" i="60"/>
  <c r="H335" i="60"/>
  <c r="J298" i="60"/>
  <c r="I298" i="60"/>
  <c r="H298" i="60"/>
  <c r="J370" i="60"/>
  <c r="I370" i="60"/>
  <c r="H370" i="60"/>
  <c r="J334" i="60"/>
  <c r="I334" i="60"/>
  <c r="H334" i="60"/>
  <c r="J297" i="60"/>
  <c r="H297" i="60"/>
  <c r="I297" i="60"/>
  <c r="H357" i="60"/>
  <c r="J357" i="60"/>
  <c r="I357" i="60"/>
  <c r="H321" i="60"/>
  <c r="J321" i="60"/>
  <c r="I321" i="60"/>
  <c r="I276" i="60"/>
  <c r="H276" i="60"/>
  <c r="J276" i="60"/>
  <c r="H238" i="60"/>
  <c r="J238" i="60"/>
  <c r="I238" i="60"/>
  <c r="H278" i="60"/>
  <c r="J278" i="60"/>
  <c r="I278" i="60"/>
  <c r="J242" i="60"/>
  <c r="H242" i="60"/>
  <c r="I242" i="60"/>
  <c r="H289" i="60"/>
  <c r="I289" i="60"/>
  <c r="J289" i="60"/>
  <c r="H253" i="60"/>
  <c r="I253" i="60"/>
  <c r="J253" i="60"/>
  <c r="I264" i="60"/>
  <c r="H264" i="60"/>
  <c r="J264" i="60"/>
  <c r="I228" i="60"/>
  <c r="J228" i="60"/>
  <c r="H228" i="60"/>
  <c r="G191" i="61"/>
  <c r="N244" i="61"/>
  <c r="G208" i="61"/>
  <c r="N208" i="61"/>
  <c r="G231" i="61"/>
  <c r="N231" i="61"/>
  <c r="N254" i="61"/>
  <c r="G254" i="61"/>
  <c r="G218" i="61"/>
  <c r="N218" i="61"/>
  <c r="G182" i="61"/>
  <c r="N182" i="61"/>
  <c r="I228" i="61"/>
  <c r="J228" i="61"/>
  <c r="H228" i="61"/>
  <c r="J225" i="61"/>
  <c r="I225" i="61"/>
  <c r="H225" i="61"/>
  <c r="H224" i="61"/>
  <c r="I224" i="61"/>
  <c r="J224" i="61"/>
  <c r="I240" i="61"/>
  <c r="J240" i="61"/>
  <c r="H240" i="61"/>
  <c r="J186" i="61"/>
  <c r="H186" i="61"/>
  <c r="I186" i="61"/>
  <c r="H230" i="61"/>
  <c r="I230" i="61"/>
  <c r="J230" i="61"/>
  <c r="H226" i="61"/>
  <c r="J226" i="61"/>
  <c r="I226" i="61"/>
  <c r="H190" i="61"/>
  <c r="I190" i="61"/>
  <c r="J190" i="61"/>
  <c r="H247" i="61"/>
  <c r="I247" i="61"/>
  <c r="J247" i="61"/>
  <c r="I211" i="61"/>
  <c r="H211" i="61"/>
  <c r="J211" i="61"/>
  <c r="N104" i="64"/>
  <c r="G104" i="64"/>
  <c r="G335" i="60"/>
  <c r="N350" i="60"/>
  <c r="G339" i="60"/>
  <c r="N339" i="60"/>
  <c r="N226" i="60"/>
  <c r="M279" i="60"/>
  <c r="G365" i="60"/>
  <c r="M293" i="60"/>
  <c r="M257" i="60"/>
  <c r="M238" i="60"/>
  <c r="G345" i="60"/>
  <c r="N345" i="60"/>
  <c r="M262" i="60"/>
  <c r="C72" i="71" s="1"/>
  <c r="N380" i="60"/>
  <c r="G344" i="60"/>
  <c r="N344" i="60"/>
  <c r="M346" i="60"/>
  <c r="M315" i="60"/>
  <c r="M367" i="60"/>
  <c r="M331" i="60"/>
  <c r="M295" i="60"/>
  <c r="C97" i="71" s="1"/>
  <c r="M259" i="60"/>
  <c r="M310" i="60"/>
  <c r="N255" i="60"/>
  <c r="M354" i="60"/>
  <c r="M318" i="60"/>
  <c r="H361" i="60"/>
  <c r="I361" i="60"/>
  <c r="J361" i="60"/>
  <c r="H350" i="60"/>
  <c r="J350" i="60"/>
  <c r="I350" i="60"/>
  <c r="H314" i="60"/>
  <c r="J314" i="60"/>
  <c r="I314" i="60"/>
  <c r="J267" i="60"/>
  <c r="H267" i="60"/>
  <c r="I267" i="60"/>
  <c r="H319" i="60"/>
  <c r="I319" i="60"/>
  <c r="J319" i="60"/>
  <c r="J274" i="60"/>
  <c r="I274" i="60"/>
  <c r="H274" i="60"/>
  <c r="I366" i="60"/>
  <c r="H366" i="60"/>
  <c r="J366" i="60"/>
  <c r="I330" i="60"/>
  <c r="H330" i="60"/>
  <c r="J330" i="60"/>
  <c r="J291" i="60"/>
  <c r="H291" i="60"/>
  <c r="I291" i="60"/>
  <c r="I365" i="60"/>
  <c r="J365" i="60"/>
  <c r="H365" i="60"/>
  <c r="I329" i="60"/>
  <c r="J329" i="60"/>
  <c r="H329" i="60"/>
  <c r="I288" i="60"/>
  <c r="H288" i="60"/>
  <c r="J288" i="60"/>
  <c r="J364" i="60"/>
  <c r="I364" i="60"/>
  <c r="H364" i="60"/>
  <c r="J328" i="60"/>
  <c r="I328" i="60"/>
  <c r="H328" i="60"/>
  <c r="I287" i="60"/>
  <c r="J287" i="60"/>
  <c r="H287" i="60"/>
  <c r="H351" i="60"/>
  <c r="J351" i="60"/>
  <c r="I351" i="60"/>
  <c r="J315" i="60"/>
  <c r="H315" i="60"/>
  <c r="I315" i="60"/>
  <c r="J268" i="60"/>
  <c r="I268" i="60"/>
  <c r="H268" i="60"/>
  <c r="H232" i="60"/>
  <c r="J232" i="60"/>
  <c r="I232" i="60"/>
  <c r="H272" i="60"/>
  <c r="J272" i="60"/>
  <c r="I272" i="60"/>
  <c r="H236" i="60"/>
  <c r="J236" i="60"/>
  <c r="I236" i="60"/>
  <c r="H283" i="60"/>
  <c r="I283" i="60"/>
  <c r="J283" i="60"/>
  <c r="H247" i="60"/>
  <c r="I247" i="60"/>
  <c r="J247" i="60"/>
  <c r="I258" i="60"/>
  <c r="H258" i="60"/>
  <c r="J258" i="60"/>
  <c r="I251" i="60"/>
  <c r="J251" i="60"/>
  <c r="H251" i="60"/>
  <c r="G186" i="61"/>
  <c r="N186" i="61"/>
  <c r="M234" i="61"/>
  <c r="G253" i="61"/>
  <c r="N253" i="61"/>
  <c r="M217" i="61"/>
  <c r="M181" i="61"/>
  <c r="I227" i="61"/>
  <c r="J227" i="61"/>
  <c r="H227" i="61"/>
  <c r="G221" i="61"/>
  <c r="N221" i="61"/>
  <c r="M185" i="61"/>
  <c r="M238" i="61"/>
  <c r="M202" i="61"/>
  <c r="H209" i="61"/>
  <c r="I209" i="61"/>
  <c r="J209" i="61"/>
  <c r="M225" i="61"/>
  <c r="M189" i="61"/>
  <c r="M248" i="61"/>
  <c r="M212" i="61"/>
  <c r="H219" i="61"/>
  <c r="I219" i="61"/>
  <c r="J219" i="61"/>
  <c r="H216" i="61"/>
  <c r="I216" i="61"/>
  <c r="J216" i="61"/>
  <c r="I215" i="61"/>
  <c r="J215" i="61"/>
  <c r="H215" i="61"/>
  <c r="H231" i="61"/>
  <c r="I231" i="61"/>
  <c r="J231" i="61"/>
  <c r="I221" i="61"/>
  <c r="J221" i="61"/>
  <c r="H221" i="61"/>
  <c r="H220" i="61"/>
  <c r="I220" i="61"/>
  <c r="J220" i="61"/>
  <c r="H184" i="61"/>
  <c r="I184" i="61"/>
  <c r="J184" i="61"/>
  <c r="H241" i="61"/>
  <c r="J241" i="61"/>
  <c r="I241" i="61"/>
  <c r="H205" i="61"/>
  <c r="J205" i="61"/>
  <c r="I205" i="61"/>
  <c r="N98" i="64"/>
  <c r="G98" i="64"/>
  <c r="N113" i="64"/>
  <c r="G113" i="64"/>
  <c r="N97" i="64"/>
  <c r="G97" i="64"/>
  <c r="G299" i="60"/>
  <c r="N299" i="60"/>
  <c r="H349" i="60"/>
  <c r="I349" i="60"/>
  <c r="J349" i="60"/>
  <c r="G328" i="60"/>
  <c r="N328" i="60"/>
  <c r="G278" i="60"/>
  <c r="N278" i="60"/>
  <c r="G242" i="60"/>
  <c r="N242" i="60"/>
  <c r="G370" i="60"/>
  <c r="N370" i="60"/>
  <c r="N116" i="64"/>
  <c r="G116" i="64"/>
  <c r="G376" i="60"/>
  <c r="G267" i="60"/>
  <c r="G359" i="60"/>
  <c r="N359" i="60"/>
  <c r="N323" i="60"/>
  <c r="M287" i="60"/>
  <c r="G251" i="60"/>
  <c r="N251" i="60"/>
  <c r="G244" i="60"/>
  <c r="M374" i="60"/>
  <c r="M338" i="60"/>
  <c r="M302" i="60"/>
  <c r="M266" i="60"/>
  <c r="M230" i="60"/>
  <c r="M322" i="60"/>
  <c r="G285" i="60"/>
  <c r="M361" i="60"/>
  <c r="M325" i="60"/>
  <c r="G289" i="60"/>
  <c r="G253" i="60"/>
  <c r="N253" i="60"/>
  <c r="M286" i="60"/>
  <c r="M348" i="60"/>
  <c r="G240" i="60"/>
  <c r="H373" i="60"/>
  <c r="I373" i="60"/>
  <c r="J373" i="60"/>
  <c r="H367" i="60"/>
  <c r="I367" i="60"/>
  <c r="J367" i="60"/>
  <c r="H380" i="60"/>
  <c r="J380" i="60"/>
  <c r="I380" i="60"/>
  <c r="H344" i="60"/>
  <c r="J344" i="60"/>
  <c r="I344" i="60"/>
  <c r="H308" i="60"/>
  <c r="J308" i="60"/>
  <c r="I308" i="60"/>
  <c r="J255" i="60"/>
  <c r="I255" i="60"/>
  <c r="H255" i="60"/>
  <c r="H313" i="60"/>
  <c r="I313" i="60"/>
  <c r="J313" i="60"/>
  <c r="I263" i="60"/>
  <c r="J263" i="60"/>
  <c r="H263" i="60"/>
  <c r="I360" i="60"/>
  <c r="H360" i="60"/>
  <c r="J360" i="60"/>
  <c r="I324" i="60"/>
  <c r="H324" i="60"/>
  <c r="J324" i="60"/>
  <c r="I281" i="60"/>
  <c r="J281" i="60"/>
  <c r="H281" i="60"/>
  <c r="I359" i="60"/>
  <c r="J359" i="60"/>
  <c r="H359" i="60"/>
  <c r="I323" i="60"/>
  <c r="J323" i="60"/>
  <c r="H323" i="60"/>
  <c r="J280" i="60"/>
  <c r="I280" i="60"/>
  <c r="H280" i="60"/>
  <c r="J358" i="60"/>
  <c r="I358" i="60"/>
  <c r="H358" i="60"/>
  <c r="J322" i="60"/>
  <c r="I322" i="60"/>
  <c r="H322" i="60"/>
  <c r="J279" i="60"/>
  <c r="H279" i="60"/>
  <c r="I279" i="60"/>
  <c r="H345" i="60"/>
  <c r="J345" i="60"/>
  <c r="I345" i="60"/>
  <c r="J309" i="60"/>
  <c r="H309" i="60"/>
  <c r="I309" i="60"/>
  <c r="H256" i="60"/>
  <c r="J256" i="60"/>
  <c r="I256" i="60"/>
  <c r="H226" i="60"/>
  <c r="J226" i="60"/>
  <c r="I226" i="60"/>
  <c r="H266" i="60"/>
  <c r="J266" i="60"/>
  <c r="I266" i="60"/>
  <c r="H230" i="60"/>
  <c r="J230" i="60"/>
  <c r="I230" i="60"/>
  <c r="H277" i="60"/>
  <c r="I277" i="60"/>
  <c r="J277" i="60"/>
  <c r="I241" i="60"/>
  <c r="H241" i="60"/>
  <c r="J241" i="60"/>
  <c r="H252" i="60"/>
  <c r="I252" i="60"/>
  <c r="J252" i="60"/>
  <c r="H245" i="60"/>
  <c r="I245" i="60"/>
  <c r="J245" i="60"/>
  <c r="G210" i="61"/>
  <c r="M198" i="61"/>
  <c r="G247" i="61"/>
  <c r="N247" i="61"/>
  <c r="G211" i="61"/>
  <c r="N211" i="61"/>
  <c r="G251" i="61"/>
  <c r="N251" i="61"/>
  <c r="G215" i="61"/>
  <c r="N215" i="61"/>
  <c r="G179" i="61"/>
  <c r="N179" i="61"/>
  <c r="M232" i="61"/>
  <c r="G196" i="61"/>
  <c r="N196" i="61"/>
  <c r="M255" i="61"/>
  <c r="G219" i="61"/>
  <c r="N219" i="61"/>
  <c r="G183" i="61"/>
  <c r="N183" i="61"/>
  <c r="M242" i="61"/>
  <c r="M206" i="61"/>
  <c r="H245" i="61"/>
  <c r="I245" i="61"/>
  <c r="J245" i="61"/>
  <c r="H210" i="61"/>
  <c r="I210" i="61"/>
  <c r="J210" i="61"/>
  <c r="I207" i="61"/>
  <c r="J207" i="61"/>
  <c r="H207" i="61"/>
  <c r="I206" i="61"/>
  <c r="J206" i="61"/>
  <c r="H206" i="61"/>
  <c r="I222" i="61"/>
  <c r="J222" i="61"/>
  <c r="H222" i="61"/>
  <c r="H212" i="61"/>
  <c r="I212" i="61"/>
  <c r="J212" i="61"/>
  <c r="H250" i="61"/>
  <c r="J250" i="61"/>
  <c r="I250" i="61"/>
  <c r="H214" i="61"/>
  <c r="J214" i="61"/>
  <c r="I214" i="61"/>
  <c r="H178" i="61"/>
  <c r="I178" i="61"/>
  <c r="J178" i="61"/>
  <c r="I235" i="61"/>
  <c r="H235" i="61"/>
  <c r="J235" i="61"/>
  <c r="I199" i="61"/>
  <c r="H199" i="61"/>
  <c r="J199" i="61"/>
  <c r="N107" i="64"/>
  <c r="G107" i="64"/>
  <c r="N114" i="64"/>
  <c r="G114" i="64"/>
  <c r="M87" i="64"/>
  <c r="C34" i="71" s="1"/>
  <c r="L84" i="64"/>
  <c r="G303" i="60"/>
  <c r="N303" i="60"/>
  <c r="G227" i="60"/>
  <c r="N227" i="60"/>
  <c r="G273" i="60"/>
  <c r="N273" i="60"/>
  <c r="N110" i="64"/>
  <c r="G110" i="64"/>
  <c r="G352" i="60"/>
  <c r="N352" i="60"/>
  <c r="M243" i="60"/>
  <c r="M353" i="60"/>
  <c r="G317" i="60"/>
  <c r="N317" i="60"/>
  <c r="M281" i="60"/>
  <c r="G225" i="60"/>
  <c r="G333" i="60"/>
  <c r="N333" i="60"/>
  <c r="G368" i="60"/>
  <c r="N368" i="60"/>
  <c r="M296" i="60"/>
  <c r="G224" i="60"/>
  <c r="M292" i="60"/>
  <c r="C94" i="71" s="1"/>
  <c r="G237" i="60"/>
  <c r="N237" i="60"/>
  <c r="M355" i="60"/>
  <c r="M319" i="60"/>
  <c r="M283" i="60"/>
  <c r="M247" i="60"/>
  <c r="M274" i="60"/>
  <c r="M378" i="60"/>
  <c r="M342" i="60"/>
  <c r="M306" i="60"/>
  <c r="M270" i="60"/>
  <c r="C76" i="71" s="1"/>
  <c r="M234" i="60"/>
  <c r="H374" i="60"/>
  <c r="J374" i="60"/>
  <c r="I374" i="60"/>
  <c r="H338" i="60"/>
  <c r="J338" i="60"/>
  <c r="I338" i="60"/>
  <c r="H302" i="60"/>
  <c r="J302" i="60"/>
  <c r="I302" i="60"/>
  <c r="H343" i="60"/>
  <c r="I343" i="60"/>
  <c r="J343" i="60"/>
  <c r="H307" i="60"/>
  <c r="I307" i="60"/>
  <c r="J307" i="60"/>
  <c r="J249" i="60"/>
  <c r="I249" i="60"/>
  <c r="H249" i="60"/>
  <c r="I354" i="60"/>
  <c r="H354" i="60"/>
  <c r="J354" i="60"/>
  <c r="I318" i="60"/>
  <c r="H318" i="60"/>
  <c r="J318" i="60"/>
  <c r="J273" i="60"/>
  <c r="H273" i="60"/>
  <c r="I273" i="60"/>
  <c r="I353" i="60"/>
  <c r="J353" i="60"/>
  <c r="H353" i="60"/>
  <c r="I317" i="60"/>
  <c r="J317" i="60"/>
  <c r="H317" i="60"/>
  <c r="I270" i="60"/>
  <c r="H270" i="60"/>
  <c r="J270" i="60"/>
  <c r="J352" i="60"/>
  <c r="I352" i="60"/>
  <c r="H352" i="60"/>
  <c r="J316" i="60"/>
  <c r="I316" i="60"/>
  <c r="H316" i="60"/>
  <c r="I269" i="60"/>
  <c r="J269" i="60"/>
  <c r="H269" i="60"/>
  <c r="H375" i="60"/>
  <c r="I375" i="60"/>
  <c r="J375" i="60"/>
  <c r="H339" i="60"/>
  <c r="I339" i="60"/>
  <c r="J339" i="60"/>
  <c r="J303" i="60"/>
  <c r="H303" i="60"/>
  <c r="I303" i="60"/>
  <c r="J225" i="60"/>
  <c r="H225" i="60"/>
  <c r="I225" i="60"/>
  <c r="H296" i="60"/>
  <c r="J296" i="60"/>
  <c r="I296" i="60"/>
  <c r="H260" i="60"/>
  <c r="J260" i="60"/>
  <c r="I260" i="60"/>
  <c r="H224" i="60"/>
  <c r="J224" i="60"/>
  <c r="I224" i="60"/>
  <c r="H271" i="60"/>
  <c r="I271" i="60"/>
  <c r="J271" i="60"/>
  <c r="I235" i="60"/>
  <c r="J235" i="60"/>
  <c r="H235" i="60"/>
  <c r="H246" i="60"/>
  <c r="I246" i="60"/>
  <c r="J246" i="60"/>
  <c r="I239" i="60"/>
  <c r="H239" i="60"/>
  <c r="J239" i="60"/>
  <c r="N252" i="61"/>
  <c r="G252" i="61"/>
  <c r="M241" i="61"/>
  <c r="M205" i="61"/>
  <c r="I236" i="61"/>
  <c r="J236" i="61"/>
  <c r="H236" i="61"/>
  <c r="M245" i="61"/>
  <c r="M226" i="61"/>
  <c r="M190" i="61"/>
  <c r="M249" i="61"/>
  <c r="M213" i="61"/>
  <c r="M236" i="61"/>
  <c r="M200" i="61"/>
  <c r="J191" i="61"/>
  <c r="H191" i="61"/>
  <c r="I191" i="61"/>
  <c r="H255" i="61"/>
  <c r="I255" i="61"/>
  <c r="J255" i="61"/>
  <c r="H201" i="61"/>
  <c r="J201" i="61"/>
  <c r="I201" i="61"/>
  <c r="H252" i="61"/>
  <c r="I252" i="61"/>
  <c r="J252" i="61"/>
  <c r="J198" i="61"/>
  <c r="H198" i="61"/>
  <c r="I198" i="61"/>
  <c r="I251" i="61"/>
  <c r="J251" i="61"/>
  <c r="H251" i="61"/>
  <c r="J197" i="61"/>
  <c r="I197" i="61"/>
  <c r="H197" i="61"/>
  <c r="H213" i="61"/>
  <c r="J213" i="61"/>
  <c r="I213" i="61"/>
  <c r="I203" i="61"/>
  <c r="J203" i="61"/>
  <c r="H203" i="61"/>
  <c r="H244" i="61"/>
  <c r="I244" i="61"/>
  <c r="J244" i="61"/>
  <c r="H208" i="61"/>
  <c r="I208" i="61"/>
  <c r="J208" i="61"/>
  <c r="H229" i="61"/>
  <c r="J229" i="61"/>
  <c r="I229" i="61"/>
  <c r="I193" i="61"/>
  <c r="J193" i="61"/>
  <c r="H193" i="61"/>
  <c r="N111" i="64"/>
  <c r="G111" i="64"/>
  <c r="G316" i="60"/>
  <c r="N316" i="60"/>
  <c r="M351" i="60"/>
  <c r="N347" i="60"/>
  <c r="G311" i="60"/>
  <c r="N311" i="60"/>
  <c r="M275" i="60"/>
  <c r="G309" i="60"/>
  <c r="N309" i="60"/>
  <c r="G362" i="60"/>
  <c r="N362" i="60"/>
  <c r="G326" i="60"/>
  <c r="N326" i="60"/>
  <c r="G290" i="60"/>
  <c r="N290" i="60"/>
  <c r="M268" i="60"/>
  <c r="M349" i="60"/>
  <c r="M313" i="60"/>
  <c r="M277" i="60"/>
  <c r="M241" i="60"/>
  <c r="M250" i="60"/>
  <c r="M357" i="60"/>
  <c r="M372" i="60"/>
  <c r="M336" i="60"/>
  <c r="G300" i="60"/>
  <c r="N300" i="60"/>
  <c r="G264" i="60"/>
  <c r="N264" i="60"/>
  <c r="G228" i="60"/>
  <c r="N228" i="60"/>
  <c r="H368" i="60"/>
  <c r="J368" i="60"/>
  <c r="I368" i="60"/>
  <c r="H332" i="60"/>
  <c r="J332" i="60"/>
  <c r="I332" i="60"/>
  <c r="I293" i="60"/>
  <c r="J293" i="60"/>
  <c r="H293" i="60"/>
  <c r="H337" i="60"/>
  <c r="I337" i="60"/>
  <c r="J337" i="60"/>
  <c r="I300" i="60"/>
  <c r="H300" i="60"/>
  <c r="J300" i="60"/>
  <c r="I348" i="60"/>
  <c r="H348" i="60"/>
  <c r="J348" i="60"/>
  <c r="I312" i="60"/>
  <c r="H312" i="60"/>
  <c r="J312" i="60"/>
  <c r="J262" i="60"/>
  <c r="I262" i="60"/>
  <c r="H262" i="60"/>
  <c r="I347" i="60"/>
  <c r="J347" i="60"/>
  <c r="H347" i="60"/>
  <c r="I311" i="60"/>
  <c r="J311" i="60"/>
  <c r="H311" i="60"/>
  <c r="J261" i="60"/>
  <c r="H261" i="60"/>
  <c r="I261" i="60"/>
  <c r="J346" i="60"/>
  <c r="I346" i="60"/>
  <c r="H346" i="60"/>
  <c r="J310" i="60"/>
  <c r="I310" i="60"/>
  <c r="H310" i="60"/>
  <c r="I257" i="60"/>
  <c r="J257" i="60"/>
  <c r="H257" i="60"/>
  <c r="H369" i="60"/>
  <c r="J369" i="60"/>
  <c r="I369" i="60"/>
  <c r="H333" i="60"/>
  <c r="J333" i="60"/>
  <c r="I333" i="60"/>
  <c r="I294" i="60"/>
  <c r="H294" i="60"/>
  <c r="J294" i="60"/>
  <c r="H250" i="60"/>
  <c r="J250" i="60"/>
  <c r="I250" i="60"/>
  <c r="H290" i="60"/>
  <c r="J290" i="60"/>
  <c r="I290" i="60"/>
  <c r="H254" i="60"/>
  <c r="J254" i="60"/>
  <c r="I254" i="60"/>
  <c r="H301" i="60"/>
  <c r="I301" i="60"/>
  <c r="J301" i="60"/>
  <c r="H265" i="60"/>
  <c r="I265" i="60"/>
  <c r="J265" i="60"/>
  <c r="I229" i="60"/>
  <c r="H229" i="60"/>
  <c r="J229" i="60"/>
  <c r="I240" i="60"/>
  <c r="H240" i="60"/>
  <c r="J240" i="60"/>
  <c r="I233" i="60"/>
  <c r="H233" i="60"/>
  <c r="J233" i="60"/>
  <c r="M216" i="61"/>
  <c r="G240" i="61"/>
  <c r="N240" i="61"/>
  <c r="G228" i="61"/>
  <c r="N228" i="61"/>
  <c r="G235" i="61"/>
  <c r="G199" i="61"/>
  <c r="N199" i="61"/>
  <c r="I182" i="61"/>
  <c r="J182" i="61"/>
  <c r="H182" i="61"/>
  <c r="M239" i="61"/>
  <c r="M203" i="61"/>
  <c r="I218" i="61"/>
  <c r="J218" i="61"/>
  <c r="H218" i="61"/>
  <c r="M220" i="61"/>
  <c r="M184" i="61"/>
  <c r="M243" i="61"/>
  <c r="M207" i="61"/>
  <c r="I254" i="61"/>
  <c r="J254" i="61"/>
  <c r="H254" i="61"/>
  <c r="M230" i="61"/>
  <c r="M194" i="61"/>
  <c r="H246" i="61"/>
  <c r="I246" i="61"/>
  <c r="J246" i="61"/>
  <c r="J192" i="61"/>
  <c r="I192" i="61"/>
  <c r="H192" i="61"/>
  <c r="I243" i="61"/>
  <c r="H243" i="61"/>
  <c r="J243" i="61"/>
  <c r="I189" i="61"/>
  <c r="J189" i="61"/>
  <c r="H189" i="61"/>
  <c r="I242" i="61"/>
  <c r="J242" i="61"/>
  <c r="H242" i="61"/>
  <c r="I188" i="61"/>
  <c r="H188" i="61"/>
  <c r="J188" i="61"/>
  <c r="I204" i="61"/>
  <c r="J204" i="61"/>
  <c r="H204" i="61"/>
  <c r="H248" i="61"/>
  <c r="I248" i="61"/>
  <c r="J248" i="61"/>
  <c r="H194" i="61"/>
  <c r="J194" i="61"/>
  <c r="I194" i="61"/>
  <c r="H238" i="61"/>
  <c r="J238" i="61"/>
  <c r="I238" i="61"/>
  <c r="H202" i="61"/>
  <c r="I202" i="61"/>
  <c r="J202" i="61"/>
  <c r="H223" i="61"/>
  <c r="I223" i="61"/>
  <c r="J223" i="61"/>
  <c r="H187" i="61"/>
  <c r="I187" i="61"/>
  <c r="J187" i="61"/>
  <c r="I184" i="60"/>
  <c r="I194" i="60"/>
  <c r="I196" i="60"/>
  <c r="I213" i="60"/>
  <c r="I219" i="60"/>
  <c r="H215" i="60"/>
  <c r="I177" i="60"/>
  <c r="I189" i="60"/>
  <c r="I152" i="60"/>
  <c r="I195" i="60"/>
  <c r="I187" i="60"/>
  <c r="AB446" i="58"/>
  <c r="AB447" i="58"/>
  <c r="I150" i="60"/>
  <c r="I148" i="60"/>
  <c r="I218" i="60"/>
  <c r="I217" i="60"/>
  <c r="J216" i="60"/>
  <c r="I95" i="60"/>
  <c r="I94" i="60"/>
  <c r="I212" i="60"/>
  <c r="I176" i="60"/>
  <c r="I140" i="60"/>
  <c r="I175" i="60"/>
  <c r="I97" i="60"/>
  <c r="I199" i="60"/>
  <c r="I182" i="60"/>
  <c r="AB425" i="58"/>
  <c r="AB415" i="58"/>
  <c r="AB420" i="58"/>
  <c r="AB430" i="58"/>
  <c r="AB435" i="58"/>
  <c r="AB440" i="58"/>
  <c r="AB445" i="58"/>
  <c r="AB413" i="58"/>
  <c r="AB414" i="58"/>
  <c r="AB424" i="58"/>
  <c r="AB429" i="58"/>
  <c r="AB434" i="58"/>
  <c r="AB439" i="58"/>
  <c r="AB444" i="58"/>
  <c r="AB437" i="58"/>
  <c r="AB418" i="58"/>
  <c r="AB423" i="58"/>
  <c r="AB428" i="58"/>
  <c r="AB433" i="58"/>
  <c r="AB438" i="58"/>
  <c r="AB431" i="58"/>
  <c r="AB412" i="58"/>
  <c r="AB417" i="58"/>
  <c r="AB422" i="58"/>
  <c r="AB427" i="58"/>
  <c r="AB432" i="58"/>
  <c r="AB442" i="58"/>
  <c r="AB419" i="58"/>
  <c r="AB411" i="58"/>
  <c r="AB416" i="58"/>
  <c r="AB421" i="58"/>
  <c r="AB426" i="58"/>
  <c r="AB436" i="58"/>
  <c r="AB441" i="58"/>
  <c r="AB443" i="58"/>
  <c r="AB410" i="58"/>
  <c r="I220" i="60"/>
  <c r="I211" i="60"/>
  <c r="AB391" i="58"/>
  <c r="AB409" i="58"/>
  <c r="AB365" i="58"/>
  <c r="AB348" i="58"/>
  <c r="AB394" i="58"/>
  <c r="AB358" i="58"/>
  <c r="AB378" i="58"/>
  <c r="AB399" i="58"/>
  <c r="AB363" i="58"/>
  <c r="AB353" i="58"/>
  <c r="AB374" i="58"/>
  <c r="AB361" i="58"/>
  <c r="AB385" i="58"/>
  <c r="AB403" i="58"/>
  <c r="AB407" i="58"/>
  <c r="AB388" i="58"/>
  <c r="AB352" i="58"/>
  <c r="AB360" i="58"/>
  <c r="AB393" i="58"/>
  <c r="AB357" i="58"/>
  <c r="AB404" i="58"/>
  <c r="AB368" i="58"/>
  <c r="AB379" i="58"/>
  <c r="AB355" i="58"/>
  <c r="AB373" i="58"/>
  <c r="AB383" i="58"/>
  <c r="AB382" i="58"/>
  <c r="AB346" i="58"/>
  <c r="AB395" i="58"/>
  <c r="AB387" i="58"/>
  <c r="AB351" i="58"/>
  <c r="AB398" i="58"/>
  <c r="AB362" i="58"/>
  <c r="AB408" i="58"/>
  <c r="AB390" i="58"/>
  <c r="AB349" i="58"/>
  <c r="AB359" i="58"/>
  <c r="AB376" i="58"/>
  <c r="AB397" i="58"/>
  <c r="AB371" i="58"/>
  <c r="AB381" i="58"/>
  <c r="AB345" i="58"/>
  <c r="AB392" i="58"/>
  <c r="AB356" i="58"/>
  <c r="AB384" i="58"/>
  <c r="AB366" i="58"/>
  <c r="AB396" i="58"/>
  <c r="AB406" i="58"/>
  <c r="AB370" i="58"/>
  <c r="AB367" i="58"/>
  <c r="AB347" i="58"/>
  <c r="AB375" i="58"/>
  <c r="AB401" i="58"/>
  <c r="AB386" i="58"/>
  <c r="AB350" i="58"/>
  <c r="AB354" i="58"/>
  <c r="AB389" i="58"/>
  <c r="AB372" i="58"/>
  <c r="AB400" i="58"/>
  <c r="AB364" i="58"/>
  <c r="AB402" i="58"/>
  <c r="AB405" i="58"/>
  <c r="AB369" i="58"/>
  <c r="AB377" i="58"/>
  <c r="AB380" i="58"/>
  <c r="AB344" i="58"/>
  <c r="AB343" i="58"/>
  <c r="I170" i="60"/>
  <c r="H208" i="60"/>
  <c r="J221" i="60"/>
  <c r="I202" i="60"/>
  <c r="I201" i="60"/>
  <c r="I192" i="60"/>
  <c r="I181" i="60"/>
  <c r="I206" i="60"/>
  <c r="I205" i="60"/>
  <c r="I200" i="60"/>
  <c r="I193" i="60"/>
  <c r="I204" i="60"/>
  <c r="H191" i="60"/>
  <c r="I209" i="60"/>
  <c r="H198" i="60"/>
  <c r="I203" i="60"/>
  <c r="I197" i="60"/>
  <c r="I190" i="60"/>
  <c r="I159" i="60"/>
  <c r="I143" i="60"/>
  <c r="I183" i="60"/>
  <c r="I158" i="60"/>
  <c r="I188" i="60"/>
  <c r="I151" i="60"/>
  <c r="I156" i="60"/>
  <c r="AB310" i="58"/>
  <c r="AB311" i="58"/>
  <c r="AB304" i="58"/>
  <c r="AB321" i="58"/>
  <c r="AB316" i="58"/>
  <c r="AB314" i="58"/>
  <c r="AB328" i="58"/>
  <c r="AB319" i="58"/>
  <c r="AB339" i="58"/>
  <c r="AB312" i="58"/>
  <c r="AB341" i="58"/>
  <c r="AB305" i="58"/>
  <c r="AB315" i="58"/>
  <c r="AB333" i="58"/>
  <c r="AB308" i="58"/>
  <c r="AB292" i="58"/>
  <c r="AB313" i="58"/>
  <c r="AB342" i="58"/>
  <c r="AB306" i="58"/>
  <c r="AB335" i="58"/>
  <c r="AB299" i="58"/>
  <c r="AB309" i="58"/>
  <c r="AB338" i="58"/>
  <c r="AB302" i="58"/>
  <c r="AB327" i="58"/>
  <c r="AB307" i="58"/>
  <c r="AB336" i="58"/>
  <c r="AB300" i="58"/>
  <c r="AB329" i="58"/>
  <c r="AB293" i="58"/>
  <c r="AB303" i="58"/>
  <c r="AB332" i="58"/>
  <c r="AB296" i="58"/>
  <c r="AB337" i="58"/>
  <c r="AB301" i="58"/>
  <c r="AB330" i="58"/>
  <c r="AB294" i="58"/>
  <c r="AB323" i="58"/>
  <c r="AB334" i="58"/>
  <c r="AB297" i="58"/>
  <c r="AB326" i="58"/>
  <c r="AB331" i="58"/>
  <c r="AB295" i="58"/>
  <c r="AB324" i="58"/>
  <c r="AB317" i="58"/>
  <c r="AB340" i="58"/>
  <c r="AB298" i="58"/>
  <c r="AB320" i="58"/>
  <c r="AB325" i="58"/>
  <c r="AB322" i="58"/>
  <c r="AB318" i="58"/>
  <c r="I153" i="60"/>
  <c r="I163" i="60"/>
  <c r="I160" i="60"/>
  <c r="I146" i="60"/>
  <c r="I154" i="60"/>
  <c r="I145" i="60"/>
  <c r="I167" i="60"/>
  <c r="I161" i="60"/>
  <c r="I169" i="60"/>
  <c r="I164" i="60"/>
  <c r="I157" i="60"/>
  <c r="I166" i="60"/>
  <c r="I172" i="60"/>
  <c r="I137" i="60"/>
  <c r="I138" i="60"/>
  <c r="I139" i="60"/>
  <c r="I99" i="60"/>
  <c r="AB286" i="58"/>
  <c r="AB267" i="58"/>
  <c r="AB290" i="58"/>
  <c r="AB276" i="58"/>
  <c r="AB281" i="58"/>
  <c r="AB272" i="58"/>
  <c r="AB274" i="58"/>
  <c r="AB283" i="58"/>
  <c r="AB266" i="58"/>
  <c r="AB270" i="58"/>
  <c r="AB275" i="58"/>
  <c r="AB280" i="58"/>
  <c r="AB291" i="58"/>
  <c r="AB271" i="58"/>
  <c r="AB289" i="58"/>
  <c r="AB269" i="58"/>
  <c r="AB268" i="58"/>
  <c r="AB285" i="58"/>
  <c r="AB277" i="58"/>
  <c r="AB279" i="58"/>
  <c r="AB288" i="58"/>
  <c r="AB284" i="58"/>
  <c r="AB273" i="58"/>
  <c r="AB278" i="58"/>
  <c r="AB282" i="58"/>
  <c r="AB287" i="58"/>
  <c r="M148" i="61"/>
  <c r="G148" i="61" s="1"/>
  <c r="M89" i="61"/>
  <c r="G89" i="61" s="1"/>
  <c r="M169" i="61"/>
  <c r="G169" i="61" s="1"/>
  <c r="M130" i="61"/>
  <c r="G130" i="61" s="1"/>
  <c r="M19" i="4"/>
  <c r="M20" i="4" s="1"/>
  <c r="L19" i="4"/>
  <c r="L25" i="4" s="1"/>
  <c r="N6" i="4"/>
  <c r="H220" i="60"/>
  <c r="I87" i="60"/>
  <c r="A2" i="60"/>
  <c r="J42" i="61"/>
  <c r="A2" i="61"/>
  <c r="I135" i="60"/>
  <c r="I116" i="60"/>
  <c r="I115" i="60"/>
  <c r="I126" i="60"/>
  <c r="I118" i="60"/>
  <c r="I119" i="60"/>
  <c r="I114" i="60"/>
  <c r="I110" i="60"/>
  <c r="I109" i="60"/>
  <c r="I120" i="60"/>
  <c r="I123" i="60"/>
  <c r="I124" i="60"/>
  <c r="I104" i="60"/>
  <c r="I103" i="60"/>
  <c r="I101" i="60"/>
  <c r="I132" i="60"/>
  <c r="I108" i="60"/>
  <c r="I113" i="60"/>
  <c r="I102" i="60"/>
  <c r="I117" i="60"/>
  <c r="I100" i="60"/>
  <c r="I134" i="60"/>
  <c r="I98" i="60"/>
  <c r="I133" i="60"/>
  <c r="I125" i="60"/>
  <c r="I111" i="60"/>
  <c r="I128" i="60"/>
  <c r="I127" i="60"/>
  <c r="I107" i="60"/>
  <c r="I136" i="60"/>
  <c r="I105" i="60"/>
  <c r="I122" i="60"/>
  <c r="I121" i="60"/>
  <c r="H196" i="60"/>
  <c r="M146" i="61"/>
  <c r="G146" i="61" s="1"/>
  <c r="M100" i="61"/>
  <c r="G100" i="61" s="1"/>
  <c r="H144" i="61"/>
  <c r="H172" i="60"/>
  <c r="M137" i="61"/>
  <c r="G137" i="61" s="1"/>
  <c r="M164" i="61"/>
  <c r="N164" i="61" s="1"/>
  <c r="M82" i="61"/>
  <c r="G82" i="61" s="1"/>
  <c r="M158" i="61"/>
  <c r="G158" i="61" s="1"/>
  <c r="M122" i="61"/>
  <c r="G122" i="61" s="1"/>
  <c r="M123" i="61"/>
  <c r="N123" i="61" s="1"/>
  <c r="M95" i="61"/>
  <c r="G95" i="61" s="1"/>
  <c r="H108" i="61"/>
  <c r="H72" i="61"/>
  <c r="M70" i="61"/>
  <c r="G70" i="61" s="1"/>
  <c r="M176" i="61"/>
  <c r="N176" i="61" s="1"/>
  <c r="M163" i="61"/>
  <c r="N163" i="61" s="1"/>
  <c r="M127" i="61"/>
  <c r="G127" i="61" s="1"/>
  <c r="M170" i="61"/>
  <c r="N170" i="61" s="1"/>
  <c r="M152" i="61"/>
  <c r="G152" i="61" s="1"/>
  <c r="M116" i="61"/>
  <c r="G116" i="61" s="1"/>
  <c r="M108" i="61"/>
  <c r="N108" i="61" s="1"/>
  <c r="M157" i="61"/>
  <c r="G157" i="61" s="1"/>
  <c r="I100" i="61"/>
  <c r="M117" i="61"/>
  <c r="G117" i="61" s="1"/>
  <c r="I58" i="61"/>
  <c r="I64" i="61"/>
  <c r="I172" i="61"/>
  <c r="I136" i="61"/>
  <c r="AB255" i="58"/>
  <c r="AB265" i="58"/>
  <c r="AB257" i="58"/>
  <c r="AB260" i="58"/>
  <c r="AB253" i="58"/>
  <c r="AB261" i="58"/>
  <c r="AB254" i="58"/>
  <c r="AB264" i="58"/>
  <c r="AB259" i="58"/>
  <c r="AB258" i="58"/>
  <c r="AB263" i="58"/>
  <c r="AB252" i="58"/>
  <c r="AB262" i="58"/>
  <c r="AB256" i="58"/>
  <c r="M101" i="61"/>
  <c r="N101" i="61" s="1"/>
  <c r="I88" i="61"/>
  <c r="H42" i="61"/>
  <c r="I124" i="61"/>
  <c r="I52" i="61"/>
  <c r="I160" i="61"/>
  <c r="I142" i="61"/>
  <c r="I106" i="61"/>
  <c r="I70" i="61"/>
  <c r="H114" i="61"/>
  <c r="I94" i="61"/>
  <c r="I166" i="61"/>
  <c r="I130" i="61"/>
  <c r="J176" i="61"/>
  <c r="H155" i="60"/>
  <c r="I155" i="60"/>
  <c r="J131" i="60"/>
  <c r="I131" i="60"/>
  <c r="H130" i="60"/>
  <c r="I130" i="60"/>
  <c r="H186" i="60"/>
  <c r="I186" i="60"/>
  <c r="H185" i="60"/>
  <c r="I185" i="60"/>
  <c r="H168" i="60"/>
  <c r="I168" i="60"/>
  <c r="H174" i="60"/>
  <c r="I174" i="60"/>
  <c r="H106" i="60"/>
  <c r="I106" i="60"/>
  <c r="I221" i="60"/>
  <c r="I198" i="60"/>
  <c r="H142" i="60"/>
  <c r="I142" i="60"/>
  <c r="H179" i="60"/>
  <c r="I179" i="60"/>
  <c r="H165" i="60"/>
  <c r="I165" i="60"/>
  <c r="H129" i="60"/>
  <c r="I129" i="60"/>
  <c r="H207" i="60"/>
  <c r="I207" i="60"/>
  <c r="H112" i="60"/>
  <c r="I112" i="60"/>
  <c r="I208" i="60"/>
  <c r="H178" i="60"/>
  <c r="I178" i="60"/>
  <c r="I215" i="60"/>
  <c r="H180" i="60"/>
  <c r="I180" i="60"/>
  <c r="H210" i="60"/>
  <c r="I210" i="60"/>
  <c r="H190" i="60"/>
  <c r="H214" i="60"/>
  <c r="I214" i="60"/>
  <c r="I191" i="60"/>
  <c r="I216" i="60"/>
  <c r="H78" i="61"/>
  <c r="H138" i="61"/>
  <c r="H162" i="61"/>
  <c r="I82" i="61"/>
  <c r="I148" i="61"/>
  <c r="H163" i="61"/>
  <c r="H127" i="61"/>
  <c r="H91" i="61"/>
  <c r="H55" i="61"/>
  <c r="I155" i="61"/>
  <c r="I119" i="61"/>
  <c r="I83" i="61"/>
  <c r="I47" i="61"/>
  <c r="J74" i="61"/>
  <c r="H143" i="61"/>
  <c r="H107" i="61"/>
  <c r="H71" i="61"/>
  <c r="I171" i="61"/>
  <c r="I135" i="61"/>
  <c r="I99" i="61"/>
  <c r="I63" i="61"/>
  <c r="J140" i="61"/>
  <c r="H154" i="61"/>
  <c r="H118" i="61"/>
  <c r="H82" i="61"/>
  <c r="H46" i="61"/>
  <c r="I146" i="61"/>
  <c r="I110" i="61"/>
  <c r="I74" i="61"/>
  <c r="J172" i="61"/>
  <c r="J67" i="61"/>
  <c r="H147" i="61"/>
  <c r="H111" i="61"/>
  <c r="H75" i="61"/>
  <c r="I175" i="61"/>
  <c r="I139" i="61"/>
  <c r="I103" i="61"/>
  <c r="I67" i="61"/>
  <c r="J152" i="61"/>
  <c r="J44" i="61"/>
  <c r="H176" i="61"/>
  <c r="H140" i="61"/>
  <c r="H104" i="61"/>
  <c r="H68" i="61"/>
  <c r="I168" i="61"/>
  <c r="I132" i="61"/>
  <c r="I96" i="61"/>
  <c r="I60" i="61"/>
  <c r="J133" i="61"/>
  <c r="J159" i="61"/>
  <c r="J123" i="61"/>
  <c r="J87" i="61"/>
  <c r="J51" i="61"/>
  <c r="J168" i="61"/>
  <c r="J132" i="61"/>
  <c r="J96" i="61"/>
  <c r="J60" i="61"/>
  <c r="J143" i="61"/>
  <c r="J107" i="61"/>
  <c r="J71" i="61"/>
  <c r="J148" i="61"/>
  <c r="J112" i="61"/>
  <c r="J76" i="61"/>
  <c r="H102" i="61"/>
  <c r="J163" i="61"/>
  <c r="H126" i="61"/>
  <c r="I46" i="61"/>
  <c r="I112" i="61"/>
  <c r="H157" i="61"/>
  <c r="H121" i="61"/>
  <c r="H85" i="61"/>
  <c r="H49" i="61"/>
  <c r="I149" i="61"/>
  <c r="I113" i="61"/>
  <c r="I77" i="61"/>
  <c r="J164" i="61"/>
  <c r="J56" i="61"/>
  <c r="H173" i="61"/>
  <c r="H137" i="61"/>
  <c r="H101" i="61"/>
  <c r="H65" i="61"/>
  <c r="I165" i="61"/>
  <c r="I129" i="61"/>
  <c r="I93" i="61"/>
  <c r="I57" i="61"/>
  <c r="J122" i="61"/>
  <c r="H76" i="61"/>
  <c r="I104" i="61"/>
  <c r="I68" i="61"/>
  <c r="J157" i="61"/>
  <c r="J49" i="61"/>
  <c r="H177" i="61"/>
  <c r="H141" i="61"/>
  <c r="H105" i="61"/>
  <c r="H69" i="61"/>
  <c r="I169" i="61"/>
  <c r="I133" i="61"/>
  <c r="I97" i="61"/>
  <c r="I61" i="61"/>
  <c r="J134" i="61"/>
  <c r="H170" i="61"/>
  <c r="H134" i="61"/>
  <c r="H98" i="61"/>
  <c r="H62" i="61"/>
  <c r="I162" i="61"/>
  <c r="I126" i="61"/>
  <c r="I90" i="61"/>
  <c r="I54" i="61"/>
  <c r="J115" i="61"/>
  <c r="J153" i="61"/>
  <c r="J117" i="61"/>
  <c r="J81" i="61"/>
  <c r="J45" i="61"/>
  <c r="J90" i="61"/>
  <c r="J54" i="61"/>
  <c r="J173" i="61"/>
  <c r="J137" i="61"/>
  <c r="J101" i="61"/>
  <c r="J65" i="61"/>
  <c r="J142" i="61"/>
  <c r="J106" i="61"/>
  <c r="J70" i="61"/>
  <c r="J73" i="61"/>
  <c r="H66" i="61"/>
  <c r="J55" i="61"/>
  <c r="J127" i="61"/>
  <c r="H156" i="61"/>
  <c r="H151" i="61"/>
  <c r="H115" i="61"/>
  <c r="H79" i="61"/>
  <c r="H43" i="61"/>
  <c r="J146" i="61"/>
  <c r="H167" i="61"/>
  <c r="H131" i="61"/>
  <c r="H95" i="61"/>
  <c r="H59" i="61"/>
  <c r="I159" i="61"/>
  <c r="I123" i="61"/>
  <c r="I87" i="61"/>
  <c r="I51" i="61"/>
  <c r="I170" i="61"/>
  <c r="I98" i="61"/>
  <c r="I62" i="61"/>
  <c r="J139" i="61"/>
  <c r="H171" i="61"/>
  <c r="H135" i="61"/>
  <c r="H99" i="61"/>
  <c r="H63" i="61"/>
  <c r="I91" i="61"/>
  <c r="J116" i="61"/>
  <c r="H164" i="61"/>
  <c r="H128" i="61"/>
  <c r="H92" i="61"/>
  <c r="H56" i="61"/>
  <c r="I156" i="61"/>
  <c r="I120" i="61"/>
  <c r="I84" i="61"/>
  <c r="I48" i="61"/>
  <c r="J97" i="61"/>
  <c r="J147" i="61"/>
  <c r="J111" i="61"/>
  <c r="J75" i="61"/>
  <c r="J120" i="61"/>
  <c r="J84" i="61"/>
  <c r="J48" i="61"/>
  <c r="J167" i="61"/>
  <c r="J131" i="61"/>
  <c r="J95" i="61"/>
  <c r="J59" i="61"/>
  <c r="J136" i="61"/>
  <c r="J100" i="61"/>
  <c r="J64" i="61"/>
  <c r="J145" i="61"/>
  <c r="J109" i="61"/>
  <c r="H145" i="61"/>
  <c r="H109" i="61"/>
  <c r="H73" i="61"/>
  <c r="J128" i="61"/>
  <c r="H161" i="61"/>
  <c r="H125" i="61"/>
  <c r="H89" i="61"/>
  <c r="H53" i="61"/>
  <c r="I153" i="61"/>
  <c r="I117" i="61"/>
  <c r="I81" i="61"/>
  <c r="I45" i="61"/>
  <c r="J86" i="61"/>
  <c r="I92" i="61"/>
  <c r="J121" i="61"/>
  <c r="H165" i="61"/>
  <c r="H129" i="61"/>
  <c r="H93" i="61"/>
  <c r="H57" i="61"/>
  <c r="I85" i="61"/>
  <c r="H158" i="61"/>
  <c r="H122" i="61"/>
  <c r="H86" i="61"/>
  <c r="H50" i="61"/>
  <c r="I150" i="61"/>
  <c r="I114" i="61"/>
  <c r="I78" i="61"/>
  <c r="I42" i="61"/>
  <c r="J79" i="61"/>
  <c r="J177" i="61"/>
  <c r="J141" i="61"/>
  <c r="J105" i="61"/>
  <c r="J69" i="61"/>
  <c r="J150" i="61"/>
  <c r="J161" i="61"/>
  <c r="J125" i="61"/>
  <c r="J89" i="61"/>
  <c r="J53" i="61"/>
  <c r="J166" i="61"/>
  <c r="J130" i="61"/>
  <c r="J94" i="61"/>
  <c r="J58" i="61"/>
  <c r="I154" i="61"/>
  <c r="H175" i="61"/>
  <c r="H103" i="61"/>
  <c r="J110" i="61"/>
  <c r="H155" i="61"/>
  <c r="H119" i="61"/>
  <c r="H83" i="61"/>
  <c r="H47" i="61"/>
  <c r="I158" i="61"/>
  <c r="I50" i="61"/>
  <c r="I151" i="61"/>
  <c r="I43" i="61"/>
  <c r="J80" i="61"/>
  <c r="H152" i="61"/>
  <c r="H116" i="61"/>
  <c r="H80" i="61"/>
  <c r="H44" i="61"/>
  <c r="I144" i="61"/>
  <c r="I108" i="61"/>
  <c r="I72" i="61"/>
  <c r="J169" i="61"/>
  <c r="J61" i="61"/>
  <c r="J160" i="61"/>
  <c r="J124" i="61"/>
  <c r="J88" i="61"/>
  <c r="J52" i="61"/>
  <c r="H174" i="61"/>
  <c r="I118" i="61"/>
  <c r="H149" i="61"/>
  <c r="H113" i="61"/>
  <c r="H77" i="61"/>
  <c r="I174" i="61"/>
  <c r="I138" i="61"/>
  <c r="I102" i="61"/>
  <c r="I66" i="61"/>
  <c r="M93" i="61"/>
  <c r="N93" i="61" s="1"/>
  <c r="M106" i="61"/>
  <c r="G106" i="61" s="1"/>
  <c r="M175" i="61"/>
  <c r="G175" i="61" s="1"/>
  <c r="M52" i="61"/>
  <c r="N52" i="61" s="1"/>
  <c r="M56" i="61"/>
  <c r="N56" i="61" s="1"/>
  <c r="M59" i="61"/>
  <c r="N59" i="61" s="1"/>
  <c r="M69" i="61"/>
  <c r="N69" i="61" s="1"/>
  <c r="M136" i="61"/>
  <c r="G136" i="61" s="1"/>
  <c r="M51" i="61"/>
  <c r="G51" i="61" s="1"/>
  <c r="M114" i="61"/>
  <c r="N114" i="61" s="1"/>
  <c r="M128" i="61"/>
  <c r="G128" i="61" s="1"/>
  <c r="D39" i="61"/>
  <c r="M74" i="61"/>
  <c r="M151" i="61"/>
  <c r="M65" i="61"/>
  <c r="K39" i="61"/>
  <c r="M49" i="61"/>
  <c r="M78" i="61"/>
  <c r="L39" i="61"/>
  <c r="M42" i="61"/>
  <c r="M83" i="61"/>
  <c r="M168" i="61"/>
  <c r="M104" i="61"/>
  <c r="M167" i="61"/>
  <c r="M103" i="61"/>
  <c r="M110" i="61"/>
  <c r="M166" i="61"/>
  <c r="M102" i="61"/>
  <c r="M109" i="61"/>
  <c r="M165" i="61"/>
  <c r="M64" i="61"/>
  <c r="M99" i="61"/>
  <c r="M75" i="61"/>
  <c r="M68" i="61"/>
  <c r="M53" i="61"/>
  <c r="M43" i="61"/>
  <c r="M81" i="61"/>
  <c r="M72" i="61"/>
  <c r="M77" i="61"/>
  <c r="M134" i="61"/>
  <c r="M162" i="61"/>
  <c r="M98" i="61"/>
  <c r="M161" i="61"/>
  <c r="M97" i="61"/>
  <c r="M111" i="61"/>
  <c r="M125" i="61"/>
  <c r="M160" i="61"/>
  <c r="M96" i="61"/>
  <c r="M124" i="61"/>
  <c r="M138" i="61"/>
  <c r="M159" i="61"/>
  <c r="M47" i="61"/>
  <c r="M88" i="61"/>
  <c r="M58" i="61"/>
  <c r="M57" i="61"/>
  <c r="M62" i="61"/>
  <c r="M73" i="61"/>
  <c r="M145" i="61"/>
  <c r="M63" i="61"/>
  <c r="M66" i="61"/>
  <c r="M84" i="61"/>
  <c r="M105" i="61"/>
  <c r="M121" i="61"/>
  <c r="M135" i="61"/>
  <c r="M142" i="61"/>
  <c r="M156" i="61"/>
  <c r="M92" i="61"/>
  <c r="M120" i="61"/>
  <c r="M141" i="61"/>
  <c r="M155" i="61"/>
  <c r="M91" i="61"/>
  <c r="M112" i="61"/>
  <c r="M119" i="61"/>
  <c r="M126" i="61"/>
  <c r="M133" i="61"/>
  <c r="M140" i="61"/>
  <c r="M154" i="61"/>
  <c r="M90" i="61"/>
  <c r="M118" i="61"/>
  <c r="M132" i="61"/>
  <c r="M139" i="61"/>
  <c r="M153" i="61"/>
  <c r="M45" i="61"/>
  <c r="M67" i="61"/>
  <c r="M60" i="61"/>
  <c r="M87" i="61"/>
  <c r="M115" i="61"/>
  <c r="M129" i="61"/>
  <c r="M143" i="61"/>
  <c r="M86" i="61"/>
  <c r="M149" i="61"/>
  <c r="M85" i="61"/>
  <c r="M113" i="61"/>
  <c r="M147" i="61"/>
  <c r="M46" i="61"/>
  <c r="M50" i="61"/>
  <c r="M61" i="61"/>
  <c r="M54" i="61"/>
  <c r="M144" i="61"/>
  <c r="M80" i="61"/>
  <c r="M79" i="61"/>
  <c r="M107" i="61"/>
  <c r="M177" i="61"/>
  <c r="M76" i="61"/>
  <c r="M71" i="61"/>
  <c r="M44" i="61"/>
  <c r="E39" i="61"/>
  <c r="M55" i="61"/>
  <c r="M94" i="61"/>
  <c r="M48" i="61"/>
  <c r="G131" i="61"/>
  <c r="N131" i="61"/>
  <c r="M174" i="61"/>
  <c r="M173" i="61"/>
  <c r="M172" i="61"/>
  <c r="M150" i="61"/>
  <c r="M171" i="61"/>
  <c r="J150" i="60"/>
  <c r="H150" i="60"/>
  <c r="J167" i="60"/>
  <c r="J126" i="60"/>
  <c r="H126" i="60"/>
  <c r="J173" i="60"/>
  <c r="J132" i="60"/>
  <c r="H132" i="60"/>
  <c r="J197" i="60"/>
  <c r="J156" i="60"/>
  <c r="H156" i="60"/>
  <c r="J118" i="60"/>
  <c r="J171" i="60"/>
  <c r="J135" i="60"/>
  <c r="H135" i="60"/>
  <c r="J99" i="60"/>
  <c r="H99" i="60"/>
  <c r="J166" i="60"/>
  <c r="J189" i="60"/>
  <c r="H189" i="60"/>
  <c r="J188" i="60"/>
  <c r="J152" i="60"/>
  <c r="J116" i="60"/>
  <c r="J196" i="60"/>
  <c r="H213" i="60"/>
  <c r="J213" i="60"/>
  <c r="J193" i="60"/>
  <c r="H193" i="60"/>
  <c r="J157" i="60"/>
  <c r="H157" i="60"/>
  <c r="H121" i="60"/>
  <c r="J121" i="60"/>
  <c r="E84" i="60"/>
  <c r="J190" i="60"/>
  <c r="H197" i="60"/>
  <c r="H171" i="60"/>
  <c r="J218" i="60"/>
  <c r="H218" i="60"/>
  <c r="J182" i="60"/>
  <c r="H182" i="60"/>
  <c r="J146" i="60"/>
  <c r="H146" i="60"/>
  <c r="J110" i="60"/>
  <c r="H110" i="60"/>
  <c r="J178" i="60"/>
  <c r="J195" i="60"/>
  <c r="H195" i="60"/>
  <c r="J187" i="60"/>
  <c r="H187" i="60"/>
  <c r="J151" i="60"/>
  <c r="H151" i="60"/>
  <c r="H115" i="60"/>
  <c r="J115" i="60"/>
  <c r="H166" i="60"/>
  <c r="J101" i="60"/>
  <c r="H101" i="60"/>
  <c r="J172" i="60"/>
  <c r="H188" i="60"/>
  <c r="H137" i="60"/>
  <c r="J137" i="60"/>
  <c r="H94" i="60"/>
  <c r="J94" i="60"/>
  <c r="J165" i="60"/>
  <c r="J89" i="60"/>
  <c r="H89" i="60"/>
  <c r="J148" i="60"/>
  <c r="H113" i="60"/>
  <c r="J113" i="60"/>
  <c r="J198" i="60"/>
  <c r="J96" i="60"/>
  <c r="H96" i="60"/>
  <c r="J161" i="60"/>
  <c r="J120" i="60"/>
  <c r="H120" i="60"/>
  <c r="J219" i="60"/>
  <c r="H219" i="60"/>
  <c r="J159" i="60"/>
  <c r="H159" i="60"/>
  <c r="H123" i="60"/>
  <c r="J123" i="60"/>
  <c r="D84" i="60"/>
  <c r="J87" i="60"/>
  <c r="H87" i="60"/>
  <c r="J124" i="60"/>
  <c r="J212" i="60"/>
  <c r="H212" i="60"/>
  <c r="H176" i="60"/>
  <c r="J176" i="60"/>
  <c r="H140" i="60"/>
  <c r="J140" i="60"/>
  <c r="J104" i="60"/>
  <c r="H104" i="60"/>
  <c r="J154" i="60"/>
  <c r="H217" i="60"/>
  <c r="J217" i="60"/>
  <c r="J181" i="60"/>
  <c r="H181" i="60"/>
  <c r="H145" i="60"/>
  <c r="J145" i="60"/>
  <c r="H109" i="60"/>
  <c r="J109" i="60"/>
  <c r="H167" i="60"/>
  <c r="H148" i="60"/>
  <c r="J142" i="60"/>
  <c r="H173" i="60"/>
  <c r="J184" i="60"/>
  <c r="H152" i="60"/>
  <c r="J186" i="60"/>
  <c r="J144" i="60"/>
  <c r="H144" i="60"/>
  <c r="J179" i="60"/>
  <c r="J138" i="60"/>
  <c r="H138" i="60"/>
  <c r="J129" i="60"/>
  <c r="J93" i="60"/>
  <c r="J90" i="60"/>
  <c r="H90" i="60"/>
  <c r="J180" i="60"/>
  <c r="J203" i="60"/>
  <c r="J143" i="60"/>
  <c r="H143" i="60"/>
  <c r="J210" i="60"/>
  <c r="J102" i="60"/>
  <c r="H102" i="60"/>
  <c r="J202" i="60"/>
  <c r="J201" i="60"/>
  <c r="H153" i="60"/>
  <c r="J153" i="60"/>
  <c r="J117" i="60"/>
  <c r="H117" i="60"/>
  <c r="H184" i="60"/>
  <c r="H100" i="60"/>
  <c r="J100" i="60"/>
  <c r="J206" i="60"/>
  <c r="H206" i="60"/>
  <c r="H170" i="60"/>
  <c r="J170" i="60"/>
  <c r="J134" i="60"/>
  <c r="H134" i="60"/>
  <c r="H98" i="60"/>
  <c r="J98" i="60"/>
  <c r="H216" i="60"/>
  <c r="H124" i="60"/>
  <c r="J130" i="60"/>
  <c r="H211" i="60"/>
  <c r="J211" i="60"/>
  <c r="H175" i="60"/>
  <c r="J175" i="60"/>
  <c r="J139" i="60"/>
  <c r="H139" i="60"/>
  <c r="H103" i="60"/>
  <c r="J103" i="60"/>
  <c r="H154" i="60"/>
  <c r="J112" i="60"/>
  <c r="H161" i="60"/>
  <c r="H93" i="60"/>
  <c r="H116" i="60"/>
  <c r="J185" i="60"/>
  <c r="J155" i="60"/>
  <c r="H119" i="60"/>
  <c r="J119" i="60"/>
  <c r="J114" i="60"/>
  <c r="H114" i="60"/>
  <c r="H131" i="60"/>
  <c r="J108" i="60"/>
  <c r="H108" i="60"/>
  <c r="H95" i="60"/>
  <c r="J95" i="60"/>
  <c r="J222" i="60"/>
  <c r="H221" i="60"/>
  <c r="J162" i="60"/>
  <c r="J204" i="60"/>
  <c r="J149" i="60"/>
  <c r="H149" i="60"/>
  <c r="J125" i="60"/>
  <c r="H125" i="60"/>
  <c r="J192" i="60"/>
  <c r="J160" i="60"/>
  <c r="J183" i="60"/>
  <c r="H183" i="60"/>
  <c r="H147" i="60"/>
  <c r="J147" i="60"/>
  <c r="H111" i="60"/>
  <c r="J111" i="60"/>
  <c r="J208" i="60"/>
  <c r="H200" i="60"/>
  <c r="J200" i="60"/>
  <c r="H164" i="60"/>
  <c r="J164" i="60"/>
  <c r="J128" i="60"/>
  <c r="H128" i="60"/>
  <c r="H92" i="60"/>
  <c r="J92" i="60"/>
  <c r="H204" i="60"/>
  <c r="J106" i="60"/>
  <c r="H205" i="60"/>
  <c r="J205" i="60"/>
  <c r="H169" i="60"/>
  <c r="J169" i="60"/>
  <c r="J133" i="60"/>
  <c r="H133" i="60"/>
  <c r="H97" i="60"/>
  <c r="J97" i="60"/>
  <c r="H118" i="60"/>
  <c r="H202" i="60"/>
  <c r="H162" i="60"/>
  <c r="J88" i="60"/>
  <c r="H88" i="60"/>
  <c r="J191" i="60"/>
  <c r="J209" i="60"/>
  <c r="H209" i="60"/>
  <c r="J168" i="60"/>
  <c r="J215" i="60"/>
  <c r="H107" i="60"/>
  <c r="J107" i="60"/>
  <c r="J174" i="60"/>
  <c r="J136" i="60"/>
  <c r="H136" i="60"/>
  <c r="H177" i="60"/>
  <c r="J177" i="60"/>
  <c r="H141" i="60"/>
  <c r="J141" i="60"/>
  <c r="H105" i="60"/>
  <c r="J105" i="60"/>
  <c r="H160" i="60"/>
  <c r="J207" i="60"/>
  <c r="J194" i="60"/>
  <c r="H194" i="60"/>
  <c r="J158" i="60"/>
  <c r="H158" i="60"/>
  <c r="J122" i="60"/>
  <c r="H122" i="60"/>
  <c r="H192" i="60"/>
  <c r="J220" i="60"/>
  <c r="H199" i="60"/>
  <c r="J199" i="60"/>
  <c r="J163" i="60"/>
  <c r="H163" i="60"/>
  <c r="H127" i="60"/>
  <c r="J127" i="60"/>
  <c r="H91" i="60"/>
  <c r="J91" i="60"/>
  <c r="H203" i="60"/>
  <c r="H222" i="60"/>
  <c r="J214" i="60"/>
  <c r="H201" i="60"/>
  <c r="M91" i="60"/>
  <c r="N91" i="60" s="1"/>
  <c r="K84" i="60"/>
  <c r="M145" i="60"/>
  <c r="N145" i="60" s="1"/>
  <c r="M200" i="60"/>
  <c r="N200" i="60" s="1"/>
  <c r="M164" i="60"/>
  <c r="N164" i="60" s="1"/>
  <c r="M128" i="60"/>
  <c r="M92" i="60"/>
  <c r="N92" i="60" s="1"/>
  <c r="M204" i="60"/>
  <c r="N204" i="60" s="1"/>
  <c r="M168" i="60"/>
  <c r="N168" i="60" s="1"/>
  <c r="M132" i="60"/>
  <c r="M96" i="60"/>
  <c r="N96" i="60" s="1"/>
  <c r="M215" i="60"/>
  <c r="N215" i="60" s="1"/>
  <c r="M179" i="60"/>
  <c r="N179" i="60" s="1"/>
  <c r="M143" i="60"/>
  <c r="N143" i="60" s="1"/>
  <c r="M107" i="60"/>
  <c r="M190" i="60"/>
  <c r="N190" i="60" s="1"/>
  <c r="M154" i="60"/>
  <c r="N154" i="60" s="1"/>
  <c r="M118" i="60"/>
  <c r="M207" i="60"/>
  <c r="M171" i="60"/>
  <c r="N171" i="60" s="1"/>
  <c r="M135" i="60"/>
  <c r="M99" i="60"/>
  <c r="N99" i="60" s="1"/>
  <c r="M193" i="60"/>
  <c r="N193" i="60" s="1"/>
  <c r="M187" i="60"/>
  <c r="N187" i="60" s="1"/>
  <c r="M109" i="60"/>
  <c r="M211" i="60"/>
  <c r="M205" i="60"/>
  <c r="N205" i="60" s="1"/>
  <c r="M194" i="60"/>
  <c r="N194" i="60" s="1"/>
  <c r="M158" i="60"/>
  <c r="N158" i="60" s="1"/>
  <c r="M122" i="60"/>
  <c r="M198" i="60"/>
  <c r="M162" i="60"/>
  <c r="N162" i="60" s="1"/>
  <c r="M126" i="60"/>
  <c r="M90" i="60"/>
  <c r="N90" i="60" s="1"/>
  <c r="M209" i="60"/>
  <c r="N209" i="60" s="1"/>
  <c r="M173" i="60"/>
  <c r="N173" i="60" s="1"/>
  <c r="M137" i="60"/>
  <c r="N137" i="60" s="1"/>
  <c r="M101" i="60"/>
  <c r="M220" i="60"/>
  <c r="N220" i="60" s="1"/>
  <c r="M184" i="60"/>
  <c r="N184" i="60" s="1"/>
  <c r="M148" i="60"/>
  <c r="N148" i="60" s="1"/>
  <c r="M112" i="60"/>
  <c r="M201" i="60"/>
  <c r="M165" i="60"/>
  <c r="N165" i="60" s="1"/>
  <c r="M129" i="60"/>
  <c r="M93" i="60"/>
  <c r="N93" i="60" s="1"/>
  <c r="M157" i="60"/>
  <c r="N157" i="60" s="1"/>
  <c r="M151" i="60"/>
  <c r="N151" i="60" s="1"/>
  <c r="M175" i="60"/>
  <c r="N175" i="60" s="1"/>
  <c r="M169" i="60"/>
  <c r="N169" i="60" s="1"/>
  <c r="M188" i="60"/>
  <c r="N188" i="60" s="1"/>
  <c r="M152" i="60"/>
  <c r="N152" i="60" s="1"/>
  <c r="M116" i="60"/>
  <c r="M192" i="60"/>
  <c r="M156" i="60"/>
  <c r="N156" i="60" s="1"/>
  <c r="M120" i="60"/>
  <c r="M203" i="60"/>
  <c r="N203" i="60" s="1"/>
  <c r="M167" i="60"/>
  <c r="N167" i="60" s="1"/>
  <c r="M131" i="60"/>
  <c r="M95" i="60"/>
  <c r="N95" i="60" s="1"/>
  <c r="M214" i="60"/>
  <c r="N214" i="60" s="1"/>
  <c r="M178" i="60"/>
  <c r="N178" i="60" s="1"/>
  <c r="M142" i="60"/>
  <c r="N142" i="60" s="1"/>
  <c r="M106" i="60"/>
  <c r="M195" i="60"/>
  <c r="N195" i="60" s="1"/>
  <c r="M159" i="60"/>
  <c r="N159" i="60" s="1"/>
  <c r="M123" i="60"/>
  <c r="M87" i="60"/>
  <c r="N87" i="60" s="1"/>
  <c r="L84" i="60"/>
  <c r="M199" i="60"/>
  <c r="N199" i="60" s="1"/>
  <c r="M121" i="60"/>
  <c r="M115" i="60"/>
  <c r="M139" i="60"/>
  <c r="N139" i="60" s="1"/>
  <c r="M133" i="60"/>
  <c r="M218" i="60"/>
  <c r="N218" i="60" s="1"/>
  <c r="M182" i="60"/>
  <c r="M146" i="60"/>
  <c r="N146" i="60" s="1"/>
  <c r="M110" i="60"/>
  <c r="M222" i="60"/>
  <c r="M186" i="60"/>
  <c r="N186" i="60" s="1"/>
  <c r="M150" i="60"/>
  <c r="N150" i="60" s="1"/>
  <c r="M114" i="60"/>
  <c r="M197" i="60"/>
  <c r="M161" i="60"/>
  <c r="N161" i="60" s="1"/>
  <c r="M125" i="60"/>
  <c r="M89" i="60"/>
  <c r="N89" i="60" s="1"/>
  <c r="M208" i="60"/>
  <c r="M172" i="60"/>
  <c r="N172" i="60" s="1"/>
  <c r="M136" i="60"/>
  <c r="M100" i="60"/>
  <c r="M189" i="60"/>
  <c r="M153" i="60"/>
  <c r="N153" i="60" s="1"/>
  <c r="M117" i="60"/>
  <c r="M163" i="60"/>
  <c r="N163" i="60" s="1"/>
  <c r="M217" i="60"/>
  <c r="N217" i="60" s="1"/>
  <c r="M103" i="60"/>
  <c r="M97" i="60"/>
  <c r="N97" i="60" s="1"/>
  <c r="M212" i="60"/>
  <c r="N212" i="60" s="1"/>
  <c r="M176" i="60"/>
  <c r="N176" i="60" s="1"/>
  <c r="M140" i="60"/>
  <c r="N140" i="60" s="1"/>
  <c r="M104" i="60"/>
  <c r="M216" i="60"/>
  <c r="N216" i="60" s="1"/>
  <c r="M180" i="60"/>
  <c r="N180" i="60" s="1"/>
  <c r="M144" i="60"/>
  <c r="N144" i="60" s="1"/>
  <c r="M108" i="60"/>
  <c r="M191" i="60"/>
  <c r="N191" i="60" s="1"/>
  <c r="M155" i="60"/>
  <c r="N155" i="60" s="1"/>
  <c r="M119" i="60"/>
  <c r="M202" i="60"/>
  <c r="N202" i="60" s="1"/>
  <c r="M166" i="60"/>
  <c r="N166" i="60" s="1"/>
  <c r="M130" i="60"/>
  <c r="M94" i="60"/>
  <c r="N94" i="60" s="1"/>
  <c r="M219" i="60"/>
  <c r="N219" i="60" s="1"/>
  <c r="M183" i="60"/>
  <c r="M147" i="60"/>
  <c r="N147" i="60" s="1"/>
  <c r="M111" i="60"/>
  <c r="M127" i="60"/>
  <c r="M181" i="60"/>
  <c r="M206" i="60"/>
  <c r="N206" i="60" s="1"/>
  <c r="M170" i="60"/>
  <c r="N170" i="60" s="1"/>
  <c r="M134" i="60"/>
  <c r="M98" i="60"/>
  <c r="M210" i="60"/>
  <c r="N210" i="60" s="1"/>
  <c r="M174" i="60"/>
  <c r="M138" i="60"/>
  <c r="N138" i="60" s="1"/>
  <c r="M102" i="60"/>
  <c r="M221" i="60"/>
  <c r="N221" i="60" s="1"/>
  <c r="M185" i="60"/>
  <c r="N185" i="60" s="1"/>
  <c r="M149" i="60"/>
  <c r="N149" i="60" s="1"/>
  <c r="M113" i="60"/>
  <c r="M196" i="60"/>
  <c r="N196" i="60" s="1"/>
  <c r="M160" i="60"/>
  <c r="N160" i="60" s="1"/>
  <c r="M124" i="60"/>
  <c r="M88" i="60"/>
  <c r="N88" i="60" s="1"/>
  <c r="M213" i="60"/>
  <c r="N213" i="60" s="1"/>
  <c r="M177" i="60"/>
  <c r="M141" i="60"/>
  <c r="N141" i="60" s="1"/>
  <c r="M105" i="60"/>
  <c r="AB42" i="58"/>
  <c r="AB41" i="58"/>
  <c r="AA40" i="58"/>
  <c r="AB40" i="58" s="1"/>
  <c r="AB240" i="58"/>
  <c r="AB234" i="58"/>
  <c r="AB230" i="58"/>
  <c r="AB228" i="58"/>
  <c r="AB248" i="58"/>
  <c r="AB222" i="58"/>
  <c r="AB246" i="58"/>
  <c r="AB237" i="58"/>
  <c r="AB231" i="58"/>
  <c r="AB236" i="58"/>
  <c r="AB249" i="58"/>
  <c r="AB232" i="58"/>
  <c r="AB238" i="58"/>
  <c r="AB217" i="58"/>
  <c r="AB221" i="58"/>
  <c r="AB242" i="58"/>
  <c r="AB227" i="58"/>
  <c r="AB243" i="58"/>
  <c r="AB226" i="58"/>
  <c r="AB241" i="58"/>
  <c r="AB235" i="58"/>
  <c r="AB218" i="58"/>
  <c r="AB251" i="58"/>
  <c r="AB224" i="58"/>
  <c r="AB225" i="58"/>
  <c r="AB223" i="58"/>
  <c r="AB244" i="58"/>
  <c r="AB250" i="58"/>
  <c r="AB245" i="58"/>
  <c r="AB239" i="58"/>
  <c r="AB220" i="58"/>
  <c r="AB247" i="58"/>
  <c r="AB219" i="58"/>
  <c r="AB233" i="58"/>
  <c r="AB229" i="58"/>
  <c r="AB169" i="58"/>
  <c r="AB184" i="58"/>
  <c r="AB207" i="58"/>
  <c r="AB212" i="58"/>
  <c r="AB204" i="58"/>
  <c r="AB215" i="58"/>
  <c r="AB171" i="58"/>
  <c r="AB209" i="58"/>
  <c r="AB214" i="58"/>
  <c r="AB205" i="58"/>
  <c r="AB213" i="58"/>
  <c r="AB170" i="58"/>
  <c r="AB216" i="58"/>
  <c r="AB206" i="58"/>
  <c r="AB168" i="58"/>
  <c r="AB210" i="58"/>
  <c r="AB211" i="58"/>
  <c r="AB208" i="58"/>
  <c r="AB175" i="58"/>
  <c r="AB186" i="58"/>
  <c r="AB187" i="58"/>
  <c r="AB174" i="58"/>
  <c r="AB195" i="58"/>
  <c r="AB201" i="58"/>
  <c r="AB196" i="58"/>
  <c r="AB197" i="58"/>
  <c r="AB194" i="58"/>
  <c r="AB198" i="58"/>
  <c r="AB202" i="58"/>
  <c r="AB193" i="58"/>
  <c r="AB188" i="58"/>
  <c r="AB200" i="58"/>
  <c r="AB191" i="58"/>
  <c r="AB203" i="58"/>
  <c r="AB199" i="58"/>
  <c r="AB192" i="58"/>
  <c r="AB179" i="58"/>
  <c r="AB185" i="58"/>
  <c r="AB178" i="58"/>
  <c r="AB177" i="58"/>
  <c r="AB172" i="58"/>
  <c r="AB173" i="58"/>
  <c r="AB181" i="58"/>
  <c r="AB183" i="58"/>
  <c r="AB190" i="58"/>
  <c r="AB180" i="58"/>
  <c r="AB189" i="58"/>
  <c r="AB182" i="58"/>
  <c r="AB176" i="58"/>
  <c r="AB143" i="58"/>
  <c r="AB145" i="58"/>
  <c r="AB129" i="58"/>
  <c r="AB139" i="58"/>
  <c r="AB155" i="58"/>
  <c r="AB151" i="58"/>
  <c r="AB157" i="58"/>
  <c r="AB150" i="58"/>
  <c r="AB167" i="58"/>
  <c r="AB144" i="58"/>
  <c r="AB138" i="58"/>
  <c r="AB159" i="58"/>
  <c r="AB134" i="58"/>
  <c r="AB146" i="58"/>
  <c r="AB148" i="58"/>
  <c r="AB158" i="58"/>
  <c r="AB133" i="58"/>
  <c r="AB136" i="58"/>
  <c r="AB153" i="58"/>
  <c r="AB140" i="58"/>
  <c r="AB149" i="58"/>
  <c r="AB135" i="58"/>
  <c r="AB156" i="58"/>
  <c r="AB141" i="58"/>
  <c r="AB130" i="58"/>
  <c r="AB152" i="58"/>
  <c r="AB137" i="58"/>
  <c r="AB166" i="58"/>
  <c r="AB147" i="58"/>
  <c r="AB163" i="58"/>
  <c r="AB142" i="58"/>
  <c r="AB131" i="58"/>
  <c r="AB165" i="58"/>
  <c r="AB162" i="58"/>
  <c r="AB164" i="58"/>
  <c r="AB154" i="58"/>
  <c r="AB132" i="58"/>
  <c r="AB160" i="58"/>
  <c r="AB161" i="58"/>
  <c r="AB118" i="58"/>
  <c r="AB120" i="58"/>
  <c r="AB107" i="58"/>
  <c r="AB125" i="58"/>
  <c r="AB126" i="58"/>
  <c r="AB106" i="58"/>
  <c r="AB116" i="58"/>
  <c r="AB104" i="58"/>
  <c r="AB121" i="58"/>
  <c r="AB111" i="58"/>
  <c r="AB117" i="58"/>
  <c r="AB105" i="58"/>
  <c r="AB115" i="58"/>
  <c r="AB122" i="58"/>
  <c r="AB128" i="58"/>
  <c r="AB102" i="58"/>
  <c r="AB123" i="58"/>
  <c r="AB114" i="58"/>
  <c r="AB124" i="58"/>
  <c r="AB103" i="58"/>
  <c r="AB110" i="58"/>
  <c r="AB113" i="58"/>
  <c r="AB112" i="58"/>
  <c r="AB127" i="58"/>
  <c r="AB119" i="58"/>
  <c r="AB108" i="58"/>
  <c r="AB109" i="58"/>
  <c r="AB94" i="58"/>
  <c r="AB96" i="58"/>
  <c r="AB95" i="58"/>
  <c r="AB87" i="58"/>
  <c r="AB100" i="58"/>
  <c r="AB93" i="58"/>
  <c r="AB101" i="58"/>
  <c r="AB91" i="58"/>
  <c r="AB88" i="58"/>
  <c r="AB99" i="58"/>
  <c r="AB90" i="58"/>
  <c r="AB97" i="58"/>
  <c r="AB89" i="58"/>
  <c r="AB92" i="58"/>
  <c r="AB98" i="58"/>
  <c r="AB69" i="58"/>
  <c r="AB83" i="58"/>
  <c r="AB72" i="58"/>
  <c r="AB71" i="58"/>
  <c r="AB79" i="58"/>
  <c r="AB67" i="58"/>
  <c r="AB78" i="58"/>
  <c r="AB86" i="58"/>
  <c r="AB82" i="58"/>
  <c r="AB77" i="58"/>
  <c r="AB70" i="58"/>
  <c r="AB75" i="58"/>
  <c r="AB68" i="58"/>
  <c r="AB85" i="58"/>
  <c r="AB73" i="58"/>
  <c r="AB74" i="58"/>
  <c r="AB76" i="58"/>
  <c r="AB80" i="58"/>
  <c r="AB84" i="58"/>
  <c r="AB81" i="58"/>
  <c r="AB64" i="58"/>
  <c r="AB48" i="58"/>
  <c r="AB65" i="58"/>
  <c r="AB51" i="58"/>
  <c r="AB60" i="58"/>
  <c r="AB66" i="58"/>
  <c r="AB58" i="58"/>
  <c r="AB55" i="58"/>
  <c r="AB52" i="58"/>
  <c r="AB61" i="58"/>
  <c r="AB54" i="58"/>
  <c r="AB49" i="58"/>
  <c r="AB59" i="58"/>
  <c r="AB63" i="58"/>
  <c r="AB56" i="58"/>
  <c r="AB62" i="58"/>
  <c r="AB57" i="58"/>
  <c r="AB53" i="58"/>
  <c r="AB50" i="58"/>
  <c r="AB43" i="58"/>
  <c r="AB45" i="58"/>
  <c r="AB46" i="58"/>
  <c r="AB44" i="58"/>
  <c r="AB47" i="58"/>
  <c r="L44" i="4"/>
  <c r="N329" i="60" l="1"/>
  <c r="C70" i="71"/>
  <c r="G312" i="60"/>
  <c r="G373" i="60"/>
  <c r="G195" i="61"/>
  <c r="N324" i="60"/>
  <c r="G308" i="60"/>
  <c r="N223" i="61"/>
  <c r="N13" i="4"/>
  <c r="N11" i="4"/>
  <c r="G188" i="61"/>
  <c r="N260" i="60"/>
  <c r="C53" i="71"/>
  <c r="C48" i="71"/>
  <c r="C68" i="71"/>
  <c r="C80" i="71"/>
  <c r="C87" i="71"/>
  <c r="C89" i="71"/>
  <c r="C43" i="71"/>
  <c r="C82" i="71"/>
  <c r="C73" i="71"/>
  <c r="C46" i="71"/>
  <c r="C57" i="71"/>
  <c r="C85" i="71"/>
  <c r="C98" i="71"/>
  <c r="C95" i="71"/>
  <c r="C69" i="71"/>
  <c r="C99" i="71"/>
  <c r="C101" i="71"/>
  <c r="C84" i="71"/>
  <c r="C78" i="71"/>
  <c r="C71" i="71"/>
  <c r="C74" i="71"/>
  <c r="C81" i="71"/>
  <c r="C83" i="71"/>
  <c r="C100" i="71"/>
  <c r="C96" i="71"/>
  <c r="C86" i="71"/>
  <c r="C90" i="71"/>
  <c r="N187" i="61"/>
  <c r="G276" i="60"/>
  <c r="N267" i="60"/>
  <c r="C61" i="71"/>
  <c r="O84" i="65"/>
  <c r="I84" i="65" s="1"/>
  <c r="C60" i="71"/>
  <c r="M18" i="4"/>
  <c r="C49" i="71"/>
  <c r="G282" i="60"/>
  <c r="N272" i="60"/>
  <c r="C59" i="71"/>
  <c r="C62" i="71"/>
  <c r="C63" i="71"/>
  <c r="N192" i="61"/>
  <c r="C45" i="71"/>
  <c r="C92" i="71"/>
  <c r="N201" i="60"/>
  <c r="C50" i="71"/>
  <c r="C65" i="71"/>
  <c r="C67" i="71"/>
  <c r="C93" i="71"/>
  <c r="N177" i="60"/>
  <c r="C41" i="71"/>
  <c r="C77" i="71"/>
  <c r="C66" i="71"/>
  <c r="C64" i="71"/>
  <c r="C58" i="71"/>
  <c r="C88" i="71"/>
  <c r="N207" i="60"/>
  <c r="C51" i="71"/>
  <c r="C40" i="71"/>
  <c r="N174" i="60"/>
  <c r="C39" i="71"/>
  <c r="N211" i="60"/>
  <c r="C54" i="71"/>
  <c r="C75" i="71"/>
  <c r="C52" i="71"/>
  <c r="C42" i="71"/>
  <c r="C44" i="71"/>
  <c r="C55" i="71"/>
  <c r="C91" i="71"/>
  <c r="C47" i="71"/>
  <c r="C56" i="71"/>
  <c r="N14" i="4"/>
  <c r="M22" i="4"/>
  <c r="M24" i="4" s="1"/>
  <c r="G246" i="60"/>
  <c r="R34" i="71"/>
  <c r="N198" i="60"/>
  <c r="N197" i="60"/>
  <c r="N276" i="60"/>
  <c r="N233" i="60"/>
  <c r="N181" i="60"/>
  <c r="N182" i="60"/>
  <c r="N231" i="60"/>
  <c r="N189" i="60"/>
  <c r="N222" i="60"/>
  <c r="N183" i="60"/>
  <c r="N192" i="60"/>
  <c r="N208" i="60"/>
  <c r="N93" i="64"/>
  <c r="H34" i="71"/>
  <c r="G280" i="60"/>
  <c r="G209" i="61"/>
  <c r="G231" i="60"/>
  <c r="N239" i="60"/>
  <c r="N236" i="60"/>
  <c r="N222" i="61"/>
  <c r="N227" i="61"/>
  <c r="N254" i="60"/>
  <c r="N288" i="60"/>
  <c r="N265" i="60"/>
  <c r="G90" i="64"/>
  <c r="N371" i="60"/>
  <c r="N337" i="60"/>
  <c r="G340" i="60"/>
  <c r="G245" i="60"/>
  <c r="N375" i="60"/>
  <c r="N363" i="60"/>
  <c r="G93" i="64"/>
  <c r="N246" i="61"/>
  <c r="N280" i="60"/>
  <c r="N90" i="64"/>
  <c r="N332" i="60"/>
  <c r="N263" i="60"/>
  <c r="N261" i="60"/>
  <c r="I87" i="65"/>
  <c r="G89" i="64"/>
  <c r="N193" i="61"/>
  <c r="N334" i="60"/>
  <c r="G252" i="60"/>
  <c r="N229" i="60"/>
  <c r="G224" i="61"/>
  <c r="E2" i="4" a="1"/>
  <c r="E2" i="4" s="1"/>
  <c r="G91" i="64"/>
  <c r="N89" i="64"/>
  <c r="N91" i="64"/>
  <c r="N82" i="61"/>
  <c r="N301" i="60"/>
  <c r="G223" i="60"/>
  <c r="G249" i="60"/>
  <c r="G256" i="60"/>
  <c r="G112" i="64"/>
  <c r="G377" i="60"/>
  <c r="N271" i="60"/>
  <c r="N369" i="60"/>
  <c r="G235" i="60"/>
  <c r="N320" i="60"/>
  <c r="G106" i="64"/>
  <c r="G164" i="61"/>
  <c r="N291" i="60"/>
  <c r="N321" i="60"/>
  <c r="N248" i="60"/>
  <c r="N305" i="60"/>
  <c r="N298" i="60"/>
  <c r="N148" i="61"/>
  <c r="N92" i="64"/>
  <c r="G92" i="64"/>
  <c r="N356" i="60"/>
  <c r="G233" i="60"/>
  <c r="N269" i="60"/>
  <c r="N180" i="61"/>
  <c r="N358" i="60"/>
  <c r="N307" i="60"/>
  <c r="N341" i="60"/>
  <c r="N169" i="61"/>
  <c r="G163" i="61"/>
  <c r="G277" i="60"/>
  <c r="N277" i="60"/>
  <c r="G275" i="60"/>
  <c r="N275" i="60"/>
  <c r="G249" i="61"/>
  <c r="N249" i="61"/>
  <c r="G274" i="60"/>
  <c r="N274" i="60"/>
  <c r="G296" i="60"/>
  <c r="N296" i="60"/>
  <c r="G232" i="61"/>
  <c r="N232" i="61"/>
  <c r="G286" i="60"/>
  <c r="N286" i="60"/>
  <c r="G361" i="60"/>
  <c r="N361" i="60"/>
  <c r="G302" i="60"/>
  <c r="N302" i="60"/>
  <c r="G189" i="61"/>
  <c r="N189" i="61"/>
  <c r="G238" i="61"/>
  <c r="N238" i="61"/>
  <c r="G331" i="60"/>
  <c r="N331" i="60"/>
  <c r="G237" i="61"/>
  <c r="N237" i="61"/>
  <c r="G204" i="61"/>
  <c r="N204" i="61"/>
  <c r="G364" i="60"/>
  <c r="N364" i="60"/>
  <c r="G220" i="61"/>
  <c r="N220" i="61"/>
  <c r="G336" i="60"/>
  <c r="N336" i="60"/>
  <c r="G313" i="60"/>
  <c r="N313" i="60"/>
  <c r="G190" i="61"/>
  <c r="N190" i="61"/>
  <c r="G234" i="60"/>
  <c r="N234" i="60"/>
  <c r="G247" i="60"/>
  <c r="N247" i="60"/>
  <c r="G292" i="60"/>
  <c r="N292" i="60"/>
  <c r="M84" i="64"/>
  <c r="N87" i="64"/>
  <c r="G87" i="64"/>
  <c r="G338" i="60"/>
  <c r="N338" i="60"/>
  <c r="G287" i="60"/>
  <c r="N287" i="60"/>
  <c r="G225" i="61"/>
  <c r="N225" i="61"/>
  <c r="G185" i="61"/>
  <c r="N185" i="61"/>
  <c r="G181" i="61"/>
  <c r="N181" i="61"/>
  <c r="G310" i="60"/>
  <c r="N310" i="60"/>
  <c r="G367" i="60"/>
  <c r="N367" i="60"/>
  <c r="G238" i="60"/>
  <c r="N238" i="60"/>
  <c r="G178" i="61"/>
  <c r="N178" i="61"/>
  <c r="G258" i="60"/>
  <c r="N258" i="60"/>
  <c r="G343" i="60"/>
  <c r="N343" i="60"/>
  <c r="G372" i="60"/>
  <c r="N372" i="60"/>
  <c r="G349" i="60"/>
  <c r="N349" i="60"/>
  <c r="G226" i="61"/>
  <c r="N226" i="61"/>
  <c r="G270" i="60"/>
  <c r="N270" i="60"/>
  <c r="G283" i="60"/>
  <c r="N283" i="60"/>
  <c r="G353" i="60"/>
  <c r="N353" i="60"/>
  <c r="G374" i="60"/>
  <c r="N374" i="60"/>
  <c r="G217" i="61"/>
  <c r="N217" i="61"/>
  <c r="G315" i="60"/>
  <c r="N315" i="60"/>
  <c r="G257" i="60"/>
  <c r="N257" i="60"/>
  <c r="G279" i="60"/>
  <c r="N279" i="60"/>
  <c r="G214" i="61"/>
  <c r="N214" i="61"/>
  <c r="G294" i="60"/>
  <c r="N294" i="60"/>
  <c r="G379" i="60"/>
  <c r="N379" i="60"/>
  <c r="G284" i="60"/>
  <c r="N284" i="60"/>
  <c r="G207" i="61"/>
  <c r="N207" i="61"/>
  <c r="G357" i="60"/>
  <c r="N357" i="60"/>
  <c r="G268" i="60"/>
  <c r="N268" i="60"/>
  <c r="G200" i="61"/>
  <c r="N200" i="61"/>
  <c r="G205" i="61"/>
  <c r="N205" i="61"/>
  <c r="G306" i="60"/>
  <c r="N306" i="60"/>
  <c r="G319" i="60"/>
  <c r="N319" i="60"/>
  <c r="G243" i="60"/>
  <c r="N243" i="60"/>
  <c r="G206" i="61"/>
  <c r="N206" i="61"/>
  <c r="N255" i="61"/>
  <c r="G255" i="61"/>
  <c r="G322" i="60"/>
  <c r="N322" i="60"/>
  <c r="G318" i="60"/>
  <c r="N318" i="60"/>
  <c r="G346" i="60"/>
  <c r="N346" i="60"/>
  <c r="G293" i="60"/>
  <c r="N293" i="60"/>
  <c r="G250" i="61"/>
  <c r="N250" i="61"/>
  <c r="G330" i="60"/>
  <c r="N330" i="60"/>
  <c r="G194" i="61"/>
  <c r="N194" i="61"/>
  <c r="G243" i="61"/>
  <c r="N243" i="61"/>
  <c r="G203" i="61"/>
  <c r="N203" i="61"/>
  <c r="G250" i="60"/>
  <c r="N250" i="60"/>
  <c r="G236" i="61"/>
  <c r="N236" i="61"/>
  <c r="G241" i="61"/>
  <c r="N241" i="61"/>
  <c r="G342" i="60"/>
  <c r="N342" i="60"/>
  <c r="G355" i="60"/>
  <c r="N355" i="60"/>
  <c r="G242" i="61"/>
  <c r="N242" i="61"/>
  <c r="G230" i="60"/>
  <c r="N230" i="60"/>
  <c r="G212" i="61"/>
  <c r="N212" i="61"/>
  <c r="G354" i="60"/>
  <c r="N354" i="60"/>
  <c r="G259" i="60"/>
  <c r="N259" i="60"/>
  <c r="G262" i="60"/>
  <c r="N262" i="60"/>
  <c r="G360" i="60"/>
  <c r="N360" i="60"/>
  <c r="G197" i="61"/>
  <c r="N197" i="61"/>
  <c r="G366" i="60"/>
  <c r="N366" i="60"/>
  <c r="G230" i="61"/>
  <c r="N230" i="61"/>
  <c r="G184" i="61"/>
  <c r="N184" i="61"/>
  <c r="G239" i="61"/>
  <c r="N239" i="61"/>
  <c r="G216" i="61"/>
  <c r="N216" i="61"/>
  <c r="G241" i="60"/>
  <c r="N241" i="60"/>
  <c r="G351" i="60"/>
  <c r="N351" i="60"/>
  <c r="G213" i="61"/>
  <c r="N213" i="61"/>
  <c r="G245" i="61"/>
  <c r="N245" i="61"/>
  <c r="G378" i="60"/>
  <c r="N378" i="60"/>
  <c r="G281" i="60"/>
  <c r="N281" i="60"/>
  <c r="G198" i="61"/>
  <c r="N198" i="61"/>
  <c r="G348" i="60"/>
  <c r="N348" i="60"/>
  <c r="G325" i="60"/>
  <c r="N325" i="60"/>
  <c r="G266" i="60"/>
  <c r="N266" i="60"/>
  <c r="G248" i="61"/>
  <c r="N248" i="61"/>
  <c r="G202" i="61"/>
  <c r="N202" i="61"/>
  <c r="G234" i="61"/>
  <c r="N234" i="61"/>
  <c r="G295" i="60"/>
  <c r="N295" i="60"/>
  <c r="G201" i="61"/>
  <c r="N201" i="61"/>
  <c r="G233" i="61"/>
  <c r="N233" i="61"/>
  <c r="G327" i="60"/>
  <c r="N327" i="60"/>
  <c r="G232" i="60"/>
  <c r="N232" i="60"/>
  <c r="G304" i="60"/>
  <c r="N304" i="60"/>
  <c r="N116" i="61"/>
  <c r="N117" i="61"/>
  <c r="N89" i="61"/>
  <c r="N95" i="61"/>
  <c r="N127" i="61"/>
  <c r="N158" i="61"/>
  <c r="N100" i="61"/>
  <c r="N70" i="61"/>
  <c r="G170" i="61"/>
  <c r="N152" i="61"/>
  <c r="N146" i="61"/>
  <c r="N130" i="61"/>
  <c r="N157" i="61"/>
  <c r="G123" i="61"/>
  <c r="L20" i="4"/>
  <c r="L30" i="4" s="1"/>
  <c r="M25" i="4"/>
  <c r="M27" i="4" s="1"/>
  <c r="L31" i="4"/>
  <c r="L40" i="4" s="1"/>
  <c r="M31" i="4"/>
  <c r="M40" i="4" s="1"/>
  <c r="G108" i="61"/>
  <c r="G176" i="61"/>
  <c r="N137" i="61"/>
  <c r="N19" i="4"/>
  <c r="N122" i="61"/>
  <c r="G101" i="61"/>
  <c r="N109" i="60"/>
  <c r="N113" i="60"/>
  <c r="N114" i="60"/>
  <c r="N106" i="60"/>
  <c r="N132" i="60"/>
  <c r="N124" i="60"/>
  <c r="N134" i="60"/>
  <c r="N127" i="60"/>
  <c r="N130" i="60"/>
  <c r="N108" i="60"/>
  <c r="N117" i="60"/>
  <c r="N129" i="60"/>
  <c r="N126" i="60"/>
  <c r="N135" i="60"/>
  <c r="N107" i="60"/>
  <c r="N125" i="60"/>
  <c r="N98" i="60"/>
  <c r="N111" i="60"/>
  <c r="N133" i="60"/>
  <c r="N120" i="60"/>
  <c r="N101" i="60"/>
  <c r="N123" i="60"/>
  <c r="N105" i="60"/>
  <c r="N100" i="60"/>
  <c r="N102" i="60"/>
  <c r="N119" i="60"/>
  <c r="N103" i="60"/>
  <c r="N110" i="60"/>
  <c r="N115" i="60"/>
  <c r="N112" i="60"/>
  <c r="N122" i="60"/>
  <c r="N118" i="60"/>
  <c r="N128" i="60"/>
  <c r="N104" i="60"/>
  <c r="N136" i="60"/>
  <c r="N121" i="60"/>
  <c r="N131" i="60"/>
  <c r="N116" i="60"/>
  <c r="N175" i="61"/>
  <c r="G69" i="61"/>
  <c r="G93" i="61"/>
  <c r="G114" i="61"/>
  <c r="G52" i="61"/>
  <c r="N106" i="61"/>
  <c r="N136" i="61"/>
  <c r="G59" i="61"/>
  <c r="G56" i="61"/>
  <c r="N128" i="61"/>
  <c r="N51" i="61"/>
  <c r="G174" i="61"/>
  <c r="N174" i="61"/>
  <c r="N94" i="61"/>
  <c r="G94" i="61"/>
  <c r="G71" i="61"/>
  <c r="N71" i="61"/>
  <c r="G177" i="61"/>
  <c r="N177" i="61"/>
  <c r="G50" i="61"/>
  <c r="N50" i="61"/>
  <c r="N129" i="61"/>
  <c r="G129" i="61"/>
  <c r="G90" i="61"/>
  <c r="N90" i="61"/>
  <c r="G112" i="61"/>
  <c r="N112" i="61"/>
  <c r="G156" i="61"/>
  <c r="N156" i="61"/>
  <c r="N66" i="61"/>
  <c r="G66" i="61"/>
  <c r="N47" i="61"/>
  <c r="G47" i="61"/>
  <c r="G125" i="61"/>
  <c r="N125" i="61"/>
  <c r="G134" i="61"/>
  <c r="N134" i="61"/>
  <c r="N72" i="61"/>
  <c r="G72" i="61"/>
  <c r="G68" i="61"/>
  <c r="N68" i="61"/>
  <c r="G103" i="61"/>
  <c r="N103" i="61"/>
  <c r="G83" i="61"/>
  <c r="N83" i="61"/>
  <c r="G49" i="61"/>
  <c r="N49" i="61"/>
  <c r="N55" i="61"/>
  <c r="G55" i="61"/>
  <c r="N107" i="61"/>
  <c r="G107" i="61"/>
  <c r="N46" i="61"/>
  <c r="G46" i="61"/>
  <c r="G115" i="61"/>
  <c r="N115" i="61"/>
  <c r="N154" i="61"/>
  <c r="G154" i="61"/>
  <c r="N91" i="61"/>
  <c r="G91" i="61"/>
  <c r="G142" i="61"/>
  <c r="N142" i="61"/>
  <c r="N159" i="61"/>
  <c r="G159" i="61"/>
  <c r="G111" i="61"/>
  <c r="N111" i="61"/>
  <c r="G81" i="61"/>
  <c r="N81" i="61"/>
  <c r="N75" i="61"/>
  <c r="G75" i="61"/>
  <c r="N165" i="61"/>
  <c r="G165" i="61"/>
  <c r="G167" i="61"/>
  <c r="N167" i="61"/>
  <c r="J39" i="61"/>
  <c r="I39" i="61"/>
  <c r="H39" i="61"/>
  <c r="N171" i="61"/>
  <c r="G171" i="61"/>
  <c r="G54" i="61"/>
  <c r="N54" i="61"/>
  <c r="G147" i="61"/>
  <c r="N147" i="61"/>
  <c r="G87" i="61"/>
  <c r="N87" i="61"/>
  <c r="G153" i="61"/>
  <c r="N153" i="61"/>
  <c r="G140" i="61"/>
  <c r="N140" i="61"/>
  <c r="N155" i="61"/>
  <c r="G155" i="61"/>
  <c r="G135" i="61"/>
  <c r="N135" i="61"/>
  <c r="G62" i="61"/>
  <c r="N62" i="61"/>
  <c r="N138" i="61"/>
  <c r="G138" i="61"/>
  <c r="G97" i="61"/>
  <c r="N97" i="61"/>
  <c r="N43" i="61"/>
  <c r="G43" i="61"/>
  <c r="G99" i="61"/>
  <c r="N99" i="61"/>
  <c r="N109" i="61"/>
  <c r="G109" i="61"/>
  <c r="N104" i="61"/>
  <c r="G104" i="61"/>
  <c r="N65" i="61"/>
  <c r="G65" i="61"/>
  <c r="G150" i="61"/>
  <c r="N150" i="61"/>
  <c r="N76" i="61"/>
  <c r="G76" i="61"/>
  <c r="N79" i="61"/>
  <c r="G79" i="61"/>
  <c r="N61" i="61"/>
  <c r="G61" i="61"/>
  <c r="N113" i="61"/>
  <c r="G113" i="61"/>
  <c r="N60" i="61"/>
  <c r="G60" i="61"/>
  <c r="G139" i="61"/>
  <c r="N139" i="61"/>
  <c r="N133" i="61"/>
  <c r="G133" i="61"/>
  <c r="G141" i="61"/>
  <c r="N141" i="61"/>
  <c r="G121" i="61"/>
  <c r="N121" i="61"/>
  <c r="N63" i="61"/>
  <c r="G63" i="61"/>
  <c r="G57" i="61"/>
  <c r="N57" i="61"/>
  <c r="N124" i="61"/>
  <c r="G124" i="61"/>
  <c r="N161" i="61"/>
  <c r="G161" i="61"/>
  <c r="G53" i="61"/>
  <c r="N53" i="61"/>
  <c r="N64" i="61"/>
  <c r="G64" i="61"/>
  <c r="N102" i="61"/>
  <c r="G102" i="61"/>
  <c r="N168" i="61"/>
  <c r="G168" i="61"/>
  <c r="G42" i="61"/>
  <c r="N42" i="61"/>
  <c r="M39" i="61"/>
  <c r="G151" i="61"/>
  <c r="N151" i="61"/>
  <c r="N172" i="61"/>
  <c r="G172" i="61"/>
  <c r="G80" i="61"/>
  <c r="N80" i="61"/>
  <c r="G85" i="61"/>
  <c r="N85" i="61"/>
  <c r="N86" i="61"/>
  <c r="G86" i="61"/>
  <c r="N67" i="61"/>
  <c r="G67" i="61"/>
  <c r="N132" i="61"/>
  <c r="G132" i="61"/>
  <c r="N126" i="61"/>
  <c r="G126" i="61"/>
  <c r="N120" i="61"/>
  <c r="G120" i="61"/>
  <c r="G105" i="61"/>
  <c r="N105" i="61"/>
  <c r="G145" i="61"/>
  <c r="N145" i="61"/>
  <c r="G58" i="61"/>
  <c r="N58" i="61"/>
  <c r="G96" i="61"/>
  <c r="N96" i="61"/>
  <c r="N98" i="61"/>
  <c r="G98" i="61"/>
  <c r="G166" i="61"/>
  <c r="N166" i="61"/>
  <c r="N74" i="61"/>
  <c r="G74" i="61"/>
  <c r="N173" i="61"/>
  <c r="G173" i="61"/>
  <c r="N48" i="61"/>
  <c r="G48" i="61"/>
  <c r="G44" i="61"/>
  <c r="N44" i="61"/>
  <c r="G144" i="61"/>
  <c r="N144" i="61"/>
  <c r="G149" i="61"/>
  <c r="N149" i="61"/>
  <c r="G143" i="61"/>
  <c r="N143" i="61"/>
  <c r="N45" i="61"/>
  <c r="G45" i="61"/>
  <c r="G118" i="61"/>
  <c r="N118" i="61"/>
  <c r="G119" i="61"/>
  <c r="N119" i="61"/>
  <c r="G92" i="61"/>
  <c r="N92" i="61"/>
  <c r="G84" i="61"/>
  <c r="N84" i="61"/>
  <c r="G73" i="61"/>
  <c r="N73" i="61"/>
  <c r="N88" i="61"/>
  <c r="G88" i="61"/>
  <c r="N160" i="61"/>
  <c r="G160" i="61"/>
  <c r="N162" i="61"/>
  <c r="G162" i="61"/>
  <c r="G77" i="61"/>
  <c r="N77" i="61"/>
  <c r="G110" i="61"/>
  <c r="N110" i="61"/>
  <c r="N78" i="61"/>
  <c r="G78" i="61"/>
  <c r="G177" i="60"/>
  <c r="G113" i="60"/>
  <c r="G181" i="60"/>
  <c r="G94" i="60"/>
  <c r="G140" i="60"/>
  <c r="G172" i="60"/>
  <c r="G114" i="60"/>
  <c r="G199" i="60"/>
  <c r="G167" i="60"/>
  <c r="G93" i="60"/>
  <c r="G184" i="60"/>
  <c r="G90" i="60"/>
  <c r="G194" i="60"/>
  <c r="G99" i="60"/>
  <c r="G190" i="60"/>
  <c r="G132" i="60"/>
  <c r="G200" i="60"/>
  <c r="G213" i="60"/>
  <c r="G149" i="60"/>
  <c r="G210" i="60"/>
  <c r="G127" i="60"/>
  <c r="G130" i="60"/>
  <c r="G108" i="60"/>
  <c r="G176" i="60"/>
  <c r="G117" i="60"/>
  <c r="G208" i="60"/>
  <c r="G150" i="60"/>
  <c r="G218" i="60"/>
  <c r="G142" i="60"/>
  <c r="G203" i="60"/>
  <c r="G188" i="60"/>
  <c r="G129" i="60"/>
  <c r="G220" i="60"/>
  <c r="G126" i="60"/>
  <c r="G205" i="60"/>
  <c r="G135" i="60"/>
  <c r="G107" i="60"/>
  <c r="G168" i="60"/>
  <c r="G145" i="60"/>
  <c r="G174" i="60"/>
  <c r="G191" i="60"/>
  <c r="G163" i="60"/>
  <c r="G182" i="60"/>
  <c r="G106" i="60"/>
  <c r="G152" i="60"/>
  <c r="G88" i="60"/>
  <c r="G185" i="60"/>
  <c r="G98" i="60"/>
  <c r="G111" i="60"/>
  <c r="G166" i="60"/>
  <c r="G144" i="60"/>
  <c r="G212" i="60"/>
  <c r="G153" i="60"/>
  <c r="G89" i="60"/>
  <c r="G186" i="60"/>
  <c r="G133" i="60"/>
  <c r="G87" i="60"/>
  <c r="M84" i="60"/>
  <c r="G178" i="60"/>
  <c r="G120" i="60"/>
  <c r="G169" i="60"/>
  <c r="G165" i="60"/>
  <c r="G101" i="60"/>
  <c r="G162" i="60"/>
  <c r="G211" i="60"/>
  <c r="G171" i="60"/>
  <c r="G143" i="60"/>
  <c r="G204" i="60"/>
  <c r="I84" i="60"/>
  <c r="J84" i="60"/>
  <c r="H84" i="60"/>
  <c r="G124" i="60"/>
  <c r="G221" i="60"/>
  <c r="G134" i="60"/>
  <c r="G147" i="60"/>
  <c r="G202" i="60"/>
  <c r="G180" i="60"/>
  <c r="G97" i="60"/>
  <c r="G189" i="60"/>
  <c r="G125" i="60"/>
  <c r="G222" i="60"/>
  <c r="G139" i="60"/>
  <c r="G123" i="60"/>
  <c r="G214" i="60"/>
  <c r="G156" i="60"/>
  <c r="G175" i="60"/>
  <c r="G201" i="60"/>
  <c r="G137" i="60"/>
  <c r="G198" i="60"/>
  <c r="G109" i="60"/>
  <c r="G207" i="60"/>
  <c r="G179" i="60"/>
  <c r="G92" i="60"/>
  <c r="G91" i="60"/>
  <c r="G105" i="60"/>
  <c r="G160" i="60"/>
  <c r="G102" i="60"/>
  <c r="G170" i="60"/>
  <c r="G183" i="60"/>
  <c r="G119" i="60"/>
  <c r="G216" i="60"/>
  <c r="G103" i="60"/>
  <c r="G100" i="60"/>
  <c r="G161" i="60"/>
  <c r="G110" i="60"/>
  <c r="G115" i="60"/>
  <c r="G159" i="60"/>
  <c r="G95" i="60"/>
  <c r="G192" i="60"/>
  <c r="G151" i="60"/>
  <c r="G112" i="60"/>
  <c r="G173" i="60"/>
  <c r="G122" i="60"/>
  <c r="G187" i="60"/>
  <c r="G118" i="60"/>
  <c r="G215" i="60"/>
  <c r="G128" i="60"/>
  <c r="G141" i="60"/>
  <c r="G196" i="60"/>
  <c r="G138" i="60"/>
  <c r="G206" i="60"/>
  <c r="G219" i="60"/>
  <c r="G155" i="60"/>
  <c r="G104" i="60"/>
  <c r="G217" i="60"/>
  <c r="G136" i="60"/>
  <c r="G197" i="60"/>
  <c r="G146" i="60"/>
  <c r="G121" i="60"/>
  <c r="G195" i="60"/>
  <c r="G131" i="60"/>
  <c r="G116" i="60"/>
  <c r="G157" i="60"/>
  <c r="G148" i="60"/>
  <c r="G209" i="60"/>
  <c r="G158" i="60"/>
  <c r="G193" i="60"/>
  <c r="G154" i="60"/>
  <c r="G96" i="60"/>
  <c r="G164" i="60"/>
  <c r="N17" i="4" l="1"/>
  <c r="N18" i="4"/>
  <c r="L22" i="4"/>
  <c r="L24" i="4" s="1"/>
  <c r="L27" i="4" s="1"/>
  <c r="M30" i="4"/>
  <c r="M32" i="4"/>
  <c r="M37" i="4" s="1"/>
  <c r="L32" i="4"/>
  <c r="L37" i="4" s="1"/>
  <c r="N84" i="64"/>
  <c r="G84" i="64"/>
  <c r="M41" i="4"/>
  <c r="M44" i="4" s="1"/>
  <c r="L41" i="4"/>
  <c r="L43" i="4" s="1"/>
  <c r="M54" i="4"/>
  <c r="L54" i="4"/>
  <c r="N20" i="4"/>
  <c r="N24" i="4" s="1"/>
  <c r="N25" i="4"/>
  <c r="N31" i="4"/>
  <c r="N40" i="4" s="1"/>
  <c r="N39" i="61"/>
  <c r="G39" i="61"/>
  <c r="G84" i="60"/>
  <c r="N84" i="60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5" i="4"/>
  <c r="N22" i="4" l="1"/>
  <c r="N27" i="4" s="1"/>
  <c r="N30" i="4"/>
  <c r="N32" i="4"/>
  <c r="N37" i="4" s="1"/>
  <c r="M43" i="4"/>
  <c r="N41" i="4"/>
  <c r="N44" i="4" s="1"/>
  <c r="N54" i="4"/>
  <c r="N43" i="4" l="1"/>
  <c r="C118" i="4" l="1"/>
  <c r="C119" i="4" s="1"/>
  <c r="F39" i="71"/>
  <c r="F40" i="71" s="1"/>
  <c r="F41" i="71" l="1"/>
  <c r="F42" i="71" s="1"/>
  <c r="F43" i="71" l="1"/>
  <c r="F44" i="71" s="1"/>
  <c r="F45" i="71" s="1"/>
  <c r="F46" i="71" s="1"/>
  <c r="F47" i="71" l="1"/>
  <c r="F48" i="71" s="1"/>
  <c r="F49" i="71" s="1"/>
  <c r="F50" i="71" s="1"/>
  <c r="F51" i="71" s="1"/>
  <c r="F52" i="71" s="1"/>
  <c r="F53" i="71" s="1"/>
  <c r="F54" i="71" s="1"/>
  <c r="F55" i="71" s="1"/>
  <c r="F56" i="71" s="1"/>
  <c r="F57" i="71" s="1"/>
  <c r="F58" i="71" s="1"/>
  <c r="F59" i="71" s="1"/>
  <c r="F60" i="71" s="1"/>
  <c r="F61" i="71" s="1"/>
  <c r="F62" i="71" s="1"/>
  <c r="F63" i="71" s="1"/>
  <c r="F64" i="71" s="1"/>
  <c r="F65" i="71" s="1"/>
  <c r="F66" i="71" s="1"/>
  <c r="F67" i="71" s="1"/>
  <c r="F68" i="71" s="1"/>
  <c r="F69" i="71" s="1"/>
  <c r="F70" i="71" s="1"/>
  <c r="F71" i="71" s="1"/>
  <c r="F72" i="71" s="1"/>
  <c r="F73" i="71" s="1"/>
  <c r="F74" i="71" s="1"/>
  <c r="F75" i="71" s="1"/>
  <c r="F76" i="71" s="1"/>
  <c r="F77" i="71" s="1"/>
  <c r="F78" i="71" s="1"/>
  <c r="F79" i="71" s="1"/>
  <c r="F80" i="71" s="1"/>
  <c r="F81" i="71" s="1"/>
  <c r="F82" i="71" s="1"/>
  <c r="F83" i="71" s="1"/>
  <c r="F84" i="71" s="1"/>
  <c r="F85" i="71" s="1"/>
  <c r="F86" i="71" s="1"/>
  <c r="F87" i="71" s="1"/>
  <c r="F88" i="71" s="1"/>
  <c r="F89" i="71" s="1"/>
  <c r="F90" i="71" s="1"/>
  <c r="F91" i="71" s="1"/>
  <c r="F92" i="71" s="1"/>
  <c r="F93" i="71" s="1"/>
  <c r="F94" i="71" s="1"/>
  <c r="F95" i="71" s="1"/>
  <c r="F96" i="71" s="1"/>
  <c r="F97" i="71" s="1"/>
  <c r="F98" i="71" s="1"/>
  <c r="F99" i="71" s="1"/>
  <c r="F100" i="71" s="1"/>
  <c r="F101" i="71" s="1"/>
  <c r="F102" i="71" s="1"/>
  <c r="F103" i="71" s="1"/>
  <c r="F104" i="71" s="1"/>
  <c r="F105" i="71" s="1"/>
  <c r="F106" i="71" s="1"/>
  <c r="F107" i="71" s="1"/>
  <c r="F108" i="71" s="1"/>
  <c r="F109" i="71" s="1"/>
  <c r="F110" i="71" s="1"/>
  <c r="F111" i="71" s="1"/>
  <c r="F112" i="71" s="1"/>
  <c r="F113" i="71" s="1"/>
  <c r="F114" i="71" s="1"/>
  <c r="F115" i="71" s="1"/>
  <c r="F116" i="71" s="1"/>
  <c r="F117" i="71" s="1"/>
  <c r="F118" i="71" s="1"/>
  <c r="F119" i="71" s="1"/>
  <c r="F120" i="71" s="1"/>
  <c r="F121" i="71" s="1"/>
  <c r="F122" i="71" s="1"/>
  <c r="F123" i="71" s="1"/>
  <c r="F124" i="71" s="1"/>
  <c r="F125" i="71" s="1"/>
  <c r="F126" i="71" s="1"/>
  <c r="F127" i="71" s="1"/>
  <c r="F128" i="71" s="1"/>
  <c r="F129" i="71" s="1"/>
  <c r="F130" i="71" s="1"/>
  <c r="F131" i="71" s="1"/>
  <c r="F132" i="71" s="1"/>
  <c r="F133" i="71" s="1"/>
  <c r="F134" i="71" s="1"/>
  <c r="F135" i="71" s="1"/>
  <c r="F136" i="71" s="1"/>
  <c r="F137" i="71" s="1"/>
  <c r="F138" i="71" s="1"/>
  <c r="F139" i="71" s="1"/>
  <c r="F140" i="71" s="1"/>
  <c r="F141" i="71" s="1"/>
  <c r="F142" i="71" s="1"/>
  <c r="F143" i="71" s="1"/>
  <c r="F144" i="71" s="1"/>
  <c r="F145" i="71" s="1"/>
  <c r="F146" i="71" s="1"/>
  <c r="F147" i="71" s="1"/>
  <c r="F148" i="71" s="1"/>
  <c r="F149" i="71" s="1"/>
  <c r="F150" i="71" s="1"/>
  <c r="F151" i="71" s="1"/>
  <c r="F152" i="71" s="1"/>
  <c r="F153" i="71" s="1"/>
  <c r="F154" i="71" s="1"/>
  <c r="F155" i="71" s="1"/>
  <c r="F156" i="71" s="1"/>
  <c r="F157" i="71" s="1"/>
  <c r="F158" i="71" s="1"/>
  <c r="F159" i="71" s="1"/>
  <c r="F160" i="71" s="1"/>
  <c r="F161" i="71" s="1"/>
  <c r="F162" i="71" s="1"/>
  <c r="F163" i="71" s="1"/>
  <c r="F164" i="71" s="1"/>
  <c r="F165" i="71" s="1"/>
  <c r="F166" i="71" s="1"/>
  <c r="F167" i="71" s="1"/>
  <c r="F168" i="71" s="1"/>
  <c r="F169" i="71" s="1"/>
  <c r="F170" i="71" s="1"/>
  <c r="F171" i="71" s="1"/>
  <c r="F172" i="71" s="1"/>
  <c r="F173" i="71" s="1"/>
  <c r="F174" i="71" s="1"/>
  <c r="F175" i="71" s="1"/>
  <c r="F176" i="71" s="1"/>
  <c r="F177" i="71" s="1"/>
  <c r="F178" i="71" s="1"/>
  <c r="F179" i="71" s="1"/>
  <c r="F180" i="71" s="1"/>
  <c r="F181" i="71" s="1"/>
  <c r="F182" i="71" s="1"/>
  <c r="F183" i="71" s="1"/>
  <c r="F184" i="71" s="1"/>
  <c r="F185" i="71" s="1"/>
  <c r="F186" i="71" s="1"/>
  <c r="F187" i="71" s="1"/>
  <c r="F188" i="71" s="1"/>
  <c r="F189" i="71" s="1"/>
  <c r="F190" i="71" s="1"/>
  <c r="F191" i="71" s="1"/>
  <c r="F192" i="71" s="1"/>
  <c r="F193" i="71" s="1"/>
  <c r="F194" i="71" s="1"/>
  <c r="F195" i="71" s="1"/>
  <c r="F196" i="71" s="1"/>
  <c r="F197" i="71" s="1"/>
  <c r="F198" i="71" s="1"/>
  <c r="F199" i="71" s="1"/>
  <c r="F200" i="71" s="1"/>
  <c r="F201" i="71" s="1"/>
  <c r="F202" i="71" s="1"/>
  <c r="F203" i="71" s="1"/>
  <c r="F204" i="71" s="1"/>
  <c r="F205" i="71" s="1"/>
  <c r="F206" i="71" s="1"/>
  <c r="F207" i="71" s="1"/>
  <c r="F208" i="71" s="1"/>
  <c r="F209" i="71" s="1"/>
  <c r="F210" i="71" s="1"/>
  <c r="F211" i="71" s="1"/>
  <c r="F212" i="71" s="1"/>
  <c r="F213" i="71" s="1"/>
  <c r="F214" i="71" s="1"/>
  <c r="F215" i="71" s="1"/>
  <c r="F216" i="71" s="1"/>
  <c r="F217" i="71" s="1"/>
  <c r="F218" i="71" s="1"/>
  <c r="F219" i="71" s="1"/>
  <c r="F220" i="71" s="1"/>
  <c r="F221" i="71" s="1"/>
  <c r="F222" i="71" s="1"/>
  <c r="F223" i="71" s="1"/>
  <c r="F224" i="71" s="1"/>
  <c r="F225" i="71" s="1"/>
  <c r="F226" i="71" s="1"/>
  <c r="F227" i="71" s="1"/>
  <c r="F228" i="71" s="1"/>
  <c r="F229" i="71" s="1"/>
  <c r="F230" i="71" s="1"/>
  <c r="F231" i="71" s="1"/>
  <c r="F232" i="71" s="1"/>
  <c r="F233" i="71" s="1"/>
  <c r="F234" i="71" s="1"/>
  <c r="F235" i="71" s="1"/>
  <c r="F236" i="71" s="1"/>
  <c r="F237" i="71" s="1"/>
  <c r="F238" i="71" s="1"/>
  <c r="A234" i="71" a="1"/>
  <c r="A234" i="71" s="1"/>
  <c r="A214" i="71" a="1"/>
  <c r="A214" i="71" s="1"/>
  <c r="A110" i="71" a="1"/>
  <c r="A110" i="71" s="1"/>
  <c r="A210" i="71" a="1"/>
  <c r="A210" i="71" s="1"/>
  <c r="A68" i="71" a="1"/>
  <c r="A68" i="71" s="1"/>
  <c r="A105" i="71" a="1"/>
  <c r="A105" i="71" s="1"/>
  <c r="A84" i="71" a="1"/>
  <c r="A84" i="71" s="1"/>
  <c r="A82" i="71" a="1"/>
  <c r="A82" i="71" s="1"/>
  <c r="A227" i="71" a="1"/>
  <c r="A227" i="71" s="1"/>
  <c r="A179" i="71" a="1"/>
  <c r="A179" i="71" s="1"/>
  <c r="A63" i="71" a="1"/>
  <c r="A63" i="71" s="1"/>
  <c r="A48" i="71" a="1"/>
  <c r="A48" i="71" s="1"/>
  <c r="A9" i="71" a="1"/>
  <c r="A9" i="71" s="1"/>
  <c r="A121" i="71" a="1"/>
  <c r="A121" i="71" s="1"/>
  <c r="A111" i="71" a="1"/>
  <c r="A111" i="71" s="1"/>
  <c r="A156" i="71" a="1"/>
  <c r="A156" i="71" s="1"/>
  <c r="A14" i="71" a="1"/>
  <c r="A14" i="71" s="1"/>
  <c r="A56" i="71" a="1"/>
  <c r="A56" i="71" s="1"/>
  <c r="A95" i="71" a="1"/>
  <c r="A95" i="71" s="1"/>
  <c r="A235" i="71" a="1"/>
  <c r="A235" i="71" s="1"/>
  <c r="A132" i="71" a="1"/>
  <c r="A132" i="71" s="1"/>
  <c r="A219" i="71" a="1"/>
  <c r="A219" i="71" s="1"/>
  <c r="A35" i="71" a="1"/>
  <c r="A35" i="71" s="1"/>
  <c r="A89" i="71" a="1"/>
  <c r="A89" i="71" s="1"/>
  <c r="A60" i="71" a="1"/>
  <c r="A60" i="71" s="1"/>
  <c r="A198" i="71" a="1"/>
  <c r="A198" i="71" s="1"/>
  <c r="A158" i="71" a="1"/>
  <c r="A158" i="71" s="1"/>
  <c r="A41" i="71" a="1"/>
  <c r="A41" i="71" s="1"/>
  <c r="A134" i="71" a="1"/>
  <c r="A134" i="71" s="1"/>
  <c r="A145" i="71" a="1"/>
  <c r="A145" i="71" s="1"/>
  <c r="A36" i="71" a="1"/>
  <c r="A36" i="71" s="1"/>
  <c r="A72" i="71" a="1"/>
  <c r="A72" i="71" s="1"/>
  <c r="A120" i="71" a="1"/>
  <c r="A120" i="71" s="1"/>
  <c r="A86" i="71" a="1"/>
  <c r="A86" i="71" s="1"/>
  <c r="A79" i="71" a="1"/>
  <c r="A79" i="71" s="1"/>
  <c r="A3" i="71" a="1"/>
  <c r="A3" i="71" s="1"/>
  <c r="A17" i="71" a="1"/>
  <c r="A17" i="71" s="1"/>
  <c r="A28" i="71" a="1"/>
  <c r="A28" i="71" s="1"/>
  <c r="A39" i="71" a="1"/>
  <c r="A39" i="71" s="1"/>
  <c r="A146" i="71" a="1"/>
  <c r="A146" i="71" s="1"/>
  <c r="A87" i="71" a="1"/>
  <c r="A87" i="71" s="1"/>
  <c r="A29" i="71" a="1"/>
  <c r="A29" i="71" s="1"/>
  <c r="A77" i="71" a="1"/>
  <c r="A77" i="71" s="1"/>
  <c r="A46" i="71" a="1"/>
  <c r="A46" i="71" s="1"/>
  <c r="A230" i="71" a="1"/>
  <c r="A230" i="71" s="1"/>
  <c r="A226" i="71" a="1"/>
  <c r="A226" i="71" s="1"/>
  <c r="A64" i="71" a="1"/>
  <c r="A64" i="71" s="1"/>
  <c r="A58" i="71" a="1"/>
  <c r="A58" i="71" s="1"/>
  <c r="A75" i="71" a="1"/>
  <c r="A75" i="71" s="1"/>
  <c r="A130" i="71" a="1"/>
  <c r="A130" i="71" s="1"/>
  <c r="A44" i="71" a="1"/>
  <c r="A44" i="71" s="1"/>
  <c r="A37" i="71" a="1"/>
  <c r="A37" i="71" s="1"/>
  <c r="A123" i="71" a="1"/>
  <c r="A123" i="71" s="1"/>
  <c r="A126" i="71" a="1"/>
  <c r="A126" i="71" s="1"/>
  <c r="A202" i="71" a="1"/>
  <c r="A202" i="71" s="1"/>
  <c r="A175" i="71" a="1"/>
  <c r="A175" i="71" s="1"/>
  <c r="A83" i="71" a="1"/>
  <c r="A83" i="71" s="1"/>
  <c r="A221" i="71" a="1"/>
  <c r="A221" i="71" s="1"/>
  <c r="A141" i="71" a="1"/>
  <c r="A141" i="71" s="1"/>
  <c r="A199" i="71" a="1"/>
  <c r="A199" i="71" s="1"/>
  <c r="A149" i="71" a="1"/>
  <c r="A149" i="71" s="1"/>
  <c r="A97" i="71" a="1"/>
  <c r="A97" i="71" s="1"/>
  <c r="A8" i="71" a="1"/>
  <c r="A8" i="71" s="1"/>
  <c r="A131" i="71" a="1"/>
  <c r="A131" i="71" s="1"/>
  <c r="A159" i="71" a="1"/>
  <c r="A159" i="71" s="1"/>
  <c r="A50" i="71" a="1"/>
  <c r="A50" i="71" s="1"/>
  <c r="A31" i="71" a="1"/>
  <c r="A31" i="71" s="1"/>
  <c r="A116" i="71" a="1"/>
  <c r="A116" i="71" s="1"/>
  <c r="A85" i="71" a="1"/>
  <c r="A85" i="71" s="1"/>
  <c r="A155" i="71" a="1"/>
  <c r="A155" i="71" s="1"/>
  <c r="A223" i="71" a="1"/>
  <c r="A223" i="71" s="1"/>
  <c r="A139" i="71" a="1"/>
  <c r="A139" i="71" s="1"/>
  <c r="A109" i="71" a="1"/>
  <c r="A109" i="71" s="1"/>
  <c r="A113" i="71" a="1"/>
  <c r="A113" i="71" s="1"/>
  <c r="A218" i="71" a="1"/>
  <c r="A218" i="71" s="1"/>
  <c r="A57" i="71" a="1"/>
  <c r="A57" i="71" s="1"/>
  <c r="A43" i="71" a="1"/>
  <c r="A43" i="71" s="1"/>
  <c r="A76" i="71" a="1"/>
  <c r="A76" i="71" s="1"/>
  <c r="A118" i="71" a="1"/>
  <c r="A118" i="71" s="1"/>
  <c r="A233" i="71" a="1"/>
  <c r="A233" i="71" s="1"/>
  <c r="A181" i="71" a="1"/>
  <c r="A181" i="71" s="1"/>
  <c r="A211" i="71" a="1"/>
  <c r="A211" i="71" s="1"/>
  <c r="A78" i="71" a="1"/>
  <c r="A78" i="71" s="1"/>
  <c r="A166" i="71" a="1"/>
  <c r="A166" i="71" s="1"/>
  <c r="A228" i="71" a="1"/>
  <c r="A228" i="71" s="1"/>
  <c r="A34" i="71" a="1"/>
  <c r="A34" i="71" s="1"/>
  <c r="A24" i="71" a="1"/>
  <c r="A24" i="71" s="1"/>
  <c r="A103" i="71" a="1"/>
  <c r="A103" i="71" s="1"/>
  <c r="A183" i="71" a="1"/>
  <c r="A183" i="71" s="1"/>
  <c r="A52" i="71" a="1"/>
  <c r="A52" i="71" s="1"/>
  <c r="A104" i="71" a="1"/>
  <c r="A104" i="71" s="1"/>
  <c r="A190" i="71" a="1"/>
  <c r="A190" i="71" s="1"/>
  <c r="A182" i="71" a="1"/>
  <c r="A182" i="71" s="1"/>
  <c r="A114" i="71" a="1"/>
  <c r="A114" i="71" s="1"/>
  <c r="A185" i="71" a="1"/>
  <c r="A185" i="71" s="1"/>
  <c r="A10" i="71" a="1"/>
  <c r="A10" i="71" s="1"/>
  <c r="A80" i="71" a="1"/>
  <c r="A80" i="71" s="1"/>
  <c r="A115" i="71" a="1"/>
  <c r="A115" i="71" s="1"/>
  <c r="A236" i="71" a="1"/>
  <c r="A236" i="71" s="1"/>
  <c r="A184" i="71" a="1"/>
  <c r="A184" i="71" s="1"/>
  <c r="A192" i="71" a="1"/>
  <c r="A192" i="71" s="1"/>
  <c r="A22" i="71" a="1"/>
  <c r="A22" i="71" s="1"/>
  <c r="A187" i="71" a="1"/>
  <c r="A187" i="71" s="1"/>
  <c r="A6" i="71" a="1"/>
  <c r="A6" i="71" s="1"/>
  <c r="A162" i="71" a="1"/>
  <c r="A162" i="71" s="1"/>
  <c r="A148" i="71" a="1"/>
  <c r="A148" i="71" s="1"/>
  <c r="A27" i="71" a="1"/>
  <c r="A27" i="71" s="1"/>
  <c r="A94" i="71" a="1"/>
  <c r="A94" i="71" s="1"/>
  <c r="A232" i="71" a="1"/>
  <c r="A232" i="71" s="1"/>
  <c r="A191" i="71" a="1"/>
  <c r="A191" i="71" s="1"/>
  <c r="A193" i="71" a="1"/>
  <c r="A193" i="71" s="1"/>
  <c r="A98" i="71" a="1"/>
  <c r="A98" i="71" s="1"/>
  <c r="A225" i="71" a="1"/>
  <c r="A225" i="71" s="1"/>
  <c r="A205" i="71" a="1"/>
  <c r="A205" i="71" s="1"/>
  <c r="A224" i="71" a="1"/>
  <c r="A224" i="71" s="1"/>
  <c r="A142" i="71" a="1"/>
  <c r="A142" i="71" s="1"/>
  <c r="A49" i="71" a="1"/>
  <c r="A49" i="71" s="1"/>
  <c r="A23" i="71" a="1"/>
  <c r="A23" i="71" s="1"/>
  <c r="A106" i="71" a="1"/>
  <c r="A106" i="71" s="1"/>
  <c r="A154" i="71" a="1"/>
  <c r="A154" i="71" s="1"/>
  <c r="A196" i="71" a="1"/>
  <c r="A196" i="71" s="1"/>
  <c r="A167" i="71" a="1"/>
  <c r="A167" i="71" s="1"/>
  <c r="A161" i="71" a="1"/>
  <c r="A161" i="71" s="1"/>
  <c r="A73" i="71" a="1"/>
  <c r="A73" i="71" s="1"/>
  <c r="A143" i="71" a="1"/>
  <c r="A143" i="71" s="1"/>
  <c r="A88" i="71" a="1"/>
  <c r="A88" i="71" s="1"/>
  <c r="A136" i="71" a="1"/>
  <c r="A136" i="71" s="1"/>
  <c r="A16" i="71" a="1"/>
  <c r="A16" i="71" s="1"/>
  <c r="A151" i="71" a="1"/>
  <c r="A151" i="71" s="1"/>
  <c r="A21" i="71" a="1"/>
  <c r="A21" i="71" s="1"/>
  <c r="A19" i="71" a="1"/>
  <c r="A19" i="71" s="1"/>
  <c r="A168" i="71" a="1"/>
  <c r="A168" i="71" s="1"/>
  <c r="A61" i="71" a="1"/>
  <c r="A61" i="71" s="1"/>
  <c r="A197" i="71" a="1"/>
  <c r="A197" i="71" s="1"/>
  <c r="A26" i="71" a="1"/>
  <c r="A26" i="71" s="1"/>
  <c r="A201" i="71" a="1"/>
  <c r="A201" i="71" s="1"/>
  <c r="A215" i="71" a="1"/>
  <c r="A215" i="71" s="1"/>
  <c r="A165" i="71" a="1"/>
  <c r="A165" i="71" s="1"/>
  <c r="A81" i="71" a="1"/>
  <c r="A81" i="71" s="1"/>
  <c r="A5" i="71" a="1"/>
  <c r="A5" i="71" s="1"/>
  <c r="A207" i="71" a="1"/>
  <c r="A207" i="71" s="1"/>
  <c r="A129" i="71" a="1"/>
  <c r="A129" i="71" s="1"/>
  <c r="A133" i="71" a="1"/>
  <c r="A133" i="71" s="1"/>
  <c r="A138" i="71" a="1"/>
  <c r="A138" i="71" s="1"/>
  <c r="A174" i="71" a="1"/>
  <c r="A174" i="71" s="1"/>
  <c r="A96" i="71" a="1"/>
  <c r="A96" i="71" s="1"/>
  <c r="A51" i="71" a="1"/>
  <c r="A51" i="71" s="1"/>
  <c r="A92" i="71" a="1"/>
  <c r="A92" i="71" s="1"/>
  <c r="A117" i="71" a="1"/>
  <c r="A117" i="71" s="1"/>
  <c r="A137" i="71" a="1"/>
  <c r="A137" i="71" s="1"/>
  <c r="A38" i="71" a="1"/>
  <c r="A38" i="71" s="1"/>
  <c r="A101" i="71" a="1"/>
  <c r="A101" i="71" s="1"/>
  <c r="A204" i="71" a="1"/>
  <c r="A204" i="71" s="1"/>
  <c r="A124" i="71" a="1"/>
  <c r="A124" i="71" s="1"/>
  <c r="A59" i="71" a="1"/>
  <c r="A59" i="71" s="1"/>
  <c r="A45" i="71" a="1"/>
  <c r="A45" i="71" s="1"/>
  <c r="A107" i="71" a="1"/>
  <c r="A107" i="71" s="1"/>
  <c r="A238" i="71" a="1"/>
  <c r="A238" i="71" s="1"/>
  <c r="A91" i="71" a="1"/>
  <c r="A91" i="71" s="1"/>
  <c r="A55" i="71" a="1"/>
  <c r="A55" i="71" s="1"/>
  <c r="A170" i="71" a="1"/>
  <c r="A170" i="71" s="1"/>
  <c r="A20" i="71" a="1"/>
  <c r="A20" i="71" s="1"/>
  <c r="A54" i="71" a="1"/>
  <c r="A54" i="71" s="1"/>
  <c r="A222" i="71" a="1"/>
  <c r="A222" i="71" s="1"/>
  <c r="A67" i="71" a="1"/>
  <c r="A67" i="71" s="1"/>
  <c r="A208" i="71" a="1"/>
  <c r="A208" i="71" s="1"/>
  <c r="A47" i="71" a="1"/>
  <c r="A47" i="71" s="1"/>
  <c r="A90" i="71" a="1"/>
  <c r="A90" i="71" s="1"/>
  <c r="A32" i="71" a="1"/>
  <c r="A32" i="71" s="1"/>
  <c r="A66" i="71" a="1"/>
  <c r="A66" i="71" s="1"/>
  <c r="A186" i="71" a="1"/>
  <c r="A186" i="71" s="1"/>
  <c r="A194" i="71" a="1"/>
  <c r="A194" i="71" s="1"/>
  <c r="A7" i="71" a="1"/>
  <c r="A7" i="71" s="1"/>
  <c r="A217" i="71" a="1"/>
  <c r="A217" i="71" s="1"/>
  <c r="A172" i="71" a="1"/>
  <c r="A172" i="71" s="1"/>
  <c r="A213" i="71" a="1"/>
  <c r="A213" i="71" s="1"/>
  <c r="A153" i="71" a="1"/>
  <c r="A153" i="71" s="1"/>
  <c r="A65" i="71" a="1"/>
  <c r="A65" i="71" s="1"/>
  <c r="A30" i="71" a="1"/>
  <c r="A30" i="71" s="1"/>
  <c r="A177" i="71" a="1"/>
  <c r="A177" i="71" s="1"/>
  <c r="A40" i="71" a="1"/>
  <c r="A40" i="71" s="1"/>
  <c r="A135" i="71" a="1"/>
  <c r="A135" i="71" s="1"/>
  <c r="A71" i="71" a="1"/>
  <c r="A71" i="71" s="1"/>
  <c r="A157" i="71" a="1"/>
  <c r="A157" i="71" s="1"/>
  <c r="A203" i="71" a="1"/>
  <c r="A203" i="71" s="1"/>
  <c r="A62" i="71" a="1"/>
  <c r="A62" i="71" s="1"/>
  <c r="A229" i="71" a="1"/>
  <c r="A229" i="71" s="1"/>
  <c r="A176" i="71" a="1"/>
  <c r="A176" i="71" s="1"/>
  <c r="A152" i="71" a="1"/>
  <c r="A152" i="71" s="1"/>
  <c r="A169" i="71" a="1"/>
  <c r="A169" i="71" s="1"/>
  <c r="A212" i="71" a="1"/>
  <c r="A212" i="71" s="1"/>
  <c r="A147" i="71" a="1"/>
  <c r="A147" i="71" s="1"/>
  <c r="A125" i="71" a="1"/>
  <c r="A125" i="71" s="1"/>
  <c r="A69" i="71" a="1"/>
  <c r="A69" i="71" s="1"/>
  <c r="A74" i="71" a="1"/>
  <c r="A74" i="71" s="1"/>
  <c r="A13" i="71" a="1"/>
  <c r="A13" i="71" s="1"/>
  <c r="A119" i="71" a="1"/>
  <c r="A119" i="71" s="1"/>
  <c r="A178" i="71" a="1"/>
  <c r="A178" i="71" s="1"/>
  <c r="A11" i="71" a="1"/>
  <c r="A11" i="71" s="1"/>
  <c r="A188" i="71" a="1"/>
  <c r="A188" i="71" s="1"/>
  <c r="A195" i="71" a="1"/>
  <c r="A195" i="71" s="1"/>
  <c r="A25" i="71" a="1"/>
  <c r="A25" i="71" s="1"/>
  <c r="A160" i="71" a="1"/>
  <c r="A160" i="71" s="1"/>
  <c r="A15" i="71" a="1"/>
  <c r="A15" i="71" s="1"/>
  <c r="A206" i="71" a="1"/>
  <c r="A206" i="71" s="1"/>
  <c r="A163" i="71" a="1"/>
  <c r="A163" i="71" s="1"/>
  <c r="A237" i="71" a="1"/>
  <c r="A237" i="71" s="1"/>
  <c r="A42" i="71" a="1"/>
  <c r="A42" i="71" s="1"/>
  <c r="A70" i="71" a="1"/>
  <c r="A70" i="71" s="1"/>
  <c r="A33" i="71" a="1"/>
  <c r="A33" i="71" s="1"/>
  <c r="A216" i="71" a="1"/>
  <c r="A216" i="71" s="1"/>
  <c r="A1" i="71" a="1"/>
  <c r="A1" i="71" s="1"/>
  <c r="A2" i="71" a="1"/>
  <c r="A2" i="71" s="1"/>
  <c r="A4" i="71" a="1"/>
  <c r="A4" i="71" s="1"/>
  <c r="A112" i="71" a="1"/>
  <c r="A112" i="71" s="1"/>
  <c r="A231" i="71" a="1"/>
  <c r="A231" i="71" s="1"/>
  <c r="A93" i="71" a="1"/>
  <c r="A93" i="71" s="1"/>
  <c r="A173" i="71" a="1"/>
  <c r="A173" i="71" s="1"/>
  <c r="A122" i="71" a="1"/>
  <c r="A122" i="71" s="1"/>
  <c r="A144" i="71" a="1"/>
  <c r="A144" i="71" s="1"/>
  <c r="A100" i="71" a="1"/>
  <c r="A100" i="71" s="1"/>
  <c r="A99" i="71" a="1"/>
  <c r="A99" i="71" s="1"/>
  <c r="A171" i="71" a="1"/>
  <c r="A171" i="71" s="1"/>
  <c r="A53" i="71" a="1"/>
  <c r="A53" i="71" s="1"/>
  <c r="A18" i="71" a="1"/>
  <c r="A18" i="71" s="1"/>
  <c r="A127" i="71" a="1"/>
  <c r="A127" i="71" s="1"/>
  <c r="A164" i="71" a="1"/>
  <c r="A164" i="71" s="1"/>
  <c r="A189" i="71" a="1"/>
  <c r="A189" i="71" s="1"/>
  <c r="A209" i="71" a="1"/>
  <c r="A209" i="71" s="1"/>
  <c r="A140" i="71" a="1"/>
  <c r="A140" i="71" s="1"/>
  <c r="A12" i="71" a="1"/>
  <c r="A12" i="71" s="1"/>
  <c r="A128" i="71" a="1"/>
  <c r="A128" i="71" s="1"/>
  <c r="A200" i="71" a="1"/>
  <c r="A200" i="71" s="1"/>
  <c r="A220" i="71" a="1"/>
  <c r="A220" i="71" s="1"/>
  <c r="A180" i="71" a="1"/>
  <c r="A180" i="71" s="1"/>
  <c r="A108" i="71" a="1"/>
  <c r="A108" i="71" s="1"/>
  <c r="A150" i="71" l="1" a="1"/>
  <c r="A150" i="71" s="1"/>
  <c r="A102" i="71" a="1"/>
  <c r="A102" i="71" s="1"/>
  <c r="I3" i="71" l="1" a="1"/>
  <c r="I3" i="71" s="1"/>
  <c r="J3" i="71" s="1"/>
  <c r="B3" i="71" l="1"/>
  <c r="C3" i="71" s="1"/>
  <c r="K3" i="71" s="1"/>
  <c r="I4" i="71" a="1"/>
  <c r="I4" i="71" s="1"/>
  <c r="J4" i="71" s="1"/>
  <c r="G3" i="71"/>
  <c r="F3" i="71"/>
  <c r="H3" i="71"/>
  <c r="E3" i="71" l="1"/>
  <c r="L3" i="71" s="1"/>
  <c r="F4" i="71"/>
  <c r="B4" i="71"/>
  <c r="C4" i="71" s="1"/>
  <c r="K4" i="71" s="1"/>
  <c r="I5" i="71" a="1"/>
  <c r="I5" i="71" s="1"/>
  <c r="I6" i="71" s="1" a="1"/>
  <c r="I6" i="71" s="1"/>
  <c r="H6" i="71" s="1"/>
  <c r="G4" i="71"/>
  <c r="H4" i="71"/>
  <c r="M3" i="71"/>
  <c r="D3" i="71" s="1"/>
  <c r="E4" i="71"/>
  <c r="N3" i="71"/>
  <c r="L1" i="71"/>
  <c r="G5" i="71" l="1"/>
  <c r="J6" i="71"/>
  <c r="N4" i="71"/>
  <c r="H5" i="71"/>
  <c r="E5" i="71" s="1"/>
  <c r="F6" i="71"/>
  <c r="B5" i="71"/>
  <c r="C5" i="71" s="1"/>
  <c r="K5" i="71" s="1"/>
  <c r="J5" i="71"/>
  <c r="I7" i="71" a="1"/>
  <c r="I7" i="71" s="1"/>
  <c r="J7" i="71" s="1"/>
  <c r="B6" i="71"/>
  <c r="C6" i="71" s="1"/>
  <c r="K6" i="71" s="1"/>
  <c r="G6" i="71"/>
  <c r="F5" i="71"/>
  <c r="L4" i="71"/>
  <c r="M4" i="71"/>
  <c r="D4" i="71" s="1"/>
  <c r="E6" i="71"/>
  <c r="L6" i="71" s="1"/>
  <c r="G7" i="71" l="1"/>
  <c r="F7" i="71"/>
  <c r="B7" i="71"/>
  <c r="C7" i="71" s="1"/>
  <c r="K7" i="71" s="1"/>
  <c r="H7" i="71"/>
  <c r="I8" i="71" a="1"/>
  <c r="I8" i="71" s="1"/>
  <c r="B8" i="71" s="1"/>
  <c r="C8" i="71" s="1"/>
  <c r="K8" i="71" s="1"/>
  <c r="M6" i="71"/>
  <c r="D6" i="71" s="1"/>
  <c r="N6" i="71"/>
  <c r="L5" i="71"/>
  <c r="M5" i="71"/>
  <c r="D5" i="71" s="1"/>
  <c r="N5" i="71"/>
  <c r="I9" i="71" l="1" a="1"/>
  <c r="I9" i="71" s="1"/>
  <c r="J9" i="71" s="1"/>
  <c r="F8" i="71"/>
  <c r="G8" i="71"/>
  <c r="H8" i="71"/>
  <c r="E8" i="71" s="1"/>
  <c r="M8" i="71" s="1"/>
  <c r="D8" i="71" s="1"/>
  <c r="J8" i="71"/>
  <c r="E7" i="71"/>
  <c r="L7" i="71" s="1"/>
  <c r="N7" i="71"/>
  <c r="M7" i="71"/>
  <c r="D7" i="71" s="1"/>
  <c r="L8" i="71"/>
  <c r="B9" i="71" l="1"/>
  <c r="C9" i="71" s="1"/>
  <c r="K9" i="71" s="1"/>
  <c r="F9" i="71"/>
  <c r="I10" i="71" a="1"/>
  <c r="I10" i="71" s="1"/>
  <c r="H10" i="71" s="1"/>
  <c r="N8" i="71"/>
  <c r="H9" i="71"/>
  <c r="G9" i="71"/>
  <c r="E9" i="71"/>
  <c r="N9" i="71" s="1"/>
  <c r="I11" i="71" l="1" a="1"/>
  <c r="I11" i="71" s="1"/>
  <c r="G11" i="71" s="1"/>
  <c r="J10" i="71"/>
  <c r="B10" i="71"/>
  <c r="C10" i="71" s="1"/>
  <c r="E10" i="71" s="1"/>
  <c r="M10" i="71" s="1"/>
  <c r="D10" i="71" s="1"/>
  <c r="F10" i="71"/>
  <c r="G10" i="71"/>
  <c r="N10" i="71" s="1"/>
  <c r="L9" i="71"/>
  <c r="K10" i="71"/>
  <c r="M9" i="71"/>
  <c r="D9" i="71" s="1"/>
  <c r="L10" i="71"/>
  <c r="I12" i="71" l="1" a="1"/>
  <c r="I12" i="71" s="1"/>
  <c r="B12" i="71" s="1"/>
  <c r="C12" i="71" s="1"/>
  <c r="F11" i="71"/>
  <c r="B11" i="71"/>
  <c r="C11" i="71" s="1"/>
  <c r="K11" i="71" s="1"/>
  <c r="J11" i="71"/>
  <c r="H11" i="71"/>
  <c r="K12" i="71" l="1"/>
  <c r="F12" i="71"/>
  <c r="G12" i="71"/>
  <c r="J12" i="71"/>
  <c r="I13" i="71" a="1"/>
  <c r="I13" i="71" s="1"/>
  <c r="G13" i="71" s="1"/>
  <c r="H12" i="71"/>
  <c r="E12" i="71" s="1"/>
  <c r="L12" i="71" s="1"/>
  <c r="E11" i="71"/>
  <c r="M11" i="71" s="1"/>
  <c r="D11" i="71" s="1"/>
  <c r="N11" i="71"/>
  <c r="M12" i="71" l="1"/>
  <c r="D12" i="71" s="1"/>
  <c r="H13" i="71"/>
  <c r="I14" i="71" a="1"/>
  <c r="I14" i="71" s="1"/>
  <c r="H14" i="71" s="1"/>
  <c r="N12" i="71"/>
  <c r="B13" i="71"/>
  <c r="C13" i="71" s="1"/>
  <c r="K13" i="71" s="1"/>
  <c r="L11" i="71"/>
  <c r="F13" i="71"/>
  <c r="J13" i="71"/>
  <c r="J14" i="71" l="1"/>
  <c r="F14" i="71"/>
  <c r="I15" i="71" a="1"/>
  <c r="I15" i="71" s="1"/>
  <c r="B15" i="71" s="1"/>
  <c r="C15" i="71" s="1"/>
  <c r="B14" i="71"/>
  <c r="C14" i="71" s="1"/>
  <c r="E14" i="71" s="1"/>
  <c r="M14" i="71" s="1"/>
  <c r="D14" i="71" s="1"/>
  <c r="E13" i="71"/>
  <c r="N13" i="71" s="1"/>
  <c r="G14" i="71"/>
  <c r="N14" i="71"/>
  <c r="L14" i="71" l="1"/>
  <c r="H15" i="71"/>
  <c r="E15" i="71" s="1"/>
  <c r="N15" i="71" s="1"/>
  <c r="K15" i="71"/>
  <c r="G15" i="71"/>
  <c r="F15" i="71"/>
  <c r="L13" i="71"/>
  <c r="J15" i="71"/>
  <c r="M13" i="71"/>
  <c r="D13" i="71" s="1"/>
  <c r="I16" i="71" a="1"/>
  <c r="I16" i="71" s="1"/>
  <c r="I17" i="71" s="1" a="1"/>
  <c r="I17" i="71" s="1"/>
  <c r="B17" i="71" s="1"/>
  <c r="C17" i="71" s="1"/>
  <c r="K14" i="71"/>
  <c r="F17" i="71" l="1"/>
  <c r="B16" i="71"/>
  <c r="C16" i="71" s="1"/>
  <c r="K16" i="71" s="1"/>
  <c r="J17" i="71"/>
  <c r="H16" i="71"/>
  <c r="I18" i="71" a="1"/>
  <c r="I18" i="71" s="1"/>
  <c r="B18" i="71" s="1"/>
  <c r="C18" i="71" s="1"/>
  <c r="K18" i="71" s="1"/>
  <c r="L15" i="71"/>
  <c r="F16" i="71"/>
  <c r="G17" i="71"/>
  <c r="M15" i="71"/>
  <c r="D15" i="71" s="1"/>
  <c r="H17" i="71"/>
  <c r="E17" i="71" s="1"/>
  <c r="M17" i="71" s="1"/>
  <c r="D17" i="71" s="1"/>
  <c r="J16" i="71"/>
  <c r="G16" i="71"/>
  <c r="K17" i="71"/>
  <c r="G18" i="71" l="1"/>
  <c r="J18" i="71"/>
  <c r="H18" i="71"/>
  <c r="I19" i="71" a="1"/>
  <c r="I19" i="71" s="1"/>
  <c r="B19" i="71" s="1"/>
  <c r="C19" i="71" s="1"/>
  <c r="F18" i="71"/>
  <c r="E16" i="71"/>
  <c r="N16" i="71" s="1"/>
  <c r="L17" i="71"/>
  <c r="N17" i="71"/>
  <c r="E18" i="71"/>
  <c r="G19" i="71" l="1"/>
  <c r="H19" i="71"/>
  <c r="J19" i="71"/>
  <c r="I20" i="71" a="1"/>
  <c r="I20" i="71" s="1"/>
  <c r="F20" i="71" s="1"/>
  <c r="F19" i="71"/>
  <c r="M16" i="71"/>
  <c r="D16" i="71" s="1"/>
  <c r="L16" i="71"/>
  <c r="E19" i="71"/>
  <c r="N19" i="71" s="1"/>
  <c r="K19" i="71"/>
  <c r="L18" i="71"/>
  <c r="N18" i="71"/>
  <c r="M18" i="71"/>
  <c r="D18" i="71" s="1"/>
  <c r="I21" i="71" l="1" a="1"/>
  <c r="I21" i="71" s="1"/>
  <c r="I22" i="71" s="1" a="1"/>
  <c r="I22" i="71" s="1"/>
  <c r="H20" i="71"/>
  <c r="J20" i="71"/>
  <c r="G20" i="71"/>
  <c r="B20" i="71"/>
  <c r="C20" i="71" s="1"/>
  <c r="E20" i="71" s="1"/>
  <c r="M20" i="71" s="1"/>
  <c r="D20" i="71" s="1"/>
  <c r="M19" i="71"/>
  <c r="D19" i="71" s="1"/>
  <c r="L19" i="71"/>
  <c r="G21" i="71" l="1"/>
  <c r="B21" i="71"/>
  <c r="C21" i="71" s="1"/>
  <c r="K21" i="71" s="1"/>
  <c r="F21" i="71"/>
  <c r="J21" i="71"/>
  <c r="H21" i="71"/>
  <c r="E21" i="71" s="1"/>
  <c r="K20" i="71"/>
  <c r="N20" i="71"/>
  <c r="L20" i="71"/>
  <c r="F22" i="71"/>
  <c r="B22" i="71"/>
  <c r="C22" i="71" s="1"/>
  <c r="H22" i="71"/>
  <c r="G22" i="71"/>
  <c r="J22" i="71"/>
  <c r="I23" i="71" a="1"/>
  <c r="I23" i="71" s="1"/>
  <c r="E22" i="71" l="1"/>
  <c r="N22" i="71" s="1"/>
  <c r="H23" i="71"/>
  <c r="B23" i="71"/>
  <c r="C23" i="71" s="1"/>
  <c r="J23" i="71"/>
  <c r="G23" i="71"/>
  <c r="F23" i="71"/>
  <c r="I24" i="71" a="1"/>
  <c r="I24" i="71" s="1"/>
  <c r="N21" i="71"/>
  <c r="M21" i="71"/>
  <c r="D21" i="71" s="1"/>
  <c r="L21" i="71"/>
  <c r="K22" i="71"/>
  <c r="E23" i="71" l="1"/>
  <c r="M23" i="71" s="1"/>
  <c r="D23" i="71" s="1"/>
  <c r="M22" i="71"/>
  <c r="D22" i="71" s="1"/>
  <c r="L22" i="71"/>
  <c r="F24" i="71"/>
  <c r="B24" i="71"/>
  <c r="C24" i="71" s="1"/>
  <c r="K24" i="71" s="1"/>
  <c r="J24" i="71"/>
  <c r="H24" i="71"/>
  <c r="G24" i="71"/>
  <c r="I25" i="71" a="1"/>
  <c r="I25" i="71" s="1"/>
  <c r="K23" i="71"/>
  <c r="N23" i="71" l="1"/>
  <c r="L23" i="71"/>
  <c r="J25" i="71"/>
  <c r="F25" i="71"/>
  <c r="H25" i="71"/>
  <c r="G25" i="71"/>
  <c r="B25" i="71"/>
  <c r="C25" i="71" s="1"/>
  <c r="I26" i="71" a="1"/>
  <c r="I26" i="71" s="1"/>
  <c r="E24" i="71"/>
  <c r="E25" i="71" l="1"/>
  <c r="N25" i="71" s="1"/>
  <c r="K25" i="71"/>
  <c r="B26" i="71"/>
  <c r="C26" i="71" s="1"/>
  <c r="F26" i="71"/>
  <c r="J26" i="71"/>
  <c r="H26" i="71"/>
  <c r="G26" i="71"/>
  <c r="I27" i="71" a="1"/>
  <c r="I27" i="71" s="1"/>
  <c r="L24" i="71"/>
  <c r="M24" i="71"/>
  <c r="D24" i="71" s="1"/>
  <c r="N24" i="71"/>
  <c r="L25" i="71" l="1"/>
  <c r="M25" i="71"/>
  <c r="D25" i="71" s="1"/>
  <c r="E26" i="71"/>
  <c r="N26" i="71" s="1"/>
  <c r="K26" i="71"/>
  <c r="B27" i="71"/>
  <c r="C27" i="71" s="1"/>
  <c r="H27" i="71"/>
  <c r="F27" i="71"/>
  <c r="J27" i="71"/>
  <c r="G27" i="71"/>
  <c r="I28" i="71" a="1"/>
  <c r="I28" i="71" s="1"/>
  <c r="E27" i="71" l="1"/>
  <c r="N27" i="71" s="1"/>
  <c r="M26" i="71"/>
  <c r="D26" i="71" s="1"/>
  <c r="L26" i="71"/>
  <c r="G28" i="71"/>
  <c r="H28" i="71"/>
  <c r="F28" i="71"/>
  <c r="B28" i="71"/>
  <c r="C28" i="71" s="1"/>
  <c r="J28" i="71"/>
  <c r="I29" i="71" a="1"/>
  <c r="I29" i="71" s="1"/>
  <c r="K27" i="71"/>
  <c r="E28" i="71" l="1"/>
  <c r="N28" i="71" s="1"/>
  <c r="L27" i="71"/>
  <c r="M27" i="71"/>
  <c r="D27" i="71" s="1"/>
  <c r="K28" i="71"/>
  <c r="B29" i="71"/>
  <c r="C29" i="71" s="1"/>
  <c r="K29" i="71" s="1"/>
  <c r="J29" i="71"/>
  <c r="G29" i="71"/>
  <c r="H29" i="71"/>
  <c r="F29" i="71"/>
  <c r="I30" i="71" a="1"/>
  <c r="I30" i="71" s="1"/>
  <c r="M28" i="71" l="1"/>
  <c r="D28" i="71" s="1"/>
  <c r="L28" i="71"/>
  <c r="E29" i="71"/>
  <c r="H30" i="71"/>
  <c r="F30" i="71"/>
  <c r="B30" i="71"/>
  <c r="C30" i="71" s="1"/>
  <c r="J30" i="71"/>
  <c r="G30" i="71"/>
  <c r="I31" i="71" a="1"/>
  <c r="I31" i="71" s="1"/>
  <c r="E30" i="71" l="1"/>
  <c r="M30" i="71" s="1"/>
  <c r="D30" i="71" s="1"/>
  <c r="G31" i="71"/>
  <c r="J31" i="71"/>
  <c r="B31" i="71"/>
  <c r="C31" i="71" s="1"/>
  <c r="H31" i="71"/>
  <c r="F31" i="71"/>
  <c r="I32" i="71" a="1"/>
  <c r="I32" i="71" s="1"/>
  <c r="M29" i="71"/>
  <c r="D29" i="71" s="1"/>
  <c r="N29" i="71"/>
  <c r="L29" i="71"/>
  <c r="K30" i="71"/>
  <c r="L30" i="71" l="1"/>
  <c r="N30" i="71"/>
  <c r="F32" i="71"/>
  <c r="J32" i="71"/>
  <c r="B32" i="71"/>
  <c r="C32" i="71" s="1"/>
  <c r="H32" i="71"/>
  <c r="H1" i="71" s="1"/>
  <c r="G32" i="71"/>
  <c r="I1" i="71"/>
  <c r="E31" i="71"/>
  <c r="K31" i="71"/>
  <c r="L31" i="71" l="1"/>
  <c r="M31" i="71"/>
  <c r="D31" i="71" s="1"/>
  <c r="N31" i="71"/>
  <c r="E32" i="71"/>
  <c r="K32" i="71"/>
  <c r="L32" i="71" l="1"/>
  <c r="M32" i="71"/>
  <c r="D32" i="71" s="1"/>
  <c r="N32" i="7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<sst xmlns="http://schemas.openxmlformats.org/spreadsheetml/2006/main" count="826" uniqueCount="169">
  <si>
    <t>Bounty Builder</t>
  </si>
  <si>
    <t>Start</t>
  </si>
  <si>
    <t>Buy-in</t>
  </si>
  <si>
    <t>Name</t>
  </si>
  <si>
    <t>PS</t>
  </si>
  <si>
    <t>Date</t>
  </si>
  <si>
    <t>Bounty</t>
  </si>
  <si>
    <t>Win</t>
  </si>
  <si>
    <t>Profit</t>
  </si>
  <si>
    <t>ES</t>
  </si>
  <si>
    <t>WN</t>
  </si>
  <si>
    <t>PP</t>
  </si>
  <si>
    <t>PAC</t>
  </si>
  <si>
    <t>PK</t>
  </si>
  <si>
    <t>GTD</t>
  </si>
  <si>
    <t>GG</t>
  </si>
  <si>
    <t>B</t>
  </si>
  <si>
    <t>G</t>
  </si>
  <si>
    <t>№</t>
  </si>
  <si>
    <t>KO</t>
  </si>
  <si>
    <t>ABI</t>
  </si>
  <si>
    <t>ROI</t>
  </si>
  <si>
    <t>ITM</t>
  </si>
  <si>
    <t>WIN</t>
  </si>
  <si>
    <t>M</t>
  </si>
  <si>
    <t>DN</t>
  </si>
  <si>
    <t>NN</t>
  </si>
  <si>
    <t>PROF</t>
  </si>
  <si>
    <t>Games</t>
  </si>
  <si>
    <t>X</t>
  </si>
  <si>
    <t>PokerStars.es</t>
  </si>
  <si>
    <t>PokerStars</t>
  </si>
  <si>
    <t>888Poker</t>
  </si>
  <si>
    <t>PokerKing</t>
  </si>
  <si>
    <t>Winamax</t>
  </si>
  <si>
    <t>PartyPoker</t>
  </si>
  <si>
    <t>GGPoker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</si>
  <si>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</si>
  <si>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</si>
  <si>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</si>
  <si>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</si>
  <si>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</si>
  <si>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</si>
  <si>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</si>
  <si>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</si>
  <si>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</si>
  <si>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</si>
  <si>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</si>
  <si>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</si>
  <si>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</si>
  <si>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</si>
  <si>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</si>
  <si>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</si>
  <si>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</si>
  <si>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</si>
  <si>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</si>
  <si>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#</t>
  </si>
  <si>
    <t>Room</t>
  </si>
  <si>
    <t>Grafik</t>
  </si>
  <si>
    <t>B$</t>
  </si>
  <si>
    <t>KO$</t>
  </si>
  <si>
    <t>WIN$</t>
  </si>
  <si>
    <t>AFS</t>
  </si>
  <si>
    <t>K</t>
  </si>
  <si>
    <t>T</t>
  </si>
  <si>
    <t>Turbo</t>
  </si>
  <si>
    <t>%Turbo</t>
  </si>
  <si>
    <t>R</t>
  </si>
  <si>
    <t>%PKO</t>
  </si>
  <si>
    <t>F</t>
  </si>
  <si>
    <t>Max</t>
  </si>
  <si>
    <t>-</t>
  </si>
  <si>
    <t>PKO</t>
  </si>
  <si>
    <t>A</t>
  </si>
  <si>
    <t>Y</t>
  </si>
  <si>
    <t>Среднее по полю Start</t>
  </si>
  <si>
    <t>1</t>
  </si>
  <si>
    <t>2</t>
  </si>
  <si>
    <t>Среднее по полю B</t>
  </si>
  <si>
    <t>Среднее по полю Date</t>
  </si>
  <si>
    <t>Regular</t>
  </si>
  <si>
    <t>6 max</t>
  </si>
  <si>
    <t>9 max</t>
  </si>
  <si>
    <t>8 max</t>
  </si>
  <si>
    <t>3</t>
  </si>
  <si>
    <t>4</t>
  </si>
  <si>
    <t>7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</si>
  <si>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</si>
  <si>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</si>
  <si>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</si>
  <si>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</si>
  <si>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</si>
  <si>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</si>
  <si>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</si>
  <si>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</si>
  <si>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</si>
  <si>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</si>
  <si>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</si>
  <si>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Bounty Hunters</t>
  </si>
  <si>
    <t>Monster Stack</t>
  </si>
  <si>
    <t>Guaranteed</t>
  </si>
  <si>
    <t>Progressive KO</t>
  </si>
  <si>
    <t>Bounty Hunter</t>
  </si>
  <si>
    <t>Big</t>
  </si>
  <si>
    <t>$/G</t>
  </si>
  <si>
    <t>Столбец1</t>
  </si>
  <si>
    <t>22</t>
  </si>
  <si>
    <t>Player Cap</t>
  </si>
  <si>
    <t>11:30 $2,1 [GG] Bounty Hunters</t>
  </si>
  <si>
    <t>12:00 $1,1 [PS] Big</t>
  </si>
  <si>
    <t>12:30 $2,2 [PP] Bounty Hunter</t>
  </si>
  <si>
    <t>12:30 $1 [PAC] Guaranteed</t>
  </si>
  <si>
    <t>13:00 $2 [GG] Big</t>
  </si>
  <si>
    <t>14:00 $2,2 [PAC] Guaranteed</t>
  </si>
  <si>
    <t>14:20 $1,1 [PS] Progressive KO</t>
  </si>
  <si>
    <t>15:00 $1,1 [PS] GTD</t>
  </si>
  <si>
    <t>16:15 $1,1 [PS] GTD</t>
  </si>
  <si>
    <t>16:30 $2,2 [PAC] Guaranteed</t>
  </si>
  <si>
    <t>$1 [PAC] Guaranteed</t>
  </si>
  <si>
    <t>€1 [WN] Monster Stack</t>
  </si>
  <si>
    <t>$1,1 [PS] Big</t>
  </si>
  <si>
    <t>$1,1 [PS] GTD</t>
  </si>
  <si>
    <t>$1,1 [PS] Progressive KO</t>
  </si>
  <si>
    <t>$2 [GG] Big</t>
  </si>
  <si>
    <t>€2 [WN] Monster Stack</t>
  </si>
  <si>
    <t>$2,1 [GG] Bounty Hunters</t>
  </si>
  <si>
    <t>$2,2 [PAC] Guaranteed</t>
  </si>
  <si>
    <t>$2,2 [PP] Bounty Hunter</t>
  </si>
  <si>
    <t>24</t>
  </si>
  <si>
    <t>25</t>
  </si>
  <si>
    <t>26</t>
  </si>
  <si>
    <t>27</t>
  </si>
  <si>
    <t>5</t>
  </si>
  <si>
    <t>6</t>
  </si>
  <si>
    <t>8</t>
  </si>
  <si>
    <t>9</t>
  </si>
  <si>
    <t>PROFIT</t>
  </si>
  <si>
    <t>21</t>
  </si>
  <si>
    <t>23</t>
  </si>
  <si>
    <t>28</t>
  </si>
  <si>
    <t>Stop</t>
  </si>
  <si>
    <t>Hide</t>
  </si>
  <si>
    <t>ALL</t>
  </si>
  <si>
    <t xml:space="preserve">            Name                                                              Duration/Finish</t>
  </si>
  <si>
    <t>✓</t>
  </si>
  <si>
    <t>Deepstack</t>
  </si>
  <si>
    <t>The Jab</t>
  </si>
  <si>
    <t>The Goldfish</t>
  </si>
  <si>
    <t>Guaranteed PKO</t>
  </si>
  <si>
    <t>WESTERN</t>
  </si>
  <si>
    <t>6-Max Think Fast</t>
  </si>
  <si>
    <t>11:00 $1,1 [PP] Bounty Hunter</t>
  </si>
  <si>
    <t>11:00 €1 [WN] Monster Stack</t>
  </si>
  <si>
    <t>11:15 $2,2 [PP] Deepstack</t>
  </si>
  <si>
    <t>12:00 €2 [WN] Monster Stack</t>
  </si>
  <si>
    <t>12:00 $1,1 [PP] Deepstack</t>
  </si>
  <si>
    <t>12:30 $1,05 [GG] Bounty Hunters</t>
  </si>
  <si>
    <t>13:00 $1,1 [PP] Bounty Hunter</t>
  </si>
  <si>
    <t>14:30 $1,05 [GG] Bounty Hunters</t>
  </si>
  <si>
    <t>15:00 $1,1 [PP] Bounty Hunter</t>
  </si>
  <si>
    <t>15:00 €1 [WN] Monster Stack</t>
  </si>
  <si>
    <t>16:00 $1 [PAC] 6-Max Think Fast</t>
  </si>
  <si>
    <t>16:15 $1,1 [PAC] Guaranteed PKO</t>
  </si>
  <si>
    <t>$1 [PAC] 6-Max Think Fast</t>
  </si>
  <si>
    <t>$1,05 [GG] Bounty Hunters</t>
  </si>
  <si>
    <t>$1,1 [PP] Bounty Hunter</t>
  </si>
  <si>
    <t>$1,1 [PAC] Guaranteed PKO</t>
  </si>
  <si>
    <t>$1,1 [PP] Deepstack</t>
  </si>
  <si>
    <t>$2,2 [PP] Deepstack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</si>
</sst>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dd/mm/yy;@"/>
    <numFmt numFmtId="165" formatCode="h:mm;@"/>
    <numFmt numFmtId="166" formatCode="0.0"/>
    <numFmt numFmtId="167" formatCode="h:mm:ss;@"/>
    <numFmt numFmtId="168" formatCode="[$-F400]h:mm:ss\ AM/PM"/>
    <numFmt numFmtId="169" formatCode="0_ ;[Red]\-0\ "/>
  </numFmts>
  <fonts count="34" x14ac:knownFonts="1">
    <font>
      <sz val="11"/>
      <color theme="1"/>
      <name val="Calibri"/>
      <family val="2"/>
      <scheme val="minor"/>
    </font>
    <font>
      <b/>
      <sz val="9"/>
      <color theme="0"/>
      <name val="Calibri"/>
      <family val="2"/>
      <charset val="204"/>
      <scheme val="minor"/>
    </font>
    <font>
      <b/>
      <sz val="10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b/>
      <sz val="11"/>
      <color theme="0" tint="-0.14999847407452621"/>
      <name val="Calibri"/>
      <family val="2"/>
      <scheme val="minor"/>
    </font>
    <font>
      <b/>
      <sz val="10"/>
      <color theme="0" tint="-0.14999847407452621"/>
      <name val="Calibri"/>
      <family val="2"/>
      <scheme val="minor"/>
    </font>
    <font>
      <b/>
      <sz val="9"/>
      <color theme="0" tint="-0.1499984740745262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b/>
      <sz val="11"/>
      <color theme="0" tint="-4.9989318521683403E-2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theme="0" tint="-0.14996795556505021"/>
      <name val="Calibri"/>
      <family val="2"/>
      <scheme val="minor"/>
    </font>
    <font>
      <sz val="12"/>
      <color theme="0" tint="-0.14996795556505021"/>
      <name val="Calibri"/>
      <family val="2"/>
      <scheme val="minor"/>
    </font>
    <font>
      <sz val="16"/>
      <color theme="0" tint="-0.14996795556505021"/>
      <name val="Calibri"/>
      <family val="2"/>
      <scheme val="minor"/>
    </font>
    <font>
      <b/>
      <i/>
      <sz val="14"/>
      <color theme="0" tint="-0.14996795556505021"/>
      <name val="Calibri"/>
      <family val="2"/>
      <scheme val="minor"/>
    </font>
    <font>
      <b/>
      <sz val="12"/>
      <color theme="0" tint="-4.9989318521683403E-2"/>
      <name val="Calibri"/>
      <family val="2"/>
      <charset val="204"/>
      <scheme val="minor"/>
    </font>
    <font>
      <sz val="12"/>
      <color theme="1" tint="0.14999847407452621"/>
      <name val="Calibri"/>
      <family val="2"/>
      <scheme val="minor"/>
    </font>
    <font>
      <sz val="11"/>
      <color rgb="FFD9D9D9"/>
      <name val="Calibri"/>
      <family val="2"/>
    </font>
    <font>
      <sz val="12"/>
      <color theme="0" tint="-0.499984740745262"/>
      <name val="Calibri"/>
      <family val="2"/>
      <scheme val="minor"/>
    </font>
    <font>
      <sz val="12"/>
      <color rgb="FF00B050"/>
      <name val="Calibri"/>
      <family val="2"/>
      <scheme val="minor"/>
    </font>
    <font>
      <sz val="11"/>
      <color theme="0" tint="-0.499984740745262"/>
      <name val="Calibri"/>
      <family val="2"/>
    </font>
    <font>
      <sz val="14"/>
      <color theme="0" tint="-0.1499679555650502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0" tint="-0.1499984740745262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0" tint="-4.9989318521683403E-2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2"/>
      <color theme="0" tint="-0.1499984740745262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1" tint="0.14999847407452621"/>
        <bgColor theme="0" tint="-0.14999847407452621"/>
      </patternFill>
    </fill>
    <fill>
      <patternFill patternType="solid">
        <fgColor theme="1" tint="0.14999847407452621"/>
        <bgColor rgb="FF000000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0" tint="-0.14996795556505021"/>
      </top>
      <bottom/>
      <diagonal/>
    </border>
    <border>
      <left style="thick">
        <color theme="1" tint="0.14993743705557422"/>
      </left>
      <right/>
      <top style="thick">
        <color theme="1" tint="0.14993743705557422"/>
      </top>
      <bottom style="thick">
        <color theme="1" tint="0.14993743705557422"/>
      </bottom>
      <diagonal/>
    </border>
    <border>
      <left/>
      <right style="thick">
        <color theme="1" tint="0.14993743705557422"/>
      </right>
      <top style="thick">
        <color theme="1" tint="0.14993743705557422"/>
      </top>
      <bottom style="thick">
        <color theme="1" tint="0.14993743705557422"/>
      </bottom>
      <diagonal/>
    </border>
    <border>
      <left style="thick">
        <color theme="1" tint="0.14996795556505021"/>
      </left>
      <right/>
      <top style="thick">
        <color theme="1" tint="0.14993743705557422"/>
      </top>
      <bottom/>
      <diagonal/>
    </border>
    <border>
      <left/>
      <right/>
      <top style="thick">
        <color theme="1" tint="0.14993743705557422"/>
      </top>
      <bottom/>
      <diagonal/>
    </border>
    <border>
      <left/>
      <right style="thick">
        <color theme="1" tint="0.14996795556505021"/>
      </right>
      <top style="thick">
        <color theme="1" tint="0.14993743705557422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1" tint="0.14996795556505021"/>
      </left>
      <right style="thin">
        <color theme="1" tint="0.14996795556505021"/>
      </right>
      <top style="thin">
        <color theme="2" tint="-9.9948118533890809E-2"/>
      </top>
      <bottom/>
      <diagonal/>
    </border>
    <border>
      <left style="thin">
        <color theme="1" tint="0.14996795556505021"/>
      </left>
      <right/>
      <top style="thin">
        <color theme="2" tint="-9.9948118533890809E-2"/>
      </top>
      <bottom/>
      <diagonal/>
    </border>
    <border>
      <left/>
      <right/>
      <top style="dashed">
        <color theme="0" tint="-4.9989318521683403E-2"/>
      </top>
      <bottom/>
      <diagonal/>
    </border>
    <border>
      <left/>
      <right style="thin">
        <color theme="1" tint="0.14996795556505021"/>
      </right>
      <top style="thin">
        <color theme="2" tint="-9.9948118533890809E-2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D0CECE"/>
      </bottom>
      <diagonal/>
    </border>
    <border>
      <left style="thin">
        <color theme="1" tint="0.14996795556505021"/>
      </left>
      <right style="thin">
        <color theme="1" tint="0.14996795556505021"/>
      </right>
      <top/>
      <bottom/>
      <diagonal/>
    </border>
    <border>
      <left/>
      <right/>
      <top style="thick">
        <color theme="1" tint="0.14993743705557422"/>
      </top>
      <bottom style="thick">
        <color theme="1" tint="0.14993743705557422"/>
      </bottom>
      <diagonal/>
    </border>
    <border>
      <left style="thick">
        <color theme="1" tint="0.14996795556505021"/>
      </left>
      <right/>
      <top style="thick">
        <color theme="1" tint="0.14996795556505021"/>
      </top>
      <bottom style="thick">
        <color theme="1" tint="0.14996795556505021"/>
      </bottom>
      <diagonal/>
    </border>
    <border>
      <left/>
      <right/>
      <top style="thick">
        <color theme="1" tint="0.14996795556505021"/>
      </top>
      <bottom style="thick">
        <color theme="1" tint="0.14996795556505021"/>
      </bottom>
      <diagonal/>
    </border>
    <border>
      <left/>
      <right style="thick">
        <color theme="1" tint="0.14996795556505021"/>
      </right>
      <top style="thick">
        <color theme="1" tint="0.14996795556505021"/>
      </top>
      <bottom style="thick">
        <color theme="1" tint="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theme="1" tint="0.14996795556505021"/>
      </left>
      <right/>
      <top/>
      <bottom/>
      <diagonal/>
    </border>
    <border>
      <left/>
      <right style="thin">
        <color theme="1" tint="0.14996795556505021"/>
      </right>
      <top/>
      <bottom/>
      <diagonal/>
    </border>
  </borders>
  <cellStyleXfs count="1">
    <xf numFmtId="0" fontId="0" fillId="0" borderId="0"/>
  </cellStyleXfs>
  <cellXfs count="260">
    <xf numFmtId="0" fontId="0" fillId="0" borderId="0" xfId="0"/>
    <xf numFmtId="0" fontId="7" fillId="2" borderId="0" xfId="0" applyFont="1" applyFill="1" applyAlignment="1">
      <alignment horizontal="center" vertical="center"/>
    </xf>
    <xf numFmtId="166" fontId="6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vertical="center"/>
    </xf>
    <xf numFmtId="165" fontId="0" fillId="3" borderId="1" xfId="0" applyNumberFormat="1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left" vertical="center"/>
    </xf>
    <xf numFmtId="0" fontId="0" fillId="3" borderId="10" xfId="0" applyFont="1" applyFill="1" applyBorder="1" applyAlignment="1">
      <alignment horizontal="left" vertical="center"/>
    </xf>
    <xf numFmtId="0" fontId="0" fillId="3" borderId="2" xfId="0" applyFont="1" applyFill="1" applyBorder="1" applyAlignment="1">
      <alignment horizontal="center" vertical="center"/>
    </xf>
    <xf numFmtId="2" fontId="0" fillId="3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5" fontId="0" fillId="2" borderId="1" xfId="0" applyNumberFormat="1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left" vertical="center"/>
    </xf>
    <xf numFmtId="0" fontId="0" fillId="2" borderId="0" xfId="0" applyFill="1"/>
    <xf numFmtId="0" fontId="6" fillId="2" borderId="1" xfId="0" applyNumberFormat="1" applyFont="1" applyFill="1" applyBorder="1" applyAlignment="1">
      <alignment horizontal="right" vertical="center"/>
    </xf>
    <xf numFmtId="0" fontId="6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horizontal="center"/>
    </xf>
    <xf numFmtId="0" fontId="0" fillId="2" borderId="13" xfId="0" applyFill="1" applyBorder="1"/>
    <xf numFmtId="166" fontId="7" fillId="2" borderId="1" xfId="0" applyNumberFormat="1" applyFont="1" applyFill="1" applyBorder="1" applyAlignment="1">
      <alignment horizontal="center" vertical="center"/>
    </xf>
    <xf numFmtId="2" fontId="6" fillId="2" borderId="0" xfId="0" applyNumberFormat="1" applyFont="1" applyFill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/>
    </xf>
    <xf numFmtId="166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0" xfId="0" applyNumberFormat="1" applyFont="1" applyFill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2" fontId="6" fillId="5" borderId="11" xfId="0" applyNumberFormat="1" applyFont="1" applyFill="1" applyBorder="1" applyAlignment="1">
      <alignment horizontal="center" vertical="center"/>
    </xf>
    <xf numFmtId="1" fontId="6" fillId="5" borderId="11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164" fontId="6" fillId="0" borderId="7" xfId="0" applyNumberFormat="1" applyFont="1" applyFill="1" applyBorder="1" applyAlignment="1">
      <alignment horizontal="center" vertical="center"/>
    </xf>
    <xf numFmtId="20" fontId="6" fillId="0" borderId="7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2" fontId="6" fillId="0" borderId="7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2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165" fontId="6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NumberFormat="1"/>
    <xf numFmtId="14" fontId="0" fillId="0" borderId="0" xfId="0" applyNumberFormat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166" fontId="0" fillId="0" borderId="7" xfId="0" applyNumberFormat="1" applyFill="1" applyBorder="1" applyAlignment="1">
      <alignment horizontal="center" vertical="center"/>
    </xf>
    <xf numFmtId="1" fontId="0" fillId="0" borderId="7" xfId="0" applyNumberForma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0" fillId="6" borderId="0" xfId="0" applyFill="1"/>
    <xf numFmtId="0" fontId="2" fillId="6" borderId="4" xfId="0" applyFont="1" applyFill="1" applyBorder="1" applyAlignment="1">
      <alignment horizontal="center" vertical="center"/>
    </xf>
    <xf numFmtId="166" fontId="2" fillId="6" borderId="5" xfId="0" applyNumberFormat="1" applyFont="1" applyFill="1" applyBorder="1" applyAlignment="1">
      <alignment horizontal="center" vertical="center"/>
    </xf>
    <xf numFmtId="1" fontId="2" fillId="6" borderId="5" xfId="0" applyNumberFormat="1" applyFont="1" applyFill="1" applyBorder="1" applyAlignment="1">
      <alignment horizontal="center" vertical="center"/>
    </xf>
    <xf numFmtId="1" fontId="1" fillId="6" borderId="5" xfId="0" applyNumberFormat="1" applyFont="1" applyFill="1" applyBorder="1" applyAlignment="1">
      <alignment horizontal="center" vertical="center"/>
    </xf>
    <xf numFmtId="166" fontId="2" fillId="6" borderId="9" xfId="0" applyNumberFormat="1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9" fillId="6" borderId="5" xfId="0" applyNumberFormat="1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164" fontId="9" fillId="6" borderId="5" xfId="0" applyNumberFormat="1" applyFont="1" applyFill="1" applyBorder="1" applyAlignment="1">
      <alignment horizontal="center" vertical="center"/>
    </xf>
    <xf numFmtId="165" fontId="9" fillId="6" borderId="5" xfId="0" applyNumberFormat="1" applyFont="1" applyFill="1" applyBorder="1" applyAlignment="1">
      <alignment horizontal="center" vertical="center"/>
    </xf>
    <xf numFmtId="2" fontId="9" fillId="6" borderId="5" xfId="0" applyNumberFormat="1" applyFont="1" applyFill="1" applyBorder="1" applyAlignment="1">
      <alignment horizontal="center" vertical="center"/>
    </xf>
    <xf numFmtId="2" fontId="9" fillId="6" borderId="9" xfId="0" applyNumberFormat="1" applyFont="1" applyFill="1" applyBorder="1" applyAlignment="1">
      <alignment horizontal="center" vertical="center"/>
    </xf>
    <xf numFmtId="0" fontId="9" fillId="6" borderId="9" xfId="0" applyFont="1" applyFill="1" applyBorder="1" applyAlignment="1">
      <alignment horizontal="center" vertical="center"/>
    </xf>
    <xf numFmtId="2" fontId="9" fillId="6" borderId="19" xfId="0" applyNumberFormat="1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2" fontId="13" fillId="7" borderId="1" xfId="0" applyNumberFormat="1" applyFont="1" applyFill="1" applyBorder="1" applyAlignment="1">
      <alignment horizontal="center" vertical="center"/>
    </xf>
    <xf numFmtId="1" fontId="13" fillId="7" borderId="1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66" fontId="0" fillId="0" borderId="1" xfId="0" applyNumberForma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2" fontId="0" fillId="0" borderId="3" xfId="0" applyNumberFormat="1" applyFill="1" applyBorder="1" applyAlignment="1">
      <alignment horizontal="center" vertical="center"/>
    </xf>
    <xf numFmtId="2" fontId="0" fillId="0" borderId="8" xfId="0" applyNumberForma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2" fontId="10" fillId="6" borderId="1" xfId="0" applyNumberFormat="1" applyFont="1" applyFill="1" applyBorder="1" applyAlignment="1">
      <alignment horizontal="center" vertical="center"/>
    </xf>
    <xf numFmtId="166" fontId="10" fillId="6" borderId="1" xfId="0" applyNumberFormat="1" applyFont="1" applyFill="1" applyBorder="1" applyAlignment="1">
      <alignment horizontal="center" vertical="center"/>
    </xf>
    <xf numFmtId="1" fontId="10" fillId="6" borderId="1" xfId="0" applyNumberFormat="1" applyFont="1" applyFill="1" applyBorder="1" applyAlignment="1">
      <alignment horizontal="center" vertical="center"/>
    </xf>
    <xf numFmtId="1" fontId="11" fillId="6" borderId="1" xfId="0" applyNumberFormat="1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2" fontId="6" fillId="7" borderId="1" xfId="0" applyNumberFormat="1" applyFont="1" applyFill="1" applyBorder="1" applyAlignment="1">
      <alignment horizontal="center" vertical="center"/>
    </xf>
    <xf numFmtId="166" fontId="6" fillId="7" borderId="1" xfId="0" applyNumberFormat="1" applyFont="1" applyFill="1" applyBorder="1" applyAlignment="1">
      <alignment horizontal="center" vertical="center"/>
    </xf>
    <xf numFmtId="1" fontId="6" fillId="7" borderId="1" xfId="0" applyNumberFormat="1" applyFont="1" applyFill="1" applyBorder="1" applyAlignment="1">
      <alignment horizontal="center" vertical="center"/>
    </xf>
    <xf numFmtId="165" fontId="6" fillId="0" borderId="7" xfId="0" applyNumberFormat="1" applyFont="1" applyFill="1" applyBorder="1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8" fillId="2" borderId="0" xfId="0" applyFont="1" applyFill="1"/>
    <xf numFmtId="0" fontId="0" fillId="0" borderId="1" xfId="0" applyFill="1" applyBorder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15" fillId="2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3" fontId="15" fillId="2" borderId="3" xfId="0" applyNumberFormat="1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15" fillId="2" borderId="25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26" xfId="0" applyFont="1" applyFill="1" applyBorder="1" applyAlignment="1">
      <alignment horizontal="center" vertical="center"/>
    </xf>
    <xf numFmtId="0" fontId="15" fillId="2" borderId="27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/>
    </xf>
    <xf numFmtId="0" fontId="14" fillId="2" borderId="13" xfId="0" applyFont="1" applyFill="1" applyBorder="1"/>
    <xf numFmtId="0" fontId="14" fillId="2" borderId="1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6" fillId="2" borderId="0" xfId="0" applyNumberFormat="1" applyFont="1" applyFill="1" applyAlignment="1">
      <alignment horizontal="left" vertical="center"/>
    </xf>
    <xf numFmtId="0" fontId="12" fillId="6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66" fontId="6" fillId="2" borderId="1" xfId="0" applyNumberFormat="1" applyFon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6" xfId="0" applyNumberFormat="1" applyFill="1" applyBorder="1" applyAlignment="1">
      <alignment horizontal="center" vertical="center"/>
    </xf>
    <xf numFmtId="0" fontId="20" fillId="7" borderId="1" xfId="0" applyFont="1" applyFill="1" applyBorder="1" applyAlignment="1">
      <alignment horizontal="center" vertical="center"/>
    </xf>
    <xf numFmtId="2" fontId="20" fillId="7" borderId="1" xfId="0" applyNumberFormat="1" applyFont="1" applyFill="1" applyBorder="1" applyAlignment="1">
      <alignment horizontal="center" vertical="center"/>
    </xf>
    <xf numFmtId="1" fontId="20" fillId="7" borderId="1" xfId="0" applyNumberFormat="1" applyFont="1" applyFill="1" applyBorder="1" applyAlignment="1">
      <alignment horizontal="center" vertical="center"/>
    </xf>
    <xf numFmtId="166" fontId="20" fillId="7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12" fillId="2" borderId="0" xfId="0" applyFont="1" applyFill="1" applyAlignment="1">
      <alignment horizontal="center"/>
    </xf>
    <xf numFmtId="0" fontId="21" fillId="2" borderId="0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0" fillId="0" borderId="4" xfId="0" applyNumberFormat="1" applyFill="1" applyBorder="1" applyAlignment="1">
      <alignment horizontal="center" vertical="center"/>
    </xf>
    <xf numFmtId="166" fontId="2" fillId="6" borderId="34" xfId="0" applyNumberFormat="1" applyFont="1" applyFill="1" applyBorder="1" applyAlignment="1">
      <alignment horizontal="center" vertical="center"/>
    </xf>
    <xf numFmtId="14" fontId="0" fillId="2" borderId="0" xfId="0" applyNumberFormat="1" applyFill="1"/>
    <xf numFmtId="0" fontId="14" fillId="2" borderId="1" xfId="0" applyNumberFormat="1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right" vertical="center"/>
    </xf>
    <xf numFmtId="0" fontId="14" fillId="2" borderId="0" xfId="0" applyFont="1" applyFill="1" applyBorder="1" applyAlignment="1">
      <alignment horizontal="right" vertical="center"/>
    </xf>
    <xf numFmtId="0" fontId="16" fillId="2" borderId="0" xfId="0" applyFont="1" applyFill="1"/>
    <xf numFmtId="167" fontId="16" fillId="2" borderId="0" xfId="0" applyNumberFormat="1" applyFont="1" applyFill="1" applyAlignment="1">
      <alignment vertical="center"/>
    </xf>
    <xf numFmtId="0" fontId="17" fillId="5" borderId="0" xfId="0" applyFont="1" applyFill="1" applyBorder="1" applyAlignment="1">
      <alignment horizontal="left" vertical="center"/>
    </xf>
    <xf numFmtId="0" fontId="17" fillId="5" borderId="0" xfId="0" applyNumberFormat="1" applyFont="1" applyFill="1" applyBorder="1" applyAlignment="1">
      <alignment horizontal="center" vertical="center"/>
    </xf>
    <xf numFmtId="165" fontId="17" fillId="5" borderId="0" xfId="0" applyNumberFormat="1" applyFont="1" applyFill="1" applyBorder="1" applyAlignment="1">
      <alignment horizontal="center" vertical="center"/>
    </xf>
    <xf numFmtId="0" fontId="17" fillId="5" borderId="0" xfId="0" applyFont="1" applyFill="1" applyAlignment="1">
      <alignment vertical="center"/>
    </xf>
    <xf numFmtId="0" fontId="17" fillId="5" borderId="0" xfId="0" applyFont="1" applyFill="1" applyAlignment="1">
      <alignment horizontal="center" vertical="center"/>
    </xf>
    <xf numFmtId="2" fontId="17" fillId="5" borderId="0" xfId="0" applyNumberFormat="1" applyFont="1" applyFill="1" applyBorder="1" applyAlignment="1">
      <alignment horizontal="center" vertical="center"/>
    </xf>
    <xf numFmtId="165" fontId="15" fillId="2" borderId="7" xfId="0" applyNumberFormat="1" applyFont="1" applyFill="1" applyBorder="1" applyAlignment="1">
      <alignment horizontal="center" vertical="center"/>
    </xf>
    <xf numFmtId="0" fontId="15" fillId="2" borderId="7" xfId="0" applyNumberFormat="1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3" fontId="15" fillId="2" borderId="8" xfId="0" applyNumberFormat="1" applyFont="1" applyFill="1" applyBorder="1" applyAlignment="1">
      <alignment horizontal="center" vertical="center"/>
    </xf>
    <xf numFmtId="0" fontId="15" fillId="2" borderId="35" xfId="0" applyFont="1" applyFill="1" applyBorder="1" applyAlignment="1">
      <alignment horizontal="center" vertical="center"/>
    </xf>
    <xf numFmtId="0" fontId="15" fillId="2" borderId="36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0" fillId="5" borderId="0" xfId="0" applyFill="1"/>
    <xf numFmtId="165" fontId="28" fillId="2" borderId="20" xfId="0" applyNumberFormat="1" applyFont="1" applyFill="1" applyBorder="1" applyAlignment="1">
      <alignment horizontal="left" vertical="center"/>
    </xf>
    <xf numFmtId="0" fontId="28" fillId="2" borderId="21" xfId="0" applyFont="1" applyFill="1" applyBorder="1" applyAlignment="1">
      <alignment horizontal="left" vertical="center"/>
    </xf>
    <xf numFmtId="0" fontId="28" fillId="2" borderId="22" xfId="0" applyFont="1" applyFill="1" applyBorder="1" applyAlignment="1">
      <alignment horizontal="left" vertical="center"/>
    </xf>
    <xf numFmtId="0" fontId="28" fillId="2" borderId="23" xfId="0" applyFont="1" applyFill="1" applyBorder="1" applyAlignment="1">
      <alignment horizontal="left" vertical="center"/>
    </xf>
    <xf numFmtId="0" fontId="28" fillId="2" borderId="20" xfId="0" applyFont="1" applyFill="1" applyBorder="1" applyAlignment="1">
      <alignment horizontal="left" vertical="center"/>
    </xf>
    <xf numFmtId="0" fontId="28" fillId="2" borderId="29" xfId="0" applyFont="1" applyFill="1" applyBorder="1" applyAlignment="1">
      <alignment horizontal="left" vertical="center"/>
    </xf>
    <xf numFmtId="165" fontId="17" fillId="9" borderId="0" xfId="0" applyNumberFormat="1" applyFont="1" applyFill="1" applyBorder="1" applyAlignment="1">
      <alignment horizontal="center" vertical="center"/>
    </xf>
    <xf numFmtId="0" fontId="8" fillId="9" borderId="0" xfId="0" applyFont="1" applyFill="1" applyAlignment="1">
      <alignment horizontal="center" vertical="center"/>
    </xf>
    <xf numFmtId="0" fontId="17" fillId="9" borderId="0" xfId="0" applyFont="1" applyFill="1" applyAlignment="1">
      <alignment vertical="center"/>
    </xf>
    <xf numFmtId="0" fontId="21" fillId="9" borderId="0" xfId="0" applyFont="1" applyFill="1" applyBorder="1" applyAlignment="1">
      <alignment horizontal="center" vertical="center"/>
    </xf>
    <xf numFmtId="0" fontId="17" fillId="9" borderId="0" xfId="0" applyFont="1" applyFill="1" applyAlignment="1">
      <alignment horizontal="center" vertical="center"/>
    </xf>
    <xf numFmtId="0" fontId="17" fillId="9" borderId="0" xfId="0" applyFont="1" applyFill="1" applyBorder="1" applyAlignment="1">
      <alignment vertical="center"/>
    </xf>
    <xf numFmtId="0" fontId="0" fillId="9" borderId="0" xfId="0" applyFill="1"/>
    <xf numFmtId="165" fontId="29" fillId="9" borderId="1" xfId="0" applyNumberFormat="1" applyFont="1" applyFill="1" applyBorder="1" applyAlignment="1">
      <alignment horizontal="center" vertical="center"/>
    </xf>
    <xf numFmtId="2" fontId="29" fillId="9" borderId="1" xfId="0" applyNumberFormat="1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168" fontId="17" fillId="2" borderId="0" xfId="0" applyNumberFormat="1" applyFont="1" applyFill="1" applyBorder="1" applyAlignment="1">
      <alignment horizontal="center" vertical="center"/>
    </xf>
    <xf numFmtId="0" fontId="22" fillId="4" borderId="5" xfId="0" applyNumberFormat="1" applyFont="1" applyFill="1" applyBorder="1" applyAlignment="1">
      <alignment horizontal="center" vertical="center"/>
    </xf>
    <xf numFmtId="0" fontId="25" fillId="4" borderId="0" xfId="0" applyFont="1" applyFill="1" applyAlignment="1">
      <alignment horizontal="center" vertical="center"/>
    </xf>
    <xf numFmtId="0" fontId="22" fillId="4" borderId="1" xfId="0" applyNumberFormat="1" applyFont="1" applyFill="1" applyBorder="1" applyAlignment="1">
      <alignment horizontal="center" vertical="center"/>
    </xf>
    <xf numFmtId="0" fontId="22" fillId="4" borderId="7" xfId="0" applyNumberFormat="1" applyFont="1" applyFill="1" applyBorder="1" applyAlignment="1">
      <alignment horizontal="center" vertical="center"/>
    </xf>
    <xf numFmtId="165" fontId="17" fillId="5" borderId="0" xfId="0" applyNumberFormat="1" applyFont="1" applyFill="1" applyBorder="1" applyAlignment="1">
      <alignment vertical="center"/>
    </xf>
    <xf numFmtId="14" fontId="6" fillId="2" borderId="0" xfId="0" applyNumberFormat="1" applyFont="1" applyFill="1" applyAlignment="1">
      <alignment horizontal="center" vertical="center"/>
    </xf>
    <xf numFmtId="1" fontId="28" fillId="2" borderId="28" xfId="0" applyNumberFormat="1" applyFont="1" applyFill="1" applyBorder="1" applyAlignment="1">
      <alignment horizontal="left" vertical="center"/>
    </xf>
    <xf numFmtId="1" fontId="28" fillId="2" borderId="20" xfId="0" applyNumberFormat="1" applyFont="1" applyFill="1" applyBorder="1" applyAlignment="1">
      <alignment horizontal="left" vertical="center"/>
    </xf>
    <xf numFmtId="0" fontId="17" fillId="5" borderId="0" xfId="0" applyFont="1" applyFill="1" applyBorder="1" applyAlignment="1">
      <alignment horizontal="center" vertical="center"/>
    </xf>
    <xf numFmtId="168" fontId="17" fillId="9" borderId="0" xfId="0" applyNumberFormat="1" applyFont="1" applyFill="1" applyBorder="1" applyAlignment="1">
      <alignment horizontal="center" vertical="center"/>
    </xf>
    <xf numFmtId="0" fontId="17" fillId="9" borderId="0" xfId="0" applyFont="1" applyFill="1" applyBorder="1" applyAlignment="1">
      <alignment horizontal="center" vertical="center"/>
    </xf>
    <xf numFmtId="165" fontId="15" fillId="2" borderId="26" xfId="0" applyNumberFormat="1" applyFont="1" applyFill="1" applyBorder="1" applyAlignment="1">
      <alignment horizontal="center" vertical="center"/>
    </xf>
    <xf numFmtId="168" fontId="17" fillId="9" borderId="0" xfId="0" applyNumberFormat="1" applyFont="1" applyFill="1" applyBorder="1" applyAlignment="1">
      <alignment vertical="center"/>
    </xf>
    <xf numFmtId="165" fontId="26" fillId="5" borderId="0" xfId="0" applyNumberFormat="1" applyFont="1" applyFill="1" applyBorder="1" applyAlignment="1">
      <alignment vertical="center"/>
    </xf>
    <xf numFmtId="14" fontId="14" fillId="2" borderId="0" xfId="0" applyNumberFormat="1" applyFont="1" applyFill="1" applyAlignment="1">
      <alignment horizontal="right" vertical="center"/>
    </xf>
    <xf numFmtId="14" fontId="14" fillId="2" borderId="0" xfId="0" applyNumberFormat="1" applyFont="1" applyFill="1" applyBorder="1" applyAlignment="1">
      <alignment horizontal="right" vertical="center"/>
    </xf>
    <xf numFmtId="14" fontId="25" fillId="4" borderId="0" xfId="0" applyNumberFormat="1" applyFont="1" applyFill="1" applyAlignment="1">
      <alignment horizontal="right" vertical="center"/>
    </xf>
    <xf numFmtId="0" fontId="4" fillId="9" borderId="0" xfId="0" applyFont="1" applyFill="1" applyBorder="1" applyAlignment="1">
      <alignment horizontal="center"/>
    </xf>
    <xf numFmtId="0" fontId="4" fillId="9" borderId="0" xfId="0" applyFont="1" applyFill="1" applyBorder="1" applyAlignment="1">
      <alignment horizontal="left" vertical="center"/>
    </xf>
    <xf numFmtId="0" fontId="4" fillId="9" borderId="0" xfId="0" applyFont="1" applyFill="1" applyBorder="1" applyAlignment="1">
      <alignment horizontal="right" vertical="center"/>
    </xf>
    <xf numFmtId="0" fontId="4" fillId="9" borderId="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left" vertical="center"/>
    </xf>
    <xf numFmtId="0" fontId="28" fillId="2" borderId="37" xfId="0" applyFont="1" applyFill="1" applyBorder="1" applyAlignment="1">
      <alignment horizontal="left" vertical="center"/>
    </xf>
    <xf numFmtId="0" fontId="28" fillId="2" borderId="38" xfId="0" applyFont="1" applyFill="1" applyBorder="1" applyAlignment="1">
      <alignment horizontal="left" vertical="center"/>
    </xf>
    <xf numFmtId="0" fontId="14" fillId="2" borderId="0" xfId="0" applyNumberFormat="1" applyFont="1" applyFill="1" applyAlignment="1">
      <alignment horizontal="center" vertical="center"/>
    </xf>
    <xf numFmtId="0" fontId="14" fillId="2" borderId="0" xfId="0" applyNumberFormat="1" applyFont="1" applyFill="1" applyBorder="1" applyAlignment="1">
      <alignment horizontal="center" vertical="center"/>
    </xf>
    <xf numFmtId="0" fontId="21" fillId="2" borderId="0" xfId="0" applyNumberFormat="1" applyFont="1" applyFill="1" applyAlignment="1">
      <alignment horizontal="center" vertical="center"/>
    </xf>
    <xf numFmtId="0" fontId="8" fillId="2" borderId="0" xfId="0" applyNumberFormat="1" applyFont="1" applyFill="1" applyAlignment="1">
      <alignment horizontal="center" vertical="center"/>
    </xf>
    <xf numFmtId="0" fontId="21" fillId="2" borderId="0" xfId="0" applyNumberFormat="1" applyFont="1" applyFill="1" applyBorder="1" applyAlignment="1">
      <alignment horizontal="center" vertical="center"/>
    </xf>
    <xf numFmtId="1" fontId="17" fillId="9" borderId="0" xfId="0" applyNumberFormat="1" applyFont="1" applyFill="1" applyAlignment="1">
      <alignment horizontal="center" vertical="center"/>
    </xf>
    <xf numFmtId="166" fontId="27" fillId="8" borderId="0" xfId="0" applyNumberFormat="1" applyFont="1" applyFill="1" applyAlignment="1">
      <alignment horizontal="center" vertical="center"/>
    </xf>
    <xf numFmtId="169" fontId="21" fillId="9" borderId="0" xfId="0" applyNumberFormat="1" applyFont="1" applyFill="1" applyAlignment="1">
      <alignment horizontal="center" vertical="center"/>
    </xf>
    <xf numFmtId="169" fontId="17" fillId="5" borderId="0" xfId="0" applyNumberFormat="1" applyFont="1" applyFill="1" applyAlignment="1">
      <alignment horizontal="center" vertical="center"/>
    </xf>
    <xf numFmtId="169" fontId="17" fillId="9" borderId="0" xfId="0" applyNumberFormat="1" applyFont="1" applyFill="1" applyAlignment="1">
      <alignment horizontal="center" vertical="center"/>
    </xf>
    <xf numFmtId="1" fontId="30" fillId="5" borderId="0" xfId="0" applyNumberFormat="1" applyFont="1" applyFill="1" applyAlignment="1">
      <alignment horizontal="center" vertical="center"/>
    </xf>
    <xf numFmtId="165" fontId="23" fillId="2" borderId="0" xfId="0" applyNumberFormat="1" applyFont="1" applyFill="1" applyAlignment="1">
      <alignment horizontal="center" vertical="center"/>
    </xf>
    <xf numFmtId="0" fontId="16" fillId="9" borderId="0" xfId="0" applyFont="1" applyFill="1" applyAlignment="1">
      <alignment horizontal="center" vertical="center"/>
    </xf>
    <xf numFmtId="0" fontId="23" fillId="9" borderId="0" xfId="0" applyFont="1" applyFill="1" applyAlignment="1">
      <alignment horizontal="center" vertical="center"/>
    </xf>
    <xf numFmtId="0" fontId="23" fillId="5" borderId="0" xfId="0" applyFont="1" applyFill="1" applyAlignment="1">
      <alignment horizontal="center" vertical="center"/>
    </xf>
    <xf numFmtId="0" fontId="31" fillId="9" borderId="1" xfId="0" applyFont="1" applyFill="1" applyBorder="1" applyAlignment="1">
      <alignment horizontal="left" vertical="center"/>
    </xf>
    <xf numFmtId="0" fontId="8" fillId="5" borderId="0" xfId="0" applyFont="1" applyFill="1" applyAlignment="1">
      <alignment horizontal="center" vertical="center"/>
    </xf>
    <xf numFmtId="0" fontId="21" fillId="5" borderId="0" xfId="0" applyFont="1" applyFill="1" applyBorder="1" applyAlignment="1">
      <alignment horizontal="center" vertical="center"/>
    </xf>
    <xf numFmtId="0" fontId="12" fillId="9" borderId="0" xfId="0" applyFont="1" applyFill="1" applyAlignment="1">
      <alignment horizontal="center" vertical="center"/>
    </xf>
    <xf numFmtId="166" fontId="27" fillId="5" borderId="0" xfId="0" applyNumberFormat="1" applyFont="1" applyFill="1" applyAlignment="1">
      <alignment horizontal="center" vertical="center"/>
    </xf>
    <xf numFmtId="0" fontId="31" fillId="5" borderId="0" xfId="0" applyFont="1" applyFill="1" applyBorder="1" applyAlignment="1">
      <alignment horizontal="left" vertical="center"/>
    </xf>
    <xf numFmtId="0" fontId="31" fillId="9" borderId="0" xfId="0" applyFont="1" applyFill="1" applyBorder="1" applyAlignment="1">
      <alignment horizontal="left" vertical="center"/>
    </xf>
    <xf numFmtId="0" fontId="28" fillId="2" borderId="20" xfId="0" applyFont="1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32" fillId="2" borderId="0" xfId="0" applyFont="1" applyFill="1" applyAlignment="1">
      <alignment horizontal="left"/>
    </xf>
    <xf numFmtId="0" fontId="33" fillId="9" borderId="1" xfId="0" applyFont="1" applyFill="1" applyBorder="1" applyAlignment="1">
      <alignment horizontal="left" vertical="center"/>
    </xf>
    <xf numFmtId="0" fontId="29" fillId="9" borderId="3" xfId="0" applyFont="1" applyFill="1" applyBorder="1" applyAlignment="1">
      <alignment horizontal="center" vertical="center"/>
    </xf>
    <xf numFmtId="0" fontId="29" fillId="9" borderId="10" xfId="0" applyFont="1" applyFill="1" applyBorder="1" applyAlignment="1">
      <alignment horizontal="center" vertical="center"/>
    </xf>
    <xf numFmtId="0" fontId="29" fillId="9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66" fontId="6" fillId="2" borderId="1" xfId="0" applyNumberFormat="1" applyFont="1" applyFill="1" applyBorder="1" applyAlignment="1">
      <alignment horizontal="center" vertical="center"/>
    </xf>
    <xf numFmtId="2" fontId="19" fillId="5" borderId="16" xfId="0" applyNumberFormat="1" applyFont="1" applyFill="1" applyBorder="1" applyAlignment="1">
      <alignment horizontal="center" vertical="center"/>
    </xf>
    <xf numFmtId="2" fontId="19" fillId="5" borderId="18" xfId="0" applyNumberFormat="1" applyFont="1" applyFill="1" applyBorder="1" applyAlignment="1">
      <alignment horizontal="center" vertical="center"/>
    </xf>
    <xf numFmtId="166" fontId="17" fillId="5" borderId="31" xfId="0" applyNumberFormat="1" applyFont="1" applyFill="1" applyBorder="1" applyAlignment="1">
      <alignment horizontal="center" vertical="center"/>
    </xf>
    <xf numFmtId="166" fontId="17" fillId="5" borderId="32" xfId="0" applyNumberFormat="1" applyFont="1" applyFill="1" applyBorder="1" applyAlignment="1">
      <alignment horizontal="center" vertical="center"/>
    </xf>
    <xf numFmtId="166" fontId="17" fillId="5" borderId="33" xfId="0" applyNumberFormat="1" applyFont="1" applyFill="1" applyBorder="1" applyAlignment="1">
      <alignment horizontal="center" vertical="center"/>
    </xf>
    <xf numFmtId="166" fontId="17" fillId="5" borderId="30" xfId="0" applyNumberFormat="1" applyFont="1" applyFill="1" applyBorder="1" applyAlignment="1">
      <alignment horizontal="center" vertical="center"/>
    </xf>
    <xf numFmtId="166" fontId="17" fillId="5" borderId="15" xfId="0" applyNumberFormat="1" applyFont="1" applyFill="1" applyBorder="1" applyAlignment="1">
      <alignment horizontal="center" vertical="center"/>
    </xf>
    <xf numFmtId="166" fontId="17" fillId="5" borderId="14" xfId="0" applyNumberFormat="1" applyFont="1" applyFill="1" applyBorder="1" applyAlignment="1">
      <alignment horizontal="center" vertical="center"/>
    </xf>
    <xf numFmtId="168" fontId="18" fillId="5" borderId="31" xfId="0" applyNumberFormat="1" applyFont="1" applyFill="1" applyBorder="1" applyAlignment="1">
      <alignment horizontal="center" vertical="center"/>
    </xf>
    <xf numFmtId="168" fontId="18" fillId="5" borderId="32" xfId="0" applyNumberFormat="1" applyFont="1" applyFill="1" applyBorder="1" applyAlignment="1">
      <alignment horizontal="center" vertical="center"/>
    </xf>
    <xf numFmtId="168" fontId="18" fillId="5" borderId="33" xfId="0" applyNumberFormat="1" applyFont="1" applyFill="1" applyBorder="1" applyAlignment="1">
      <alignment horizontal="center" vertical="center"/>
    </xf>
    <xf numFmtId="0" fontId="18" fillId="5" borderId="17" xfId="0" applyFont="1" applyFill="1" applyBorder="1" applyAlignment="1">
      <alignment horizontal="center" vertical="center"/>
    </xf>
    <xf numFmtId="0" fontId="18" fillId="5" borderId="18" xfId="0" applyFont="1" applyFill="1" applyBorder="1" applyAlignment="1">
      <alignment horizontal="center" vertical="center"/>
    </xf>
    <xf numFmtId="0" fontId="17" fillId="5" borderId="31" xfId="0" applyFont="1" applyFill="1" applyBorder="1" applyAlignment="1">
      <alignment horizontal="center" vertical="center"/>
    </xf>
    <xf numFmtId="0" fontId="17" fillId="5" borderId="32" xfId="0" applyFont="1" applyFill="1" applyBorder="1" applyAlignment="1">
      <alignment horizontal="center" vertical="center"/>
    </xf>
    <xf numFmtId="0" fontId="17" fillId="5" borderId="33" xfId="0" applyFont="1" applyFill="1" applyBorder="1" applyAlignment="1">
      <alignment horizontal="center" vertical="center"/>
    </xf>
    <xf numFmtId="0" fontId="17" fillId="5" borderId="30" xfId="0" applyFont="1" applyFill="1" applyBorder="1" applyAlignment="1">
      <alignment horizontal="center" vertical="center"/>
    </xf>
    <xf numFmtId="0" fontId="17" fillId="5" borderId="15" xfId="0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center" vertical="center"/>
    </xf>
    <xf numFmtId="14" fontId="15" fillId="2" borderId="0" xfId="0" applyNumberFormat="1" applyFont="1" applyFill="1" applyAlignment="1">
      <alignment horizontal="center" vertical="center"/>
    </xf>
    <xf numFmtId="1" fontId="24" fillId="5" borderId="0" xfId="0" applyNumberFormat="1" applyFont="1" applyFill="1" applyBorder="1" applyAlignment="1">
      <alignment horizontal="center" vertical="center"/>
    </xf>
    <xf numFmtId="165" fontId="26" fillId="5" borderId="0" xfId="0" applyNumberFormat="1" applyFont="1" applyFill="1" applyBorder="1" applyAlignment="1">
      <alignment horizontal="center" vertical="center"/>
    </xf>
    <xf numFmtId="0" fontId="24" fillId="5" borderId="0" xfId="0" applyFont="1" applyFill="1" applyBorder="1" applyAlignment="1">
      <alignment horizontal="center" vertical="center"/>
    </xf>
    <xf numFmtId="2" fontId="24" fillId="9" borderId="0" xfId="0" applyNumberFormat="1" applyFont="1" applyFill="1" applyBorder="1" applyAlignment="1">
      <alignment horizontal="center" vertical="center"/>
    </xf>
    <xf numFmtId="166" fontId="24" fillId="5" borderId="0" xfId="0" applyNumberFormat="1" applyFont="1" applyFill="1" applyBorder="1" applyAlignment="1">
      <alignment horizontal="center" vertical="center"/>
    </xf>
    <xf numFmtId="2" fontId="24" fillId="5" borderId="0" xfId="0" applyNumberFormat="1" applyFont="1" applyFill="1" applyBorder="1" applyAlignment="1">
      <alignment horizontal="center" vertical="center"/>
    </xf>
    <xf numFmtId="0" fontId="26" fillId="5" borderId="0" xfId="0" applyFont="1" applyFill="1" applyBorder="1" applyAlignment="1">
      <alignment horizontal="center" vertical="center"/>
    </xf>
    <xf numFmtId="1" fontId="24" fillId="9" borderId="0" xfId="0" applyNumberFormat="1" applyFont="1" applyFill="1" applyBorder="1" applyAlignment="1">
      <alignment horizontal="center" vertical="center"/>
    </xf>
    <xf numFmtId="164" fontId="26" fillId="5" borderId="0" xfId="0" applyNumberFormat="1" applyFont="1" applyFill="1" applyBorder="1" applyAlignment="1">
      <alignment horizontal="center" vertical="center"/>
    </xf>
    <xf numFmtId="166" fontId="24" fillId="9" borderId="0" xfId="0" applyNumberFormat="1" applyFont="1" applyFill="1" applyBorder="1" applyAlignment="1">
      <alignment horizontal="center" vertical="center"/>
    </xf>
    <xf numFmtId="0" fontId="21" fillId="9" borderId="1" xfId="0" applyFont="1" applyFill="1" applyBorder="1" applyAlignment="1">
      <alignment horizontal="center" vertical="center"/>
    </xf>
    <xf numFmtId="0" fontId="21" fillId="5" borderId="19" xfId="0" applyFont="1" applyFill="1" applyBorder="1" applyAlignment="1">
      <alignment horizontal="center" vertical="center"/>
    </xf>
    <xf numFmtId="0" fontId="21" fillId="9" borderId="19" xfId="0" applyFont="1" applyFill="1" applyBorder="1" applyAlignment="1">
      <alignment horizontal="center" vertical="center"/>
    </xf>
    <xf numFmtId="0" fontId="21" fillId="5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284">
    <dxf>
      <alignment vertical="bottom"/>
    </dxf>
    <dxf>
      <alignment vertical="center"/>
    </dxf>
    <dxf>
      <alignment vertical="bottom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fill>
        <patternFill>
          <bgColor theme="1"/>
        </patternFill>
      </fill>
    </dxf>
    <dxf>
      <fill>
        <patternFill>
          <bgColor theme="1" tint="4.9989318521683403E-2"/>
        </patternFill>
      </fill>
    </dxf>
    <dxf>
      <font>
        <color rgb="FF00B050"/>
      </font>
    </dxf>
    <dxf>
      <font>
        <color theme="0" tint="-4.9989318521683403E-2"/>
      </font>
    </dxf>
    <dxf>
      <font>
        <color rgb="FFFF4B4B"/>
      </font>
    </dxf>
    <dxf>
      <font>
        <color rgb="FF00B050"/>
      </font>
    </dxf>
    <dxf>
      <font>
        <color theme="0" tint="-4.9989318521683403E-2"/>
      </font>
    </dxf>
    <dxf>
      <font>
        <color rgb="FFFF4B4B"/>
      </font>
    </dxf>
    <dxf>
      <font>
        <color rgb="FF00B050"/>
      </font>
    </dxf>
    <dxf>
      <font>
        <color theme="0" tint="-4.9989318521683403E-2"/>
      </font>
    </dxf>
    <dxf>
      <font>
        <color rgb="FFFF4B4B"/>
      </font>
    </dxf>
    <dxf>
      <font>
        <color rgb="FFFF4B4B"/>
      </font>
    </dxf>
    <dxf>
      <font>
        <color rgb="FF00B050"/>
      </font>
    </dxf>
    <dxf>
      <font>
        <color theme="0" tint="-4.9989318521683403E-2"/>
      </font>
    </dxf>
    <dxf>
      <font>
        <color theme="0" tint="-0.34998626667073579"/>
      </font>
      <fill>
        <patternFill>
          <bgColor theme="2" tint="-0.749961851863155"/>
        </patternFill>
      </fill>
    </dxf>
    <dxf>
      <font>
        <b/>
        <i/>
        <color theme="0" tint="-0.14996795556505021"/>
      </font>
      <fill>
        <patternFill>
          <bgColor theme="9" tint="-0.499984740745262"/>
        </patternFill>
      </fill>
    </dxf>
    <dxf>
      <font>
        <b/>
        <i/>
        <color theme="0" tint="-0.14996795556505021"/>
      </font>
      <fill>
        <patternFill>
          <bgColor rgb="FF2B441C"/>
        </patternFill>
      </fill>
    </dxf>
    <dxf>
      <font>
        <b/>
        <i/>
        <color theme="0"/>
      </font>
      <fill>
        <patternFill>
          <bgColor rgb="FF960000"/>
        </patternFill>
      </fill>
    </dxf>
    <dxf>
      <font>
        <b/>
        <i/>
        <color theme="0" tint="-4.9989318521683403E-2"/>
      </font>
      <fill>
        <patternFill>
          <bgColor rgb="FF960000"/>
        </patternFill>
      </fill>
    </dxf>
    <dxf>
      <font>
        <color theme="1" tint="0.34998626667073579"/>
      </font>
    </dxf>
    <dxf>
      <font>
        <color rgb="FF47702E"/>
      </font>
    </dxf>
    <dxf>
      <font>
        <color rgb="FFFF4B4B"/>
      </font>
    </dxf>
    <dxf>
      <font>
        <b/>
        <i/>
        <color theme="0" tint="-0.24994659260841701"/>
      </font>
    </dxf>
    <dxf>
      <font>
        <b val="0"/>
        <i val="0"/>
        <color theme="4" tint="0.39988402966399123"/>
      </font>
    </dxf>
    <dxf>
      <font>
        <color theme="1" tint="0.34998626667073579"/>
      </font>
    </dxf>
    <dxf>
      <font>
        <b/>
        <i/>
        <color theme="7" tint="0.39988402966399123"/>
      </font>
    </dxf>
    <dxf>
      <font>
        <b/>
        <i/>
        <color rgb="FF00B050"/>
      </font>
    </dxf>
    <dxf>
      <font>
        <b val="0"/>
        <i val="0"/>
        <color rgb="FFFF4B4B"/>
      </font>
    </dxf>
    <dxf>
      <font>
        <color theme="4" tint="-0.24994659260841701"/>
      </font>
    </dxf>
    <dxf>
      <font>
        <b/>
        <i/>
        <color theme="0" tint="-0.14996795556505021"/>
      </font>
    </dxf>
    <dxf>
      <font>
        <color theme="1" tint="0.14996795556505021"/>
      </font>
    </dxf>
    <dxf>
      <font>
        <color theme="5" tint="-0.24994659260841701"/>
      </font>
    </dxf>
    <dxf>
      <font>
        <color theme="9" tint="-0.24994659260841701"/>
      </font>
    </dxf>
    <dxf>
      <fill>
        <patternFill>
          <bgColor theme="1" tint="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4.9989318521683403E-2"/>
      </font>
      <fill>
        <patternFill>
          <bgColor theme="1" tint="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0.14996795556505021"/>
      </font>
      <fill>
        <patternFill>
          <bgColor theme="2" tint="-0.89996032593768116"/>
        </patternFill>
      </fill>
    </dxf>
    <dxf>
      <font>
        <color theme="0" tint="-0.14996795556505021"/>
      </font>
      <fill>
        <patternFill>
          <bgColor theme="1" tint="4.9989318521683403E-2"/>
        </patternFill>
      </fill>
    </dxf>
    <dxf>
      <font>
        <color theme="0" tint="-0.14996795556505021"/>
      </font>
      <fill>
        <patternFill>
          <bgColor theme="1"/>
        </patternFill>
      </fill>
    </dxf>
    <dxf>
      <fill>
        <patternFill>
          <bgColor theme="1" tint="0.14996795556505021"/>
        </patternFill>
      </fill>
    </dxf>
    <dxf>
      <font>
        <color theme="0"/>
      </font>
      <fill>
        <patternFill>
          <bgColor theme="1" tint="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4.9989318521683403E-2"/>
      </font>
      <fill>
        <patternFill>
          <bgColor theme="1" tint="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1" tint="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1" tint="0.2499465926084170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1" tint="0.2499465926084170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4.9989318521683403E-2"/>
      </font>
      <fill>
        <patternFill>
          <bgColor theme="1" tint="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1" tint="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4.9989318521683403E-2"/>
      </font>
      <fill>
        <patternFill>
          <bgColor theme="1" tint="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1" tint="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1" tint="0.2499465926084170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4.9989318521683403E-2"/>
      </font>
      <fill>
        <patternFill>
          <bgColor theme="1" tint="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1" tint="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4.9989318521683403E-2"/>
      </font>
      <fill>
        <patternFill>
          <bgColor theme="1" tint="0.2499465926084170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0" formatCode="General"/>
      <fill>
        <patternFill>
          <bgColor theme="1" tint="0.14999847407452621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>
          <bgColor theme="1" tint="0.14999847407452621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>
          <bgColor theme="1" tint="0.14999847407452621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>
          <bgColor theme="1" tint="0.14999847407452621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>
          <bgColor theme="1" tint="0.14999847407452621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>
          <bgColor theme="1" tint="0.14999847407452621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>
          <bgColor theme="1" tint="0.14999847407452621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>
          <bgColor theme="1" tint="0.14999847407452621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>
          <bgColor theme="1" tint="0.14999847407452621"/>
        </patternFill>
      </fill>
      <alignment horizontal="center" vertical="center" textRotation="0" wrapText="0" indent="0" justifyLastLine="0" shrinkToFit="0" readingOrder="0"/>
    </dxf>
    <dxf>
      <numFmt numFmtId="19" formatCode="dd/mm/yyyy"/>
      <fill>
        <patternFill>
          <bgColor theme="1" tint="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numFmt numFmtId="3" formatCode="#,##0"/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numFmt numFmtId="0" formatCode="General"/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numFmt numFmtId="165" formatCode="h:mm;@"/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numFmt numFmtId="165" formatCode="h:mm;@"/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D9D9D9"/>
        <name val="Calibri"/>
        <family val="2"/>
        <scheme val="none"/>
      </font>
      <numFmt numFmtId="0" formatCode="General"/>
      <fill>
        <patternFill patternType="solid">
          <fgColor rgb="FF000000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>
          <bgColor theme="1" tint="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1" tint="0.14996795556505021"/>
        </left>
        <right style="thin">
          <color theme="1" tint="0.14996795556505021"/>
        </right>
        <top/>
        <bottom/>
      </border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numFmt numFmtId="166" formatCode="0.0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charset val="204"/>
        <scheme val="minor"/>
      </font>
      <numFmt numFmtId="166" formatCode="0.0"/>
      <fill>
        <patternFill patternType="solid">
          <fgColor indexed="64"/>
          <bgColor theme="2" tint="-0.8999908444471571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 tint="-4.9989318521683403E-2"/>
      </font>
    </dxf>
    <dxf>
      <fill>
        <patternFill>
          <bgColor theme="2" tint="-0.89999084444715716"/>
        </patternFill>
      </fill>
    </dxf>
    <dxf>
      <fill>
        <patternFill patternType="solid">
          <bgColor theme="1" tint="0.249977111117893"/>
        </patternFill>
      </fill>
    </dxf>
    <dxf>
      <fill>
        <patternFill>
          <bgColor theme="2" tint="-0.89999084444715716"/>
        </patternFill>
      </fill>
    </dxf>
    <dxf>
      <fill>
        <patternFill>
          <bgColor theme="2" tint="-0.89999084444715716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theme="1" tint="0.14999847407452621"/>
        </patternFill>
      </fill>
    </dxf>
    <dxf>
      <font>
        <color theme="0" tint="-4.9989318521683403E-2"/>
      </font>
    </dxf>
    <dxf>
      <fill>
        <patternFill patternType="solid">
          <bgColor theme="1" tint="4.9989318521683403E-2"/>
        </patternFill>
      </fill>
    </dxf>
    <dxf>
      <alignment vertical="center"/>
    </dxf>
    <dxf>
      <alignment horizontal="center"/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25" formatCode="h: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25" formatCode="h: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164" formatCode="dd/mm/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2" formatCode="0.00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charset val="204"/>
        <scheme val="minor"/>
      </font>
      <numFmt numFmtId="166" formatCode="0.0"/>
      <fill>
        <patternFill patternType="solid">
          <fgColor indexed="64"/>
          <bgColor theme="2" tint="-0.8999908444471571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vertic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 tint="-4.9989318521683403E-2"/>
      </font>
    </dxf>
    <dxf>
      <fill>
        <patternFill patternType="solid">
          <bgColor theme="2" tint="-0.89999084444715716"/>
        </patternFill>
      </fill>
    </dxf>
    <dxf>
      <alignment vertical="center"/>
    </dxf>
    <dxf>
      <alignment vertical="center"/>
    </dxf>
    <dxf>
      <alignment horizontal="left"/>
    </dxf>
    <dxf>
      <alignment horizontal="left"/>
    </dxf>
    <dxf>
      <alignment horizontal="left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 tint="-4.9989318521683403E-2"/>
      </font>
    </dxf>
    <dxf>
      <fill>
        <patternFill>
          <bgColor theme="2" tint="-0.89999084444715716"/>
        </patternFill>
      </fill>
    </dxf>
    <dxf>
      <fill>
        <patternFill patternType="solid">
          <bgColor theme="1" tint="0.249977111117893"/>
        </patternFill>
      </fill>
    </dxf>
    <dxf>
      <fill>
        <patternFill>
          <bgColor theme="2" tint="-0.89999084444715716"/>
        </patternFill>
      </fill>
    </dxf>
    <dxf>
      <fill>
        <patternFill>
          <bgColor theme="2" tint="-0.89999084444715716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theme="1" tint="0.14999847407452621"/>
        </patternFill>
      </fill>
    </dxf>
    <dxf>
      <font>
        <color theme="0" tint="-4.9989318521683403E-2"/>
      </font>
    </dxf>
    <dxf>
      <fill>
        <patternFill patternType="solid">
          <bgColor theme="1" tint="4.9989318521683403E-2"/>
        </patternFill>
      </fill>
    </dxf>
    <dxf>
      <alignment vertical="center"/>
    </dxf>
    <dxf>
      <alignment horizontal="center"/>
    </dxf>
    <dxf>
      <numFmt numFmtId="2" formatCode="0.00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charset val="204"/>
        <scheme val="minor"/>
      </font>
      <numFmt numFmtId="166" formatCode="0.0"/>
      <fill>
        <patternFill patternType="solid">
          <fgColor indexed="64"/>
          <bgColor theme="2" tint="-0.8999908444471571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 tint="-4.9989318521683403E-2"/>
      </font>
    </dxf>
    <dxf>
      <fill>
        <patternFill>
          <bgColor theme="2" tint="-0.89999084444715716"/>
        </patternFill>
      </fill>
    </dxf>
    <dxf>
      <fill>
        <patternFill patternType="solid">
          <bgColor theme="1" tint="0.249977111117893"/>
        </patternFill>
      </fill>
    </dxf>
    <dxf>
      <fill>
        <patternFill>
          <bgColor theme="2" tint="-0.89999084444715716"/>
        </patternFill>
      </fill>
    </dxf>
    <dxf>
      <fill>
        <patternFill>
          <bgColor theme="2" tint="-0.89999084444715716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theme="1" tint="0.14999847407452621"/>
        </patternFill>
      </fill>
    </dxf>
    <dxf>
      <font>
        <color theme="0" tint="-4.9989318521683403E-2"/>
      </font>
    </dxf>
    <dxf>
      <fill>
        <patternFill patternType="solid">
          <bgColor theme="1" tint="4.9989318521683403E-2"/>
        </patternFill>
      </fill>
    </dxf>
    <dxf>
      <alignment vertical="center"/>
    </dxf>
    <dxf>
      <alignment horizont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165" formatCode="h:mm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164" formatCode="dd/mm/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164" formatCode="dd/mm/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164" formatCode="dd/mm/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2" formatCode="0.00"/>
      <fill>
        <patternFill patternType="solid">
          <fgColor indexed="64"/>
          <bgColor theme="2" tint="-0.89999084444715716"/>
        </patternFill>
      </fill>
      <alignment horizontal="center" vertical="center" textRotation="0" wrapText="0" indent="0" justifyLastLine="0" shrinkToFit="0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theme="2" tint="-0.89999084444715716"/>
        </patternFill>
      </fill>
    </dxf>
    <dxf>
      <font>
        <color theme="0" tint="-4.9989318521683403E-2"/>
      </font>
    </dxf>
    <dxf>
      <fill>
        <patternFill patternType="solid">
          <bgColor theme="1" tint="4.9989318521683403E-2"/>
        </patternFill>
      </fill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color theme="0" tint="-4.9989318521683403E-2"/>
      </font>
      <fill>
        <patternFill>
          <bgColor theme="1" tint="0.14996795556505021"/>
        </patternFill>
      </fill>
    </dxf>
    <dxf>
      <font>
        <color theme="0" tint="-4.9989318521683403E-2"/>
      </font>
      <fill>
        <patternFill>
          <bgColor theme="1" tint="0.24994659260841701"/>
        </patternFill>
      </fill>
    </dxf>
    <dxf>
      <font>
        <color theme="0" tint="-0.14996795556505021"/>
      </font>
      <border>
        <bottom style="thin">
          <color theme="1"/>
        </bottom>
        <vertical/>
        <horizontal/>
      </border>
    </dxf>
    <dxf>
      <font>
        <color theme="1"/>
      </font>
      <fill>
        <patternFill>
          <bgColor theme="1" tint="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2" defaultTableStyle="TableStyleMedium2" defaultPivotStyle="PivotStyleLight16">
    <tableStyle name="SlicerStyleDark6 2" pivot="0" table="0" count="10" xr9:uid="{00000000-0011-0000-FFFF-FFFF00000000}">
      <tableStyleElement type="wholeTable" dxfId="283"/>
      <tableStyleElement type="headerRow" dxfId="282"/>
    </tableStyle>
    <tableStyle name="Стиль таблицы 1" pivot="0" count="2" xr9:uid="{42E71B8A-593D-480A-A0C2-D9FF1C73F85C}">
      <tableStyleElement type="firstRowStripe" dxfId="281"/>
      <tableStyleElement type="secondRowStripe" dxfId="280"/>
    </tableStyle>
  </tableStyles>
  <colors>
    <mruColors>
      <color rgb="FF0192FF"/>
      <color rgb="FF0081E2"/>
      <color rgb="FFFF4B4B"/>
      <color rgb="FF0D0D0D"/>
      <color rgb="FF78B450"/>
      <color rgb="FF960000"/>
      <color rgb="FF47702E"/>
      <color rgb="FF406529"/>
      <color rgb="FF2B441C"/>
      <color rgb="FFFC4E5A"/>
    </mruColors>
  </colors>
  <extLst>
    <ext xmlns:x14="http://schemas.microsoft.com/office/spreadsheetml/2009/9/main" uri="{46F421CA-312F-682f-3DD2-61675219B42D}">
      <x14:dxfs count="8">
        <dxf>
          <font>
            <color theme="0" tint="-4.9989318521683403E-2"/>
          </font>
          <fill>
            <patternFill patternType="solid">
              <fgColor auto="1"/>
              <bgColor theme="1" tint="4.9989318521683403E-2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0" tint="-4.9989318521683403E-2"/>
          </font>
          <fill>
            <patternFill patternType="solid">
              <fgColor auto="1"/>
              <bgColor theme="1" tint="4.9989318521683403E-2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0" tint="-4.9989318521683403E-2"/>
          </font>
          <fill>
            <patternFill patternType="solid">
              <fgColor auto="1"/>
              <bgColor theme="2" tint="-0.89996032593768116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0" tint="-4.9989318521683403E-2"/>
          </font>
          <fill>
            <patternFill patternType="solid">
              <fgColor auto="1"/>
              <bgColor theme="1" tint="4.9989318521683403E-2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9" tint="-0.249977111117893"/>
          </font>
          <fill>
            <patternFill patternType="solid">
              <fgColor theme="1" tint="0.499984740745262"/>
              <bgColor theme="1" tint="0.499984740745262"/>
            </patternFill>
          </fill>
          <border>
            <left style="thin">
              <color theme="9" tint="0.59999389629810485"/>
            </left>
            <right style="thin">
              <color theme="9" tint="0.59999389629810485"/>
            </right>
            <top style="thin">
              <color theme="9" tint="0.59999389629810485"/>
            </top>
            <bottom style="thin">
              <color theme="9" tint="0.59999389629810485"/>
            </bottom>
            <vertical/>
            <horizontal/>
          </border>
        </dxf>
        <dxf>
          <font>
            <b/>
            <i val="0"/>
            <color theme="0"/>
          </font>
          <fill>
            <patternFill patternType="solid">
              <fgColor theme="1" tint="0.14996795556505021"/>
              <bgColor theme="1" tint="0.14996795556505021"/>
            </patternFill>
          </fill>
          <border>
            <left style="thin">
              <color theme="1" tint="0.24994659260841701"/>
            </left>
            <right style="thin">
              <color theme="1" tint="0.24994659260841701"/>
            </right>
            <top style="thin">
              <color theme="1" tint="0.24994659260841701"/>
            </top>
            <bottom style="thin">
              <color theme="1" tint="0.24994659260841701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theme="0" tint="-0.499984740745262"/>
              <bgColor theme="0" tint="-0.499984740745262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SlicerStyleDark6 2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7/relationships/slicerCache" Target="slicerCaches/slicerCache3.xml"/><Relationship Id="rId18" Type="http://schemas.microsoft.com/office/2007/relationships/slicerCache" Target="slicerCaches/slicerCache8.xml"/><Relationship Id="rId26" Type="http://schemas.microsoft.com/office/2007/relationships/slicerCache" Target="slicerCaches/slicerCache16.xml"/><Relationship Id="rId3" Type="http://schemas.openxmlformats.org/officeDocument/2006/relationships/worksheet" Target="worksheets/sheet3.xml"/><Relationship Id="rId21" Type="http://schemas.microsoft.com/office/2007/relationships/slicerCache" Target="slicerCaches/slicerCache11.xml"/><Relationship Id="rId7" Type="http://schemas.openxmlformats.org/officeDocument/2006/relationships/worksheet" Target="worksheets/sheet7.xml"/><Relationship Id="rId12" Type="http://schemas.microsoft.com/office/2007/relationships/slicerCache" Target="slicerCaches/slicerCache2.xml"/><Relationship Id="rId17" Type="http://schemas.microsoft.com/office/2007/relationships/slicerCache" Target="slicerCaches/slicerCache7.xml"/><Relationship Id="rId25" Type="http://schemas.microsoft.com/office/2007/relationships/slicerCache" Target="slicerCaches/slicerCache15.xml"/><Relationship Id="rId2" Type="http://schemas.openxmlformats.org/officeDocument/2006/relationships/worksheet" Target="worksheets/sheet2.xml"/><Relationship Id="rId16" Type="http://schemas.microsoft.com/office/2007/relationships/slicerCache" Target="slicerCaches/slicerCache6.xml"/><Relationship Id="rId20" Type="http://schemas.microsoft.com/office/2007/relationships/slicerCache" Target="slicerCaches/slicerCache1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24" Type="http://schemas.microsoft.com/office/2007/relationships/slicerCache" Target="slicerCaches/slicerCache14.xml"/><Relationship Id="rId5" Type="http://schemas.openxmlformats.org/officeDocument/2006/relationships/worksheet" Target="worksheets/sheet5.xml"/><Relationship Id="rId15" Type="http://schemas.microsoft.com/office/2007/relationships/slicerCache" Target="slicerCaches/slicerCache5.xml"/><Relationship Id="rId23" Type="http://schemas.microsoft.com/office/2007/relationships/slicerCache" Target="slicerCaches/slicerCache13.xml"/><Relationship Id="rId28" Type="http://schemas.openxmlformats.org/officeDocument/2006/relationships/styles" Target="styles.xml"/><Relationship Id="rId10" Type="http://schemas.openxmlformats.org/officeDocument/2006/relationships/pivotCacheDefinition" Target="pivotCache/pivotCacheDefinition2.xml"/><Relationship Id="rId19" Type="http://schemas.microsoft.com/office/2007/relationships/slicerCache" Target="slicerCaches/slicerCache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7/relationships/slicerCache" Target="slicerCaches/slicerCache4.xml"/><Relationship Id="rId22" Type="http://schemas.microsoft.com/office/2007/relationships/slicerCache" Target="slicerCaches/slicerCache12.xml"/><Relationship Id="rId27" Type="http://schemas.openxmlformats.org/officeDocument/2006/relationships/theme" Target="theme/theme1.xml"/><Relationship Id="rId30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spPr>
            <a:gradFill>
              <a:gsLst>
                <a:gs pos="100000">
                  <a:schemeClr val="dk1">
                    <a:tint val="88500"/>
                  </a:schemeClr>
                </a:gs>
                <a:gs pos="0">
                  <a:schemeClr val="dk1">
                    <a:tint val="88500"/>
                    <a:lumMod val="75000"/>
                  </a:schemeClr>
                </a:gs>
              </a:gsLst>
              <a:lin ang="0" scaled="1"/>
            </a:gradFill>
            <a:ln>
              <a:noFill/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val>
            <c:numRef>
              <c:f>TOT!$AA$40:$AA$1036</c:f>
              <c:numCache>
                <c:formatCode>0.00</c:formatCode>
                <c:ptCount val="22"/>
                <c:pt idx="0">
                  <c:v>-1.1000000000000001</c:v>
                </c:pt>
                <c:pt idx="1">
                  <c:v>-2.2200000000000002</c:v>
                </c:pt>
                <c:pt idx="2">
                  <c:v>-4.42</c:v>
                </c:pt>
                <c:pt idx="3">
                  <c:v>-6.52</c:v>
                </c:pt>
                <c:pt idx="4">
                  <c:v>-7.6199999999999992</c:v>
                </c:pt>
                <c:pt idx="5">
                  <c:v>-2.4599999999999991</c:v>
                </c:pt>
                <c:pt idx="6">
                  <c:v>-4.6999999999999993</c:v>
                </c:pt>
                <c:pt idx="7">
                  <c:v>3.2700000000000005</c:v>
                </c:pt>
                <c:pt idx="8">
                  <c:v>2.2700000000000005</c:v>
                </c:pt>
                <c:pt idx="9">
                  <c:v>7.0000000000000284E-2</c:v>
                </c:pt>
                <c:pt idx="10">
                  <c:v>-1.9299999999999997</c:v>
                </c:pt>
                <c:pt idx="11">
                  <c:v>-0.4099999999999997</c:v>
                </c:pt>
                <c:pt idx="12">
                  <c:v>-2.61</c:v>
                </c:pt>
                <c:pt idx="13">
                  <c:v>-3.71</c:v>
                </c:pt>
                <c:pt idx="14">
                  <c:v>-4.76</c:v>
                </c:pt>
                <c:pt idx="15">
                  <c:v>-5.8599999999999994</c:v>
                </c:pt>
                <c:pt idx="16">
                  <c:v>-0.49000000000000021</c:v>
                </c:pt>
                <c:pt idx="17">
                  <c:v>-1.6100000000000003</c:v>
                </c:pt>
                <c:pt idx="18">
                  <c:v>-2.6100000000000003</c:v>
                </c:pt>
                <c:pt idx="19">
                  <c:v>-3.4600000000000004</c:v>
                </c:pt>
                <c:pt idx="20">
                  <c:v>-0.5900000000000003</c:v>
                </c:pt>
                <c:pt idx="21">
                  <c:v>-2.7900000000000005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65-466E-B9E1-428BF7426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lt1">
                  <a:alpha val="40000"/>
                </a:schemeClr>
              </a:solidFill>
              <a:round/>
            </a:ln>
            <a:effectLst/>
          </c:spPr>
        </c:dropLines>
        <c:axId val="2034535135"/>
        <c:axId val="1896174767"/>
      </c:areaChart>
      <c:catAx>
        <c:axId val="203453513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75" cap="flat" cmpd="sng" algn="ctr">
            <a:solidFill>
              <a:schemeClr val="lt1">
                <a:lumMod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96174767"/>
        <c:crosses val="autoZero"/>
        <c:auto val="1"/>
        <c:lblAlgn val="ctr"/>
        <c:lblOffset val="100"/>
        <c:noMultiLvlLbl val="0"/>
      </c:catAx>
      <c:valAx>
        <c:axId val="1896174767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prstDash val="sysDot"/>
              <a:round/>
            </a:ln>
            <a:effectLst/>
          </c:spPr>
        </c:majorGridlines>
        <c:numFmt formatCode="[$$-409]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4535135"/>
        <c:crosses val="autoZero"/>
        <c:crossBetween val="midCat"/>
      </c:valAx>
      <c:spPr>
        <a:solidFill>
          <a:schemeClr val="tx1">
            <a:lumMod val="85000"/>
            <a:lumOff val="15000"/>
          </a:schemeClr>
        </a:solidFill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tx1">
        <a:lumMod val="85000"/>
        <a:lumOff val="15000"/>
      </a:schemeClr>
    </a:solidFill>
    <a:ln w="9525" cap="flat" cmpd="sng" algn="ctr">
      <a:solidFill>
        <a:schemeClr val="tx1">
          <a:lumMod val="95000"/>
          <a:lumOff val="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spPr>
            <a:gradFill>
              <a:gsLst>
                <a:gs pos="100000">
                  <a:schemeClr val="dk1">
                    <a:tint val="88500"/>
                  </a:schemeClr>
                </a:gs>
                <a:gs pos="0">
                  <a:schemeClr val="dk1">
                    <a:tint val="88500"/>
                    <a:lumMod val="75000"/>
                  </a:schemeClr>
                </a:gs>
              </a:gsLst>
              <a:lin ang="0" scaled="1"/>
            </a:gradFill>
            <a:ln w="25400">
              <a:noFill/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val>
            <c:numRef>
              <c:f>TOT!$AA$40:$AA$1036</c:f>
              <c:numCache>
                <c:formatCode>0.00</c:formatCode>
                <c:ptCount val="22"/>
                <c:pt idx="0">
                  <c:v>-1.1000000000000001</c:v>
                </c:pt>
                <c:pt idx="1">
                  <c:v>-2.2200000000000002</c:v>
                </c:pt>
                <c:pt idx="2">
                  <c:v>-4.42</c:v>
                </c:pt>
                <c:pt idx="3">
                  <c:v>-6.52</c:v>
                </c:pt>
                <c:pt idx="4">
                  <c:v>-7.6199999999999992</c:v>
                </c:pt>
                <c:pt idx="5">
                  <c:v>-2.4599999999999991</c:v>
                </c:pt>
                <c:pt idx="6">
                  <c:v>-4.6999999999999993</c:v>
                </c:pt>
                <c:pt idx="7">
                  <c:v>3.2700000000000005</c:v>
                </c:pt>
                <c:pt idx="8">
                  <c:v>2.2700000000000005</c:v>
                </c:pt>
                <c:pt idx="9">
                  <c:v>7.0000000000000284E-2</c:v>
                </c:pt>
                <c:pt idx="10">
                  <c:v>-1.9299999999999997</c:v>
                </c:pt>
                <c:pt idx="11">
                  <c:v>-0.4099999999999997</c:v>
                </c:pt>
                <c:pt idx="12">
                  <c:v>-2.61</c:v>
                </c:pt>
                <c:pt idx="13">
                  <c:v>-3.71</c:v>
                </c:pt>
                <c:pt idx="14">
                  <c:v>-4.76</c:v>
                </c:pt>
                <c:pt idx="15">
                  <c:v>-5.8599999999999994</c:v>
                </c:pt>
                <c:pt idx="16">
                  <c:v>-0.49000000000000021</c:v>
                </c:pt>
                <c:pt idx="17">
                  <c:v>-1.6100000000000003</c:v>
                </c:pt>
                <c:pt idx="18">
                  <c:v>-2.6100000000000003</c:v>
                </c:pt>
                <c:pt idx="19">
                  <c:v>-3.4600000000000004</c:v>
                </c:pt>
                <c:pt idx="20">
                  <c:v>-0.5900000000000003</c:v>
                </c:pt>
                <c:pt idx="21">
                  <c:v>-2.7900000000000005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65-4831-9652-16FDD91C3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lt1">
                  <a:alpha val="40000"/>
                </a:schemeClr>
              </a:solidFill>
              <a:round/>
            </a:ln>
            <a:effectLst/>
          </c:spPr>
        </c:dropLines>
        <c:axId val="2034535135"/>
        <c:axId val="1896174767"/>
      </c:areaChart>
      <c:catAx>
        <c:axId val="203453513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75" cap="flat" cmpd="sng" algn="ctr">
            <a:solidFill>
              <a:schemeClr val="lt1">
                <a:lumMod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96174767"/>
        <c:crosses val="autoZero"/>
        <c:auto val="1"/>
        <c:lblAlgn val="ctr"/>
        <c:lblOffset val="100"/>
        <c:noMultiLvlLbl val="0"/>
      </c:catAx>
      <c:valAx>
        <c:axId val="1896174767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prstDash val="sysDot"/>
              <a:round/>
            </a:ln>
            <a:effectLst/>
          </c:spPr>
        </c:majorGridlines>
        <c:numFmt formatCode="[$$-409]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4535135"/>
        <c:crosses val="autoZero"/>
        <c:crossBetween val="midCat"/>
      </c:valAx>
      <c:spPr>
        <a:solidFill>
          <a:schemeClr val="tx1">
            <a:lumMod val="85000"/>
            <a:lumOff val="15000"/>
          </a:schemeClr>
        </a:solidFill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tx1">
        <a:lumMod val="85000"/>
        <a:lumOff val="15000"/>
      </a:schemeClr>
    </a:solidFill>
    <a:ln w="9525" cap="flat" cmpd="sng" algn="ctr">
      <a:solidFill>
        <a:schemeClr val="tx1">
          <a:lumMod val="95000"/>
          <a:lumOff val="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spPr>
            <a:gradFill>
              <a:gsLst>
                <a:gs pos="100000">
                  <a:schemeClr val="dk1">
                    <a:tint val="88500"/>
                  </a:schemeClr>
                </a:gs>
                <a:gs pos="0">
                  <a:schemeClr val="dk1">
                    <a:tint val="88500"/>
                    <a:lumMod val="75000"/>
                  </a:schemeClr>
                </a:gs>
              </a:gsLst>
              <a:lin ang="0" scaled="1"/>
            </a:gradFill>
            <a:ln w="25400">
              <a:noFill/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val>
            <c:numRef>
              <c:f>TOT!$AA$40:$AA$1036</c:f>
              <c:numCache>
                <c:formatCode>0.00</c:formatCode>
                <c:ptCount val="22"/>
                <c:pt idx="0">
                  <c:v>-1.1000000000000001</c:v>
                </c:pt>
                <c:pt idx="1">
                  <c:v>-2.2200000000000002</c:v>
                </c:pt>
                <c:pt idx="2">
                  <c:v>-4.42</c:v>
                </c:pt>
                <c:pt idx="3">
                  <c:v>-6.52</c:v>
                </c:pt>
                <c:pt idx="4">
                  <c:v>-7.6199999999999992</c:v>
                </c:pt>
                <c:pt idx="5">
                  <c:v>-2.4599999999999991</c:v>
                </c:pt>
                <c:pt idx="6">
                  <c:v>-4.6999999999999993</c:v>
                </c:pt>
                <c:pt idx="7">
                  <c:v>3.2700000000000005</c:v>
                </c:pt>
                <c:pt idx="8">
                  <c:v>2.2700000000000005</c:v>
                </c:pt>
                <c:pt idx="9">
                  <c:v>7.0000000000000284E-2</c:v>
                </c:pt>
                <c:pt idx="10">
                  <c:v>-1.9299999999999997</c:v>
                </c:pt>
                <c:pt idx="11">
                  <c:v>-0.4099999999999997</c:v>
                </c:pt>
                <c:pt idx="12">
                  <c:v>-2.61</c:v>
                </c:pt>
                <c:pt idx="13">
                  <c:v>-3.71</c:v>
                </c:pt>
                <c:pt idx="14">
                  <c:v>-4.76</c:v>
                </c:pt>
                <c:pt idx="15">
                  <c:v>-5.8599999999999994</c:v>
                </c:pt>
                <c:pt idx="16">
                  <c:v>-0.49000000000000021</c:v>
                </c:pt>
                <c:pt idx="17">
                  <c:v>-1.6100000000000003</c:v>
                </c:pt>
                <c:pt idx="18">
                  <c:v>-2.6100000000000003</c:v>
                </c:pt>
                <c:pt idx="19">
                  <c:v>-3.4600000000000004</c:v>
                </c:pt>
                <c:pt idx="20">
                  <c:v>-0.5900000000000003</c:v>
                </c:pt>
                <c:pt idx="21">
                  <c:v>-2.7900000000000005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E7-4951-8781-D2D2EAE44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lt1">
                  <a:alpha val="40000"/>
                </a:schemeClr>
              </a:solidFill>
              <a:round/>
            </a:ln>
            <a:effectLst/>
          </c:spPr>
        </c:dropLines>
        <c:axId val="2034535135"/>
        <c:axId val="1896174767"/>
      </c:areaChart>
      <c:catAx>
        <c:axId val="203453513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75" cap="flat" cmpd="sng" algn="ctr">
            <a:solidFill>
              <a:schemeClr val="lt1">
                <a:lumMod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96174767"/>
        <c:crosses val="autoZero"/>
        <c:auto val="1"/>
        <c:lblAlgn val="ctr"/>
        <c:lblOffset val="100"/>
        <c:noMultiLvlLbl val="0"/>
      </c:catAx>
      <c:valAx>
        <c:axId val="1896174767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prstDash val="sysDot"/>
              <a:round/>
            </a:ln>
            <a:effectLst/>
          </c:spPr>
        </c:majorGridlines>
        <c:numFmt formatCode="[$$-409]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4535135"/>
        <c:crosses val="autoZero"/>
        <c:crossBetween val="midCat"/>
      </c:valAx>
      <c:spPr>
        <a:solidFill>
          <a:schemeClr val="tx1">
            <a:lumMod val="85000"/>
            <a:lumOff val="15000"/>
          </a:schemeClr>
        </a:solidFill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tx1">
        <a:lumMod val="85000"/>
        <a:lumOff val="15000"/>
      </a:schemeClr>
    </a:solidFill>
    <a:ln w="9525" cap="flat" cmpd="sng" algn="ctr">
      <a:solidFill>
        <a:schemeClr val="tx1">
          <a:lumMod val="95000"/>
          <a:lumOff val="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spPr>
            <a:gradFill>
              <a:gsLst>
                <a:gs pos="100000">
                  <a:schemeClr val="dk1">
                    <a:tint val="88500"/>
                  </a:schemeClr>
                </a:gs>
                <a:gs pos="0">
                  <a:schemeClr val="dk1">
                    <a:tint val="88500"/>
                    <a:lumMod val="75000"/>
                  </a:schemeClr>
                </a:gs>
              </a:gsLst>
              <a:lin ang="0" scaled="1"/>
            </a:gradFill>
            <a:ln w="25400">
              <a:noFill/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val>
            <c:numRef>
              <c:f>TOT!$AA$40:$AA$1036</c:f>
              <c:numCache>
                <c:formatCode>0.00</c:formatCode>
                <c:ptCount val="22"/>
                <c:pt idx="0">
                  <c:v>-1.1000000000000001</c:v>
                </c:pt>
                <c:pt idx="1">
                  <c:v>-2.2200000000000002</c:v>
                </c:pt>
                <c:pt idx="2">
                  <c:v>-4.42</c:v>
                </c:pt>
                <c:pt idx="3">
                  <c:v>-6.52</c:v>
                </c:pt>
                <c:pt idx="4">
                  <c:v>-7.6199999999999992</c:v>
                </c:pt>
                <c:pt idx="5">
                  <c:v>-2.4599999999999991</c:v>
                </c:pt>
                <c:pt idx="6">
                  <c:v>-4.6999999999999993</c:v>
                </c:pt>
                <c:pt idx="7">
                  <c:v>3.2700000000000005</c:v>
                </c:pt>
                <c:pt idx="8">
                  <c:v>2.2700000000000005</c:v>
                </c:pt>
                <c:pt idx="9">
                  <c:v>7.0000000000000284E-2</c:v>
                </c:pt>
                <c:pt idx="10">
                  <c:v>-1.9299999999999997</c:v>
                </c:pt>
                <c:pt idx="11">
                  <c:v>-0.4099999999999997</c:v>
                </c:pt>
                <c:pt idx="12">
                  <c:v>-2.61</c:v>
                </c:pt>
                <c:pt idx="13">
                  <c:v>-3.71</c:v>
                </c:pt>
                <c:pt idx="14">
                  <c:v>-4.76</c:v>
                </c:pt>
                <c:pt idx="15">
                  <c:v>-5.8599999999999994</c:v>
                </c:pt>
                <c:pt idx="16">
                  <c:v>-0.49000000000000021</c:v>
                </c:pt>
                <c:pt idx="17">
                  <c:v>-1.6100000000000003</c:v>
                </c:pt>
                <c:pt idx="18">
                  <c:v>-2.6100000000000003</c:v>
                </c:pt>
                <c:pt idx="19">
                  <c:v>-3.4600000000000004</c:v>
                </c:pt>
                <c:pt idx="20">
                  <c:v>-0.5900000000000003</c:v>
                </c:pt>
                <c:pt idx="21">
                  <c:v>-2.7900000000000005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CA-4210-8F3C-E92B82013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lt1">
                  <a:alpha val="40000"/>
                </a:schemeClr>
              </a:solidFill>
              <a:round/>
            </a:ln>
            <a:effectLst/>
          </c:spPr>
        </c:dropLines>
        <c:axId val="2034535135"/>
        <c:axId val="1896174767"/>
      </c:areaChart>
      <c:catAx>
        <c:axId val="203453513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75" cap="flat" cmpd="sng" algn="ctr">
            <a:solidFill>
              <a:schemeClr val="lt1">
                <a:lumMod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96174767"/>
        <c:crosses val="autoZero"/>
        <c:auto val="1"/>
        <c:lblAlgn val="ctr"/>
        <c:lblOffset val="100"/>
        <c:noMultiLvlLbl val="0"/>
      </c:catAx>
      <c:valAx>
        <c:axId val="1896174767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prstDash val="sysDot"/>
              <a:round/>
            </a:ln>
            <a:effectLst/>
          </c:spPr>
        </c:majorGridlines>
        <c:numFmt formatCode="[$$-409]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4535135"/>
        <c:crosses val="autoZero"/>
        <c:crossBetween val="midCat"/>
      </c:valAx>
      <c:spPr>
        <a:solidFill>
          <a:schemeClr val="tx1">
            <a:lumMod val="85000"/>
            <a:lumOff val="15000"/>
          </a:schemeClr>
        </a:solidFill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tx1">
        <a:lumMod val="85000"/>
        <a:lumOff val="15000"/>
      </a:schemeClr>
    </a:solidFill>
    <a:ln w="9525" cap="flat" cmpd="sng" algn="ctr">
      <a:solidFill>
        <a:schemeClr val="tx1">
          <a:lumMod val="95000"/>
          <a:lumOff val="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spPr>
            <a:gradFill>
              <a:gsLst>
                <a:gs pos="100000">
                  <a:schemeClr val="dk1">
                    <a:tint val="88500"/>
                  </a:schemeClr>
                </a:gs>
                <a:gs pos="0">
                  <a:schemeClr val="dk1">
                    <a:tint val="88500"/>
                    <a:lumMod val="75000"/>
                  </a:schemeClr>
                </a:gs>
              </a:gsLst>
              <a:lin ang="0" scaled="1"/>
            </a:gradFill>
            <a:ln w="25400">
              <a:noFill/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val>
            <c:numRef>
              <c:f>TOT!$AA$40:$AA$1036</c:f>
              <c:numCache>
                <c:formatCode>0.00</c:formatCode>
                <c:ptCount val="22"/>
                <c:pt idx="0">
                  <c:v>-1.1000000000000001</c:v>
                </c:pt>
                <c:pt idx="1">
                  <c:v>-2.2200000000000002</c:v>
                </c:pt>
                <c:pt idx="2">
                  <c:v>-4.42</c:v>
                </c:pt>
                <c:pt idx="3">
                  <c:v>-6.52</c:v>
                </c:pt>
                <c:pt idx="4">
                  <c:v>-7.6199999999999992</c:v>
                </c:pt>
                <c:pt idx="5">
                  <c:v>-2.4599999999999991</c:v>
                </c:pt>
                <c:pt idx="6">
                  <c:v>-4.6999999999999993</c:v>
                </c:pt>
                <c:pt idx="7">
                  <c:v>3.2700000000000005</c:v>
                </c:pt>
                <c:pt idx="8">
                  <c:v>2.2700000000000005</c:v>
                </c:pt>
                <c:pt idx="9">
                  <c:v>7.0000000000000284E-2</c:v>
                </c:pt>
                <c:pt idx="10">
                  <c:v>-1.9299999999999997</c:v>
                </c:pt>
                <c:pt idx="11">
                  <c:v>-0.4099999999999997</c:v>
                </c:pt>
                <c:pt idx="12">
                  <c:v>-2.61</c:v>
                </c:pt>
                <c:pt idx="13">
                  <c:v>-3.71</c:v>
                </c:pt>
                <c:pt idx="14">
                  <c:v>-4.76</c:v>
                </c:pt>
                <c:pt idx="15">
                  <c:v>-5.8599999999999994</c:v>
                </c:pt>
                <c:pt idx="16">
                  <c:v>-0.49000000000000021</c:v>
                </c:pt>
                <c:pt idx="17">
                  <c:v>-1.6100000000000003</c:v>
                </c:pt>
                <c:pt idx="18">
                  <c:v>-2.6100000000000003</c:v>
                </c:pt>
                <c:pt idx="19">
                  <c:v>-3.4600000000000004</c:v>
                </c:pt>
                <c:pt idx="20">
                  <c:v>-0.5900000000000003</c:v>
                </c:pt>
                <c:pt idx="21">
                  <c:v>-2.7900000000000005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0A-4BC6-BDCD-05C06D557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lt1">
                  <a:alpha val="40000"/>
                </a:schemeClr>
              </a:solidFill>
              <a:round/>
            </a:ln>
            <a:effectLst/>
          </c:spPr>
        </c:dropLines>
        <c:axId val="2034535135"/>
        <c:axId val="1896174767"/>
      </c:areaChart>
      <c:catAx>
        <c:axId val="203453513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75" cap="flat" cmpd="sng" algn="ctr">
            <a:solidFill>
              <a:schemeClr val="lt1">
                <a:lumMod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96174767"/>
        <c:crosses val="autoZero"/>
        <c:auto val="1"/>
        <c:lblAlgn val="ctr"/>
        <c:lblOffset val="100"/>
        <c:noMultiLvlLbl val="0"/>
      </c:catAx>
      <c:valAx>
        <c:axId val="1896174767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prstDash val="sysDot"/>
              <a:round/>
            </a:ln>
            <a:effectLst/>
          </c:spPr>
        </c:majorGridlines>
        <c:numFmt formatCode="[$$-409]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4535135"/>
        <c:crosses val="autoZero"/>
        <c:crossBetween val="midCat"/>
      </c:valAx>
      <c:spPr>
        <a:solidFill>
          <a:schemeClr val="tx1">
            <a:lumMod val="85000"/>
            <a:lumOff val="15000"/>
          </a:schemeClr>
        </a:solidFill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tx1">
        <a:lumMod val="85000"/>
        <a:lumOff val="15000"/>
      </a:schemeClr>
    </a:solidFill>
    <a:ln w="9525" cap="flat" cmpd="sng" algn="ctr">
      <a:solidFill>
        <a:schemeClr val="tx1">
          <a:lumMod val="95000"/>
          <a:lumOff val="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77">
  <cs:axisTitle>
    <cs:lnRef idx="0"/>
    <cs:fillRef idx="0"/>
    <cs:effectRef idx="0"/>
    <cs:fontRef idx="minor">
      <a:schemeClr val="lt1">
        <a:lumMod val="85000"/>
      </a:schemeClr>
    </cs:fontRef>
    <cs:defRPr sz="900" kern="1200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75" cap="flat" cmpd="sng" algn="ctr">
        <a:solidFill>
          <a:schemeClr val="lt1">
            <a:lumMod val="75000"/>
          </a:schemeClr>
        </a:solidFill>
        <a:round/>
        <a:headEnd type="none" w="sm" len="sm"/>
        <a:tailEnd type="none" w="sm" len="sm"/>
      </a:ln>
    </cs:spPr>
    <cs:defRPr sz="900" b="1" kern="1200" cap="all" baseline="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lt1">
            <a:lumMod val="7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85000"/>
      </a:schemeClr>
    </cs:fontRef>
    <cs:spPr>
      <a:solidFill>
        <a:schemeClr val="dk1">
          <a:lumMod val="65000"/>
          <a:lumOff val="35000"/>
        </a:schemeClr>
      </a:solidFill>
      <a:ln>
        <a:solidFill>
          <a:schemeClr val="lt1">
            <a:lumMod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540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50000"/>
      </a:schemeClr>
    </cs:fontRef>
    <cs:spPr>
      <a:ln w="9525">
        <a:solidFill>
          <a:schemeClr val="lt1">
            <a:lumMod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prstDash val="sysDot"/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6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bg1">
        <a:lumMod val="85000"/>
      </a:schemeClr>
    </cs:fontRef>
    <cs:spPr>
      <a:ln w="19050" cap="flat" cmpd="sng" algn="ctr">
        <a:solidFill>
          <a:schemeClr val="bg1">
            <a:lumMod val="85000"/>
          </a:schemeClr>
        </a:solidFill>
        <a:round/>
        <a:headEnd type="none" w="sm" len="sm"/>
        <a:tailEnd type="none" w="sm" len="sm"/>
      </a:ln>
    </cs:spPr>
    <cs:defRPr sz="900" b="1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ajor">
      <a:schemeClr val="lt1">
        <a:lumMod val="8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77">
  <cs:axisTitle>
    <cs:lnRef idx="0"/>
    <cs:fillRef idx="0"/>
    <cs:effectRef idx="0"/>
    <cs:fontRef idx="minor">
      <a:schemeClr val="lt1">
        <a:lumMod val="85000"/>
      </a:schemeClr>
    </cs:fontRef>
    <cs:defRPr sz="900" kern="1200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75" cap="flat" cmpd="sng" algn="ctr">
        <a:solidFill>
          <a:schemeClr val="lt1">
            <a:lumMod val="75000"/>
          </a:schemeClr>
        </a:solidFill>
        <a:round/>
        <a:headEnd type="none" w="sm" len="sm"/>
        <a:tailEnd type="none" w="sm" len="sm"/>
      </a:ln>
    </cs:spPr>
    <cs:defRPr sz="900" b="1" kern="1200" cap="all" baseline="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lt1">
            <a:lumMod val="7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85000"/>
      </a:schemeClr>
    </cs:fontRef>
    <cs:spPr>
      <a:solidFill>
        <a:schemeClr val="dk1">
          <a:lumMod val="65000"/>
          <a:lumOff val="35000"/>
        </a:schemeClr>
      </a:solidFill>
      <a:ln>
        <a:solidFill>
          <a:schemeClr val="lt1">
            <a:lumMod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540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50000"/>
      </a:schemeClr>
    </cs:fontRef>
    <cs:spPr>
      <a:ln w="9525">
        <a:solidFill>
          <a:schemeClr val="lt1">
            <a:lumMod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prstDash val="sysDot"/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6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bg1">
        <a:lumMod val="85000"/>
      </a:schemeClr>
    </cs:fontRef>
    <cs:spPr>
      <a:ln w="19050" cap="flat" cmpd="sng" algn="ctr">
        <a:solidFill>
          <a:schemeClr val="bg1">
            <a:lumMod val="85000"/>
          </a:schemeClr>
        </a:solidFill>
        <a:round/>
        <a:headEnd type="none" w="sm" len="sm"/>
        <a:tailEnd type="none" w="sm" len="sm"/>
      </a:ln>
    </cs:spPr>
    <cs:defRPr sz="900" b="1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ajor">
      <a:schemeClr val="lt1">
        <a:lumMod val="8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77">
  <cs:axisTitle>
    <cs:lnRef idx="0"/>
    <cs:fillRef idx="0"/>
    <cs:effectRef idx="0"/>
    <cs:fontRef idx="minor">
      <a:schemeClr val="lt1">
        <a:lumMod val="85000"/>
      </a:schemeClr>
    </cs:fontRef>
    <cs:defRPr sz="900" kern="1200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75" cap="flat" cmpd="sng" algn="ctr">
        <a:solidFill>
          <a:schemeClr val="lt1">
            <a:lumMod val="75000"/>
          </a:schemeClr>
        </a:solidFill>
        <a:round/>
        <a:headEnd type="none" w="sm" len="sm"/>
        <a:tailEnd type="none" w="sm" len="sm"/>
      </a:ln>
    </cs:spPr>
    <cs:defRPr sz="900" b="1" kern="1200" cap="all" baseline="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lt1">
            <a:lumMod val="7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85000"/>
      </a:schemeClr>
    </cs:fontRef>
    <cs:spPr>
      <a:solidFill>
        <a:schemeClr val="dk1">
          <a:lumMod val="65000"/>
          <a:lumOff val="35000"/>
        </a:schemeClr>
      </a:solidFill>
      <a:ln>
        <a:solidFill>
          <a:schemeClr val="lt1">
            <a:lumMod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540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50000"/>
      </a:schemeClr>
    </cs:fontRef>
    <cs:spPr>
      <a:ln w="9525">
        <a:solidFill>
          <a:schemeClr val="lt1">
            <a:lumMod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prstDash val="sysDot"/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6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bg1">
        <a:lumMod val="85000"/>
      </a:schemeClr>
    </cs:fontRef>
    <cs:spPr>
      <a:ln w="19050" cap="flat" cmpd="sng" algn="ctr">
        <a:solidFill>
          <a:schemeClr val="bg1">
            <a:lumMod val="85000"/>
          </a:schemeClr>
        </a:solidFill>
        <a:round/>
        <a:headEnd type="none" w="sm" len="sm"/>
        <a:tailEnd type="none" w="sm" len="sm"/>
      </a:ln>
    </cs:spPr>
    <cs:defRPr sz="900" b="1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ajor">
      <a:schemeClr val="lt1">
        <a:lumMod val="8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77">
  <cs:axisTitle>
    <cs:lnRef idx="0"/>
    <cs:fillRef idx="0"/>
    <cs:effectRef idx="0"/>
    <cs:fontRef idx="minor">
      <a:schemeClr val="lt1">
        <a:lumMod val="85000"/>
      </a:schemeClr>
    </cs:fontRef>
    <cs:defRPr sz="900" kern="1200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75" cap="flat" cmpd="sng" algn="ctr">
        <a:solidFill>
          <a:schemeClr val="lt1">
            <a:lumMod val="75000"/>
          </a:schemeClr>
        </a:solidFill>
        <a:round/>
        <a:headEnd type="none" w="sm" len="sm"/>
        <a:tailEnd type="none" w="sm" len="sm"/>
      </a:ln>
    </cs:spPr>
    <cs:defRPr sz="900" b="1" kern="1200" cap="all" baseline="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lt1">
            <a:lumMod val="7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85000"/>
      </a:schemeClr>
    </cs:fontRef>
    <cs:spPr>
      <a:solidFill>
        <a:schemeClr val="dk1">
          <a:lumMod val="65000"/>
          <a:lumOff val="35000"/>
        </a:schemeClr>
      </a:solidFill>
      <a:ln>
        <a:solidFill>
          <a:schemeClr val="lt1">
            <a:lumMod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540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50000"/>
      </a:schemeClr>
    </cs:fontRef>
    <cs:spPr>
      <a:ln w="9525">
        <a:solidFill>
          <a:schemeClr val="lt1">
            <a:lumMod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prstDash val="sysDot"/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6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bg1">
        <a:lumMod val="85000"/>
      </a:schemeClr>
    </cs:fontRef>
    <cs:spPr>
      <a:ln w="19050" cap="flat" cmpd="sng" algn="ctr">
        <a:solidFill>
          <a:schemeClr val="bg1">
            <a:lumMod val="85000"/>
          </a:schemeClr>
        </a:solidFill>
        <a:round/>
        <a:headEnd type="none" w="sm" len="sm"/>
        <a:tailEnd type="none" w="sm" len="sm"/>
      </a:ln>
    </cs:spPr>
    <cs:defRPr sz="900" b="1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ajor">
      <a:schemeClr val="lt1">
        <a:lumMod val="8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77">
  <cs:axisTitle>
    <cs:lnRef idx="0"/>
    <cs:fillRef idx="0"/>
    <cs:effectRef idx="0"/>
    <cs:fontRef idx="minor">
      <a:schemeClr val="lt1">
        <a:lumMod val="85000"/>
      </a:schemeClr>
    </cs:fontRef>
    <cs:defRPr sz="900" kern="1200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75" cap="flat" cmpd="sng" algn="ctr">
        <a:solidFill>
          <a:schemeClr val="lt1">
            <a:lumMod val="75000"/>
          </a:schemeClr>
        </a:solidFill>
        <a:round/>
        <a:headEnd type="none" w="sm" len="sm"/>
        <a:tailEnd type="none" w="sm" len="sm"/>
      </a:ln>
    </cs:spPr>
    <cs:defRPr sz="900" b="1" kern="1200" cap="all" baseline="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lt1">
            <a:lumMod val="7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85000"/>
      </a:schemeClr>
    </cs:fontRef>
    <cs:spPr>
      <a:solidFill>
        <a:schemeClr val="dk1">
          <a:lumMod val="65000"/>
          <a:lumOff val="35000"/>
        </a:schemeClr>
      </a:solidFill>
      <a:ln>
        <a:solidFill>
          <a:schemeClr val="lt1">
            <a:lumMod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540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50000"/>
      </a:schemeClr>
    </cs:fontRef>
    <cs:spPr>
      <a:ln w="9525">
        <a:solidFill>
          <a:schemeClr val="lt1">
            <a:lumMod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prstDash val="sysDot"/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6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bg1">
        <a:lumMod val="85000"/>
      </a:schemeClr>
    </cs:fontRef>
    <cs:spPr>
      <a:ln w="19050" cap="flat" cmpd="sng" algn="ctr">
        <a:solidFill>
          <a:schemeClr val="bg1">
            <a:lumMod val="85000"/>
          </a:schemeClr>
        </a:solidFill>
        <a:round/>
        <a:headEnd type="none" w="sm" len="sm"/>
        <a:tailEnd type="none" w="sm" len="sm"/>
      </a:ln>
    </cs:spPr>
    <cs:defRPr sz="900" b="1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ajor">
      <a:schemeClr val="lt1">
        <a:lumMod val="8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CheckBox" fmlaLink="$W$43" lockText="1"/>
</file>

<file path=xl/ctrlProps/ctrlProp100.xml><?xml version="1.0" encoding="utf-8"?>
<formControlPr xmlns="http://schemas.microsoft.com/office/spreadsheetml/2009/9/main" objectType="CheckBox" fmlaLink="$W$135" lockText="1"/>
</file>

<file path=xl/ctrlProps/ctrlProp101.xml><?xml version="1.0" encoding="utf-8"?>
<formControlPr xmlns="http://schemas.microsoft.com/office/spreadsheetml/2009/9/main" objectType="CheckBox" fmlaLink="$W$136" lockText="1"/>
</file>

<file path=xl/ctrlProps/ctrlProp102.xml><?xml version="1.0" encoding="utf-8"?>
<formControlPr xmlns="http://schemas.microsoft.com/office/spreadsheetml/2009/9/main" objectType="CheckBox" fmlaLink="$W$137" lockText="1"/>
</file>

<file path=xl/ctrlProps/ctrlProp103.xml><?xml version="1.0" encoding="utf-8"?>
<formControlPr xmlns="http://schemas.microsoft.com/office/spreadsheetml/2009/9/main" objectType="CheckBox" fmlaLink="$W$138" lockText="1"/>
</file>

<file path=xl/ctrlProps/ctrlProp104.xml><?xml version="1.0" encoding="utf-8"?>
<formControlPr xmlns="http://schemas.microsoft.com/office/spreadsheetml/2009/9/main" objectType="CheckBox" fmlaLink="$W$100" lockText="1"/>
</file>

<file path=xl/ctrlProps/ctrlProp105.xml><?xml version="1.0" encoding="utf-8"?>
<formControlPr xmlns="http://schemas.microsoft.com/office/spreadsheetml/2009/9/main" objectType="CheckBox" fmlaLink="$W$101" lockText="1"/>
</file>

<file path=xl/ctrlProps/ctrlProp106.xml><?xml version="1.0" encoding="utf-8"?>
<formControlPr xmlns="http://schemas.microsoft.com/office/spreadsheetml/2009/9/main" objectType="CheckBox" fmlaLink="$W$139" lockText="1"/>
</file>

<file path=xl/ctrlProps/ctrlProp107.xml><?xml version="1.0" encoding="utf-8"?>
<formControlPr xmlns="http://schemas.microsoft.com/office/spreadsheetml/2009/9/main" objectType="CheckBox" fmlaLink="$W$140" lockText="1"/>
</file>

<file path=xl/ctrlProps/ctrlProp108.xml><?xml version="1.0" encoding="utf-8"?>
<formControlPr xmlns="http://schemas.microsoft.com/office/spreadsheetml/2009/9/main" objectType="CheckBox" fmlaLink="$W$141" lockText="1"/>
</file>

<file path=xl/ctrlProps/ctrlProp109.xml><?xml version="1.0" encoding="utf-8"?>
<formControlPr xmlns="http://schemas.microsoft.com/office/spreadsheetml/2009/9/main" objectType="CheckBox" fmlaLink="$W$142" lockText="1"/>
</file>

<file path=xl/ctrlProps/ctrlProp11.xml><?xml version="1.0" encoding="utf-8"?>
<formControlPr xmlns="http://schemas.microsoft.com/office/spreadsheetml/2009/9/main" objectType="CheckBox" fmlaLink="$W$44" lockText="1"/>
</file>

<file path=xl/ctrlProps/ctrlProp110.xml><?xml version="1.0" encoding="utf-8"?>
<formControlPr xmlns="http://schemas.microsoft.com/office/spreadsheetml/2009/9/main" objectType="CheckBox" fmlaLink="$W$143" lockText="1"/>
</file>

<file path=xl/ctrlProps/ctrlProp111.xml><?xml version="1.0" encoding="utf-8"?>
<formControlPr xmlns="http://schemas.microsoft.com/office/spreadsheetml/2009/9/main" objectType="CheckBox" fmlaLink="$W$144" lockText="1"/>
</file>

<file path=xl/ctrlProps/ctrlProp112.xml><?xml version="1.0" encoding="utf-8"?>
<formControlPr xmlns="http://schemas.microsoft.com/office/spreadsheetml/2009/9/main" objectType="CheckBox" fmlaLink="$W$145" lockText="1"/>
</file>

<file path=xl/ctrlProps/ctrlProp113.xml><?xml version="1.0" encoding="utf-8"?>
<formControlPr xmlns="http://schemas.microsoft.com/office/spreadsheetml/2009/9/main" objectType="CheckBox" fmlaLink="$W$146" lockText="1"/>
</file>

<file path=xl/ctrlProps/ctrlProp114.xml><?xml version="1.0" encoding="utf-8"?>
<formControlPr xmlns="http://schemas.microsoft.com/office/spreadsheetml/2009/9/main" objectType="CheckBox" fmlaLink="$W$147" lockText="1"/>
</file>

<file path=xl/ctrlProps/ctrlProp115.xml><?xml version="1.0" encoding="utf-8"?>
<formControlPr xmlns="http://schemas.microsoft.com/office/spreadsheetml/2009/9/main" objectType="CheckBox" fmlaLink="$W$148" lockText="1"/>
</file>

<file path=xl/ctrlProps/ctrlProp116.xml><?xml version="1.0" encoding="utf-8"?>
<formControlPr xmlns="http://schemas.microsoft.com/office/spreadsheetml/2009/9/main" objectType="CheckBox" fmlaLink="$W$149" lockText="1"/>
</file>

<file path=xl/ctrlProps/ctrlProp117.xml><?xml version="1.0" encoding="utf-8"?>
<formControlPr xmlns="http://schemas.microsoft.com/office/spreadsheetml/2009/9/main" objectType="CheckBox" fmlaLink="$W$152" lockText="1"/>
</file>

<file path=xl/ctrlProps/ctrlProp118.xml><?xml version="1.0" encoding="utf-8"?>
<formControlPr xmlns="http://schemas.microsoft.com/office/spreadsheetml/2009/9/main" objectType="CheckBox" fmlaLink="$W$153" lockText="1"/>
</file>

<file path=xl/ctrlProps/ctrlProp119.xml><?xml version="1.0" encoding="utf-8"?>
<formControlPr xmlns="http://schemas.microsoft.com/office/spreadsheetml/2009/9/main" objectType="CheckBox" fmlaLink="$W$154" lockText="1"/>
</file>

<file path=xl/ctrlProps/ctrlProp12.xml><?xml version="1.0" encoding="utf-8"?>
<formControlPr xmlns="http://schemas.microsoft.com/office/spreadsheetml/2009/9/main" objectType="CheckBox" fmlaLink="$W$45" lockText="1"/>
</file>

<file path=xl/ctrlProps/ctrlProp120.xml><?xml version="1.0" encoding="utf-8"?>
<formControlPr xmlns="http://schemas.microsoft.com/office/spreadsheetml/2009/9/main" objectType="CheckBox" fmlaLink="$W$155" lockText="1"/>
</file>

<file path=xl/ctrlProps/ctrlProp121.xml><?xml version="1.0" encoding="utf-8"?>
<formControlPr xmlns="http://schemas.microsoft.com/office/spreadsheetml/2009/9/main" objectType="CheckBox" fmlaLink="$W$156" lockText="1"/>
</file>

<file path=xl/ctrlProps/ctrlProp122.xml><?xml version="1.0" encoding="utf-8"?>
<formControlPr xmlns="http://schemas.microsoft.com/office/spreadsheetml/2009/9/main" objectType="CheckBox" fmlaLink="$W$157" lockText="1"/>
</file>

<file path=xl/ctrlProps/ctrlProp123.xml><?xml version="1.0" encoding="utf-8"?>
<formControlPr xmlns="http://schemas.microsoft.com/office/spreadsheetml/2009/9/main" objectType="CheckBox" fmlaLink="$W$158" lockText="1"/>
</file>

<file path=xl/ctrlProps/ctrlProp124.xml><?xml version="1.0" encoding="utf-8"?>
<formControlPr xmlns="http://schemas.microsoft.com/office/spreadsheetml/2009/9/main" objectType="CheckBox" fmlaLink="$W$159" lockText="1"/>
</file>

<file path=xl/ctrlProps/ctrlProp125.xml><?xml version="1.0" encoding="utf-8"?>
<formControlPr xmlns="http://schemas.microsoft.com/office/spreadsheetml/2009/9/main" objectType="CheckBox" fmlaLink="$W$160" lockText="1"/>
</file>

<file path=xl/ctrlProps/ctrlProp126.xml><?xml version="1.0" encoding="utf-8"?>
<formControlPr xmlns="http://schemas.microsoft.com/office/spreadsheetml/2009/9/main" objectType="CheckBox" fmlaLink="$W$161" lockText="1"/>
</file>

<file path=xl/ctrlProps/ctrlProp127.xml><?xml version="1.0" encoding="utf-8"?>
<formControlPr xmlns="http://schemas.microsoft.com/office/spreadsheetml/2009/9/main" objectType="CheckBox" fmlaLink="$W$162" lockText="1"/>
</file>

<file path=xl/ctrlProps/ctrlProp128.xml><?xml version="1.0" encoding="utf-8"?>
<formControlPr xmlns="http://schemas.microsoft.com/office/spreadsheetml/2009/9/main" objectType="CheckBox" fmlaLink="$W$163" lockText="1"/>
</file>

<file path=xl/ctrlProps/ctrlProp129.xml><?xml version="1.0" encoding="utf-8"?>
<formControlPr xmlns="http://schemas.microsoft.com/office/spreadsheetml/2009/9/main" objectType="CheckBox" fmlaLink="$W$164" lockText="1"/>
</file>

<file path=xl/ctrlProps/ctrlProp13.xml><?xml version="1.0" encoding="utf-8"?>
<formControlPr xmlns="http://schemas.microsoft.com/office/spreadsheetml/2009/9/main" objectType="CheckBox" fmlaLink="$W$46" lockText="1"/>
</file>

<file path=xl/ctrlProps/ctrlProp130.xml><?xml version="1.0" encoding="utf-8"?>
<formControlPr xmlns="http://schemas.microsoft.com/office/spreadsheetml/2009/9/main" objectType="CheckBox" fmlaLink="$W$165" lockText="1"/>
</file>

<file path=xl/ctrlProps/ctrlProp131.xml><?xml version="1.0" encoding="utf-8"?>
<formControlPr xmlns="http://schemas.microsoft.com/office/spreadsheetml/2009/9/main" objectType="CheckBox" fmlaLink="$W$166" lockText="1"/>
</file>

<file path=xl/ctrlProps/ctrlProp132.xml><?xml version="1.0" encoding="utf-8"?>
<formControlPr xmlns="http://schemas.microsoft.com/office/spreadsheetml/2009/9/main" objectType="CheckBox" fmlaLink="$W$167" lockText="1"/>
</file>

<file path=xl/ctrlProps/ctrlProp133.xml><?xml version="1.0" encoding="utf-8"?>
<formControlPr xmlns="http://schemas.microsoft.com/office/spreadsheetml/2009/9/main" objectType="CheckBox" fmlaLink="$W$168" lockText="1"/>
</file>

<file path=xl/ctrlProps/ctrlProp134.xml><?xml version="1.0" encoding="utf-8"?>
<formControlPr xmlns="http://schemas.microsoft.com/office/spreadsheetml/2009/9/main" objectType="CheckBox" fmlaLink="$W$169" lockText="1"/>
</file>

<file path=xl/ctrlProps/ctrlProp135.xml><?xml version="1.0" encoding="utf-8"?>
<formControlPr xmlns="http://schemas.microsoft.com/office/spreadsheetml/2009/9/main" objectType="CheckBox" fmlaLink="$W$170" lockText="1"/>
</file>

<file path=xl/ctrlProps/ctrlProp136.xml><?xml version="1.0" encoding="utf-8"?>
<formControlPr xmlns="http://schemas.microsoft.com/office/spreadsheetml/2009/9/main" objectType="CheckBox" fmlaLink="$W$171" lockText="1"/>
</file>

<file path=xl/ctrlProps/ctrlProp137.xml><?xml version="1.0" encoding="utf-8"?>
<formControlPr xmlns="http://schemas.microsoft.com/office/spreadsheetml/2009/9/main" objectType="CheckBox" fmlaLink="$W$172" lockText="1"/>
</file>

<file path=xl/ctrlProps/ctrlProp138.xml><?xml version="1.0" encoding="utf-8"?>
<formControlPr xmlns="http://schemas.microsoft.com/office/spreadsheetml/2009/9/main" objectType="CheckBox" fmlaLink="$W$173" lockText="1"/>
</file>

<file path=xl/ctrlProps/ctrlProp139.xml><?xml version="1.0" encoding="utf-8"?>
<formControlPr xmlns="http://schemas.microsoft.com/office/spreadsheetml/2009/9/main" objectType="CheckBox" fmlaLink="$W$174" lockText="1"/>
</file>

<file path=xl/ctrlProps/ctrlProp14.xml><?xml version="1.0" encoding="utf-8"?>
<formControlPr xmlns="http://schemas.microsoft.com/office/spreadsheetml/2009/9/main" objectType="CheckBox" fmlaLink="$W$47" lockText="1"/>
</file>

<file path=xl/ctrlProps/ctrlProp140.xml><?xml version="1.0" encoding="utf-8"?>
<formControlPr xmlns="http://schemas.microsoft.com/office/spreadsheetml/2009/9/main" objectType="CheckBox" fmlaLink="$W$175" lockText="1"/>
</file>

<file path=xl/ctrlProps/ctrlProp141.xml><?xml version="1.0" encoding="utf-8"?>
<formControlPr xmlns="http://schemas.microsoft.com/office/spreadsheetml/2009/9/main" objectType="CheckBox" fmlaLink="$W$176" lockText="1"/>
</file>

<file path=xl/ctrlProps/ctrlProp142.xml><?xml version="1.0" encoding="utf-8"?>
<formControlPr xmlns="http://schemas.microsoft.com/office/spreadsheetml/2009/9/main" objectType="CheckBox" fmlaLink="$W$177" lockText="1"/>
</file>

<file path=xl/ctrlProps/ctrlProp143.xml><?xml version="1.0" encoding="utf-8"?>
<formControlPr xmlns="http://schemas.microsoft.com/office/spreadsheetml/2009/9/main" objectType="CheckBox" fmlaLink="$W$178" lockText="1"/>
</file>

<file path=xl/ctrlProps/ctrlProp144.xml><?xml version="1.0" encoding="utf-8"?>
<formControlPr xmlns="http://schemas.microsoft.com/office/spreadsheetml/2009/9/main" objectType="CheckBox" fmlaLink="$W$179" lockText="1"/>
</file>

<file path=xl/ctrlProps/ctrlProp145.xml><?xml version="1.0" encoding="utf-8"?>
<formControlPr xmlns="http://schemas.microsoft.com/office/spreadsheetml/2009/9/main" objectType="CheckBox" fmlaLink="$W$180" lockText="1"/>
</file>

<file path=xl/ctrlProps/ctrlProp146.xml><?xml version="1.0" encoding="utf-8"?>
<formControlPr xmlns="http://schemas.microsoft.com/office/spreadsheetml/2009/9/main" objectType="CheckBox" fmlaLink="$W$181" lockText="1"/>
</file>

<file path=xl/ctrlProps/ctrlProp147.xml><?xml version="1.0" encoding="utf-8"?>
<formControlPr xmlns="http://schemas.microsoft.com/office/spreadsheetml/2009/9/main" objectType="CheckBox" fmlaLink="$W$182" lockText="1"/>
</file>

<file path=xl/ctrlProps/ctrlProp148.xml><?xml version="1.0" encoding="utf-8"?>
<formControlPr xmlns="http://schemas.microsoft.com/office/spreadsheetml/2009/9/main" objectType="CheckBox" fmlaLink="$W$183" lockText="1"/>
</file>

<file path=xl/ctrlProps/ctrlProp149.xml><?xml version="1.0" encoding="utf-8"?>
<formControlPr xmlns="http://schemas.microsoft.com/office/spreadsheetml/2009/9/main" objectType="CheckBox" fmlaLink="$W$184" lockText="1"/>
</file>

<file path=xl/ctrlProps/ctrlProp15.xml><?xml version="1.0" encoding="utf-8"?>
<formControlPr xmlns="http://schemas.microsoft.com/office/spreadsheetml/2009/9/main" objectType="CheckBox" fmlaLink="$W$48" lockText="1"/>
</file>

<file path=xl/ctrlProps/ctrlProp150.xml><?xml version="1.0" encoding="utf-8"?>
<formControlPr xmlns="http://schemas.microsoft.com/office/spreadsheetml/2009/9/main" objectType="CheckBox" fmlaLink="$W$185" lockText="1"/>
</file>

<file path=xl/ctrlProps/ctrlProp151.xml><?xml version="1.0" encoding="utf-8"?>
<formControlPr xmlns="http://schemas.microsoft.com/office/spreadsheetml/2009/9/main" objectType="CheckBox" fmlaLink="$W$186" lockText="1"/>
</file>

<file path=xl/ctrlProps/ctrlProp152.xml><?xml version="1.0" encoding="utf-8"?>
<formControlPr xmlns="http://schemas.microsoft.com/office/spreadsheetml/2009/9/main" objectType="CheckBox" fmlaLink="$W$187" lockText="1"/>
</file>

<file path=xl/ctrlProps/ctrlProp153.xml><?xml version="1.0" encoding="utf-8"?>
<formControlPr xmlns="http://schemas.microsoft.com/office/spreadsheetml/2009/9/main" objectType="CheckBox" fmlaLink="$W$188" lockText="1"/>
</file>

<file path=xl/ctrlProps/ctrlProp154.xml><?xml version="1.0" encoding="utf-8"?>
<formControlPr xmlns="http://schemas.microsoft.com/office/spreadsheetml/2009/9/main" objectType="CheckBox" fmlaLink="$W$150" lockText="1"/>
</file>

<file path=xl/ctrlProps/ctrlProp155.xml><?xml version="1.0" encoding="utf-8"?>
<formControlPr xmlns="http://schemas.microsoft.com/office/spreadsheetml/2009/9/main" objectType="CheckBox" fmlaLink="$W$151" lockText="1"/>
</file>

<file path=xl/ctrlProps/ctrlProp156.xml><?xml version="1.0" encoding="utf-8"?>
<formControlPr xmlns="http://schemas.microsoft.com/office/spreadsheetml/2009/9/main" objectType="CheckBox" fmlaLink="$W$189" lockText="1"/>
</file>

<file path=xl/ctrlProps/ctrlProp157.xml><?xml version="1.0" encoding="utf-8"?>
<formControlPr xmlns="http://schemas.microsoft.com/office/spreadsheetml/2009/9/main" objectType="CheckBox" fmlaLink="$W$190" lockText="1"/>
</file>

<file path=xl/ctrlProps/ctrlProp158.xml><?xml version="1.0" encoding="utf-8"?>
<formControlPr xmlns="http://schemas.microsoft.com/office/spreadsheetml/2009/9/main" objectType="CheckBox" fmlaLink="$W$191" lockText="1"/>
</file>

<file path=xl/ctrlProps/ctrlProp159.xml><?xml version="1.0" encoding="utf-8"?>
<formControlPr xmlns="http://schemas.microsoft.com/office/spreadsheetml/2009/9/main" objectType="CheckBox" fmlaLink="$W$192" lockText="1"/>
</file>

<file path=xl/ctrlProps/ctrlProp16.xml><?xml version="1.0" encoding="utf-8"?>
<formControlPr xmlns="http://schemas.microsoft.com/office/spreadsheetml/2009/9/main" objectType="CheckBox" fmlaLink="$W$49" lockText="1"/>
</file>

<file path=xl/ctrlProps/ctrlProp160.xml><?xml version="1.0" encoding="utf-8"?>
<formControlPr xmlns="http://schemas.microsoft.com/office/spreadsheetml/2009/9/main" objectType="CheckBox" fmlaLink="$W$193" lockText="1"/>
</file>

<file path=xl/ctrlProps/ctrlProp161.xml><?xml version="1.0" encoding="utf-8"?>
<formControlPr xmlns="http://schemas.microsoft.com/office/spreadsheetml/2009/9/main" objectType="CheckBox" fmlaLink="$W$194" lockText="1"/>
</file>

<file path=xl/ctrlProps/ctrlProp162.xml><?xml version="1.0" encoding="utf-8"?>
<formControlPr xmlns="http://schemas.microsoft.com/office/spreadsheetml/2009/9/main" objectType="CheckBox" fmlaLink="$W$195" lockText="1"/>
</file>

<file path=xl/ctrlProps/ctrlProp163.xml><?xml version="1.0" encoding="utf-8"?>
<formControlPr xmlns="http://schemas.microsoft.com/office/spreadsheetml/2009/9/main" objectType="CheckBox" fmlaLink="$W$196" lockText="1"/>
</file>

<file path=xl/ctrlProps/ctrlProp164.xml><?xml version="1.0" encoding="utf-8"?>
<formControlPr xmlns="http://schemas.microsoft.com/office/spreadsheetml/2009/9/main" objectType="CheckBox" fmlaLink="$W$197" lockText="1"/>
</file>

<file path=xl/ctrlProps/ctrlProp165.xml><?xml version="1.0" encoding="utf-8"?>
<formControlPr xmlns="http://schemas.microsoft.com/office/spreadsheetml/2009/9/main" objectType="CheckBox" fmlaLink="$W$198" lockText="1"/>
</file>

<file path=xl/ctrlProps/ctrlProp166.xml><?xml version="1.0" encoding="utf-8"?>
<formControlPr xmlns="http://schemas.microsoft.com/office/spreadsheetml/2009/9/main" objectType="CheckBox" fmlaLink="$W$199" lockText="1"/>
</file>

<file path=xl/ctrlProps/ctrlProp167.xml><?xml version="1.0" encoding="utf-8"?>
<formControlPr xmlns="http://schemas.microsoft.com/office/spreadsheetml/2009/9/main" objectType="CheckBox" fmlaLink="$W$202" lockText="1"/>
</file>

<file path=xl/ctrlProps/ctrlProp168.xml><?xml version="1.0" encoding="utf-8"?>
<formControlPr xmlns="http://schemas.microsoft.com/office/spreadsheetml/2009/9/main" objectType="CheckBox" fmlaLink="$W$203" lockText="1"/>
</file>

<file path=xl/ctrlProps/ctrlProp169.xml><?xml version="1.0" encoding="utf-8"?>
<formControlPr xmlns="http://schemas.microsoft.com/office/spreadsheetml/2009/9/main" objectType="CheckBox" fmlaLink="$W$204" lockText="1"/>
</file>

<file path=xl/ctrlProps/ctrlProp17.xml><?xml version="1.0" encoding="utf-8"?>
<formControlPr xmlns="http://schemas.microsoft.com/office/spreadsheetml/2009/9/main" objectType="CheckBox" fmlaLink="$W$52" lockText="1"/>
</file>

<file path=xl/ctrlProps/ctrlProp170.xml><?xml version="1.0" encoding="utf-8"?>
<formControlPr xmlns="http://schemas.microsoft.com/office/spreadsheetml/2009/9/main" objectType="CheckBox" fmlaLink="$W$205" lockText="1"/>
</file>

<file path=xl/ctrlProps/ctrlProp171.xml><?xml version="1.0" encoding="utf-8"?>
<formControlPr xmlns="http://schemas.microsoft.com/office/spreadsheetml/2009/9/main" objectType="CheckBox" fmlaLink="$W$206" lockText="1"/>
</file>

<file path=xl/ctrlProps/ctrlProp172.xml><?xml version="1.0" encoding="utf-8"?>
<formControlPr xmlns="http://schemas.microsoft.com/office/spreadsheetml/2009/9/main" objectType="CheckBox" fmlaLink="$W$207" lockText="1"/>
</file>

<file path=xl/ctrlProps/ctrlProp173.xml><?xml version="1.0" encoding="utf-8"?>
<formControlPr xmlns="http://schemas.microsoft.com/office/spreadsheetml/2009/9/main" objectType="CheckBox" fmlaLink="$W$208" lockText="1"/>
</file>

<file path=xl/ctrlProps/ctrlProp174.xml><?xml version="1.0" encoding="utf-8"?>
<formControlPr xmlns="http://schemas.microsoft.com/office/spreadsheetml/2009/9/main" objectType="CheckBox" fmlaLink="$W$209" lockText="1"/>
</file>

<file path=xl/ctrlProps/ctrlProp175.xml><?xml version="1.0" encoding="utf-8"?>
<formControlPr xmlns="http://schemas.microsoft.com/office/spreadsheetml/2009/9/main" objectType="CheckBox" fmlaLink="$W$210" lockText="1"/>
</file>

<file path=xl/ctrlProps/ctrlProp176.xml><?xml version="1.0" encoding="utf-8"?>
<formControlPr xmlns="http://schemas.microsoft.com/office/spreadsheetml/2009/9/main" objectType="CheckBox" fmlaLink="$W$211" lockText="1"/>
</file>

<file path=xl/ctrlProps/ctrlProp177.xml><?xml version="1.0" encoding="utf-8"?>
<formControlPr xmlns="http://schemas.microsoft.com/office/spreadsheetml/2009/9/main" objectType="CheckBox" fmlaLink="$W$212" lockText="1"/>
</file>

<file path=xl/ctrlProps/ctrlProp178.xml><?xml version="1.0" encoding="utf-8"?>
<formControlPr xmlns="http://schemas.microsoft.com/office/spreadsheetml/2009/9/main" objectType="CheckBox" fmlaLink="$W$213" lockText="1"/>
</file>

<file path=xl/ctrlProps/ctrlProp179.xml><?xml version="1.0" encoding="utf-8"?>
<formControlPr xmlns="http://schemas.microsoft.com/office/spreadsheetml/2009/9/main" objectType="CheckBox" fmlaLink="$W$214" lockText="1"/>
</file>

<file path=xl/ctrlProps/ctrlProp18.xml><?xml version="1.0" encoding="utf-8"?>
<formControlPr xmlns="http://schemas.microsoft.com/office/spreadsheetml/2009/9/main" objectType="CheckBox" fmlaLink="$W$53" lockText="1"/>
</file>

<file path=xl/ctrlProps/ctrlProp180.xml><?xml version="1.0" encoding="utf-8"?>
<formControlPr xmlns="http://schemas.microsoft.com/office/spreadsheetml/2009/9/main" objectType="CheckBox" fmlaLink="$W$215" lockText="1"/>
</file>

<file path=xl/ctrlProps/ctrlProp181.xml><?xml version="1.0" encoding="utf-8"?>
<formControlPr xmlns="http://schemas.microsoft.com/office/spreadsheetml/2009/9/main" objectType="CheckBox" fmlaLink="$W$216" lockText="1"/>
</file>

<file path=xl/ctrlProps/ctrlProp182.xml><?xml version="1.0" encoding="utf-8"?>
<formControlPr xmlns="http://schemas.microsoft.com/office/spreadsheetml/2009/9/main" objectType="CheckBox" fmlaLink="$W$217" lockText="1"/>
</file>

<file path=xl/ctrlProps/ctrlProp183.xml><?xml version="1.0" encoding="utf-8"?>
<formControlPr xmlns="http://schemas.microsoft.com/office/spreadsheetml/2009/9/main" objectType="CheckBox" fmlaLink="$W$218" lockText="1"/>
</file>

<file path=xl/ctrlProps/ctrlProp184.xml><?xml version="1.0" encoding="utf-8"?>
<formControlPr xmlns="http://schemas.microsoft.com/office/spreadsheetml/2009/9/main" objectType="CheckBox" fmlaLink="$W$219" lockText="1"/>
</file>

<file path=xl/ctrlProps/ctrlProp185.xml><?xml version="1.0" encoding="utf-8"?>
<formControlPr xmlns="http://schemas.microsoft.com/office/spreadsheetml/2009/9/main" objectType="CheckBox" fmlaLink="$W$220" lockText="1"/>
</file>

<file path=xl/ctrlProps/ctrlProp186.xml><?xml version="1.0" encoding="utf-8"?>
<formControlPr xmlns="http://schemas.microsoft.com/office/spreadsheetml/2009/9/main" objectType="CheckBox" fmlaLink="$W$221" lockText="1"/>
</file>

<file path=xl/ctrlProps/ctrlProp187.xml><?xml version="1.0" encoding="utf-8"?>
<formControlPr xmlns="http://schemas.microsoft.com/office/spreadsheetml/2009/9/main" objectType="CheckBox" fmlaLink="$W$222" lockText="1"/>
</file>

<file path=xl/ctrlProps/ctrlProp188.xml><?xml version="1.0" encoding="utf-8"?>
<formControlPr xmlns="http://schemas.microsoft.com/office/spreadsheetml/2009/9/main" objectType="CheckBox" fmlaLink="$W$223" lockText="1"/>
</file>

<file path=xl/ctrlProps/ctrlProp189.xml><?xml version="1.0" encoding="utf-8"?>
<formControlPr xmlns="http://schemas.microsoft.com/office/spreadsheetml/2009/9/main" objectType="CheckBox" fmlaLink="$W$224" lockText="1"/>
</file>

<file path=xl/ctrlProps/ctrlProp19.xml><?xml version="1.0" encoding="utf-8"?>
<formControlPr xmlns="http://schemas.microsoft.com/office/spreadsheetml/2009/9/main" objectType="CheckBox" fmlaLink="$W$54" lockText="1"/>
</file>

<file path=xl/ctrlProps/ctrlProp190.xml><?xml version="1.0" encoding="utf-8"?>
<formControlPr xmlns="http://schemas.microsoft.com/office/spreadsheetml/2009/9/main" objectType="CheckBox" fmlaLink="$W$225" lockText="1"/>
</file>

<file path=xl/ctrlProps/ctrlProp191.xml><?xml version="1.0" encoding="utf-8"?>
<formControlPr xmlns="http://schemas.microsoft.com/office/spreadsheetml/2009/9/main" objectType="CheckBox" fmlaLink="$W$226" lockText="1"/>
</file>

<file path=xl/ctrlProps/ctrlProp192.xml><?xml version="1.0" encoding="utf-8"?>
<formControlPr xmlns="http://schemas.microsoft.com/office/spreadsheetml/2009/9/main" objectType="CheckBox" fmlaLink="$W$227" lockText="1"/>
</file>

<file path=xl/ctrlProps/ctrlProp193.xml><?xml version="1.0" encoding="utf-8"?>
<formControlPr xmlns="http://schemas.microsoft.com/office/spreadsheetml/2009/9/main" objectType="CheckBox" fmlaLink="$W$228" lockText="1"/>
</file>

<file path=xl/ctrlProps/ctrlProp194.xml><?xml version="1.0" encoding="utf-8"?>
<formControlPr xmlns="http://schemas.microsoft.com/office/spreadsheetml/2009/9/main" objectType="CheckBox" fmlaLink="$W$229" lockText="1"/>
</file>

<file path=xl/ctrlProps/ctrlProp195.xml><?xml version="1.0" encoding="utf-8"?>
<formControlPr xmlns="http://schemas.microsoft.com/office/spreadsheetml/2009/9/main" objectType="CheckBox" fmlaLink="$W$230" lockText="1"/>
</file>

<file path=xl/ctrlProps/ctrlProp196.xml><?xml version="1.0" encoding="utf-8"?>
<formControlPr xmlns="http://schemas.microsoft.com/office/spreadsheetml/2009/9/main" objectType="CheckBox" fmlaLink="$W$231" lockText="1"/>
</file>

<file path=xl/ctrlProps/ctrlProp197.xml><?xml version="1.0" encoding="utf-8"?>
<formControlPr xmlns="http://schemas.microsoft.com/office/spreadsheetml/2009/9/main" objectType="CheckBox" fmlaLink="$W$232" lockText="1"/>
</file>

<file path=xl/ctrlProps/ctrlProp198.xml><?xml version="1.0" encoding="utf-8"?>
<formControlPr xmlns="http://schemas.microsoft.com/office/spreadsheetml/2009/9/main" objectType="CheckBox" fmlaLink="$W$233" lockText="1"/>
</file>

<file path=xl/ctrlProps/ctrlProp199.xml><?xml version="1.0" encoding="utf-8"?>
<formControlPr xmlns="http://schemas.microsoft.com/office/spreadsheetml/2009/9/main" objectType="CheckBox" fmlaLink="$W$234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CheckBox" fmlaLink="$W$55" lockText="1"/>
</file>

<file path=xl/ctrlProps/ctrlProp200.xml><?xml version="1.0" encoding="utf-8"?>
<formControlPr xmlns="http://schemas.microsoft.com/office/spreadsheetml/2009/9/main" objectType="CheckBox" fmlaLink="$W$235" lockText="1"/>
</file>

<file path=xl/ctrlProps/ctrlProp201.xml><?xml version="1.0" encoding="utf-8"?>
<formControlPr xmlns="http://schemas.microsoft.com/office/spreadsheetml/2009/9/main" objectType="CheckBox" fmlaLink="$W$236" lockText="1"/>
</file>

<file path=xl/ctrlProps/ctrlProp202.xml><?xml version="1.0" encoding="utf-8"?>
<formControlPr xmlns="http://schemas.microsoft.com/office/spreadsheetml/2009/9/main" objectType="CheckBox" fmlaLink="$W$237" lockText="1"/>
</file>

<file path=xl/ctrlProps/ctrlProp203.xml><?xml version="1.0" encoding="utf-8"?>
<formControlPr xmlns="http://schemas.microsoft.com/office/spreadsheetml/2009/9/main" objectType="CheckBox" fmlaLink="$W$238" lockText="1"/>
</file>

<file path=xl/ctrlProps/ctrlProp204.xml><?xml version="1.0" encoding="utf-8"?>
<formControlPr xmlns="http://schemas.microsoft.com/office/spreadsheetml/2009/9/main" objectType="CheckBox" fmlaLink="$W$200" lockText="1"/>
</file>

<file path=xl/ctrlProps/ctrlProp205.xml><?xml version="1.0" encoding="utf-8"?>
<formControlPr xmlns="http://schemas.microsoft.com/office/spreadsheetml/2009/9/main" objectType="CheckBox" fmlaLink="$W$201" lockText="1"/>
</file>

<file path=xl/ctrlProps/ctrlProp206.xml><?xml version="1.0" encoding="utf-8"?>
<formControlPr xmlns="http://schemas.microsoft.com/office/spreadsheetml/2009/9/main" objectType="CheckBox" fmlaLink="$W$238" lockText="1"/>
</file>

<file path=xl/ctrlProps/ctrlProp207.xml><?xml version="1.0" encoding="utf-8"?>
<formControlPr xmlns="http://schemas.microsoft.com/office/spreadsheetml/2009/9/main" objectType="Button" lockText="1"/>
</file>

<file path=xl/ctrlProps/ctrlProp208.xml><?xml version="1.0" encoding="utf-8"?>
<formControlPr xmlns="http://schemas.microsoft.com/office/spreadsheetml/2009/9/main" objectType="Button" lockText="1"/>
</file>

<file path=xl/ctrlProps/ctrlProp209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CheckBox" fmlaLink="$W$56" lockText="1"/>
</file>

<file path=xl/ctrlProps/ctrlProp210.xml><?xml version="1.0" encoding="utf-8"?>
<formControlPr xmlns="http://schemas.microsoft.com/office/spreadsheetml/2009/9/main" objectType="Button" lockText="1"/>
</file>

<file path=xl/ctrlProps/ctrlProp211.xml><?xml version="1.0" encoding="utf-8"?>
<formControlPr xmlns="http://schemas.microsoft.com/office/spreadsheetml/2009/9/main" objectType="Button" lockText="1"/>
</file>

<file path=xl/ctrlProps/ctrlProp212.xml><?xml version="1.0" encoding="utf-8"?>
<formControlPr xmlns="http://schemas.microsoft.com/office/spreadsheetml/2009/9/main" objectType="Button" lockText="1"/>
</file>

<file path=xl/ctrlProps/ctrlProp213.xml><?xml version="1.0" encoding="utf-8"?>
<formControlPr xmlns="http://schemas.microsoft.com/office/spreadsheetml/2009/9/main" objectType="Button" lockText="1"/>
</file>

<file path=xl/ctrlProps/ctrlProp214.xml><?xml version="1.0" encoding="utf-8"?>
<formControlPr xmlns="http://schemas.microsoft.com/office/spreadsheetml/2009/9/main" objectType="Button" lockText="1"/>
</file>

<file path=xl/ctrlProps/ctrlProp215.xml><?xml version="1.0" encoding="utf-8"?>
<formControlPr xmlns="http://schemas.microsoft.com/office/spreadsheetml/2009/9/main" objectType="Button" lockText="1"/>
</file>

<file path=xl/ctrlProps/ctrlProp216.xml><?xml version="1.0" encoding="utf-8"?>
<formControlPr xmlns="http://schemas.microsoft.com/office/spreadsheetml/2009/9/main" objectType="CheckBox" fmlaLink="$U$39" lockText="1"/>
</file>

<file path=xl/ctrlProps/ctrlProp217.xml><?xml version="1.0" encoding="utf-8"?>
<formControlPr xmlns="http://schemas.microsoft.com/office/spreadsheetml/2009/9/main" objectType="CheckBox" fmlaLink="$U$40" lockText="1"/>
</file>

<file path=xl/ctrlProps/ctrlProp218.xml><?xml version="1.0" encoding="utf-8"?>
<formControlPr xmlns="http://schemas.microsoft.com/office/spreadsheetml/2009/9/main" objectType="CheckBox" fmlaLink="$U$41" lockText="1"/>
</file>

<file path=xl/ctrlProps/ctrlProp219.xml><?xml version="1.0" encoding="utf-8"?>
<formControlPr xmlns="http://schemas.microsoft.com/office/spreadsheetml/2009/9/main" objectType="CheckBox" fmlaLink="$U$42" lockText="1"/>
</file>

<file path=xl/ctrlProps/ctrlProp22.xml><?xml version="1.0" encoding="utf-8"?>
<formControlPr xmlns="http://schemas.microsoft.com/office/spreadsheetml/2009/9/main" objectType="CheckBox" fmlaLink="$W$57" lockText="1"/>
</file>

<file path=xl/ctrlProps/ctrlProp220.xml><?xml version="1.0" encoding="utf-8"?>
<formControlPr xmlns="http://schemas.microsoft.com/office/spreadsheetml/2009/9/main" objectType="CheckBox" fmlaLink="$U$43" lockText="1"/>
</file>

<file path=xl/ctrlProps/ctrlProp221.xml><?xml version="1.0" encoding="utf-8"?>
<formControlPr xmlns="http://schemas.microsoft.com/office/spreadsheetml/2009/9/main" objectType="CheckBox" fmlaLink="$U$44" lockText="1"/>
</file>

<file path=xl/ctrlProps/ctrlProp222.xml><?xml version="1.0" encoding="utf-8"?>
<formControlPr xmlns="http://schemas.microsoft.com/office/spreadsheetml/2009/9/main" objectType="CheckBox" fmlaLink="$U$45" lockText="1"/>
</file>

<file path=xl/ctrlProps/ctrlProp223.xml><?xml version="1.0" encoding="utf-8"?>
<formControlPr xmlns="http://schemas.microsoft.com/office/spreadsheetml/2009/9/main" objectType="CheckBox" fmlaLink="$U$46" lockText="1"/>
</file>

<file path=xl/ctrlProps/ctrlProp224.xml><?xml version="1.0" encoding="utf-8"?>
<formControlPr xmlns="http://schemas.microsoft.com/office/spreadsheetml/2009/9/main" objectType="CheckBox" fmlaLink="$U$47" lockText="1"/>
</file>

<file path=xl/ctrlProps/ctrlProp225.xml><?xml version="1.0" encoding="utf-8"?>
<formControlPr xmlns="http://schemas.microsoft.com/office/spreadsheetml/2009/9/main" objectType="CheckBox" fmlaLink="$U$48" lockText="1"/>
</file>

<file path=xl/ctrlProps/ctrlProp226.xml><?xml version="1.0" encoding="utf-8"?>
<formControlPr xmlns="http://schemas.microsoft.com/office/spreadsheetml/2009/9/main" objectType="CheckBox" fmlaLink="$U$49" lockText="1"/>
</file>

<file path=xl/ctrlProps/ctrlProp227.xml><?xml version="1.0" encoding="utf-8"?>
<formControlPr xmlns="http://schemas.microsoft.com/office/spreadsheetml/2009/9/main" objectType="CheckBox" fmlaLink="$U$52" lockText="1"/>
</file>

<file path=xl/ctrlProps/ctrlProp228.xml><?xml version="1.0" encoding="utf-8"?>
<formControlPr xmlns="http://schemas.microsoft.com/office/spreadsheetml/2009/9/main" objectType="CheckBox" fmlaLink="$U$53" lockText="1"/>
</file>

<file path=xl/ctrlProps/ctrlProp229.xml><?xml version="1.0" encoding="utf-8"?>
<formControlPr xmlns="http://schemas.microsoft.com/office/spreadsheetml/2009/9/main" objectType="CheckBox" fmlaLink="$U$54" lockText="1"/>
</file>

<file path=xl/ctrlProps/ctrlProp23.xml><?xml version="1.0" encoding="utf-8"?>
<formControlPr xmlns="http://schemas.microsoft.com/office/spreadsheetml/2009/9/main" objectType="CheckBox" fmlaLink="$W$58" lockText="1"/>
</file>

<file path=xl/ctrlProps/ctrlProp230.xml><?xml version="1.0" encoding="utf-8"?>
<formControlPr xmlns="http://schemas.microsoft.com/office/spreadsheetml/2009/9/main" objectType="CheckBox" fmlaLink="$U$55" lockText="1"/>
</file>

<file path=xl/ctrlProps/ctrlProp231.xml><?xml version="1.0" encoding="utf-8"?>
<formControlPr xmlns="http://schemas.microsoft.com/office/spreadsheetml/2009/9/main" objectType="CheckBox" fmlaLink="$U$56" lockText="1"/>
</file>

<file path=xl/ctrlProps/ctrlProp232.xml><?xml version="1.0" encoding="utf-8"?>
<formControlPr xmlns="http://schemas.microsoft.com/office/spreadsheetml/2009/9/main" objectType="CheckBox" fmlaLink="$U$57" lockText="1"/>
</file>

<file path=xl/ctrlProps/ctrlProp233.xml><?xml version="1.0" encoding="utf-8"?>
<formControlPr xmlns="http://schemas.microsoft.com/office/spreadsheetml/2009/9/main" objectType="CheckBox" fmlaLink="$U$58" lockText="1"/>
</file>

<file path=xl/ctrlProps/ctrlProp234.xml><?xml version="1.0" encoding="utf-8"?>
<formControlPr xmlns="http://schemas.microsoft.com/office/spreadsheetml/2009/9/main" objectType="CheckBox" fmlaLink="$U$59" lockText="1"/>
</file>

<file path=xl/ctrlProps/ctrlProp235.xml><?xml version="1.0" encoding="utf-8"?>
<formControlPr xmlns="http://schemas.microsoft.com/office/spreadsheetml/2009/9/main" objectType="CheckBox" fmlaLink="$U$60" lockText="1"/>
</file>

<file path=xl/ctrlProps/ctrlProp236.xml><?xml version="1.0" encoding="utf-8"?>
<formControlPr xmlns="http://schemas.microsoft.com/office/spreadsheetml/2009/9/main" objectType="CheckBox" fmlaLink="$U$61" lockText="1"/>
</file>

<file path=xl/ctrlProps/ctrlProp237.xml><?xml version="1.0" encoding="utf-8"?>
<formControlPr xmlns="http://schemas.microsoft.com/office/spreadsheetml/2009/9/main" objectType="CheckBox" fmlaLink="$U$62" lockText="1"/>
</file>

<file path=xl/ctrlProps/ctrlProp238.xml><?xml version="1.0" encoding="utf-8"?>
<formControlPr xmlns="http://schemas.microsoft.com/office/spreadsheetml/2009/9/main" objectType="CheckBox" fmlaLink="$U$63" lockText="1"/>
</file>

<file path=xl/ctrlProps/ctrlProp239.xml><?xml version="1.0" encoding="utf-8"?>
<formControlPr xmlns="http://schemas.microsoft.com/office/spreadsheetml/2009/9/main" objectType="CheckBox" fmlaLink="$U$64" lockText="1"/>
</file>

<file path=xl/ctrlProps/ctrlProp24.xml><?xml version="1.0" encoding="utf-8"?>
<formControlPr xmlns="http://schemas.microsoft.com/office/spreadsheetml/2009/9/main" objectType="CheckBox" fmlaLink="$W$59" lockText="1"/>
</file>

<file path=xl/ctrlProps/ctrlProp240.xml><?xml version="1.0" encoding="utf-8"?>
<formControlPr xmlns="http://schemas.microsoft.com/office/spreadsheetml/2009/9/main" objectType="CheckBox" fmlaLink="$U$65" lockText="1"/>
</file>

<file path=xl/ctrlProps/ctrlProp241.xml><?xml version="1.0" encoding="utf-8"?>
<formControlPr xmlns="http://schemas.microsoft.com/office/spreadsheetml/2009/9/main" objectType="CheckBox" fmlaLink="$U$66" lockText="1"/>
</file>

<file path=xl/ctrlProps/ctrlProp242.xml><?xml version="1.0" encoding="utf-8"?>
<formControlPr xmlns="http://schemas.microsoft.com/office/spreadsheetml/2009/9/main" objectType="CheckBox" fmlaLink="$U$67" lockText="1"/>
</file>

<file path=xl/ctrlProps/ctrlProp243.xml><?xml version="1.0" encoding="utf-8"?>
<formControlPr xmlns="http://schemas.microsoft.com/office/spreadsheetml/2009/9/main" objectType="CheckBox" fmlaLink="$U$68" lockText="1"/>
</file>

<file path=xl/ctrlProps/ctrlProp244.xml><?xml version="1.0" encoding="utf-8"?>
<formControlPr xmlns="http://schemas.microsoft.com/office/spreadsheetml/2009/9/main" objectType="CheckBox" fmlaLink="$U$69" lockText="1"/>
</file>

<file path=xl/ctrlProps/ctrlProp245.xml><?xml version="1.0" encoding="utf-8"?>
<formControlPr xmlns="http://schemas.microsoft.com/office/spreadsheetml/2009/9/main" objectType="CheckBox" fmlaLink="$U$70" lockText="1"/>
</file>

<file path=xl/ctrlProps/ctrlProp246.xml><?xml version="1.0" encoding="utf-8"?>
<formControlPr xmlns="http://schemas.microsoft.com/office/spreadsheetml/2009/9/main" objectType="CheckBox" fmlaLink="$U$71" lockText="1"/>
</file>

<file path=xl/ctrlProps/ctrlProp247.xml><?xml version="1.0" encoding="utf-8"?>
<formControlPr xmlns="http://schemas.microsoft.com/office/spreadsheetml/2009/9/main" objectType="CheckBox" fmlaLink="$U$72" lockText="1"/>
</file>

<file path=xl/ctrlProps/ctrlProp248.xml><?xml version="1.0" encoding="utf-8"?>
<formControlPr xmlns="http://schemas.microsoft.com/office/spreadsheetml/2009/9/main" objectType="CheckBox" fmlaLink="$U$73" lockText="1"/>
</file>

<file path=xl/ctrlProps/ctrlProp249.xml><?xml version="1.0" encoding="utf-8"?>
<formControlPr xmlns="http://schemas.microsoft.com/office/spreadsheetml/2009/9/main" objectType="CheckBox" fmlaLink="$U$74" lockText="1"/>
</file>

<file path=xl/ctrlProps/ctrlProp25.xml><?xml version="1.0" encoding="utf-8"?>
<formControlPr xmlns="http://schemas.microsoft.com/office/spreadsheetml/2009/9/main" objectType="CheckBox" fmlaLink="$W$60" lockText="1"/>
</file>

<file path=xl/ctrlProps/ctrlProp250.xml><?xml version="1.0" encoding="utf-8"?>
<formControlPr xmlns="http://schemas.microsoft.com/office/spreadsheetml/2009/9/main" objectType="CheckBox" fmlaLink="$U$75" lockText="1"/>
</file>

<file path=xl/ctrlProps/ctrlProp251.xml><?xml version="1.0" encoding="utf-8"?>
<formControlPr xmlns="http://schemas.microsoft.com/office/spreadsheetml/2009/9/main" objectType="CheckBox" fmlaLink="$U$76" lockText="1"/>
</file>

<file path=xl/ctrlProps/ctrlProp252.xml><?xml version="1.0" encoding="utf-8"?>
<formControlPr xmlns="http://schemas.microsoft.com/office/spreadsheetml/2009/9/main" objectType="CheckBox" fmlaLink="$U$77" lockText="1"/>
</file>

<file path=xl/ctrlProps/ctrlProp253.xml><?xml version="1.0" encoding="utf-8"?>
<formControlPr xmlns="http://schemas.microsoft.com/office/spreadsheetml/2009/9/main" objectType="CheckBox" fmlaLink="$U$78" lockText="1"/>
</file>

<file path=xl/ctrlProps/ctrlProp254.xml><?xml version="1.0" encoding="utf-8"?>
<formControlPr xmlns="http://schemas.microsoft.com/office/spreadsheetml/2009/9/main" objectType="CheckBox" fmlaLink="$U$79" lockText="1"/>
</file>

<file path=xl/ctrlProps/ctrlProp255.xml><?xml version="1.0" encoding="utf-8"?>
<formControlPr xmlns="http://schemas.microsoft.com/office/spreadsheetml/2009/9/main" objectType="CheckBox" fmlaLink="$U$80" lockText="1"/>
</file>

<file path=xl/ctrlProps/ctrlProp256.xml><?xml version="1.0" encoding="utf-8"?>
<formControlPr xmlns="http://schemas.microsoft.com/office/spreadsheetml/2009/9/main" objectType="CheckBox" fmlaLink="$U$81" lockText="1"/>
</file>

<file path=xl/ctrlProps/ctrlProp257.xml><?xml version="1.0" encoding="utf-8"?>
<formControlPr xmlns="http://schemas.microsoft.com/office/spreadsheetml/2009/9/main" objectType="CheckBox" fmlaLink="$U$82" lockText="1"/>
</file>

<file path=xl/ctrlProps/ctrlProp258.xml><?xml version="1.0" encoding="utf-8"?>
<formControlPr xmlns="http://schemas.microsoft.com/office/spreadsheetml/2009/9/main" objectType="CheckBox" fmlaLink="$U$83" lockText="1"/>
</file>

<file path=xl/ctrlProps/ctrlProp259.xml><?xml version="1.0" encoding="utf-8"?>
<formControlPr xmlns="http://schemas.microsoft.com/office/spreadsheetml/2009/9/main" objectType="CheckBox" fmlaLink="$U$84" lockText="1"/>
</file>

<file path=xl/ctrlProps/ctrlProp26.xml><?xml version="1.0" encoding="utf-8"?>
<formControlPr xmlns="http://schemas.microsoft.com/office/spreadsheetml/2009/9/main" objectType="CheckBox" fmlaLink="$W$61" lockText="1"/>
</file>

<file path=xl/ctrlProps/ctrlProp260.xml><?xml version="1.0" encoding="utf-8"?>
<formControlPr xmlns="http://schemas.microsoft.com/office/spreadsheetml/2009/9/main" objectType="CheckBox" fmlaLink="$U$85" lockText="1"/>
</file>

<file path=xl/ctrlProps/ctrlProp261.xml><?xml version="1.0" encoding="utf-8"?>
<formControlPr xmlns="http://schemas.microsoft.com/office/spreadsheetml/2009/9/main" objectType="CheckBox" fmlaLink="$U$86" lockText="1"/>
</file>

<file path=xl/ctrlProps/ctrlProp262.xml><?xml version="1.0" encoding="utf-8"?>
<formControlPr xmlns="http://schemas.microsoft.com/office/spreadsheetml/2009/9/main" objectType="CheckBox" fmlaLink="$U$87" lockText="1"/>
</file>

<file path=xl/ctrlProps/ctrlProp263.xml><?xml version="1.0" encoding="utf-8"?>
<formControlPr xmlns="http://schemas.microsoft.com/office/spreadsheetml/2009/9/main" objectType="CheckBox" fmlaLink="$U$88" lockText="1"/>
</file>

<file path=xl/ctrlProps/ctrlProp264.xml><?xml version="1.0" encoding="utf-8"?>
<formControlPr xmlns="http://schemas.microsoft.com/office/spreadsheetml/2009/9/main" objectType="CheckBox" fmlaLink="$U$50" lockText="1"/>
</file>

<file path=xl/ctrlProps/ctrlProp265.xml><?xml version="1.0" encoding="utf-8"?>
<formControlPr xmlns="http://schemas.microsoft.com/office/spreadsheetml/2009/9/main" objectType="CheckBox" fmlaLink="$U$51" lockText="1"/>
</file>

<file path=xl/ctrlProps/ctrlProp266.xml><?xml version="1.0" encoding="utf-8"?>
<formControlPr xmlns="http://schemas.microsoft.com/office/spreadsheetml/2009/9/main" objectType="CheckBox" fmlaLink="$U$89" lockText="1"/>
</file>

<file path=xl/ctrlProps/ctrlProp267.xml><?xml version="1.0" encoding="utf-8"?>
<formControlPr xmlns="http://schemas.microsoft.com/office/spreadsheetml/2009/9/main" objectType="CheckBox" fmlaLink="$U$90" lockText="1"/>
</file>

<file path=xl/ctrlProps/ctrlProp268.xml><?xml version="1.0" encoding="utf-8"?>
<formControlPr xmlns="http://schemas.microsoft.com/office/spreadsheetml/2009/9/main" objectType="CheckBox" fmlaLink="$U$91" lockText="1"/>
</file>

<file path=xl/ctrlProps/ctrlProp269.xml><?xml version="1.0" encoding="utf-8"?>
<formControlPr xmlns="http://schemas.microsoft.com/office/spreadsheetml/2009/9/main" objectType="CheckBox" fmlaLink="$U$92" lockText="1"/>
</file>

<file path=xl/ctrlProps/ctrlProp27.xml><?xml version="1.0" encoding="utf-8"?>
<formControlPr xmlns="http://schemas.microsoft.com/office/spreadsheetml/2009/9/main" objectType="CheckBox" fmlaLink="$W$62" lockText="1"/>
</file>

<file path=xl/ctrlProps/ctrlProp270.xml><?xml version="1.0" encoding="utf-8"?>
<formControlPr xmlns="http://schemas.microsoft.com/office/spreadsheetml/2009/9/main" objectType="CheckBox" fmlaLink="$U$93" lockText="1"/>
</file>

<file path=xl/ctrlProps/ctrlProp271.xml><?xml version="1.0" encoding="utf-8"?>
<formControlPr xmlns="http://schemas.microsoft.com/office/spreadsheetml/2009/9/main" objectType="CheckBox" fmlaLink="$U$94" lockText="1"/>
</file>

<file path=xl/ctrlProps/ctrlProp272.xml><?xml version="1.0" encoding="utf-8"?>
<formControlPr xmlns="http://schemas.microsoft.com/office/spreadsheetml/2009/9/main" objectType="CheckBox" fmlaLink="$U$95" lockText="1"/>
</file>

<file path=xl/ctrlProps/ctrlProp273.xml><?xml version="1.0" encoding="utf-8"?>
<formControlPr xmlns="http://schemas.microsoft.com/office/spreadsheetml/2009/9/main" objectType="CheckBox" fmlaLink="$U$96" lockText="1"/>
</file>

<file path=xl/ctrlProps/ctrlProp274.xml><?xml version="1.0" encoding="utf-8"?>
<formControlPr xmlns="http://schemas.microsoft.com/office/spreadsheetml/2009/9/main" objectType="CheckBox" fmlaLink="$U$97" lockText="1"/>
</file>

<file path=xl/ctrlProps/ctrlProp275.xml><?xml version="1.0" encoding="utf-8"?>
<formControlPr xmlns="http://schemas.microsoft.com/office/spreadsheetml/2009/9/main" objectType="CheckBox" fmlaLink="$U$98" lockText="1"/>
</file>

<file path=xl/ctrlProps/ctrlProp276.xml><?xml version="1.0" encoding="utf-8"?>
<formControlPr xmlns="http://schemas.microsoft.com/office/spreadsheetml/2009/9/main" objectType="CheckBox" fmlaLink="$U$99" lockText="1"/>
</file>

<file path=xl/ctrlProps/ctrlProp277.xml><?xml version="1.0" encoding="utf-8"?>
<formControlPr xmlns="http://schemas.microsoft.com/office/spreadsheetml/2009/9/main" objectType="CheckBox" fmlaLink="$U$102" lockText="1"/>
</file>

<file path=xl/ctrlProps/ctrlProp278.xml><?xml version="1.0" encoding="utf-8"?>
<formControlPr xmlns="http://schemas.microsoft.com/office/spreadsheetml/2009/9/main" objectType="CheckBox" fmlaLink="$U$103" lockText="1"/>
</file>

<file path=xl/ctrlProps/ctrlProp279.xml><?xml version="1.0" encoding="utf-8"?>
<formControlPr xmlns="http://schemas.microsoft.com/office/spreadsheetml/2009/9/main" objectType="CheckBox" fmlaLink="$U$104" lockText="1"/>
</file>

<file path=xl/ctrlProps/ctrlProp28.xml><?xml version="1.0" encoding="utf-8"?>
<formControlPr xmlns="http://schemas.microsoft.com/office/spreadsheetml/2009/9/main" objectType="CheckBox" fmlaLink="$W$63" lockText="1"/>
</file>

<file path=xl/ctrlProps/ctrlProp280.xml><?xml version="1.0" encoding="utf-8"?>
<formControlPr xmlns="http://schemas.microsoft.com/office/spreadsheetml/2009/9/main" objectType="CheckBox" fmlaLink="$U$105" lockText="1"/>
</file>

<file path=xl/ctrlProps/ctrlProp281.xml><?xml version="1.0" encoding="utf-8"?>
<formControlPr xmlns="http://schemas.microsoft.com/office/spreadsheetml/2009/9/main" objectType="CheckBox" fmlaLink="$U$106" lockText="1"/>
</file>

<file path=xl/ctrlProps/ctrlProp282.xml><?xml version="1.0" encoding="utf-8"?>
<formControlPr xmlns="http://schemas.microsoft.com/office/spreadsheetml/2009/9/main" objectType="CheckBox" fmlaLink="$U$107" lockText="1"/>
</file>

<file path=xl/ctrlProps/ctrlProp283.xml><?xml version="1.0" encoding="utf-8"?>
<formControlPr xmlns="http://schemas.microsoft.com/office/spreadsheetml/2009/9/main" objectType="CheckBox" fmlaLink="$U$108" lockText="1"/>
</file>

<file path=xl/ctrlProps/ctrlProp284.xml><?xml version="1.0" encoding="utf-8"?>
<formControlPr xmlns="http://schemas.microsoft.com/office/spreadsheetml/2009/9/main" objectType="CheckBox" fmlaLink="$U$109" lockText="1"/>
</file>

<file path=xl/ctrlProps/ctrlProp285.xml><?xml version="1.0" encoding="utf-8"?>
<formControlPr xmlns="http://schemas.microsoft.com/office/spreadsheetml/2009/9/main" objectType="CheckBox" fmlaLink="$U$110" lockText="1"/>
</file>

<file path=xl/ctrlProps/ctrlProp286.xml><?xml version="1.0" encoding="utf-8"?>
<formControlPr xmlns="http://schemas.microsoft.com/office/spreadsheetml/2009/9/main" objectType="CheckBox" fmlaLink="$U$111" lockText="1"/>
</file>

<file path=xl/ctrlProps/ctrlProp287.xml><?xml version="1.0" encoding="utf-8"?>
<formControlPr xmlns="http://schemas.microsoft.com/office/spreadsheetml/2009/9/main" objectType="CheckBox" fmlaLink="$U$112" lockText="1"/>
</file>

<file path=xl/ctrlProps/ctrlProp288.xml><?xml version="1.0" encoding="utf-8"?>
<formControlPr xmlns="http://schemas.microsoft.com/office/spreadsheetml/2009/9/main" objectType="CheckBox" fmlaLink="$U$113" lockText="1"/>
</file>

<file path=xl/ctrlProps/ctrlProp289.xml><?xml version="1.0" encoding="utf-8"?>
<formControlPr xmlns="http://schemas.microsoft.com/office/spreadsheetml/2009/9/main" objectType="CheckBox" fmlaLink="$U$114" lockText="1"/>
</file>

<file path=xl/ctrlProps/ctrlProp29.xml><?xml version="1.0" encoding="utf-8"?>
<formControlPr xmlns="http://schemas.microsoft.com/office/spreadsheetml/2009/9/main" objectType="CheckBox" fmlaLink="$W$64" lockText="1"/>
</file>

<file path=xl/ctrlProps/ctrlProp290.xml><?xml version="1.0" encoding="utf-8"?>
<formControlPr xmlns="http://schemas.microsoft.com/office/spreadsheetml/2009/9/main" objectType="CheckBox" fmlaLink="$U$115" lockText="1"/>
</file>

<file path=xl/ctrlProps/ctrlProp291.xml><?xml version="1.0" encoding="utf-8"?>
<formControlPr xmlns="http://schemas.microsoft.com/office/spreadsheetml/2009/9/main" objectType="CheckBox" fmlaLink="$U$116" lockText="1"/>
</file>

<file path=xl/ctrlProps/ctrlProp292.xml><?xml version="1.0" encoding="utf-8"?>
<formControlPr xmlns="http://schemas.microsoft.com/office/spreadsheetml/2009/9/main" objectType="CheckBox" fmlaLink="$U$117" lockText="1"/>
</file>

<file path=xl/ctrlProps/ctrlProp293.xml><?xml version="1.0" encoding="utf-8"?>
<formControlPr xmlns="http://schemas.microsoft.com/office/spreadsheetml/2009/9/main" objectType="CheckBox" fmlaLink="$U$118" lockText="1"/>
</file>

<file path=xl/ctrlProps/ctrlProp294.xml><?xml version="1.0" encoding="utf-8"?>
<formControlPr xmlns="http://schemas.microsoft.com/office/spreadsheetml/2009/9/main" objectType="CheckBox" fmlaLink="$U$119" lockText="1"/>
</file>

<file path=xl/ctrlProps/ctrlProp295.xml><?xml version="1.0" encoding="utf-8"?>
<formControlPr xmlns="http://schemas.microsoft.com/office/spreadsheetml/2009/9/main" objectType="CheckBox" fmlaLink="$U$120" lockText="1"/>
</file>

<file path=xl/ctrlProps/ctrlProp296.xml><?xml version="1.0" encoding="utf-8"?>
<formControlPr xmlns="http://schemas.microsoft.com/office/spreadsheetml/2009/9/main" objectType="CheckBox" fmlaLink="$U$121" lockText="1"/>
</file>

<file path=xl/ctrlProps/ctrlProp297.xml><?xml version="1.0" encoding="utf-8"?>
<formControlPr xmlns="http://schemas.microsoft.com/office/spreadsheetml/2009/9/main" objectType="CheckBox" fmlaLink="$U$122" lockText="1"/>
</file>

<file path=xl/ctrlProps/ctrlProp298.xml><?xml version="1.0" encoding="utf-8"?>
<formControlPr xmlns="http://schemas.microsoft.com/office/spreadsheetml/2009/9/main" objectType="CheckBox" fmlaLink="$U$123" lockText="1"/>
</file>

<file path=xl/ctrlProps/ctrlProp299.xml><?xml version="1.0" encoding="utf-8"?>
<formControlPr xmlns="http://schemas.microsoft.com/office/spreadsheetml/2009/9/main" objectType="CheckBox" fmlaLink="$U$124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CheckBox" fmlaLink="$W$65" lockText="1"/>
</file>

<file path=xl/ctrlProps/ctrlProp300.xml><?xml version="1.0" encoding="utf-8"?>
<formControlPr xmlns="http://schemas.microsoft.com/office/spreadsheetml/2009/9/main" objectType="CheckBox" fmlaLink="$U$125" lockText="1"/>
</file>

<file path=xl/ctrlProps/ctrlProp301.xml><?xml version="1.0" encoding="utf-8"?>
<formControlPr xmlns="http://schemas.microsoft.com/office/spreadsheetml/2009/9/main" objectType="CheckBox" fmlaLink="$U$126" lockText="1"/>
</file>

<file path=xl/ctrlProps/ctrlProp302.xml><?xml version="1.0" encoding="utf-8"?>
<formControlPr xmlns="http://schemas.microsoft.com/office/spreadsheetml/2009/9/main" objectType="CheckBox" fmlaLink="$U$127" lockText="1"/>
</file>

<file path=xl/ctrlProps/ctrlProp303.xml><?xml version="1.0" encoding="utf-8"?>
<formControlPr xmlns="http://schemas.microsoft.com/office/spreadsheetml/2009/9/main" objectType="CheckBox" fmlaLink="$U$128" lockText="1"/>
</file>

<file path=xl/ctrlProps/ctrlProp304.xml><?xml version="1.0" encoding="utf-8"?>
<formControlPr xmlns="http://schemas.microsoft.com/office/spreadsheetml/2009/9/main" objectType="CheckBox" fmlaLink="$U$129" lockText="1"/>
</file>

<file path=xl/ctrlProps/ctrlProp305.xml><?xml version="1.0" encoding="utf-8"?>
<formControlPr xmlns="http://schemas.microsoft.com/office/spreadsheetml/2009/9/main" objectType="CheckBox" fmlaLink="$U$130" lockText="1"/>
</file>

<file path=xl/ctrlProps/ctrlProp306.xml><?xml version="1.0" encoding="utf-8"?>
<formControlPr xmlns="http://schemas.microsoft.com/office/spreadsheetml/2009/9/main" objectType="CheckBox" fmlaLink="$U$131" lockText="1"/>
</file>

<file path=xl/ctrlProps/ctrlProp307.xml><?xml version="1.0" encoding="utf-8"?>
<formControlPr xmlns="http://schemas.microsoft.com/office/spreadsheetml/2009/9/main" objectType="CheckBox" fmlaLink="$U$132" lockText="1"/>
</file>

<file path=xl/ctrlProps/ctrlProp308.xml><?xml version="1.0" encoding="utf-8"?>
<formControlPr xmlns="http://schemas.microsoft.com/office/spreadsheetml/2009/9/main" objectType="CheckBox" fmlaLink="$U$133" lockText="1"/>
</file>

<file path=xl/ctrlProps/ctrlProp309.xml><?xml version="1.0" encoding="utf-8"?>
<formControlPr xmlns="http://schemas.microsoft.com/office/spreadsheetml/2009/9/main" objectType="CheckBox" fmlaLink="$U$134" lockText="1"/>
</file>

<file path=xl/ctrlProps/ctrlProp31.xml><?xml version="1.0" encoding="utf-8"?>
<formControlPr xmlns="http://schemas.microsoft.com/office/spreadsheetml/2009/9/main" objectType="CheckBox" fmlaLink="$W$66" lockText="1"/>
</file>

<file path=xl/ctrlProps/ctrlProp310.xml><?xml version="1.0" encoding="utf-8"?>
<formControlPr xmlns="http://schemas.microsoft.com/office/spreadsheetml/2009/9/main" objectType="CheckBox" fmlaLink="$U$135" lockText="1"/>
</file>

<file path=xl/ctrlProps/ctrlProp311.xml><?xml version="1.0" encoding="utf-8"?>
<formControlPr xmlns="http://schemas.microsoft.com/office/spreadsheetml/2009/9/main" objectType="CheckBox" fmlaLink="$U$136" lockText="1"/>
</file>

<file path=xl/ctrlProps/ctrlProp312.xml><?xml version="1.0" encoding="utf-8"?>
<formControlPr xmlns="http://schemas.microsoft.com/office/spreadsheetml/2009/9/main" objectType="CheckBox" fmlaLink="$U$137" lockText="1"/>
</file>

<file path=xl/ctrlProps/ctrlProp313.xml><?xml version="1.0" encoding="utf-8"?>
<formControlPr xmlns="http://schemas.microsoft.com/office/spreadsheetml/2009/9/main" objectType="CheckBox" fmlaLink="$U$138" lockText="1"/>
</file>

<file path=xl/ctrlProps/ctrlProp314.xml><?xml version="1.0" encoding="utf-8"?>
<formControlPr xmlns="http://schemas.microsoft.com/office/spreadsheetml/2009/9/main" objectType="CheckBox" fmlaLink="$U$100" lockText="1"/>
</file>

<file path=xl/ctrlProps/ctrlProp315.xml><?xml version="1.0" encoding="utf-8"?>
<formControlPr xmlns="http://schemas.microsoft.com/office/spreadsheetml/2009/9/main" objectType="CheckBox" fmlaLink="$U$101" lockText="1"/>
</file>

<file path=xl/ctrlProps/ctrlProp316.xml><?xml version="1.0" encoding="utf-8"?>
<formControlPr xmlns="http://schemas.microsoft.com/office/spreadsheetml/2009/9/main" objectType="CheckBox" fmlaLink="$U$139" lockText="1"/>
</file>

<file path=xl/ctrlProps/ctrlProp317.xml><?xml version="1.0" encoding="utf-8"?>
<formControlPr xmlns="http://schemas.microsoft.com/office/spreadsheetml/2009/9/main" objectType="CheckBox" fmlaLink="$U$140" lockText="1"/>
</file>

<file path=xl/ctrlProps/ctrlProp318.xml><?xml version="1.0" encoding="utf-8"?>
<formControlPr xmlns="http://schemas.microsoft.com/office/spreadsheetml/2009/9/main" objectType="CheckBox" fmlaLink="$U$141" lockText="1"/>
</file>

<file path=xl/ctrlProps/ctrlProp319.xml><?xml version="1.0" encoding="utf-8"?>
<formControlPr xmlns="http://schemas.microsoft.com/office/spreadsheetml/2009/9/main" objectType="CheckBox" fmlaLink="$U$142" lockText="1"/>
</file>

<file path=xl/ctrlProps/ctrlProp32.xml><?xml version="1.0" encoding="utf-8"?>
<formControlPr xmlns="http://schemas.microsoft.com/office/spreadsheetml/2009/9/main" objectType="CheckBox" fmlaLink="$W$67" lockText="1"/>
</file>

<file path=xl/ctrlProps/ctrlProp320.xml><?xml version="1.0" encoding="utf-8"?>
<formControlPr xmlns="http://schemas.microsoft.com/office/spreadsheetml/2009/9/main" objectType="CheckBox" fmlaLink="$U$143" lockText="1"/>
</file>

<file path=xl/ctrlProps/ctrlProp321.xml><?xml version="1.0" encoding="utf-8"?>
<formControlPr xmlns="http://schemas.microsoft.com/office/spreadsheetml/2009/9/main" objectType="CheckBox" fmlaLink="$U$144" lockText="1"/>
</file>

<file path=xl/ctrlProps/ctrlProp322.xml><?xml version="1.0" encoding="utf-8"?>
<formControlPr xmlns="http://schemas.microsoft.com/office/spreadsheetml/2009/9/main" objectType="CheckBox" fmlaLink="$U$145" lockText="1"/>
</file>

<file path=xl/ctrlProps/ctrlProp323.xml><?xml version="1.0" encoding="utf-8"?>
<formControlPr xmlns="http://schemas.microsoft.com/office/spreadsheetml/2009/9/main" objectType="CheckBox" fmlaLink="$U$146" lockText="1"/>
</file>

<file path=xl/ctrlProps/ctrlProp324.xml><?xml version="1.0" encoding="utf-8"?>
<formControlPr xmlns="http://schemas.microsoft.com/office/spreadsheetml/2009/9/main" objectType="CheckBox" fmlaLink="$U$147" lockText="1"/>
</file>

<file path=xl/ctrlProps/ctrlProp325.xml><?xml version="1.0" encoding="utf-8"?>
<formControlPr xmlns="http://schemas.microsoft.com/office/spreadsheetml/2009/9/main" objectType="CheckBox" fmlaLink="$U$148" lockText="1"/>
</file>

<file path=xl/ctrlProps/ctrlProp326.xml><?xml version="1.0" encoding="utf-8"?>
<formControlPr xmlns="http://schemas.microsoft.com/office/spreadsheetml/2009/9/main" objectType="CheckBox" fmlaLink="$U$149" lockText="1"/>
</file>

<file path=xl/ctrlProps/ctrlProp327.xml><?xml version="1.0" encoding="utf-8"?>
<formControlPr xmlns="http://schemas.microsoft.com/office/spreadsheetml/2009/9/main" objectType="CheckBox" fmlaLink="$U$152" lockText="1"/>
</file>

<file path=xl/ctrlProps/ctrlProp328.xml><?xml version="1.0" encoding="utf-8"?>
<formControlPr xmlns="http://schemas.microsoft.com/office/spreadsheetml/2009/9/main" objectType="CheckBox" fmlaLink="$U$153" lockText="1"/>
</file>

<file path=xl/ctrlProps/ctrlProp329.xml><?xml version="1.0" encoding="utf-8"?>
<formControlPr xmlns="http://schemas.microsoft.com/office/spreadsheetml/2009/9/main" objectType="CheckBox" fmlaLink="$U$154" lockText="1"/>
</file>

<file path=xl/ctrlProps/ctrlProp33.xml><?xml version="1.0" encoding="utf-8"?>
<formControlPr xmlns="http://schemas.microsoft.com/office/spreadsheetml/2009/9/main" objectType="CheckBox" fmlaLink="$W$68" lockText="1"/>
</file>

<file path=xl/ctrlProps/ctrlProp330.xml><?xml version="1.0" encoding="utf-8"?>
<formControlPr xmlns="http://schemas.microsoft.com/office/spreadsheetml/2009/9/main" objectType="CheckBox" fmlaLink="$U$155" lockText="1"/>
</file>

<file path=xl/ctrlProps/ctrlProp331.xml><?xml version="1.0" encoding="utf-8"?>
<formControlPr xmlns="http://schemas.microsoft.com/office/spreadsheetml/2009/9/main" objectType="CheckBox" fmlaLink="$U$156" lockText="1"/>
</file>

<file path=xl/ctrlProps/ctrlProp332.xml><?xml version="1.0" encoding="utf-8"?>
<formControlPr xmlns="http://schemas.microsoft.com/office/spreadsheetml/2009/9/main" objectType="CheckBox" fmlaLink="$U$157" lockText="1"/>
</file>

<file path=xl/ctrlProps/ctrlProp333.xml><?xml version="1.0" encoding="utf-8"?>
<formControlPr xmlns="http://schemas.microsoft.com/office/spreadsheetml/2009/9/main" objectType="CheckBox" fmlaLink="$U$158" lockText="1"/>
</file>

<file path=xl/ctrlProps/ctrlProp334.xml><?xml version="1.0" encoding="utf-8"?>
<formControlPr xmlns="http://schemas.microsoft.com/office/spreadsheetml/2009/9/main" objectType="CheckBox" fmlaLink="$U$159" lockText="1"/>
</file>

<file path=xl/ctrlProps/ctrlProp335.xml><?xml version="1.0" encoding="utf-8"?>
<formControlPr xmlns="http://schemas.microsoft.com/office/spreadsheetml/2009/9/main" objectType="CheckBox" fmlaLink="$U$160" lockText="1"/>
</file>

<file path=xl/ctrlProps/ctrlProp336.xml><?xml version="1.0" encoding="utf-8"?>
<formControlPr xmlns="http://schemas.microsoft.com/office/spreadsheetml/2009/9/main" objectType="CheckBox" fmlaLink="$U$161" lockText="1"/>
</file>

<file path=xl/ctrlProps/ctrlProp337.xml><?xml version="1.0" encoding="utf-8"?>
<formControlPr xmlns="http://schemas.microsoft.com/office/spreadsheetml/2009/9/main" objectType="CheckBox" fmlaLink="$U$162" lockText="1"/>
</file>

<file path=xl/ctrlProps/ctrlProp338.xml><?xml version="1.0" encoding="utf-8"?>
<formControlPr xmlns="http://schemas.microsoft.com/office/spreadsheetml/2009/9/main" objectType="CheckBox" fmlaLink="$U$163" lockText="1"/>
</file>

<file path=xl/ctrlProps/ctrlProp339.xml><?xml version="1.0" encoding="utf-8"?>
<formControlPr xmlns="http://schemas.microsoft.com/office/spreadsheetml/2009/9/main" objectType="CheckBox" fmlaLink="$U$164" lockText="1"/>
</file>

<file path=xl/ctrlProps/ctrlProp34.xml><?xml version="1.0" encoding="utf-8"?>
<formControlPr xmlns="http://schemas.microsoft.com/office/spreadsheetml/2009/9/main" objectType="CheckBox" fmlaLink="$W$69" lockText="1"/>
</file>

<file path=xl/ctrlProps/ctrlProp340.xml><?xml version="1.0" encoding="utf-8"?>
<formControlPr xmlns="http://schemas.microsoft.com/office/spreadsheetml/2009/9/main" objectType="CheckBox" fmlaLink="$U$165" lockText="1"/>
</file>

<file path=xl/ctrlProps/ctrlProp341.xml><?xml version="1.0" encoding="utf-8"?>
<formControlPr xmlns="http://schemas.microsoft.com/office/spreadsheetml/2009/9/main" objectType="CheckBox" fmlaLink="$U$166" lockText="1"/>
</file>

<file path=xl/ctrlProps/ctrlProp342.xml><?xml version="1.0" encoding="utf-8"?>
<formControlPr xmlns="http://schemas.microsoft.com/office/spreadsheetml/2009/9/main" objectType="CheckBox" fmlaLink="$U$167" lockText="1"/>
</file>

<file path=xl/ctrlProps/ctrlProp343.xml><?xml version="1.0" encoding="utf-8"?>
<formControlPr xmlns="http://schemas.microsoft.com/office/spreadsheetml/2009/9/main" objectType="CheckBox" fmlaLink="$U$168" lockText="1"/>
</file>

<file path=xl/ctrlProps/ctrlProp344.xml><?xml version="1.0" encoding="utf-8"?>
<formControlPr xmlns="http://schemas.microsoft.com/office/spreadsheetml/2009/9/main" objectType="CheckBox" fmlaLink="$U$169" lockText="1"/>
</file>

<file path=xl/ctrlProps/ctrlProp345.xml><?xml version="1.0" encoding="utf-8"?>
<formControlPr xmlns="http://schemas.microsoft.com/office/spreadsheetml/2009/9/main" objectType="CheckBox" fmlaLink="$U$170" lockText="1"/>
</file>

<file path=xl/ctrlProps/ctrlProp346.xml><?xml version="1.0" encoding="utf-8"?>
<formControlPr xmlns="http://schemas.microsoft.com/office/spreadsheetml/2009/9/main" objectType="CheckBox" fmlaLink="$U$171" lockText="1"/>
</file>

<file path=xl/ctrlProps/ctrlProp347.xml><?xml version="1.0" encoding="utf-8"?>
<formControlPr xmlns="http://schemas.microsoft.com/office/spreadsheetml/2009/9/main" objectType="CheckBox" fmlaLink="$U$172" lockText="1"/>
</file>

<file path=xl/ctrlProps/ctrlProp348.xml><?xml version="1.0" encoding="utf-8"?>
<formControlPr xmlns="http://schemas.microsoft.com/office/spreadsheetml/2009/9/main" objectType="CheckBox" fmlaLink="$U$173" lockText="1"/>
</file>

<file path=xl/ctrlProps/ctrlProp349.xml><?xml version="1.0" encoding="utf-8"?>
<formControlPr xmlns="http://schemas.microsoft.com/office/spreadsheetml/2009/9/main" objectType="CheckBox" fmlaLink="$U$174" lockText="1"/>
</file>

<file path=xl/ctrlProps/ctrlProp35.xml><?xml version="1.0" encoding="utf-8"?>
<formControlPr xmlns="http://schemas.microsoft.com/office/spreadsheetml/2009/9/main" objectType="CheckBox" fmlaLink="$W$70" lockText="1"/>
</file>

<file path=xl/ctrlProps/ctrlProp350.xml><?xml version="1.0" encoding="utf-8"?>
<formControlPr xmlns="http://schemas.microsoft.com/office/spreadsheetml/2009/9/main" objectType="CheckBox" fmlaLink="$U$175" lockText="1"/>
</file>

<file path=xl/ctrlProps/ctrlProp351.xml><?xml version="1.0" encoding="utf-8"?>
<formControlPr xmlns="http://schemas.microsoft.com/office/spreadsheetml/2009/9/main" objectType="CheckBox" fmlaLink="$U$176" lockText="1"/>
</file>

<file path=xl/ctrlProps/ctrlProp352.xml><?xml version="1.0" encoding="utf-8"?>
<formControlPr xmlns="http://schemas.microsoft.com/office/spreadsheetml/2009/9/main" objectType="CheckBox" fmlaLink="$U$177" lockText="1"/>
</file>

<file path=xl/ctrlProps/ctrlProp353.xml><?xml version="1.0" encoding="utf-8"?>
<formControlPr xmlns="http://schemas.microsoft.com/office/spreadsheetml/2009/9/main" objectType="CheckBox" fmlaLink="$U$178" lockText="1"/>
</file>

<file path=xl/ctrlProps/ctrlProp354.xml><?xml version="1.0" encoding="utf-8"?>
<formControlPr xmlns="http://schemas.microsoft.com/office/spreadsheetml/2009/9/main" objectType="CheckBox" fmlaLink="$U$179" lockText="1"/>
</file>

<file path=xl/ctrlProps/ctrlProp355.xml><?xml version="1.0" encoding="utf-8"?>
<formControlPr xmlns="http://schemas.microsoft.com/office/spreadsheetml/2009/9/main" objectType="CheckBox" fmlaLink="$U$180" lockText="1"/>
</file>

<file path=xl/ctrlProps/ctrlProp356.xml><?xml version="1.0" encoding="utf-8"?>
<formControlPr xmlns="http://schemas.microsoft.com/office/spreadsheetml/2009/9/main" objectType="CheckBox" fmlaLink="$U$181" lockText="1"/>
</file>

<file path=xl/ctrlProps/ctrlProp357.xml><?xml version="1.0" encoding="utf-8"?>
<formControlPr xmlns="http://schemas.microsoft.com/office/spreadsheetml/2009/9/main" objectType="CheckBox" fmlaLink="$U$182" lockText="1"/>
</file>

<file path=xl/ctrlProps/ctrlProp358.xml><?xml version="1.0" encoding="utf-8"?>
<formControlPr xmlns="http://schemas.microsoft.com/office/spreadsheetml/2009/9/main" objectType="CheckBox" fmlaLink="$U$183" lockText="1"/>
</file>

<file path=xl/ctrlProps/ctrlProp359.xml><?xml version="1.0" encoding="utf-8"?>
<formControlPr xmlns="http://schemas.microsoft.com/office/spreadsheetml/2009/9/main" objectType="CheckBox" fmlaLink="$U$184" lockText="1"/>
</file>

<file path=xl/ctrlProps/ctrlProp36.xml><?xml version="1.0" encoding="utf-8"?>
<formControlPr xmlns="http://schemas.microsoft.com/office/spreadsheetml/2009/9/main" objectType="CheckBox" fmlaLink="$W$71" lockText="1"/>
</file>

<file path=xl/ctrlProps/ctrlProp360.xml><?xml version="1.0" encoding="utf-8"?>
<formControlPr xmlns="http://schemas.microsoft.com/office/spreadsheetml/2009/9/main" objectType="CheckBox" fmlaLink="$U$185" lockText="1"/>
</file>

<file path=xl/ctrlProps/ctrlProp361.xml><?xml version="1.0" encoding="utf-8"?>
<formControlPr xmlns="http://schemas.microsoft.com/office/spreadsheetml/2009/9/main" objectType="CheckBox" fmlaLink="$U$186" lockText="1"/>
</file>

<file path=xl/ctrlProps/ctrlProp362.xml><?xml version="1.0" encoding="utf-8"?>
<formControlPr xmlns="http://schemas.microsoft.com/office/spreadsheetml/2009/9/main" objectType="CheckBox" fmlaLink="$U$187" lockText="1"/>
</file>

<file path=xl/ctrlProps/ctrlProp363.xml><?xml version="1.0" encoding="utf-8"?>
<formControlPr xmlns="http://schemas.microsoft.com/office/spreadsheetml/2009/9/main" objectType="CheckBox" fmlaLink="$U$188" lockText="1"/>
</file>

<file path=xl/ctrlProps/ctrlProp364.xml><?xml version="1.0" encoding="utf-8"?>
<formControlPr xmlns="http://schemas.microsoft.com/office/spreadsheetml/2009/9/main" objectType="CheckBox" fmlaLink="$U$150" lockText="1"/>
</file>

<file path=xl/ctrlProps/ctrlProp365.xml><?xml version="1.0" encoding="utf-8"?>
<formControlPr xmlns="http://schemas.microsoft.com/office/spreadsheetml/2009/9/main" objectType="CheckBox" fmlaLink="$U$151" lockText="1"/>
</file>

<file path=xl/ctrlProps/ctrlProp366.xml><?xml version="1.0" encoding="utf-8"?>
<formControlPr xmlns="http://schemas.microsoft.com/office/spreadsheetml/2009/9/main" objectType="CheckBox" fmlaLink="$U$189" lockText="1"/>
</file>

<file path=xl/ctrlProps/ctrlProp367.xml><?xml version="1.0" encoding="utf-8"?>
<formControlPr xmlns="http://schemas.microsoft.com/office/spreadsheetml/2009/9/main" objectType="CheckBox" fmlaLink="$U$190" lockText="1"/>
</file>

<file path=xl/ctrlProps/ctrlProp368.xml><?xml version="1.0" encoding="utf-8"?>
<formControlPr xmlns="http://schemas.microsoft.com/office/spreadsheetml/2009/9/main" objectType="CheckBox" fmlaLink="$U$191" lockText="1"/>
</file>

<file path=xl/ctrlProps/ctrlProp369.xml><?xml version="1.0" encoding="utf-8"?>
<formControlPr xmlns="http://schemas.microsoft.com/office/spreadsheetml/2009/9/main" objectType="CheckBox" fmlaLink="$U$192" lockText="1"/>
</file>

<file path=xl/ctrlProps/ctrlProp37.xml><?xml version="1.0" encoding="utf-8"?>
<formControlPr xmlns="http://schemas.microsoft.com/office/spreadsheetml/2009/9/main" objectType="CheckBox" fmlaLink="$W$72" lockText="1"/>
</file>

<file path=xl/ctrlProps/ctrlProp370.xml><?xml version="1.0" encoding="utf-8"?>
<formControlPr xmlns="http://schemas.microsoft.com/office/spreadsheetml/2009/9/main" objectType="CheckBox" fmlaLink="$U$193" lockText="1"/>
</file>

<file path=xl/ctrlProps/ctrlProp371.xml><?xml version="1.0" encoding="utf-8"?>
<formControlPr xmlns="http://schemas.microsoft.com/office/spreadsheetml/2009/9/main" objectType="CheckBox" fmlaLink="$U$194" lockText="1"/>
</file>

<file path=xl/ctrlProps/ctrlProp372.xml><?xml version="1.0" encoding="utf-8"?>
<formControlPr xmlns="http://schemas.microsoft.com/office/spreadsheetml/2009/9/main" objectType="CheckBox" fmlaLink="$U$195" lockText="1"/>
</file>

<file path=xl/ctrlProps/ctrlProp373.xml><?xml version="1.0" encoding="utf-8"?>
<formControlPr xmlns="http://schemas.microsoft.com/office/spreadsheetml/2009/9/main" objectType="CheckBox" fmlaLink="$U$196" lockText="1"/>
</file>

<file path=xl/ctrlProps/ctrlProp374.xml><?xml version="1.0" encoding="utf-8"?>
<formControlPr xmlns="http://schemas.microsoft.com/office/spreadsheetml/2009/9/main" objectType="CheckBox" fmlaLink="$U$197" lockText="1"/>
</file>

<file path=xl/ctrlProps/ctrlProp375.xml><?xml version="1.0" encoding="utf-8"?>
<formControlPr xmlns="http://schemas.microsoft.com/office/spreadsheetml/2009/9/main" objectType="CheckBox" fmlaLink="$U$198" lockText="1"/>
</file>

<file path=xl/ctrlProps/ctrlProp376.xml><?xml version="1.0" encoding="utf-8"?>
<formControlPr xmlns="http://schemas.microsoft.com/office/spreadsheetml/2009/9/main" objectType="CheckBox" fmlaLink="$U$199" lockText="1"/>
</file>

<file path=xl/ctrlProps/ctrlProp377.xml><?xml version="1.0" encoding="utf-8"?>
<formControlPr xmlns="http://schemas.microsoft.com/office/spreadsheetml/2009/9/main" objectType="CheckBox" fmlaLink="$U$202" lockText="1"/>
</file>

<file path=xl/ctrlProps/ctrlProp378.xml><?xml version="1.0" encoding="utf-8"?>
<formControlPr xmlns="http://schemas.microsoft.com/office/spreadsheetml/2009/9/main" objectType="CheckBox" fmlaLink="$U$203" lockText="1"/>
</file>

<file path=xl/ctrlProps/ctrlProp379.xml><?xml version="1.0" encoding="utf-8"?>
<formControlPr xmlns="http://schemas.microsoft.com/office/spreadsheetml/2009/9/main" objectType="CheckBox" fmlaLink="$U$204" lockText="1"/>
</file>

<file path=xl/ctrlProps/ctrlProp38.xml><?xml version="1.0" encoding="utf-8"?>
<formControlPr xmlns="http://schemas.microsoft.com/office/spreadsheetml/2009/9/main" objectType="CheckBox" fmlaLink="$W$73" lockText="1"/>
</file>

<file path=xl/ctrlProps/ctrlProp380.xml><?xml version="1.0" encoding="utf-8"?>
<formControlPr xmlns="http://schemas.microsoft.com/office/spreadsheetml/2009/9/main" objectType="CheckBox" fmlaLink="$U$205" lockText="1"/>
</file>

<file path=xl/ctrlProps/ctrlProp381.xml><?xml version="1.0" encoding="utf-8"?>
<formControlPr xmlns="http://schemas.microsoft.com/office/spreadsheetml/2009/9/main" objectType="CheckBox" fmlaLink="$U$206" lockText="1"/>
</file>

<file path=xl/ctrlProps/ctrlProp382.xml><?xml version="1.0" encoding="utf-8"?>
<formControlPr xmlns="http://schemas.microsoft.com/office/spreadsheetml/2009/9/main" objectType="CheckBox" fmlaLink="$U$207" lockText="1"/>
</file>

<file path=xl/ctrlProps/ctrlProp383.xml><?xml version="1.0" encoding="utf-8"?>
<formControlPr xmlns="http://schemas.microsoft.com/office/spreadsheetml/2009/9/main" objectType="CheckBox" fmlaLink="$U$208" lockText="1"/>
</file>

<file path=xl/ctrlProps/ctrlProp384.xml><?xml version="1.0" encoding="utf-8"?>
<formControlPr xmlns="http://schemas.microsoft.com/office/spreadsheetml/2009/9/main" objectType="CheckBox" fmlaLink="$U$209" lockText="1"/>
</file>

<file path=xl/ctrlProps/ctrlProp385.xml><?xml version="1.0" encoding="utf-8"?>
<formControlPr xmlns="http://schemas.microsoft.com/office/spreadsheetml/2009/9/main" objectType="CheckBox" fmlaLink="$U$210" lockText="1"/>
</file>

<file path=xl/ctrlProps/ctrlProp386.xml><?xml version="1.0" encoding="utf-8"?>
<formControlPr xmlns="http://schemas.microsoft.com/office/spreadsheetml/2009/9/main" objectType="CheckBox" fmlaLink="$U$211" lockText="1"/>
</file>

<file path=xl/ctrlProps/ctrlProp387.xml><?xml version="1.0" encoding="utf-8"?>
<formControlPr xmlns="http://schemas.microsoft.com/office/spreadsheetml/2009/9/main" objectType="CheckBox" fmlaLink="$U$212" lockText="1"/>
</file>

<file path=xl/ctrlProps/ctrlProp388.xml><?xml version="1.0" encoding="utf-8"?>
<formControlPr xmlns="http://schemas.microsoft.com/office/spreadsheetml/2009/9/main" objectType="CheckBox" fmlaLink="$U$213" lockText="1"/>
</file>

<file path=xl/ctrlProps/ctrlProp389.xml><?xml version="1.0" encoding="utf-8"?>
<formControlPr xmlns="http://schemas.microsoft.com/office/spreadsheetml/2009/9/main" objectType="CheckBox" fmlaLink="$U$214" lockText="1"/>
</file>

<file path=xl/ctrlProps/ctrlProp39.xml><?xml version="1.0" encoding="utf-8"?>
<formControlPr xmlns="http://schemas.microsoft.com/office/spreadsheetml/2009/9/main" objectType="CheckBox" fmlaLink="$W$74" lockText="1"/>
</file>

<file path=xl/ctrlProps/ctrlProp390.xml><?xml version="1.0" encoding="utf-8"?>
<formControlPr xmlns="http://schemas.microsoft.com/office/spreadsheetml/2009/9/main" objectType="CheckBox" fmlaLink="$U$215" lockText="1"/>
</file>

<file path=xl/ctrlProps/ctrlProp391.xml><?xml version="1.0" encoding="utf-8"?>
<formControlPr xmlns="http://schemas.microsoft.com/office/spreadsheetml/2009/9/main" objectType="CheckBox" fmlaLink="$U$216" lockText="1"/>
</file>

<file path=xl/ctrlProps/ctrlProp392.xml><?xml version="1.0" encoding="utf-8"?>
<formControlPr xmlns="http://schemas.microsoft.com/office/spreadsheetml/2009/9/main" objectType="CheckBox" fmlaLink="$U$217" lockText="1"/>
</file>

<file path=xl/ctrlProps/ctrlProp393.xml><?xml version="1.0" encoding="utf-8"?>
<formControlPr xmlns="http://schemas.microsoft.com/office/spreadsheetml/2009/9/main" objectType="CheckBox" fmlaLink="$U$218" lockText="1"/>
</file>

<file path=xl/ctrlProps/ctrlProp394.xml><?xml version="1.0" encoding="utf-8"?>
<formControlPr xmlns="http://schemas.microsoft.com/office/spreadsheetml/2009/9/main" objectType="CheckBox" fmlaLink="$U$219" lockText="1"/>
</file>

<file path=xl/ctrlProps/ctrlProp395.xml><?xml version="1.0" encoding="utf-8"?>
<formControlPr xmlns="http://schemas.microsoft.com/office/spreadsheetml/2009/9/main" objectType="CheckBox" fmlaLink="$U$220" lockText="1"/>
</file>

<file path=xl/ctrlProps/ctrlProp396.xml><?xml version="1.0" encoding="utf-8"?>
<formControlPr xmlns="http://schemas.microsoft.com/office/spreadsheetml/2009/9/main" objectType="CheckBox" fmlaLink="$U$221" lockText="1"/>
</file>

<file path=xl/ctrlProps/ctrlProp397.xml><?xml version="1.0" encoding="utf-8"?>
<formControlPr xmlns="http://schemas.microsoft.com/office/spreadsheetml/2009/9/main" objectType="CheckBox" fmlaLink="$U$222" lockText="1"/>
</file>

<file path=xl/ctrlProps/ctrlProp398.xml><?xml version="1.0" encoding="utf-8"?>
<formControlPr xmlns="http://schemas.microsoft.com/office/spreadsheetml/2009/9/main" objectType="CheckBox" fmlaLink="$U$223" lockText="1"/>
</file>

<file path=xl/ctrlProps/ctrlProp399.xml><?xml version="1.0" encoding="utf-8"?>
<formControlPr xmlns="http://schemas.microsoft.com/office/spreadsheetml/2009/9/main" objectType="CheckBox" fmlaLink="$U$224" lockText="1"/>
</file>

<file path=xl/ctrlProps/ctrlProp4.xml><?xml version="1.0" encoding="utf-8"?>
<formControlPr xmlns="http://schemas.microsoft.com/office/spreadsheetml/2009/9/main" objectType="Button" lockText="1"/>
</file>

<file path=xl/ctrlProps/ctrlProp40.xml><?xml version="1.0" encoding="utf-8"?>
<formControlPr xmlns="http://schemas.microsoft.com/office/spreadsheetml/2009/9/main" objectType="CheckBox" fmlaLink="$W$75" lockText="1"/>
</file>

<file path=xl/ctrlProps/ctrlProp400.xml><?xml version="1.0" encoding="utf-8"?>
<formControlPr xmlns="http://schemas.microsoft.com/office/spreadsheetml/2009/9/main" objectType="CheckBox" fmlaLink="$U$225" lockText="1"/>
</file>

<file path=xl/ctrlProps/ctrlProp401.xml><?xml version="1.0" encoding="utf-8"?>
<formControlPr xmlns="http://schemas.microsoft.com/office/spreadsheetml/2009/9/main" objectType="CheckBox" fmlaLink="$U$226" lockText="1"/>
</file>

<file path=xl/ctrlProps/ctrlProp402.xml><?xml version="1.0" encoding="utf-8"?>
<formControlPr xmlns="http://schemas.microsoft.com/office/spreadsheetml/2009/9/main" objectType="CheckBox" fmlaLink="$U$227" lockText="1"/>
</file>

<file path=xl/ctrlProps/ctrlProp403.xml><?xml version="1.0" encoding="utf-8"?>
<formControlPr xmlns="http://schemas.microsoft.com/office/spreadsheetml/2009/9/main" objectType="CheckBox" fmlaLink="$U$228" lockText="1"/>
</file>

<file path=xl/ctrlProps/ctrlProp404.xml><?xml version="1.0" encoding="utf-8"?>
<formControlPr xmlns="http://schemas.microsoft.com/office/spreadsheetml/2009/9/main" objectType="CheckBox" fmlaLink="$U$229" lockText="1"/>
</file>

<file path=xl/ctrlProps/ctrlProp405.xml><?xml version="1.0" encoding="utf-8"?>
<formControlPr xmlns="http://schemas.microsoft.com/office/spreadsheetml/2009/9/main" objectType="CheckBox" fmlaLink="$U$230" lockText="1"/>
</file>

<file path=xl/ctrlProps/ctrlProp406.xml><?xml version="1.0" encoding="utf-8"?>
<formControlPr xmlns="http://schemas.microsoft.com/office/spreadsheetml/2009/9/main" objectType="CheckBox" fmlaLink="$U$231" lockText="1"/>
</file>

<file path=xl/ctrlProps/ctrlProp407.xml><?xml version="1.0" encoding="utf-8"?>
<formControlPr xmlns="http://schemas.microsoft.com/office/spreadsheetml/2009/9/main" objectType="CheckBox" fmlaLink="$U$232" lockText="1"/>
</file>

<file path=xl/ctrlProps/ctrlProp408.xml><?xml version="1.0" encoding="utf-8"?>
<formControlPr xmlns="http://schemas.microsoft.com/office/spreadsheetml/2009/9/main" objectType="CheckBox" fmlaLink="$U$233" lockText="1"/>
</file>

<file path=xl/ctrlProps/ctrlProp409.xml><?xml version="1.0" encoding="utf-8"?>
<formControlPr xmlns="http://schemas.microsoft.com/office/spreadsheetml/2009/9/main" objectType="CheckBox" fmlaLink="$U$234" lockText="1"/>
</file>

<file path=xl/ctrlProps/ctrlProp41.xml><?xml version="1.0" encoding="utf-8"?>
<formControlPr xmlns="http://schemas.microsoft.com/office/spreadsheetml/2009/9/main" objectType="CheckBox" fmlaLink="$W$76" lockText="1"/>
</file>

<file path=xl/ctrlProps/ctrlProp410.xml><?xml version="1.0" encoding="utf-8"?>
<formControlPr xmlns="http://schemas.microsoft.com/office/spreadsheetml/2009/9/main" objectType="CheckBox" fmlaLink="$U$235" lockText="1"/>
</file>

<file path=xl/ctrlProps/ctrlProp411.xml><?xml version="1.0" encoding="utf-8"?>
<formControlPr xmlns="http://schemas.microsoft.com/office/spreadsheetml/2009/9/main" objectType="CheckBox" fmlaLink="$U$236" lockText="1"/>
</file>

<file path=xl/ctrlProps/ctrlProp412.xml><?xml version="1.0" encoding="utf-8"?>
<formControlPr xmlns="http://schemas.microsoft.com/office/spreadsheetml/2009/9/main" objectType="CheckBox" fmlaLink="$U$237" lockText="1"/>
</file>

<file path=xl/ctrlProps/ctrlProp413.xml><?xml version="1.0" encoding="utf-8"?>
<formControlPr xmlns="http://schemas.microsoft.com/office/spreadsheetml/2009/9/main" objectType="CheckBox" fmlaLink="$U$238" lockText="1"/>
</file>

<file path=xl/ctrlProps/ctrlProp414.xml><?xml version="1.0" encoding="utf-8"?>
<formControlPr xmlns="http://schemas.microsoft.com/office/spreadsheetml/2009/9/main" objectType="CheckBox" fmlaLink="$U$200" lockText="1"/>
</file>

<file path=xl/ctrlProps/ctrlProp415.xml><?xml version="1.0" encoding="utf-8"?>
<formControlPr xmlns="http://schemas.microsoft.com/office/spreadsheetml/2009/9/main" objectType="CheckBox" fmlaLink="$U$201" lockText="1"/>
</file>

<file path=xl/ctrlProps/ctrlProp416.xml><?xml version="1.0" encoding="utf-8"?>
<formControlPr xmlns="http://schemas.microsoft.com/office/spreadsheetml/2009/9/main" objectType="CheckBox" fmlaLink="$U$238" lockText="1"/>
</file>

<file path=xl/ctrlProps/ctrlProp417.xml><?xml version="1.0" encoding="utf-8"?>
<formControlPr xmlns="http://schemas.microsoft.com/office/spreadsheetml/2009/9/main" objectType="CheckBox" fmlaLink="$V$39" lockText="1"/>
</file>

<file path=xl/ctrlProps/ctrlProp418.xml><?xml version="1.0" encoding="utf-8"?>
<formControlPr xmlns="http://schemas.microsoft.com/office/spreadsheetml/2009/9/main" objectType="CheckBox" fmlaLink="$V$40" lockText="1"/>
</file>

<file path=xl/ctrlProps/ctrlProp419.xml><?xml version="1.0" encoding="utf-8"?>
<formControlPr xmlns="http://schemas.microsoft.com/office/spreadsheetml/2009/9/main" objectType="CheckBox" fmlaLink="$V$41" lockText="1"/>
</file>

<file path=xl/ctrlProps/ctrlProp42.xml><?xml version="1.0" encoding="utf-8"?>
<formControlPr xmlns="http://schemas.microsoft.com/office/spreadsheetml/2009/9/main" objectType="CheckBox" fmlaLink="$W$77" lockText="1"/>
</file>

<file path=xl/ctrlProps/ctrlProp420.xml><?xml version="1.0" encoding="utf-8"?>
<formControlPr xmlns="http://schemas.microsoft.com/office/spreadsheetml/2009/9/main" objectType="CheckBox" fmlaLink="$V$42" lockText="1"/>
</file>

<file path=xl/ctrlProps/ctrlProp421.xml><?xml version="1.0" encoding="utf-8"?>
<formControlPr xmlns="http://schemas.microsoft.com/office/spreadsheetml/2009/9/main" objectType="CheckBox" fmlaLink="$V$43" lockText="1"/>
</file>

<file path=xl/ctrlProps/ctrlProp422.xml><?xml version="1.0" encoding="utf-8"?>
<formControlPr xmlns="http://schemas.microsoft.com/office/spreadsheetml/2009/9/main" objectType="CheckBox" fmlaLink="$V$44" lockText="1"/>
</file>

<file path=xl/ctrlProps/ctrlProp423.xml><?xml version="1.0" encoding="utf-8"?>
<formControlPr xmlns="http://schemas.microsoft.com/office/spreadsheetml/2009/9/main" objectType="CheckBox" fmlaLink="$V$45" lockText="1"/>
</file>

<file path=xl/ctrlProps/ctrlProp424.xml><?xml version="1.0" encoding="utf-8"?>
<formControlPr xmlns="http://schemas.microsoft.com/office/spreadsheetml/2009/9/main" objectType="CheckBox" fmlaLink="$V$46" lockText="1"/>
</file>

<file path=xl/ctrlProps/ctrlProp425.xml><?xml version="1.0" encoding="utf-8"?>
<formControlPr xmlns="http://schemas.microsoft.com/office/spreadsheetml/2009/9/main" objectType="CheckBox" fmlaLink="$V$47" lockText="1"/>
</file>

<file path=xl/ctrlProps/ctrlProp426.xml><?xml version="1.0" encoding="utf-8"?>
<formControlPr xmlns="http://schemas.microsoft.com/office/spreadsheetml/2009/9/main" objectType="CheckBox" fmlaLink="$V$48" lockText="1"/>
</file>

<file path=xl/ctrlProps/ctrlProp427.xml><?xml version="1.0" encoding="utf-8"?>
<formControlPr xmlns="http://schemas.microsoft.com/office/spreadsheetml/2009/9/main" objectType="CheckBox" fmlaLink="$V$49" lockText="1"/>
</file>

<file path=xl/ctrlProps/ctrlProp428.xml><?xml version="1.0" encoding="utf-8"?>
<formControlPr xmlns="http://schemas.microsoft.com/office/spreadsheetml/2009/9/main" objectType="CheckBox" fmlaLink="$V$52" lockText="1"/>
</file>

<file path=xl/ctrlProps/ctrlProp429.xml><?xml version="1.0" encoding="utf-8"?>
<formControlPr xmlns="http://schemas.microsoft.com/office/spreadsheetml/2009/9/main" objectType="CheckBox" fmlaLink="$V$53" lockText="1"/>
</file>

<file path=xl/ctrlProps/ctrlProp43.xml><?xml version="1.0" encoding="utf-8"?>
<formControlPr xmlns="http://schemas.microsoft.com/office/spreadsheetml/2009/9/main" objectType="CheckBox" fmlaLink="$W$78" lockText="1"/>
</file>

<file path=xl/ctrlProps/ctrlProp430.xml><?xml version="1.0" encoding="utf-8"?>
<formControlPr xmlns="http://schemas.microsoft.com/office/spreadsheetml/2009/9/main" objectType="CheckBox" fmlaLink="$V$54" lockText="1"/>
</file>

<file path=xl/ctrlProps/ctrlProp431.xml><?xml version="1.0" encoding="utf-8"?>
<formControlPr xmlns="http://schemas.microsoft.com/office/spreadsheetml/2009/9/main" objectType="CheckBox" fmlaLink="$V$55" lockText="1"/>
</file>

<file path=xl/ctrlProps/ctrlProp432.xml><?xml version="1.0" encoding="utf-8"?>
<formControlPr xmlns="http://schemas.microsoft.com/office/spreadsheetml/2009/9/main" objectType="CheckBox" fmlaLink="$V$56" lockText="1"/>
</file>

<file path=xl/ctrlProps/ctrlProp433.xml><?xml version="1.0" encoding="utf-8"?>
<formControlPr xmlns="http://schemas.microsoft.com/office/spreadsheetml/2009/9/main" objectType="CheckBox" fmlaLink="$V$57" lockText="1"/>
</file>

<file path=xl/ctrlProps/ctrlProp434.xml><?xml version="1.0" encoding="utf-8"?>
<formControlPr xmlns="http://schemas.microsoft.com/office/spreadsheetml/2009/9/main" objectType="CheckBox" fmlaLink="$V$58" lockText="1"/>
</file>

<file path=xl/ctrlProps/ctrlProp435.xml><?xml version="1.0" encoding="utf-8"?>
<formControlPr xmlns="http://schemas.microsoft.com/office/spreadsheetml/2009/9/main" objectType="CheckBox" fmlaLink="$V$59" lockText="1"/>
</file>

<file path=xl/ctrlProps/ctrlProp436.xml><?xml version="1.0" encoding="utf-8"?>
<formControlPr xmlns="http://schemas.microsoft.com/office/spreadsheetml/2009/9/main" objectType="CheckBox" fmlaLink="$V$60" lockText="1"/>
</file>

<file path=xl/ctrlProps/ctrlProp437.xml><?xml version="1.0" encoding="utf-8"?>
<formControlPr xmlns="http://schemas.microsoft.com/office/spreadsheetml/2009/9/main" objectType="CheckBox" fmlaLink="$V$61" lockText="1"/>
</file>

<file path=xl/ctrlProps/ctrlProp438.xml><?xml version="1.0" encoding="utf-8"?>
<formControlPr xmlns="http://schemas.microsoft.com/office/spreadsheetml/2009/9/main" objectType="CheckBox" fmlaLink="$V$62" lockText="1"/>
</file>

<file path=xl/ctrlProps/ctrlProp439.xml><?xml version="1.0" encoding="utf-8"?>
<formControlPr xmlns="http://schemas.microsoft.com/office/spreadsheetml/2009/9/main" objectType="CheckBox" fmlaLink="$V$63" lockText="1"/>
</file>

<file path=xl/ctrlProps/ctrlProp44.xml><?xml version="1.0" encoding="utf-8"?>
<formControlPr xmlns="http://schemas.microsoft.com/office/spreadsheetml/2009/9/main" objectType="CheckBox" fmlaLink="$W$79" lockText="1"/>
</file>

<file path=xl/ctrlProps/ctrlProp440.xml><?xml version="1.0" encoding="utf-8"?>
<formControlPr xmlns="http://schemas.microsoft.com/office/spreadsheetml/2009/9/main" objectType="CheckBox" fmlaLink="$V$64" lockText="1"/>
</file>

<file path=xl/ctrlProps/ctrlProp441.xml><?xml version="1.0" encoding="utf-8"?>
<formControlPr xmlns="http://schemas.microsoft.com/office/spreadsheetml/2009/9/main" objectType="CheckBox" fmlaLink="$V$65" lockText="1"/>
</file>

<file path=xl/ctrlProps/ctrlProp442.xml><?xml version="1.0" encoding="utf-8"?>
<formControlPr xmlns="http://schemas.microsoft.com/office/spreadsheetml/2009/9/main" objectType="CheckBox" fmlaLink="$V$66" lockText="1"/>
</file>

<file path=xl/ctrlProps/ctrlProp443.xml><?xml version="1.0" encoding="utf-8"?>
<formControlPr xmlns="http://schemas.microsoft.com/office/spreadsheetml/2009/9/main" objectType="CheckBox" fmlaLink="$V$67" lockText="1"/>
</file>

<file path=xl/ctrlProps/ctrlProp444.xml><?xml version="1.0" encoding="utf-8"?>
<formControlPr xmlns="http://schemas.microsoft.com/office/spreadsheetml/2009/9/main" objectType="CheckBox" fmlaLink="$V$68" lockText="1"/>
</file>

<file path=xl/ctrlProps/ctrlProp445.xml><?xml version="1.0" encoding="utf-8"?>
<formControlPr xmlns="http://schemas.microsoft.com/office/spreadsheetml/2009/9/main" objectType="CheckBox" fmlaLink="$V$69" lockText="1"/>
</file>

<file path=xl/ctrlProps/ctrlProp446.xml><?xml version="1.0" encoding="utf-8"?>
<formControlPr xmlns="http://schemas.microsoft.com/office/spreadsheetml/2009/9/main" objectType="CheckBox" fmlaLink="$V$70" lockText="1"/>
</file>

<file path=xl/ctrlProps/ctrlProp447.xml><?xml version="1.0" encoding="utf-8"?>
<formControlPr xmlns="http://schemas.microsoft.com/office/spreadsheetml/2009/9/main" objectType="CheckBox" fmlaLink="$V$71" lockText="1"/>
</file>

<file path=xl/ctrlProps/ctrlProp448.xml><?xml version="1.0" encoding="utf-8"?>
<formControlPr xmlns="http://schemas.microsoft.com/office/spreadsheetml/2009/9/main" objectType="CheckBox" fmlaLink="$V$72" lockText="1"/>
</file>

<file path=xl/ctrlProps/ctrlProp449.xml><?xml version="1.0" encoding="utf-8"?>
<formControlPr xmlns="http://schemas.microsoft.com/office/spreadsheetml/2009/9/main" objectType="CheckBox" fmlaLink="$V$73" lockText="1"/>
</file>

<file path=xl/ctrlProps/ctrlProp45.xml><?xml version="1.0" encoding="utf-8"?>
<formControlPr xmlns="http://schemas.microsoft.com/office/spreadsheetml/2009/9/main" objectType="CheckBox" fmlaLink="$W$80" lockText="1"/>
</file>

<file path=xl/ctrlProps/ctrlProp450.xml><?xml version="1.0" encoding="utf-8"?>
<formControlPr xmlns="http://schemas.microsoft.com/office/spreadsheetml/2009/9/main" objectType="CheckBox" fmlaLink="$V$74" lockText="1"/>
</file>

<file path=xl/ctrlProps/ctrlProp451.xml><?xml version="1.0" encoding="utf-8"?>
<formControlPr xmlns="http://schemas.microsoft.com/office/spreadsheetml/2009/9/main" objectType="CheckBox" fmlaLink="$V$75" lockText="1"/>
</file>

<file path=xl/ctrlProps/ctrlProp452.xml><?xml version="1.0" encoding="utf-8"?>
<formControlPr xmlns="http://schemas.microsoft.com/office/spreadsheetml/2009/9/main" objectType="CheckBox" fmlaLink="$V$76" lockText="1"/>
</file>

<file path=xl/ctrlProps/ctrlProp453.xml><?xml version="1.0" encoding="utf-8"?>
<formControlPr xmlns="http://schemas.microsoft.com/office/spreadsheetml/2009/9/main" objectType="CheckBox" fmlaLink="$V$77" lockText="1"/>
</file>

<file path=xl/ctrlProps/ctrlProp454.xml><?xml version="1.0" encoding="utf-8"?>
<formControlPr xmlns="http://schemas.microsoft.com/office/spreadsheetml/2009/9/main" objectType="CheckBox" fmlaLink="$V$78" lockText="1"/>
</file>

<file path=xl/ctrlProps/ctrlProp455.xml><?xml version="1.0" encoding="utf-8"?>
<formControlPr xmlns="http://schemas.microsoft.com/office/spreadsheetml/2009/9/main" objectType="CheckBox" fmlaLink="$V$79" lockText="1"/>
</file>

<file path=xl/ctrlProps/ctrlProp456.xml><?xml version="1.0" encoding="utf-8"?>
<formControlPr xmlns="http://schemas.microsoft.com/office/spreadsheetml/2009/9/main" objectType="CheckBox" fmlaLink="$V$80" lockText="1"/>
</file>

<file path=xl/ctrlProps/ctrlProp457.xml><?xml version="1.0" encoding="utf-8"?>
<formControlPr xmlns="http://schemas.microsoft.com/office/spreadsheetml/2009/9/main" objectType="CheckBox" fmlaLink="$V$81" lockText="1"/>
</file>

<file path=xl/ctrlProps/ctrlProp458.xml><?xml version="1.0" encoding="utf-8"?>
<formControlPr xmlns="http://schemas.microsoft.com/office/spreadsheetml/2009/9/main" objectType="CheckBox" fmlaLink="$V$82" lockText="1"/>
</file>

<file path=xl/ctrlProps/ctrlProp459.xml><?xml version="1.0" encoding="utf-8"?>
<formControlPr xmlns="http://schemas.microsoft.com/office/spreadsheetml/2009/9/main" objectType="CheckBox" fmlaLink="$V$83" lockText="1"/>
</file>

<file path=xl/ctrlProps/ctrlProp46.xml><?xml version="1.0" encoding="utf-8"?>
<formControlPr xmlns="http://schemas.microsoft.com/office/spreadsheetml/2009/9/main" objectType="CheckBox" fmlaLink="$W$81" lockText="1"/>
</file>

<file path=xl/ctrlProps/ctrlProp460.xml><?xml version="1.0" encoding="utf-8"?>
<formControlPr xmlns="http://schemas.microsoft.com/office/spreadsheetml/2009/9/main" objectType="CheckBox" fmlaLink="$V$84" lockText="1"/>
</file>

<file path=xl/ctrlProps/ctrlProp461.xml><?xml version="1.0" encoding="utf-8"?>
<formControlPr xmlns="http://schemas.microsoft.com/office/spreadsheetml/2009/9/main" objectType="CheckBox" fmlaLink="$V$85" lockText="1"/>
</file>

<file path=xl/ctrlProps/ctrlProp462.xml><?xml version="1.0" encoding="utf-8"?>
<formControlPr xmlns="http://schemas.microsoft.com/office/spreadsheetml/2009/9/main" objectType="CheckBox" fmlaLink="$V$86" lockText="1"/>
</file>

<file path=xl/ctrlProps/ctrlProp463.xml><?xml version="1.0" encoding="utf-8"?>
<formControlPr xmlns="http://schemas.microsoft.com/office/spreadsheetml/2009/9/main" objectType="CheckBox" fmlaLink="$V$87" lockText="1"/>
</file>

<file path=xl/ctrlProps/ctrlProp464.xml><?xml version="1.0" encoding="utf-8"?>
<formControlPr xmlns="http://schemas.microsoft.com/office/spreadsheetml/2009/9/main" objectType="CheckBox" fmlaLink="$V$88" lockText="1"/>
</file>

<file path=xl/ctrlProps/ctrlProp465.xml><?xml version="1.0" encoding="utf-8"?>
<formControlPr xmlns="http://schemas.microsoft.com/office/spreadsheetml/2009/9/main" objectType="CheckBox" fmlaLink="$V$50" lockText="1"/>
</file>

<file path=xl/ctrlProps/ctrlProp466.xml><?xml version="1.0" encoding="utf-8"?>
<formControlPr xmlns="http://schemas.microsoft.com/office/spreadsheetml/2009/9/main" objectType="CheckBox" fmlaLink="$V$51" lockText="1"/>
</file>

<file path=xl/ctrlProps/ctrlProp467.xml><?xml version="1.0" encoding="utf-8"?>
<formControlPr xmlns="http://schemas.microsoft.com/office/spreadsheetml/2009/9/main" objectType="CheckBox" fmlaLink="$V$89" lockText="1"/>
</file>

<file path=xl/ctrlProps/ctrlProp468.xml><?xml version="1.0" encoding="utf-8"?>
<formControlPr xmlns="http://schemas.microsoft.com/office/spreadsheetml/2009/9/main" objectType="CheckBox" fmlaLink="$V$90" lockText="1"/>
</file>

<file path=xl/ctrlProps/ctrlProp469.xml><?xml version="1.0" encoding="utf-8"?>
<formControlPr xmlns="http://schemas.microsoft.com/office/spreadsheetml/2009/9/main" objectType="CheckBox" fmlaLink="$V$91" lockText="1"/>
</file>

<file path=xl/ctrlProps/ctrlProp47.xml><?xml version="1.0" encoding="utf-8"?>
<formControlPr xmlns="http://schemas.microsoft.com/office/spreadsheetml/2009/9/main" objectType="CheckBox" fmlaLink="$W$82" lockText="1"/>
</file>

<file path=xl/ctrlProps/ctrlProp470.xml><?xml version="1.0" encoding="utf-8"?>
<formControlPr xmlns="http://schemas.microsoft.com/office/spreadsheetml/2009/9/main" objectType="CheckBox" fmlaLink="$V$92" lockText="1"/>
</file>

<file path=xl/ctrlProps/ctrlProp471.xml><?xml version="1.0" encoding="utf-8"?>
<formControlPr xmlns="http://schemas.microsoft.com/office/spreadsheetml/2009/9/main" objectType="CheckBox" fmlaLink="$V$93" lockText="1"/>
</file>

<file path=xl/ctrlProps/ctrlProp472.xml><?xml version="1.0" encoding="utf-8"?>
<formControlPr xmlns="http://schemas.microsoft.com/office/spreadsheetml/2009/9/main" objectType="CheckBox" fmlaLink="$V$94" lockText="1"/>
</file>

<file path=xl/ctrlProps/ctrlProp473.xml><?xml version="1.0" encoding="utf-8"?>
<formControlPr xmlns="http://schemas.microsoft.com/office/spreadsheetml/2009/9/main" objectType="CheckBox" fmlaLink="$V$95" lockText="1"/>
</file>

<file path=xl/ctrlProps/ctrlProp474.xml><?xml version="1.0" encoding="utf-8"?>
<formControlPr xmlns="http://schemas.microsoft.com/office/spreadsheetml/2009/9/main" objectType="CheckBox" fmlaLink="$V$96" lockText="1"/>
</file>

<file path=xl/ctrlProps/ctrlProp475.xml><?xml version="1.0" encoding="utf-8"?>
<formControlPr xmlns="http://schemas.microsoft.com/office/spreadsheetml/2009/9/main" objectType="CheckBox" fmlaLink="$V$97" lockText="1"/>
</file>

<file path=xl/ctrlProps/ctrlProp476.xml><?xml version="1.0" encoding="utf-8"?>
<formControlPr xmlns="http://schemas.microsoft.com/office/spreadsheetml/2009/9/main" objectType="CheckBox" fmlaLink="$V$98" lockText="1"/>
</file>

<file path=xl/ctrlProps/ctrlProp477.xml><?xml version="1.0" encoding="utf-8"?>
<formControlPr xmlns="http://schemas.microsoft.com/office/spreadsheetml/2009/9/main" objectType="CheckBox" fmlaLink="$V$99" lockText="1"/>
</file>

<file path=xl/ctrlProps/ctrlProp478.xml><?xml version="1.0" encoding="utf-8"?>
<formControlPr xmlns="http://schemas.microsoft.com/office/spreadsheetml/2009/9/main" objectType="CheckBox" fmlaLink="$V$102" lockText="1"/>
</file>

<file path=xl/ctrlProps/ctrlProp479.xml><?xml version="1.0" encoding="utf-8"?>
<formControlPr xmlns="http://schemas.microsoft.com/office/spreadsheetml/2009/9/main" objectType="CheckBox" fmlaLink="$V$103" lockText="1"/>
</file>

<file path=xl/ctrlProps/ctrlProp48.xml><?xml version="1.0" encoding="utf-8"?>
<formControlPr xmlns="http://schemas.microsoft.com/office/spreadsheetml/2009/9/main" objectType="CheckBox" fmlaLink="$W$83" lockText="1"/>
</file>

<file path=xl/ctrlProps/ctrlProp480.xml><?xml version="1.0" encoding="utf-8"?>
<formControlPr xmlns="http://schemas.microsoft.com/office/spreadsheetml/2009/9/main" objectType="CheckBox" fmlaLink="$V$104" lockText="1"/>
</file>

<file path=xl/ctrlProps/ctrlProp481.xml><?xml version="1.0" encoding="utf-8"?>
<formControlPr xmlns="http://schemas.microsoft.com/office/spreadsheetml/2009/9/main" objectType="CheckBox" fmlaLink="$V$105" lockText="1"/>
</file>

<file path=xl/ctrlProps/ctrlProp482.xml><?xml version="1.0" encoding="utf-8"?>
<formControlPr xmlns="http://schemas.microsoft.com/office/spreadsheetml/2009/9/main" objectType="CheckBox" fmlaLink="$V$106" lockText="1"/>
</file>

<file path=xl/ctrlProps/ctrlProp483.xml><?xml version="1.0" encoding="utf-8"?>
<formControlPr xmlns="http://schemas.microsoft.com/office/spreadsheetml/2009/9/main" objectType="CheckBox" fmlaLink="$V$107" lockText="1"/>
</file>

<file path=xl/ctrlProps/ctrlProp484.xml><?xml version="1.0" encoding="utf-8"?>
<formControlPr xmlns="http://schemas.microsoft.com/office/spreadsheetml/2009/9/main" objectType="CheckBox" fmlaLink="$V$108" lockText="1"/>
</file>

<file path=xl/ctrlProps/ctrlProp485.xml><?xml version="1.0" encoding="utf-8"?>
<formControlPr xmlns="http://schemas.microsoft.com/office/spreadsheetml/2009/9/main" objectType="CheckBox" fmlaLink="$V$109" lockText="1"/>
</file>

<file path=xl/ctrlProps/ctrlProp486.xml><?xml version="1.0" encoding="utf-8"?>
<formControlPr xmlns="http://schemas.microsoft.com/office/spreadsheetml/2009/9/main" objectType="CheckBox" fmlaLink="$V$110" lockText="1"/>
</file>

<file path=xl/ctrlProps/ctrlProp487.xml><?xml version="1.0" encoding="utf-8"?>
<formControlPr xmlns="http://schemas.microsoft.com/office/spreadsheetml/2009/9/main" objectType="CheckBox" fmlaLink="$V$111" lockText="1"/>
</file>

<file path=xl/ctrlProps/ctrlProp488.xml><?xml version="1.0" encoding="utf-8"?>
<formControlPr xmlns="http://schemas.microsoft.com/office/spreadsheetml/2009/9/main" objectType="CheckBox" fmlaLink="$V$112" lockText="1"/>
</file>

<file path=xl/ctrlProps/ctrlProp489.xml><?xml version="1.0" encoding="utf-8"?>
<formControlPr xmlns="http://schemas.microsoft.com/office/spreadsheetml/2009/9/main" objectType="CheckBox" fmlaLink="$V$113" lockText="1"/>
</file>

<file path=xl/ctrlProps/ctrlProp49.xml><?xml version="1.0" encoding="utf-8"?>
<formControlPr xmlns="http://schemas.microsoft.com/office/spreadsheetml/2009/9/main" objectType="CheckBox" fmlaLink="$W$84" lockText="1"/>
</file>

<file path=xl/ctrlProps/ctrlProp490.xml><?xml version="1.0" encoding="utf-8"?>
<formControlPr xmlns="http://schemas.microsoft.com/office/spreadsheetml/2009/9/main" objectType="CheckBox" fmlaLink="$V$114" lockText="1"/>
</file>

<file path=xl/ctrlProps/ctrlProp491.xml><?xml version="1.0" encoding="utf-8"?>
<formControlPr xmlns="http://schemas.microsoft.com/office/spreadsheetml/2009/9/main" objectType="CheckBox" fmlaLink="$V$115" lockText="1"/>
</file>

<file path=xl/ctrlProps/ctrlProp492.xml><?xml version="1.0" encoding="utf-8"?>
<formControlPr xmlns="http://schemas.microsoft.com/office/spreadsheetml/2009/9/main" objectType="CheckBox" fmlaLink="$V$116" lockText="1"/>
</file>

<file path=xl/ctrlProps/ctrlProp493.xml><?xml version="1.0" encoding="utf-8"?>
<formControlPr xmlns="http://schemas.microsoft.com/office/spreadsheetml/2009/9/main" objectType="CheckBox" fmlaLink="$V$117" lockText="1"/>
</file>

<file path=xl/ctrlProps/ctrlProp494.xml><?xml version="1.0" encoding="utf-8"?>
<formControlPr xmlns="http://schemas.microsoft.com/office/spreadsheetml/2009/9/main" objectType="CheckBox" fmlaLink="$V$118" lockText="1"/>
</file>

<file path=xl/ctrlProps/ctrlProp495.xml><?xml version="1.0" encoding="utf-8"?>
<formControlPr xmlns="http://schemas.microsoft.com/office/spreadsheetml/2009/9/main" objectType="CheckBox" fmlaLink="$V$119" lockText="1"/>
</file>

<file path=xl/ctrlProps/ctrlProp496.xml><?xml version="1.0" encoding="utf-8"?>
<formControlPr xmlns="http://schemas.microsoft.com/office/spreadsheetml/2009/9/main" objectType="CheckBox" fmlaLink="$V$120" lockText="1"/>
</file>

<file path=xl/ctrlProps/ctrlProp497.xml><?xml version="1.0" encoding="utf-8"?>
<formControlPr xmlns="http://schemas.microsoft.com/office/spreadsheetml/2009/9/main" objectType="CheckBox" fmlaLink="$V$121" lockText="1"/>
</file>

<file path=xl/ctrlProps/ctrlProp498.xml><?xml version="1.0" encoding="utf-8"?>
<formControlPr xmlns="http://schemas.microsoft.com/office/spreadsheetml/2009/9/main" objectType="CheckBox" fmlaLink="$V$122" lockText="1"/>
</file>

<file path=xl/ctrlProps/ctrlProp499.xml><?xml version="1.0" encoding="utf-8"?>
<formControlPr xmlns="http://schemas.microsoft.com/office/spreadsheetml/2009/9/main" objectType="CheckBox" fmlaLink="$V$123" lockText="1"/>
</file>

<file path=xl/ctrlProps/ctrlProp5.xml><?xml version="1.0" encoding="utf-8"?>
<formControlPr xmlns="http://schemas.microsoft.com/office/spreadsheetml/2009/9/main" objectType="Button" lockText="1"/>
</file>

<file path=xl/ctrlProps/ctrlProp50.xml><?xml version="1.0" encoding="utf-8"?>
<formControlPr xmlns="http://schemas.microsoft.com/office/spreadsheetml/2009/9/main" objectType="CheckBox" fmlaLink="$W$85" lockText="1"/>
</file>

<file path=xl/ctrlProps/ctrlProp500.xml><?xml version="1.0" encoding="utf-8"?>
<formControlPr xmlns="http://schemas.microsoft.com/office/spreadsheetml/2009/9/main" objectType="CheckBox" fmlaLink="$V$124" lockText="1"/>
</file>

<file path=xl/ctrlProps/ctrlProp501.xml><?xml version="1.0" encoding="utf-8"?>
<formControlPr xmlns="http://schemas.microsoft.com/office/spreadsheetml/2009/9/main" objectType="CheckBox" fmlaLink="$V$125" lockText="1"/>
</file>

<file path=xl/ctrlProps/ctrlProp502.xml><?xml version="1.0" encoding="utf-8"?>
<formControlPr xmlns="http://schemas.microsoft.com/office/spreadsheetml/2009/9/main" objectType="CheckBox" fmlaLink="$V$126" lockText="1"/>
</file>

<file path=xl/ctrlProps/ctrlProp503.xml><?xml version="1.0" encoding="utf-8"?>
<formControlPr xmlns="http://schemas.microsoft.com/office/spreadsheetml/2009/9/main" objectType="CheckBox" fmlaLink="$V$127" lockText="1"/>
</file>

<file path=xl/ctrlProps/ctrlProp504.xml><?xml version="1.0" encoding="utf-8"?>
<formControlPr xmlns="http://schemas.microsoft.com/office/spreadsheetml/2009/9/main" objectType="CheckBox" fmlaLink="$V$128" lockText="1"/>
</file>

<file path=xl/ctrlProps/ctrlProp505.xml><?xml version="1.0" encoding="utf-8"?>
<formControlPr xmlns="http://schemas.microsoft.com/office/spreadsheetml/2009/9/main" objectType="CheckBox" fmlaLink="$V$129" lockText="1"/>
</file>

<file path=xl/ctrlProps/ctrlProp506.xml><?xml version="1.0" encoding="utf-8"?>
<formControlPr xmlns="http://schemas.microsoft.com/office/spreadsheetml/2009/9/main" objectType="CheckBox" fmlaLink="$V$130" lockText="1"/>
</file>

<file path=xl/ctrlProps/ctrlProp507.xml><?xml version="1.0" encoding="utf-8"?>
<formControlPr xmlns="http://schemas.microsoft.com/office/spreadsheetml/2009/9/main" objectType="CheckBox" fmlaLink="$V$131" lockText="1"/>
</file>

<file path=xl/ctrlProps/ctrlProp508.xml><?xml version="1.0" encoding="utf-8"?>
<formControlPr xmlns="http://schemas.microsoft.com/office/spreadsheetml/2009/9/main" objectType="CheckBox" fmlaLink="$V$132" lockText="1"/>
</file>

<file path=xl/ctrlProps/ctrlProp509.xml><?xml version="1.0" encoding="utf-8"?>
<formControlPr xmlns="http://schemas.microsoft.com/office/spreadsheetml/2009/9/main" objectType="CheckBox" fmlaLink="$V$133" lockText="1"/>
</file>

<file path=xl/ctrlProps/ctrlProp51.xml><?xml version="1.0" encoding="utf-8"?>
<formControlPr xmlns="http://schemas.microsoft.com/office/spreadsheetml/2009/9/main" objectType="CheckBox" fmlaLink="$W$86" lockText="1"/>
</file>

<file path=xl/ctrlProps/ctrlProp510.xml><?xml version="1.0" encoding="utf-8"?>
<formControlPr xmlns="http://schemas.microsoft.com/office/spreadsheetml/2009/9/main" objectType="CheckBox" fmlaLink="$V$134" lockText="1"/>
</file>

<file path=xl/ctrlProps/ctrlProp511.xml><?xml version="1.0" encoding="utf-8"?>
<formControlPr xmlns="http://schemas.microsoft.com/office/spreadsheetml/2009/9/main" objectType="CheckBox" fmlaLink="$V$135" lockText="1"/>
</file>

<file path=xl/ctrlProps/ctrlProp512.xml><?xml version="1.0" encoding="utf-8"?>
<formControlPr xmlns="http://schemas.microsoft.com/office/spreadsheetml/2009/9/main" objectType="CheckBox" fmlaLink="$V$136" lockText="1"/>
</file>

<file path=xl/ctrlProps/ctrlProp513.xml><?xml version="1.0" encoding="utf-8"?>
<formControlPr xmlns="http://schemas.microsoft.com/office/spreadsheetml/2009/9/main" objectType="CheckBox" fmlaLink="$V$137" lockText="1"/>
</file>

<file path=xl/ctrlProps/ctrlProp514.xml><?xml version="1.0" encoding="utf-8"?>
<formControlPr xmlns="http://schemas.microsoft.com/office/spreadsheetml/2009/9/main" objectType="CheckBox" fmlaLink="$V$138" lockText="1"/>
</file>

<file path=xl/ctrlProps/ctrlProp515.xml><?xml version="1.0" encoding="utf-8"?>
<formControlPr xmlns="http://schemas.microsoft.com/office/spreadsheetml/2009/9/main" objectType="CheckBox" fmlaLink="$V$100" lockText="1"/>
</file>

<file path=xl/ctrlProps/ctrlProp516.xml><?xml version="1.0" encoding="utf-8"?>
<formControlPr xmlns="http://schemas.microsoft.com/office/spreadsheetml/2009/9/main" objectType="CheckBox" fmlaLink="$V$101" lockText="1"/>
</file>

<file path=xl/ctrlProps/ctrlProp517.xml><?xml version="1.0" encoding="utf-8"?>
<formControlPr xmlns="http://schemas.microsoft.com/office/spreadsheetml/2009/9/main" objectType="CheckBox" fmlaLink="$V$139" lockText="1"/>
</file>

<file path=xl/ctrlProps/ctrlProp518.xml><?xml version="1.0" encoding="utf-8"?>
<formControlPr xmlns="http://schemas.microsoft.com/office/spreadsheetml/2009/9/main" objectType="CheckBox" fmlaLink="$V$140" lockText="1"/>
</file>

<file path=xl/ctrlProps/ctrlProp519.xml><?xml version="1.0" encoding="utf-8"?>
<formControlPr xmlns="http://schemas.microsoft.com/office/spreadsheetml/2009/9/main" objectType="CheckBox" fmlaLink="$V$141" lockText="1"/>
</file>

<file path=xl/ctrlProps/ctrlProp52.xml><?xml version="1.0" encoding="utf-8"?>
<formControlPr xmlns="http://schemas.microsoft.com/office/spreadsheetml/2009/9/main" objectType="CheckBox" fmlaLink="$W$87" lockText="1"/>
</file>

<file path=xl/ctrlProps/ctrlProp520.xml><?xml version="1.0" encoding="utf-8"?>
<formControlPr xmlns="http://schemas.microsoft.com/office/spreadsheetml/2009/9/main" objectType="CheckBox" fmlaLink="$V$142" lockText="1"/>
</file>

<file path=xl/ctrlProps/ctrlProp521.xml><?xml version="1.0" encoding="utf-8"?>
<formControlPr xmlns="http://schemas.microsoft.com/office/spreadsheetml/2009/9/main" objectType="CheckBox" fmlaLink="$V$143" lockText="1"/>
</file>

<file path=xl/ctrlProps/ctrlProp522.xml><?xml version="1.0" encoding="utf-8"?>
<formControlPr xmlns="http://schemas.microsoft.com/office/spreadsheetml/2009/9/main" objectType="CheckBox" fmlaLink="$V$144" lockText="1"/>
</file>

<file path=xl/ctrlProps/ctrlProp523.xml><?xml version="1.0" encoding="utf-8"?>
<formControlPr xmlns="http://schemas.microsoft.com/office/spreadsheetml/2009/9/main" objectType="CheckBox" fmlaLink="$V$145" lockText="1"/>
</file>

<file path=xl/ctrlProps/ctrlProp524.xml><?xml version="1.0" encoding="utf-8"?>
<formControlPr xmlns="http://schemas.microsoft.com/office/spreadsheetml/2009/9/main" objectType="CheckBox" fmlaLink="$V$146" lockText="1"/>
</file>

<file path=xl/ctrlProps/ctrlProp525.xml><?xml version="1.0" encoding="utf-8"?>
<formControlPr xmlns="http://schemas.microsoft.com/office/spreadsheetml/2009/9/main" objectType="CheckBox" fmlaLink="$V$147" lockText="1"/>
</file>

<file path=xl/ctrlProps/ctrlProp526.xml><?xml version="1.0" encoding="utf-8"?>
<formControlPr xmlns="http://schemas.microsoft.com/office/spreadsheetml/2009/9/main" objectType="CheckBox" fmlaLink="$V$148" lockText="1"/>
</file>

<file path=xl/ctrlProps/ctrlProp527.xml><?xml version="1.0" encoding="utf-8"?>
<formControlPr xmlns="http://schemas.microsoft.com/office/spreadsheetml/2009/9/main" objectType="CheckBox" fmlaLink="$V$149" lockText="1"/>
</file>

<file path=xl/ctrlProps/ctrlProp528.xml><?xml version="1.0" encoding="utf-8"?>
<formControlPr xmlns="http://schemas.microsoft.com/office/spreadsheetml/2009/9/main" objectType="CheckBox" fmlaLink="$V$152" lockText="1"/>
</file>

<file path=xl/ctrlProps/ctrlProp529.xml><?xml version="1.0" encoding="utf-8"?>
<formControlPr xmlns="http://schemas.microsoft.com/office/spreadsheetml/2009/9/main" objectType="CheckBox" fmlaLink="$V$153" lockText="1"/>
</file>

<file path=xl/ctrlProps/ctrlProp53.xml><?xml version="1.0" encoding="utf-8"?>
<formControlPr xmlns="http://schemas.microsoft.com/office/spreadsheetml/2009/9/main" objectType="CheckBox" fmlaLink="$W$88" lockText="1"/>
</file>

<file path=xl/ctrlProps/ctrlProp530.xml><?xml version="1.0" encoding="utf-8"?>
<formControlPr xmlns="http://schemas.microsoft.com/office/spreadsheetml/2009/9/main" objectType="CheckBox" fmlaLink="$V$154" lockText="1"/>
</file>

<file path=xl/ctrlProps/ctrlProp531.xml><?xml version="1.0" encoding="utf-8"?>
<formControlPr xmlns="http://schemas.microsoft.com/office/spreadsheetml/2009/9/main" objectType="CheckBox" fmlaLink="$V$155" lockText="1"/>
</file>

<file path=xl/ctrlProps/ctrlProp532.xml><?xml version="1.0" encoding="utf-8"?>
<formControlPr xmlns="http://schemas.microsoft.com/office/spreadsheetml/2009/9/main" objectType="CheckBox" fmlaLink="$V$156" lockText="1"/>
</file>

<file path=xl/ctrlProps/ctrlProp533.xml><?xml version="1.0" encoding="utf-8"?>
<formControlPr xmlns="http://schemas.microsoft.com/office/spreadsheetml/2009/9/main" objectType="CheckBox" fmlaLink="$V$157" lockText="1"/>
</file>

<file path=xl/ctrlProps/ctrlProp534.xml><?xml version="1.0" encoding="utf-8"?>
<formControlPr xmlns="http://schemas.microsoft.com/office/spreadsheetml/2009/9/main" objectType="CheckBox" fmlaLink="$V$158" lockText="1"/>
</file>

<file path=xl/ctrlProps/ctrlProp535.xml><?xml version="1.0" encoding="utf-8"?>
<formControlPr xmlns="http://schemas.microsoft.com/office/spreadsheetml/2009/9/main" objectType="CheckBox" fmlaLink="$V$159" lockText="1"/>
</file>

<file path=xl/ctrlProps/ctrlProp536.xml><?xml version="1.0" encoding="utf-8"?>
<formControlPr xmlns="http://schemas.microsoft.com/office/spreadsheetml/2009/9/main" objectType="CheckBox" fmlaLink="$V$160" lockText="1"/>
</file>

<file path=xl/ctrlProps/ctrlProp537.xml><?xml version="1.0" encoding="utf-8"?>
<formControlPr xmlns="http://schemas.microsoft.com/office/spreadsheetml/2009/9/main" objectType="CheckBox" fmlaLink="$V$161" lockText="1"/>
</file>

<file path=xl/ctrlProps/ctrlProp538.xml><?xml version="1.0" encoding="utf-8"?>
<formControlPr xmlns="http://schemas.microsoft.com/office/spreadsheetml/2009/9/main" objectType="CheckBox" fmlaLink="$V$162" lockText="1"/>
</file>

<file path=xl/ctrlProps/ctrlProp539.xml><?xml version="1.0" encoding="utf-8"?>
<formControlPr xmlns="http://schemas.microsoft.com/office/spreadsheetml/2009/9/main" objectType="CheckBox" fmlaLink="$V$163" lockText="1"/>
</file>

<file path=xl/ctrlProps/ctrlProp54.xml><?xml version="1.0" encoding="utf-8"?>
<formControlPr xmlns="http://schemas.microsoft.com/office/spreadsheetml/2009/9/main" objectType="CheckBox" fmlaLink="$W$50" lockText="1"/>
</file>

<file path=xl/ctrlProps/ctrlProp540.xml><?xml version="1.0" encoding="utf-8"?>
<formControlPr xmlns="http://schemas.microsoft.com/office/spreadsheetml/2009/9/main" objectType="CheckBox" fmlaLink="$V$164" lockText="1"/>
</file>

<file path=xl/ctrlProps/ctrlProp541.xml><?xml version="1.0" encoding="utf-8"?>
<formControlPr xmlns="http://schemas.microsoft.com/office/spreadsheetml/2009/9/main" objectType="CheckBox" fmlaLink="$V$165" lockText="1"/>
</file>

<file path=xl/ctrlProps/ctrlProp542.xml><?xml version="1.0" encoding="utf-8"?>
<formControlPr xmlns="http://schemas.microsoft.com/office/spreadsheetml/2009/9/main" objectType="CheckBox" fmlaLink="$V$166" lockText="1"/>
</file>

<file path=xl/ctrlProps/ctrlProp543.xml><?xml version="1.0" encoding="utf-8"?>
<formControlPr xmlns="http://schemas.microsoft.com/office/spreadsheetml/2009/9/main" objectType="CheckBox" fmlaLink="$V$167" lockText="1"/>
</file>

<file path=xl/ctrlProps/ctrlProp544.xml><?xml version="1.0" encoding="utf-8"?>
<formControlPr xmlns="http://schemas.microsoft.com/office/spreadsheetml/2009/9/main" objectType="CheckBox" fmlaLink="$V$168" lockText="1"/>
</file>

<file path=xl/ctrlProps/ctrlProp545.xml><?xml version="1.0" encoding="utf-8"?>
<formControlPr xmlns="http://schemas.microsoft.com/office/spreadsheetml/2009/9/main" objectType="CheckBox" fmlaLink="$V$169" lockText="1"/>
</file>

<file path=xl/ctrlProps/ctrlProp546.xml><?xml version="1.0" encoding="utf-8"?>
<formControlPr xmlns="http://schemas.microsoft.com/office/spreadsheetml/2009/9/main" objectType="CheckBox" fmlaLink="$V$170" lockText="1"/>
</file>

<file path=xl/ctrlProps/ctrlProp547.xml><?xml version="1.0" encoding="utf-8"?>
<formControlPr xmlns="http://schemas.microsoft.com/office/spreadsheetml/2009/9/main" objectType="CheckBox" fmlaLink="$V$171" lockText="1"/>
</file>

<file path=xl/ctrlProps/ctrlProp548.xml><?xml version="1.0" encoding="utf-8"?>
<formControlPr xmlns="http://schemas.microsoft.com/office/spreadsheetml/2009/9/main" objectType="CheckBox" fmlaLink="$V$172" lockText="1"/>
</file>

<file path=xl/ctrlProps/ctrlProp549.xml><?xml version="1.0" encoding="utf-8"?>
<formControlPr xmlns="http://schemas.microsoft.com/office/spreadsheetml/2009/9/main" objectType="CheckBox" fmlaLink="$V$173" lockText="1"/>
</file>

<file path=xl/ctrlProps/ctrlProp55.xml><?xml version="1.0" encoding="utf-8"?>
<formControlPr xmlns="http://schemas.microsoft.com/office/spreadsheetml/2009/9/main" objectType="CheckBox" fmlaLink="$W$51" lockText="1"/>
</file>

<file path=xl/ctrlProps/ctrlProp550.xml><?xml version="1.0" encoding="utf-8"?>
<formControlPr xmlns="http://schemas.microsoft.com/office/spreadsheetml/2009/9/main" objectType="CheckBox" fmlaLink="$V$174" lockText="1"/>
</file>

<file path=xl/ctrlProps/ctrlProp551.xml><?xml version="1.0" encoding="utf-8"?>
<formControlPr xmlns="http://schemas.microsoft.com/office/spreadsheetml/2009/9/main" objectType="CheckBox" fmlaLink="$V$175" lockText="1"/>
</file>

<file path=xl/ctrlProps/ctrlProp552.xml><?xml version="1.0" encoding="utf-8"?>
<formControlPr xmlns="http://schemas.microsoft.com/office/spreadsheetml/2009/9/main" objectType="CheckBox" fmlaLink="$V$176" lockText="1"/>
</file>

<file path=xl/ctrlProps/ctrlProp553.xml><?xml version="1.0" encoding="utf-8"?>
<formControlPr xmlns="http://schemas.microsoft.com/office/spreadsheetml/2009/9/main" objectType="CheckBox" fmlaLink="$V$177" lockText="1"/>
</file>

<file path=xl/ctrlProps/ctrlProp554.xml><?xml version="1.0" encoding="utf-8"?>
<formControlPr xmlns="http://schemas.microsoft.com/office/spreadsheetml/2009/9/main" objectType="CheckBox" fmlaLink="$V$178" lockText="1"/>
</file>

<file path=xl/ctrlProps/ctrlProp555.xml><?xml version="1.0" encoding="utf-8"?>
<formControlPr xmlns="http://schemas.microsoft.com/office/spreadsheetml/2009/9/main" objectType="CheckBox" fmlaLink="$V$179" lockText="1"/>
</file>

<file path=xl/ctrlProps/ctrlProp556.xml><?xml version="1.0" encoding="utf-8"?>
<formControlPr xmlns="http://schemas.microsoft.com/office/spreadsheetml/2009/9/main" objectType="CheckBox" fmlaLink="$V$180" lockText="1"/>
</file>

<file path=xl/ctrlProps/ctrlProp557.xml><?xml version="1.0" encoding="utf-8"?>
<formControlPr xmlns="http://schemas.microsoft.com/office/spreadsheetml/2009/9/main" objectType="CheckBox" fmlaLink="$V$181" lockText="1"/>
</file>

<file path=xl/ctrlProps/ctrlProp558.xml><?xml version="1.0" encoding="utf-8"?>
<formControlPr xmlns="http://schemas.microsoft.com/office/spreadsheetml/2009/9/main" objectType="CheckBox" fmlaLink="$V$182" lockText="1"/>
</file>

<file path=xl/ctrlProps/ctrlProp559.xml><?xml version="1.0" encoding="utf-8"?>
<formControlPr xmlns="http://schemas.microsoft.com/office/spreadsheetml/2009/9/main" objectType="CheckBox" fmlaLink="$V$183" lockText="1"/>
</file>

<file path=xl/ctrlProps/ctrlProp56.xml><?xml version="1.0" encoding="utf-8"?>
<formControlPr xmlns="http://schemas.microsoft.com/office/spreadsheetml/2009/9/main" objectType="CheckBox" fmlaLink="$W$89" lockText="1"/>
</file>

<file path=xl/ctrlProps/ctrlProp560.xml><?xml version="1.0" encoding="utf-8"?>
<formControlPr xmlns="http://schemas.microsoft.com/office/spreadsheetml/2009/9/main" objectType="CheckBox" fmlaLink="$V$184" lockText="1"/>
</file>

<file path=xl/ctrlProps/ctrlProp561.xml><?xml version="1.0" encoding="utf-8"?>
<formControlPr xmlns="http://schemas.microsoft.com/office/spreadsheetml/2009/9/main" objectType="CheckBox" fmlaLink="$V$185" lockText="1"/>
</file>

<file path=xl/ctrlProps/ctrlProp562.xml><?xml version="1.0" encoding="utf-8"?>
<formControlPr xmlns="http://schemas.microsoft.com/office/spreadsheetml/2009/9/main" objectType="CheckBox" fmlaLink="$V$186" lockText="1"/>
</file>

<file path=xl/ctrlProps/ctrlProp563.xml><?xml version="1.0" encoding="utf-8"?>
<formControlPr xmlns="http://schemas.microsoft.com/office/spreadsheetml/2009/9/main" objectType="CheckBox" fmlaLink="$V$187" lockText="1"/>
</file>

<file path=xl/ctrlProps/ctrlProp564.xml><?xml version="1.0" encoding="utf-8"?>
<formControlPr xmlns="http://schemas.microsoft.com/office/spreadsheetml/2009/9/main" objectType="CheckBox" fmlaLink="$V$188" lockText="1"/>
</file>

<file path=xl/ctrlProps/ctrlProp565.xml><?xml version="1.0" encoding="utf-8"?>
<formControlPr xmlns="http://schemas.microsoft.com/office/spreadsheetml/2009/9/main" objectType="CheckBox" fmlaLink="$V$150" lockText="1"/>
</file>

<file path=xl/ctrlProps/ctrlProp566.xml><?xml version="1.0" encoding="utf-8"?>
<formControlPr xmlns="http://schemas.microsoft.com/office/spreadsheetml/2009/9/main" objectType="CheckBox" fmlaLink="$V$151" lockText="1"/>
</file>

<file path=xl/ctrlProps/ctrlProp567.xml><?xml version="1.0" encoding="utf-8"?>
<formControlPr xmlns="http://schemas.microsoft.com/office/spreadsheetml/2009/9/main" objectType="CheckBox" fmlaLink="$V$189" lockText="1"/>
</file>

<file path=xl/ctrlProps/ctrlProp568.xml><?xml version="1.0" encoding="utf-8"?>
<formControlPr xmlns="http://schemas.microsoft.com/office/spreadsheetml/2009/9/main" objectType="CheckBox" fmlaLink="$V$190" lockText="1"/>
</file>

<file path=xl/ctrlProps/ctrlProp569.xml><?xml version="1.0" encoding="utf-8"?>
<formControlPr xmlns="http://schemas.microsoft.com/office/spreadsheetml/2009/9/main" objectType="CheckBox" fmlaLink="$V$191" lockText="1"/>
</file>

<file path=xl/ctrlProps/ctrlProp57.xml><?xml version="1.0" encoding="utf-8"?>
<formControlPr xmlns="http://schemas.microsoft.com/office/spreadsheetml/2009/9/main" objectType="CheckBox" fmlaLink="$W$90" lockText="1"/>
</file>

<file path=xl/ctrlProps/ctrlProp570.xml><?xml version="1.0" encoding="utf-8"?>
<formControlPr xmlns="http://schemas.microsoft.com/office/spreadsheetml/2009/9/main" objectType="CheckBox" fmlaLink="$V$192" lockText="1"/>
</file>

<file path=xl/ctrlProps/ctrlProp571.xml><?xml version="1.0" encoding="utf-8"?>
<formControlPr xmlns="http://schemas.microsoft.com/office/spreadsheetml/2009/9/main" objectType="CheckBox" fmlaLink="$V$193" lockText="1"/>
</file>

<file path=xl/ctrlProps/ctrlProp572.xml><?xml version="1.0" encoding="utf-8"?>
<formControlPr xmlns="http://schemas.microsoft.com/office/spreadsheetml/2009/9/main" objectType="CheckBox" fmlaLink="$V$194" lockText="1"/>
</file>

<file path=xl/ctrlProps/ctrlProp573.xml><?xml version="1.0" encoding="utf-8"?>
<formControlPr xmlns="http://schemas.microsoft.com/office/spreadsheetml/2009/9/main" objectType="CheckBox" fmlaLink="$V$195" lockText="1"/>
</file>

<file path=xl/ctrlProps/ctrlProp574.xml><?xml version="1.0" encoding="utf-8"?>
<formControlPr xmlns="http://schemas.microsoft.com/office/spreadsheetml/2009/9/main" objectType="CheckBox" fmlaLink="$V$196" lockText="1"/>
</file>

<file path=xl/ctrlProps/ctrlProp575.xml><?xml version="1.0" encoding="utf-8"?>
<formControlPr xmlns="http://schemas.microsoft.com/office/spreadsheetml/2009/9/main" objectType="CheckBox" fmlaLink="$V$197" lockText="1"/>
</file>

<file path=xl/ctrlProps/ctrlProp576.xml><?xml version="1.0" encoding="utf-8"?>
<formControlPr xmlns="http://schemas.microsoft.com/office/spreadsheetml/2009/9/main" objectType="CheckBox" fmlaLink="$V$198" lockText="1"/>
</file>

<file path=xl/ctrlProps/ctrlProp577.xml><?xml version="1.0" encoding="utf-8"?>
<formControlPr xmlns="http://schemas.microsoft.com/office/spreadsheetml/2009/9/main" objectType="CheckBox" fmlaLink="$V$199" lockText="1"/>
</file>

<file path=xl/ctrlProps/ctrlProp578.xml><?xml version="1.0" encoding="utf-8"?>
<formControlPr xmlns="http://schemas.microsoft.com/office/spreadsheetml/2009/9/main" objectType="CheckBox" fmlaLink="$V$202" lockText="1"/>
</file>

<file path=xl/ctrlProps/ctrlProp579.xml><?xml version="1.0" encoding="utf-8"?>
<formControlPr xmlns="http://schemas.microsoft.com/office/spreadsheetml/2009/9/main" objectType="CheckBox" fmlaLink="$V$203" lockText="1"/>
</file>

<file path=xl/ctrlProps/ctrlProp58.xml><?xml version="1.0" encoding="utf-8"?>
<formControlPr xmlns="http://schemas.microsoft.com/office/spreadsheetml/2009/9/main" objectType="CheckBox" fmlaLink="$W$91" lockText="1"/>
</file>

<file path=xl/ctrlProps/ctrlProp580.xml><?xml version="1.0" encoding="utf-8"?>
<formControlPr xmlns="http://schemas.microsoft.com/office/spreadsheetml/2009/9/main" objectType="CheckBox" fmlaLink="$V$204" lockText="1"/>
</file>

<file path=xl/ctrlProps/ctrlProp581.xml><?xml version="1.0" encoding="utf-8"?>
<formControlPr xmlns="http://schemas.microsoft.com/office/spreadsheetml/2009/9/main" objectType="CheckBox" fmlaLink="$V$205" lockText="1"/>
</file>

<file path=xl/ctrlProps/ctrlProp582.xml><?xml version="1.0" encoding="utf-8"?>
<formControlPr xmlns="http://schemas.microsoft.com/office/spreadsheetml/2009/9/main" objectType="CheckBox" fmlaLink="$V$206" lockText="1"/>
</file>

<file path=xl/ctrlProps/ctrlProp583.xml><?xml version="1.0" encoding="utf-8"?>
<formControlPr xmlns="http://schemas.microsoft.com/office/spreadsheetml/2009/9/main" objectType="CheckBox" fmlaLink="$V$207" lockText="1"/>
</file>

<file path=xl/ctrlProps/ctrlProp584.xml><?xml version="1.0" encoding="utf-8"?>
<formControlPr xmlns="http://schemas.microsoft.com/office/spreadsheetml/2009/9/main" objectType="CheckBox" fmlaLink="$V$208" lockText="1"/>
</file>

<file path=xl/ctrlProps/ctrlProp585.xml><?xml version="1.0" encoding="utf-8"?>
<formControlPr xmlns="http://schemas.microsoft.com/office/spreadsheetml/2009/9/main" objectType="CheckBox" fmlaLink="$V$209" lockText="1"/>
</file>

<file path=xl/ctrlProps/ctrlProp586.xml><?xml version="1.0" encoding="utf-8"?>
<formControlPr xmlns="http://schemas.microsoft.com/office/spreadsheetml/2009/9/main" objectType="CheckBox" fmlaLink="$V$210" lockText="1"/>
</file>

<file path=xl/ctrlProps/ctrlProp587.xml><?xml version="1.0" encoding="utf-8"?>
<formControlPr xmlns="http://schemas.microsoft.com/office/spreadsheetml/2009/9/main" objectType="CheckBox" fmlaLink="$V$211" lockText="1"/>
</file>

<file path=xl/ctrlProps/ctrlProp588.xml><?xml version="1.0" encoding="utf-8"?>
<formControlPr xmlns="http://schemas.microsoft.com/office/spreadsheetml/2009/9/main" objectType="CheckBox" fmlaLink="$V$212" lockText="1"/>
</file>

<file path=xl/ctrlProps/ctrlProp589.xml><?xml version="1.0" encoding="utf-8"?>
<formControlPr xmlns="http://schemas.microsoft.com/office/spreadsheetml/2009/9/main" objectType="CheckBox" fmlaLink="$V$213" lockText="1"/>
</file>

<file path=xl/ctrlProps/ctrlProp59.xml><?xml version="1.0" encoding="utf-8"?>
<formControlPr xmlns="http://schemas.microsoft.com/office/spreadsheetml/2009/9/main" objectType="CheckBox" fmlaLink="$W$92" lockText="1"/>
</file>

<file path=xl/ctrlProps/ctrlProp590.xml><?xml version="1.0" encoding="utf-8"?>
<formControlPr xmlns="http://schemas.microsoft.com/office/spreadsheetml/2009/9/main" objectType="CheckBox" fmlaLink="$V$214" lockText="1"/>
</file>

<file path=xl/ctrlProps/ctrlProp591.xml><?xml version="1.0" encoding="utf-8"?>
<formControlPr xmlns="http://schemas.microsoft.com/office/spreadsheetml/2009/9/main" objectType="CheckBox" fmlaLink="$V$215" lockText="1"/>
</file>

<file path=xl/ctrlProps/ctrlProp592.xml><?xml version="1.0" encoding="utf-8"?>
<formControlPr xmlns="http://schemas.microsoft.com/office/spreadsheetml/2009/9/main" objectType="CheckBox" fmlaLink="$V$216" lockText="1"/>
</file>

<file path=xl/ctrlProps/ctrlProp593.xml><?xml version="1.0" encoding="utf-8"?>
<formControlPr xmlns="http://schemas.microsoft.com/office/spreadsheetml/2009/9/main" objectType="CheckBox" fmlaLink="$V$217" lockText="1"/>
</file>

<file path=xl/ctrlProps/ctrlProp594.xml><?xml version="1.0" encoding="utf-8"?>
<formControlPr xmlns="http://schemas.microsoft.com/office/spreadsheetml/2009/9/main" objectType="CheckBox" fmlaLink="$V$218" lockText="1"/>
</file>

<file path=xl/ctrlProps/ctrlProp595.xml><?xml version="1.0" encoding="utf-8"?>
<formControlPr xmlns="http://schemas.microsoft.com/office/spreadsheetml/2009/9/main" objectType="CheckBox" fmlaLink="$V$219" lockText="1"/>
</file>

<file path=xl/ctrlProps/ctrlProp596.xml><?xml version="1.0" encoding="utf-8"?>
<formControlPr xmlns="http://schemas.microsoft.com/office/spreadsheetml/2009/9/main" objectType="CheckBox" fmlaLink="$V$220" lockText="1"/>
</file>

<file path=xl/ctrlProps/ctrlProp597.xml><?xml version="1.0" encoding="utf-8"?>
<formControlPr xmlns="http://schemas.microsoft.com/office/spreadsheetml/2009/9/main" objectType="CheckBox" fmlaLink="$V$221" lockText="1"/>
</file>

<file path=xl/ctrlProps/ctrlProp598.xml><?xml version="1.0" encoding="utf-8"?>
<formControlPr xmlns="http://schemas.microsoft.com/office/spreadsheetml/2009/9/main" objectType="CheckBox" fmlaLink="$V$222" lockText="1"/>
</file>

<file path=xl/ctrlProps/ctrlProp599.xml><?xml version="1.0" encoding="utf-8"?>
<formControlPr xmlns="http://schemas.microsoft.com/office/spreadsheetml/2009/9/main" objectType="CheckBox" fmlaLink="$V$223" lockText="1"/>
</file>

<file path=xl/ctrlProps/ctrlProp6.xml><?xml version="1.0" encoding="utf-8"?>
<formControlPr xmlns="http://schemas.microsoft.com/office/spreadsheetml/2009/9/main" objectType="CheckBox" fmlaLink="$W$39" lockText="1"/>
</file>

<file path=xl/ctrlProps/ctrlProp60.xml><?xml version="1.0" encoding="utf-8"?>
<formControlPr xmlns="http://schemas.microsoft.com/office/spreadsheetml/2009/9/main" objectType="CheckBox" fmlaLink="$W$93" lockText="1"/>
</file>

<file path=xl/ctrlProps/ctrlProp600.xml><?xml version="1.0" encoding="utf-8"?>
<formControlPr xmlns="http://schemas.microsoft.com/office/spreadsheetml/2009/9/main" objectType="CheckBox" fmlaLink="$V$224" lockText="1"/>
</file>

<file path=xl/ctrlProps/ctrlProp601.xml><?xml version="1.0" encoding="utf-8"?>
<formControlPr xmlns="http://schemas.microsoft.com/office/spreadsheetml/2009/9/main" objectType="CheckBox" fmlaLink="$V$225" lockText="1"/>
</file>

<file path=xl/ctrlProps/ctrlProp602.xml><?xml version="1.0" encoding="utf-8"?>
<formControlPr xmlns="http://schemas.microsoft.com/office/spreadsheetml/2009/9/main" objectType="CheckBox" fmlaLink="$V$226" lockText="1"/>
</file>

<file path=xl/ctrlProps/ctrlProp603.xml><?xml version="1.0" encoding="utf-8"?>
<formControlPr xmlns="http://schemas.microsoft.com/office/spreadsheetml/2009/9/main" objectType="CheckBox" fmlaLink="$V$227" lockText="1"/>
</file>

<file path=xl/ctrlProps/ctrlProp604.xml><?xml version="1.0" encoding="utf-8"?>
<formControlPr xmlns="http://schemas.microsoft.com/office/spreadsheetml/2009/9/main" objectType="CheckBox" fmlaLink="$V$228" lockText="1"/>
</file>

<file path=xl/ctrlProps/ctrlProp605.xml><?xml version="1.0" encoding="utf-8"?>
<formControlPr xmlns="http://schemas.microsoft.com/office/spreadsheetml/2009/9/main" objectType="CheckBox" fmlaLink="$V$229" lockText="1"/>
</file>

<file path=xl/ctrlProps/ctrlProp606.xml><?xml version="1.0" encoding="utf-8"?>
<formControlPr xmlns="http://schemas.microsoft.com/office/spreadsheetml/2009/9/main" objectType="CheckBox" fmlaLink="$V$230" lockText="1"/>
</file>

<file path=xl/ctrlProps/ctrlProp607.xml><?xml version="1.0" encoding="utf-8"?>
<formControlPr xmlns="http://schemas.microsoft.com/office/spreadsheetml/2009/9/main" objectType="CheckBox" fmlaLink="$V$231" lockText="1"/>
</file>

<file path=xl/ctrlProps/ctrlProp608.xml><?xml version="1.0" encoding="utf-8"?>
<formControlPr xmlns="http://schemas.microsoft.com/office/spreadsheetml/2009/9/main" objectType="CheckBox" fmlaLink="$V$232" lockText="1"/>
</file>

<file path=xl/ctrlProps/ctrlProp609.xml><?xml version="1.0" encoding="utf-8"?>
<formControlPr xmlns="http://schemas.microsoft.com/office/spreadsheetml/2009/9/main" objectType="CheckBox" fmlaLink="$V$233" lockText="1"/>
</file>

<file path=xl/ctrlProps/ctrlProp61.xml><?xml version="1.0" encoding="utf-8"?>
<formControlPr xmlns="http://schemas.microsoft.com/office/spreadsheetml/2009/9/main" objectType="CheckBox" fmlaLink="$W$94" lockText="1"/>
</file>

<file path=xl/ctrlProps/ctrlProp610.xml><?xml version="1.0" encoding="utf-8"?>
<formControlPr xmlns="http://schemas.microsoft.com/office/spreadsheetml/2009/9/main" objectType="CheckBox" fmlaLink="$V$234" lockText="1"/>
</file>

<file path=xl/ctrlProps/ctrlProp611.xml><?xml version="1.0" encoding="utf-8"?>
<formControlPr xmlns="http://schemas.microsoft.com/office/spreadsheetml/2009/9/main" objectType="CheckBox" fmlaLink="$V$235" lockText="1"/>
</file>

<file path=xl/ctrlProps/ctrlProp612.xml><?xml version="1.0" encoding="utf-8"?>
<formControlPr xmlns="http://schemas.microsoft.com/office/spreadsheetml/2009/9/main" objectType="CheckBox" fmlaLink="$V$236" lockText="1"/>
</file>

<file path=xl/ctrlProps/ctrlProp613.xml><?xml version="1.0" encoding="utf-8"?>
<formControlPr xmlns="http://schemas.microsoft.com/office/spreadsheetml/2009/9/main" objectType="CheckBox" fmlaLink="$V$237" lockText="1"/>
</file>

<file path=xl/ctrlProps/ctrlProp614.xml><?xml version="1.0" encoding="utf-8"?>
<formControlPr xmlns="http://schemas.microsoft.com/office/spreadsheetml/2009/9/main" objectType="CheckBox" fmlaLink="$V$238" lockText="1"/>
</file>

<file path=xl/ctrlProps/ctrlProp615.xml><?xml version="1.0" encoding="utf-8"?>
<formControlPr xmlns="http://schemas.microsoft.com/office/spreadsheetml/2009/9/main" objectType="CheckBox" fmlaLink="$V$200" lockText="1"/>
</file>

<file path=xl/ctrlProps/ctrlProp616.xml><?xml version="1.0" encoding="utf-8"?>
<formControlPr xmlns="http://schemas.microsoft.com/office/spreadsheetml/2009/9/main" objectType="CheckBox" fmlaLink="$V$201" lockText="1"/>
</file>

<file path=xl/ctrlProps/ctrlProp617.xml><?xml version="1.0" encoding="utf-8"?>
<formControlPr xmlns="http://schemas.microsoft.com/office/spreadsheetml/2009/9/main" objectType="CheckBox" fmlaLink="$V$238" lockText="1"/>
</file>

<file path=xl/ctrlProps/ctrlProp618.xml><?xml version="1.0" encoding="utf-8"?>
<formControlPr xmlns="http://schemas.microsoft.com/office/spreadsheetml/2009/9/main" objectType="CheckBox" checked="Checked" fmlaLink="$Q$32" lockText="1"/>
</file>

<file path=xl/ctrlProps/ctrlProp619.xml><?xml version="1.0" encoding="utf-8"?>
<formControlPr xmlns="http://schemas.microsoft.com/office/spreadsheetml/2009/9/main" objectType="CheckBox" checked="Checked" fmlaLink="$Q$31" lockText="1"/>
</file>

<file path=xl/ctrlProps/ctrlProp62.xml><?xml version="1.0" encoding="utf-8"?>
<formControlPr xmlns="http://schemas.microsoft.com/office/spreadsheetml/2009/9/main" objectType="CheckBox" fmlaLink="$W$95" lockText="1"/>
</file>

<file path=xl/ctrlProps/ctrlProp620.xml><?xml version="1.0" encoding="utf-8"?>
<formControlPr xmlns="http://schemas.microsoft.com/office/spreadsheetml/2009/9/main" objectType="CheckBox" fmlaLink="$Q$30" lockText="1"/>
</file>

<file path=xl/ctrlProps/ctrlProp621.xml><?xml version="1.0" encoding="utf-8"?>
<formControlPr xmlns="http://schemas.microsoft.com/office/spreadsheetml/2009/9/main" objectType="CheckBox" fmlaLink="$Q$29" lockText="1"/>
</file>

<file path=xl/ctrlProps/ctrlProp63.xml><?xml version="1.0" encoding="utf-8"?>
<formControlPr xmlns="http://schemas.microsoft.com/office/spreadsheetml/2009/9/main" objectType="CheckBox" fmlaLink="$W$96" lockText="1"/>
</file>

<file path=xl/ctrlProps/ctrlProp64.xml><?xml version="1.0" encoding="utf-8"?>
<formControlPr xmlns="http://schemas.microsoft.com/office/spreadsheetml/2009/9/main" objectType="CheckBox" fmlaLink="$W$97" lockText="1"/>
</file>

<file path=xl/ctrlProps/ctrlProp65.xml><?xml version="1.0" encoding="utf-8"?>
<formControlPr xmlns="http://schemas.microsoft.com/office/spreadsheetml/2009/9/main" objectType="CheckBox" fmlaLink="$W$98" lockText="1"/>
</file>

<file path=xl/ctrlProps/ctrlProp66.xml><?xml version="1.0" encoding="utf-8"?>
<formControlPr xmlns="http://schemas.microsoft.com/office/spreadsheetml/2009/9/main" objectType="CheckBox" fmlaLink="$W$99" lockText="1"/>
</file>

<file path=xl/ctrlProps/ctrlProp67.xml><?xml version="1.0" encoding="utf-8"?>
<formControlPr xmlns="http://schemas.microsoft.com/office/spreadsheetml/2009/9/main" objectType="CheckBox" fmlaLink="$W$102" lockText="1"/>
</file>

<file path=xl/ctrlProps/ctrlProp68.xml><?xml version="1.0" encoding="utf-8"?>
<formControlPr xmlns="http://schemas.microsoft.com/office/spreadsheetml/2009/9/main" objectType="CheckBox" fmlaLink="$W$103" lockText="1"/>
</file>

<file path=xl/ctrlProps/ctrlProp69.xml><?xml version="1.0" encoding="utf-8"?>
<formControlPr xmlns="http://schemas.microsoft.com/office/spreadsheetml/2009/9/main" objectType="CheckBox" fmlaLink="$W$104" lockText="1"/>
</file>

<file path=xl/ctrlProps/ctrlProp7.xml><?xml version="1.0" encoding="utf-8"?>
<formControlPr xmlns="http://schemas.microsoft.com/office/spreadsheetml/2009/9/main" objectType="CheckBox" fmlaLink="$W$40" lockText="1"/>
</file>

<file path=xl/ctrlProps/ctrlProp70.xml><?xml version="1.0" encoding="utf-8"?>
<formControlPr xmlns="http://schemas.microsoft.com/office/spreadsheetml/2009/9/main" objectType="CheckBox" fmlaLink="$W$105" lockText="1"/>
</file>

<file path=xl/ctrlProps/ctrlProp71.xml><?xml version="1.0" encoding="utf-8"?>
<formControlPr xmlns="http://schemas.microsoft.com/office/spreadsheetml/2009/9/main" objectType="CheckBox" fmlaLink="$W$106" lockText="1"/>
</file>

<file path=xl/ctrlProps/ctrlProp72.xml><?xml version="1.0" encoding="utf-8"?>
<formControlPr xmlns="http://schemas.microsoft.com/office/spreadsheetml/2009/9/main" objectType="CheckBox" fmlaLink="$W$107" lockText="1"/>
</file>

<file path=xl/ctrlProps/ctrlProp73.xml><?xml version="1.0" encoding="utf-8"?>
<formControlPr xmlns="http://schemas.microsoft.com/office/spreadsheetml/2009/9/main" objectType="CheckBox" fmlaLink="$W$108" lockText="1"/>
</file>

<file path=xl/ctrlProps/ctrlProp74.xml><?xml version="1.0" encoding="utf-8"?>
<formControlPr xmlns="http://schemas.microsoft.com/office/spreadsheetml/2009/9/main" objectType="CheckBox" fmlaLink="$W$109" lockText="1"/>
</file>

<file path=xl/ctrlProps/ctrlProp75.xml><?xml version="1.0" encoding="utf-8"?>
<formControlPr xmlns="http://schemas.microsoft.com/office/spreadsheetml/2009/9/main" objectType="CheckBox" fmlaLink="$W$110" lockText="1"/>
</file>

<file path=xl/ctrlProps/ctrlProp76.xml><?xml version="1.0" encoding="utf-8"?>
<formControlPr xmlns="http://schemas.microsoft.com/office/spreadsheetml/2009/9/main" objectType="CheckBox" fmlaLink="$W$111" lockText="1"/>
</file>

<file path=xl/ctrlProps/ctrlProp77.xml><?xml version="1.0" encoding="utf-8"?>
<formControlPr xmlns="http://schemas.microsoft.com/office/spreadsheetml/2009/9/main" objectType="CheckBox" fmlaLink="$W$112" lockText="1"/>
</file>

<file path=xl/ctrlProps/ctrlProp78.xml><?xml version="1.0" encoding="utf-8"?>
<formControlPr xmlns="http://schemas.microsoft.com/office/spreadsheetml/2009/9/main" objectType="CheckBox" fmlaLink="$W$113" lockText="1"/>
</file>

<file path=xl/ctrlProps/ctrlProp79.xml><?xml version="1.0" encoding="utf-8"?>
<formControlPr xmlns="http://schemas.microsoft.com/office/spreadsheetml/2009/9/main" objectType="CheckBox" fmlaLink="$W$114" lockText="1"/>
</file>

<file path=xl/ctrlProps/ctrlProp8.xml><?xml version="1.0" encoding="utf-8"?>
<formControlPr xmlns="http://schemas.microsoft.com/office/spreadsheetml/2009/9/main" objectType="CheckBox" fmlaLink="$W$41" lockText="1"/>
</file>

<file path=xl/ctrlProps/ctrlProp80.xml><?xml version="1.0" encoding="utf-8"?>
<formControlPr xmlns="http://schemas.microsoft.com/office/spreadsheetml/2009/9/main" objectType="CheckBox" fmlaLink="$W$115" lockText="1"/>
</file>

<file path=xl/ctrlProps/ctrlProp81.xml><?xml version="1.0" encoding="utf-8"?>
<formControlPr xmlns="http://schemas.microsoft.com/office/spreadsheetml/2009/9/main" objectType="CheckBox" fmlaLink="$W$116" lockText="1"/>
</file>

<file path=xl/ctrlProps/ctrlProp82.xml><?xml version="1.0" encoding="utf-8"?>
<formControlPr xmlns="http://schemas.microsoft.com/office/spreadsheetml/2009/9/main" objectType="CheckBox" fmlaLink="$W$117" lockText="1"/>
</file>

<file path=xl/ctrlProps/ctrlProp83.xml><?xml version="1.0" encoding="utf-8"?>
<formControlPr xmlns="http://schemas.microsoft.com/office/spreadsheetml/2009/9/main" objectType="CheckBox" fmlaLink="$W$118" lockText="1"/>
</file>

<file path=xl/ctrlProps/ctrlProp84.xml><?xml version="1.0" encoding="utf-8"?>
<formControlPr xmlns="http://schemas.microsoft.com/office/spreadsheetml/2009/9/main" objectType="CheckBox" fmlaLink="$W$119" lockText="1"/>
</file>

<file path=xl/ctrlProps/ctrlProp85.xml><?xml version="1.0" encoding="utf-8"?>
<formControlPr xmlns="http://schemas.microsoft.com/office/spreadsheetml/2009/9/main" objectType="CheckBox" fmlaLink="$W$120" lockText="1"/>
</file>

<file path=xl/ctrlProps/ctrlProp86.xml><?xml version="1.0" encoding="utf-8"?>
<formControlPr xmlns="http://schemas.microsoft.com/office/spreadsheetml/2009/9/main" objectType="CheckBox" fmlaLink="$W$121" lockText="1"/>
</file>

<file path=xl/ctrlProps/ctrlProp87.xml><?xml version="1.0" encoding="utf-8"?>
<formControlPr xmlns="http://schemas.microsoft.com/office/spreadsheetml/2009/9/main" objectType="CheckBox" fmlaLink="$W$122" lockText="1"/>
</file>

<file path=xl/ctrlProps/ctrlProp88.xml><?xml version="1.0" encoding="utf-8"?>
<formControlPr xmlns="http://schemas.microsoft.com/office/spreadsheetml/2009/9/main" objectType="CheckBox" fmlaLink="$W$123" lockText="1"/>
</file>

<file path=xl/ctrlProps/ctrlProp89.xml><?xml version="1.0" encoding="utf-8"?>
<formControlPr xmlns="http://schemas.microsoft.com/office/spreadsheetml/2009/9/main" objectType="CheckBox" fmlaLink="$W$124" lockText="1"/>
</file>

<file path=xl/ctrlProps/ctrlProp9.xml><?xml version="1.0" encoding="utf-8"?>
<formControlPr xmlns="http://schemas.microsoft.com/office/spreadsheetml/2009/9/main" objectType="CheckBox" fmlaLink="$W$42" lockText="1"/>
</file>

<file path=xl/ctrlProps/ctrlProp90.xml><?xml version="1.0" encoding="utf-8"?>
<formControlPr xmlns="http://schemas.microsoft.com/office/spreadsheetml/2009/9/main" objectType="CheckBox" fmlaLink="$W$125" lockText="1"/>
</file>

<file path=xl/ctrlProps/ctrlProp91.xml><?xml version="1.0" encoding="utf-8"?>
<formControlPr xmlns="http://schemas.microsoft.com/office/spreadsheetml/2009/9/main" objectType="CheckBox" fmlaLink="$W$126" lockText="1"/>
</file>

<file path=xl/ctrlProps/ctrlProp92.xml><?xml version="1.0" encoding="utf-8"?>
<formControlPr xmlns="http://schemas.microsoft.com/office/spreadsheetml/2009/9/main" objectType="CheckBox" fmlaLink="$W$127" lockText="1"/>
</file>

<file path=xl/ctrlProps/ctrlProp93.xml><?xml version="1.0" encoding="utf-8"?>
<formControlPr xmlns="http://schemas.microsoft.com/office/spreadsheetml/2009/9/main" objectType="CheckBox" fmlaLink="$W$128" lockText="1"/>
</file>

<file path=xl/ctrlProps/ctrlProp94.xml><?xml version="1.0" encoding="utf-8"?>
<formControlPr xmlns="http://schemas.microsoft.com/office/spreadsheetml/2009/9/main" objectType="CheckBox" fmlaLink="$W$129" lockText="1"/>
</file>

<file path=xl/ctrlProps/ctrlProp95.xml><?xml version="1.0" encoding="utf-8"?>
<formControlPr xmlns="http://schemas.microsoft.com/office/spreadsheetml/2009/9/main" objectType="CheckBox" fmlaLink="$W$130" lockText="1"/>
</file>

<file path=xl/ctrlProps/ctrlProp96.xml><?xml version="1.0" encoding="utf-8"?>
<formControlPr xmlns="http://schemas.microsoft.com/office/spreadsheetml/2009/9/main" objectType="CheckBox" fmlaLink="$W$131" lockText="1"/>
</file>

<file path=xl/ctrlProps/ctrlProp97.xml><?xml version="1.0" encoding="utf-8"?>
<formControlPr xmlns="http://schemas.microsoft.com/office/spreadsheetml/2009/9/main" objectType="CheckBox" fmlaLink="$W$132" lockText="1"/>
</file>

<file path=xl/ctrlProps/ctrlProp98.xml><?xml version="1.0" encoding="utf-8"?>
<formControlPr xmlns="http://schemas.microsoft.com/office/spreadsheetml/2009/9/main" objectType="CheckBox" fmlaLink="$W$133" lockText="1"/>
</file>

<file path=xl/ctrlProps/ctrlProp99.xml><?xml version="1.0" encoding="utf-8"?>
<formControlPr xmlns="http://schemas.microsoft.com/office/spreadsheetml/2009/9/main" objectType="CheckBox" fmlaLink="$W$134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161925</xdr:colOff>
      <xdr:row>1</xdr:row>
      <xdr:rowOff>38100</xdr:rowOff>
    </xdr:from>
    <xdr:to>
      <xdr:col>6</xdr:col>
      <xdr:colOff>123825</xdr:colOff>
      <xdr:row>11</xdr:row>
      <xdr:rowOff>85726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G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G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14500" y="171450"/>
              <a:ext cx="1076325" cy="138112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3</xdr:col>
      <xdr:colOff>171449</xdr:colOff>
      <xdr:row>11</xdr:row>
      <xdr:rowOff>123825</xdr:rowOff>
    </xdr:from>
    <xdr:to>
      <xdr:col>6</xdr:col>
      <xdr:colOff>121049</xdr:colOff>
      <xdr:row>37</xdr:row>
      <xdr:rowOff>4725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NN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N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24024" y="1590675"/>
              <a:ext cx="1064025" cy="33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6</xdr:col>
      <xdr:colOff>152400</xdr:colOff>
      <xdr:row>23</xdr:row>
      <xdr:rowOff>38099</xdr:rowOff>
    </xdr:from>
    <xdr:to>
      <xdr:col>7</xdr:col>
      <xdr:colOff>522225</xdr:colOff>
      <xdr:row>37</xdr:row>
      <xdr:rowOff>7199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DN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N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819400" y="3105149"/>
              <a:ext cx="1179450" cy="1836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85725</xdr:colOff>
      <xdr:row>1</xdr:row>
      <xdr:rowOff>47623</xdr:rowOff>
    </xdr:from>
    <xdr:to>
      <xdr:col>3</xdr:col>
      <xdr:colOff>124125</xdr:colOff>
      <xdr:row>34</xdr:row>
      <xdr:rowOff>111073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Date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at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47700" y="180973"/>
              <a:ext cx="1029000" cy="446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9</xdr:col>
      <xdr:colOff>323849</xdr:colOff>
      <xdr:row>1</xdr:row>
      <xdr:rowOff>38100</xdr:rowOff>
    </xdr:from>
    <xdr:to>
      <xdr:col>11</xdr:col>
      <xdr:colOff>133349</xdr:colOff>
      <xdr:row>37</xdr:row>
      <xdr:rowOff>3900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tart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tart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972049" y="171450"/>
              <a:ext cx="904875" cy="47664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18</xdr:col>
      <xdr:colOff>85724</xdr:colOff>
      <xdr:row>9</xdr:row>
      <xdr:rowOff>9525</xdr:rowOff>
    </xdr:from>
    <xdr:to>
      <xdr:col>27</xdr:col>
      <xdr:colOff>595274</xdr:colOff>
      <xdr:row>16</xdr:row>
      <xdr:rowOff>85725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B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B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191749" y="1209675"/>
              <a:ext cx="5634000" cy="10096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24</xdr:col>
      <xdr:colOff>180976</xdr:colOff>
      <xdr:row>1</xdr:row>
      <xdr:rowOff>38100</xdr:rowOff>
    </xdr:from>
    <xdr:to>
      <xdr:col>26</xdr:col>
      <xdr:colOff>502052</xdr:colOff>
      <xdr:row>8</xdr:row>
      <xdr:rowOff>112650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Room 1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oom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582651" y="171450"/>
              <a:ext cx="1540276" cy="100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11</xdr:col>
      <xdr:colOff>161925</xdr:colOff>
      <xdr:row>1</xdr:row>
      <xdr:rowOff>47623</xdr:rowOff>
    </xdr:from>
    <xdr:to>
      <xdr:col>15</xdr:col>
      <xdr:colOff>209550</xdr:colOff>
      <xdr:row>37</xdr:row>
      <xdr:rowOff>6223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Name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am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905500" y="180973"/>
              <a:ext cx="2905125" cy="4759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18</xdr:col>
      <xdr:colOff>76200</xdr:colOff>
      <xdr:row>1</xdr:row>
      <xdr:rowOff>38100</xdr:rowOff>
    </xdr:from>
    <xdr:to>
      <xdr:col>19</xdr:col>
      <xdr:colOff>247650</xdr:colOff>
      <xdr:row>8</xdr:row>
      <xdr:rowOff>112650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Y 1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Y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182225" y="171450"/>
              <a:ext cx="781050" cy="100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22</xdr:col>
      <xdr:colOff>504825</xdr:colOff>
      <xdr:row>1</xdr:row>
      <xdr:rowOff>38100</xdr:rowOff>
    </xdr:from>
    <xdr:to>
      <xdr:col>24</xdr:col>
      <xdr:colOff>152400</xdr:colOff>
      <xdr:row>8</xdr:row>
      <xdr:rowOff>112650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T 1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687300" y="171450"/>
              <a:ext cx="866775" cy="100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21</xdr:col>
      <xdr:colOff>285750</xdr:colOff>
      <xdr:row>1</xdr:row>
      <xdr:rowOff>38100</xdr:rowOff>
    </xdr:from>
    <xdr:to>
      <xdr:col>22</xdr:col>
      <xdr:colOff>476250</xdr:colOff>
      <xdr:row>8</xdr:row>
      <xdr:rowOff>112650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2" name="K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858625" y="171450"/>
              <a:ext cx="800100" cy="100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19</xdr:col>
      <xdr:colOff>276225</xdr:colOff>
      <xdr:row>1</xdr:row>
      <xdr:rowOff>38102</xdr:rowOff>
    </xdr:from>
    <xdr:to>
      <xdr:col>21</xdr:col>
      <xdr:colOff>257175</xdr:colOff>
      <xdr:row>8</xdr:row>
      <xdr:rowOff>112652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3" name="A 1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991850" y="171452"/>
              <a:ext cx="838200" cy="100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6</xdr:col>
      <xdr:colOff>152400</xdr:colOff>
      <xdr:row>1</xdr:row>
      <xdr:rowOff>47624</xdr:rowOff>
    </xdr:from>
    <xdr:to>
      <xdr:col>7</xdr:col>
      <xdr:colOff>522225</xdr:colOff>
      <xdr:row>22</xdr:row>
      <xdr:rowOff>127274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4" name="M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819400" y="180974"/>
              <a:ext cx="1179450" cy="28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7</xdr:col>
      <xdr:colOff>561974</xdr:colOff>
      <xdr:row>1</xdr:row>
      <xdr:rowOff>47624</xdr:rowOff>
    </xdr:from>
    <xdr:to>
      <xdr:col>9</xdr:col>
      <xdr:colOff>285750</xdr:colOff>
      <xdr:row>37</xdr:row>
      <xdr:rowOff>6224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5" name="AFS">
              <a:extLst>
                <a:ext uri="{FF2B5EF4-FFF2-40B4-BE49-F238E27FC236}">
                  <a16:creationId xmlns:a16="http://schemas.microsoft.com/office/drawing/2014/main" id="{00000000-0008-0000-0000-00000F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FS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38599" y="180974"/>
              <a:ext cx="895351" cy="4759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15</xdr:col>
      <xdr:colOff>238125</xdr:colOff>
      <xdr:row>1</xdr:row>
      <xdr:rowOff>38100</xdr:rowOff>
    </xdr:from>
    <xdr:to>
      <xdr:col>18</xdr:col>
      <xdr:colOff>47625</xdr:colOff>
      <xdr:row>37</xdr:row>
      <xdr:rowOff>3900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6" name="F 1">
              <a:extLs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839200" y="171450"/>
              <a:ext cx="1314450" cy="47664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18</xdr:col>
      <xdr:colOff>80962</xdr:colOff>
      <xdr:row>16</xdr:row>
      <xdr:rowOff>114299</xdr:rowOff>
    </xdr:from>
    <xdr:to>
      <xdr:col>27</xdr:col>
      <xdr:colOff>590550</xdr:colOff>
      <xdr:row>37</xdr:row>
      <xdr:rowOff>0</xdr:rowOff>
    </xdr:to>
    <xdr:graphicFrame macro="">
      <xdr:nvGraphicFramePr>
        <xdr:cNvPr id="17" name="Диаграмма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26</xdr:col>
      <xdr:colOff>533400</xdr:colOff>
      <xdr:row>1</xdr:row>
      <xdr:rowOff>38099</xdr:rowOff>
    </xdr:from>
    <xdr:to>
      <xdr:col>27</xdr:col>
      <xdr:colOff>600075</xdr:colOff>
      <xdr:row>8</xdr:row>
      <xdr:rowOff>112649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8" name="R">
              <a:extLs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154275" y="171449"/>
              <a:ext cx="676275" cy="100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104775</xdr:colOff>
          <xdr:row>35</xdr:row>
          <xdr:rowOff>38100</xdr:rowOff>
        </xdr:from>
        <xdr:to>
          <xdr:col>3</xdr:col>
          <xdr:colOff>114300</xdr:colOff>
          <xdr:row>36</xdr:row>
          <xdr:rowOff>123825</xdr:rowOff>
        </xdr:to>
        <xdr:sp macro="" textlink="">
          <xdr:nvSpPr>
            <xdr:cNvPr id="37890" name="Button 2" hidden="1">
              <a:extLst>
                <a:ext uri="{63B3BB69-23CF-44E3-9099-C40C66FF867C}">
                  <a14:compatExt spid="_x0000_s37890"/>
                </a:ext>
                <a:ext uri="{FF2B5EF4-FFF2-40B4-BE49-F238E27FC236}">
                  <a16:creationId xmlns:a16="http://schemas.microsoft.com/office/drawing/2014/main" id="{00000000-0008-0000-0000-000002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обновить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1104900</xdr:colOff>
      <xdr:row>1</xdr:row>
      <xdr:rowOff>38100</xdr:rowOff>
    </xdr:from>
    <xdr:to>
      <xdr:col>1</xdr:col>
      <xdr:colOff>2181225</xdr:colOff>
      <xdr:row>11</xdr:row>
      <xdr:rowOff>85726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G 3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G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85875" y="171450"/>
              <a:ext cx="1076325" cy="138112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1114424</xdr:colOff>
      <xdr:row>11</xdr:row>
      <xdr:rowOff>123825</xdr:rowOff>
    </xdr:from>
    <xdr:to>
      <xdr:col>1</xdr:col>
      <xdr:colOff>2178449</xdr:colOff>
      <xdr:row>37</xdr:row>
      <xdr:rowOff>4725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NN 2">
              <a:extLst>
                <a:ext uri="{FF2B5EF4-FFF2-40B4-BE49-F238E27FC236}">
                  <a16:creationId xmlns:a16="http://schemas.microsoft.com/office/drawing/2014/main" id="{00000000-0008-0000-0100-000003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N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95399" y="1590675"/>
              <a:ext cx="1064025" cy="33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2209800</xdr:colOff>
      <xdr:row>23</xdr:row>
      <xdr:rowOff>38099</xdr:rowOff>
    </xdr:from>
    <xdr:to>
      <xdr:col>4</xdr:col>
      <xdr:colOff>28575</xdr:colOff>
      <xdr:row>37</xdr:row>
      <xdr:rowOff>7199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DN 3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N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90775" y="3105149"/>
              <a:ext cx="1171575" cy="1836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47625</xdr:colOff>
      <xdr:row>1</xdr:row>
      <xdr:rowOff>47623</xdr:rowOff>
    </xdr:from>
    <xdr:to>
      <xdr:col>1</xdr:col>
      <xdr:colOff>1076325</xdr:colOff>
      <xdr:row>37</xdr:row>
      <xdr:rowOff>6223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Date 3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ate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28600" y="180973"/>
              <a:ext cx="1028700" cy="4759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390524</xdr:colOff>
      <xdr:row>1</xdr:row>
      <xdr:rowOff>38100</xdr:rowOff>
    </xdr:from>
    <xdr:to>
      <xdr:col>7</xdr:col>
      <xdr:colOff>57149</xdr:colOff>
      <xdr:row>37</xdr:row>
      <xdr:rowOff>3900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tart 3">
              <a:extLs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tart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43424" y="171450"/>
              <a:ext cx="904875" cy="47664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381000</xdr:colOff>
      <xdr:row>37</xdr:row>
      <xdr:rowOff>47623</xdr:rowOff>
    </xdr:from>
    <xdr:to>
      <xdr:col>14</xdr:col>
      <xdr:colOff>0</xdr:colOff>
      <xdr:row>47</xdr:row>
      <xdr:rowOff>118123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B 3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B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33900" y="4981573"/>
              <a:ext cx="5191125" cy="140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2647951</xdr:colOff>
      <xdr:row>37</xdr:row>
      <xdr:rowOff>47623</xdr:rowOff>
    </xdr:from>
    <xdr:to>
      <xdr:col>4</xdr:col>
      <xdr:colOff>321151</xdr:colOff>
      <xdr:row>47</xdr:row>
      <xdr:rowOff>118123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Room 3">
              <a:extLst>
                <a:ext uri="{FF2B5EF4-FFF2-40B4-BE49-F238E27FC236}">
                  <a16:creationId xmlns:a16="http://schemas.microsoft.com/office/drawing/2014/main" id="{00000000-0008-0000-0100-000008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oom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828926" y="4981573"/>
              <a:ext cx="1026000" cy="140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7</xdr:col>
      <xdr:colOff>85725</xdr:colOff>
      <xdr:row>1</xdr:row>
      <xdr:rowOff>47623</xdr:rowOff>
    </xdr:from>
    <xdr:to>
      <xdr:col>11</xdr:col>
      <xdr:colOff>514350</xdr:colOff>
      <xdr:row>37</xdr:row>
      <xdr:rowOff>6223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Name 3">
              <a:extLst>
                <a:ext uri="{FF2B5EF4-FFF2-40B4-BE49-F238E27FC236}">
                  <a16:creationId xmlns:a16="http://schemas.microsoft.com/office/drawing/2014/main" id="{00000000-0008-0000-0100-000009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ame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476875" y="180973"/>
              <a:ext cx="2905125" cy="4759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47625</xdr:colOff>
      <xdr:row>37</xdr:row>
      <xdr:rowOff>38100</xdr:rowOff>
    </xdr:from>
    <xdr:to>
      <xdr:col>1</xdr:col>
      <xdr:colOff>659625</xdr:colOff>
      <xdr:row>47</xdr:row>
      <xdr:rowOff>115800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Y 3">
              <a:extLst>
                <a:ext uri="{FF2B5EF4-FFF2-40B4-BE49-F238E27FC236}">
                  <a16:creationId xmlns:a16="http://schemas.microsoft.com/office/drawing/2014/main" id="{00000000-0008-0000-0100-00000A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Y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28600" y="4972050"/>
              <a:ext cx="612000" cy="1411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695325</xdr:colOff>
      <xdr:row>37</xdr:row>
      <xdr:rowOff>38100</xdr:rowOff>
    </xdr:from>
    <xdr:to>
      <xdr:col>1</xdr:col>
      <xdr:colOff>1307325</xdr:colOff>
      <xdr:row>47</xdr:row>
      <xdr:rowOff>115800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T 3">
              <a:extLst>
                <a:ext uri="{FF2B5EF4-FFF2-40B4-BE49-F238E27FC236}">
                  <a16:creationId xmlns:a16="http://schemas.microsoft.com/office/drawing/2014/main" id="{00000000-0008-0000-0100-00000B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76300" y="4972050"/>
              <a:ext cx="612000" cy="1411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1352549</xdr:colOff>
      <xdr:row>37</xdr:row>
      <xdr:rowOff>47623</xdr:rowOff>
    </xdr:from>
    <xdr:to>
      <xdr:col>1</xdr:col>
      <xdr:colOff>1964549</xdr:colOff>
      <xdr:row>47</xdr:row>
      <xdr:rowOff>118123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2" name="K 3">
              <a:extLst>
                <a:ext uri="{FF2B5EF4-FFF2-40B4-BE49-F238E27FC236}">
                  <a16:creationId xmlns:a16="http://schemas.microsoft.com/office/drawing/2014/main" id="{00000000-0008-0000-0100-00000C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33524" y="4981573"/>
              <a:ext cx="612000" cy="140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2000250</xdr:colOff>
      <xdr:row>37</xdr:row>
      <xdr:rowOff>38100</xdr:rowOff>
    </xdr:from>
    <xdr:to>
      <xdr:col>1</xdr:col>
      <xdr:colOff>2612250</xdr:colOff>
      <xdr:row>47</xdr:row>
      <xdr:rowOff>115800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3" name="A 3">
              <a:extLst>
                <a:ext uri="{FF2B5EF4-FFF2-40B4-BE49-F238E27FC236}">
                  <a16:creationId xmlns:a16="http://schemas.microsoft.com/office/drawing/2014/main" id="{00000000-0008-0000-0100-00000D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81225" y="4972050"/>
              <a:ext cx="612000" cy="1411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2209800</xdr:colOff>
      <xdr:row>1</xdr:row>
      <xdr:rowOff>47624</xdr:rowOff>
    </xdr:from>
    <xdr:to>
      <xdr:col>4</xdr:col>
      <xdr:colOff>28575</xdr:colOff>
      <xdr:row>22</xdr:row>
      <xdr:rowOff>127274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4" name="M 3">
              <a:extLst>
                <a:ext uri="{FF2B5EF4-FFF2-40B4-BE49-F238E27FC236}">
                  <a16:creationId xmlns:a16="http://schemas.microsoft.com/office/drawing/2014/main" id="{00000000-0008-0000-0100-00000E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90775" y="180974"/>
              <a:ext cx="1171575" cy="28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76199</xdr:colOff>
      <xdr:row>1</xdr:row>
      <xdr:rowOff>47624</xdr:rowOff>
    </xdr:from>
    <xdr:to>
      <xdr:col>5</xdr:col>
      <xdr:colOff>352425</xdr:colOff>
      <xdr:row>37</xdr:row>
      <xdr:rowOff>6224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5" name="AFS 3">
              <a:extLst>
                <a:ext uri="{FF2B5EF4-FFF2-40B4-BE49-F238E27FC236}">
                  <a16:creationId xmlns:a16="http://schemas.microsoft.com/office/drawing/2014/main" id="{00000000-0008-0000-0100-00000F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FS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609974" y="180974"/>
              <a:ext cx="895351" cy="4759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11</xdr:col>
      <xdr:colOff>542925</xdr:colOff>
      <xdr:row>1</xdr:row>
      <xdr:rowOff>38100</xdr:rowOff>
    </xdr:from>
    <xdr:to>
      <xdr:col>14</xdr:col>
      <xdr:colOff>0</xdr:colOff>
      <xdr:row>37</xdr:row>
      <xdr:rowOff>3900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6" name="F 3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410575" y="171450"/>
              <a:ext cx="1314450" cy="47664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52387</xdr:colOff>
      <xdr:row>48</xdr:row>
      <xdr:rowOff>19049</xdr:rowOff>
    </xdr:from>
    <xdr:to>
      <xdr:col>13</xdr:col>
      <xdr:colOff>609600</xdr:colOff>
      <xdr:row>82</xdr:row>
      <xdr:rowOff>0</xdr:rowOff>
    </xdr:to>
    <xdr:graphicFrame macro="">
      <xdr:nvGraphicFramePr>
        <xdr:cNvPr id="17" name="Диаграмма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4</xdr:col>
      <xdr:colOff>352425</xdr:colOff>
      <xdr:row>37</xdr:row>
      <xdr:rowOff>47622</xdr:rowOff>
    </xdr:from>
    <xdr:to>
      <xdr:col>5</xdr:col>
      <xdr:colOff>345300</xdr:colOff>
      <xdr:row>47</xdr:row>
      <xdr:rowOff>118122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8" name="R 2">
              <a:extLst>
                <a:ext uri="{FF2B5EF4-FFF2-40B4-BE49-F238E27FC236}">
                  <a16:creationId xmlns:a16="http://schemas.microsoft.com/office/drawing/2014/main" id="{00000000-0008-0000-0100-000012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886200" y="4981572"/>
              <a:ext cx="612000" cy="140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47625</xdr:colOff>
          <xdr:row>83</xdr:row>
          <xdr:rowOff>9525</xdr:rowOff>
        </xdr:from>
        <xdr:to>
          <xdr:col>1</xdr:col>
          <xdr:colOff>2686050</xdr:colOff>
          <xdr:row>83</xdr:row>
          <xdr:rowOff>180975</xdr:rowOff>
        </xdr:to>
        <xdr:sp macro="" textlink="">
          <xdr:nvSpPr>
            <xdr:cNvPr id="44033" name="Button 1" hidden="1">
              <a:extLst>
                <a:ext uri="{63B3BB69-23CF-44E3-9099-C40C66FF867C}">
                  <a14:compatExt spid="_x0000_s44033"/>
                </a:ext>
                <a:ext uri="{FF2B5EF4-FFF2-40B4-BE49-F238E27FC236}">
                  <a16:creationId xmlns:a16="http://schemas.microsoft.com/office/drawing/2014/main" id="{00000000-0008-0000-0100-000001A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обновить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1104900</xdr:colOff>
      <xdr:row>1</xdr:row>
      <xdr:rowOff>38100</xdr:rowOff>
    </xdr:from>
    <xdr:to>
      <xdr:col>1</xdr:col>
      <xdr:colOff>2181225</xdr:colOff>
      <xdr:row>11</xdr:row>
      <xdr:rowOff>85726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G 4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G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14500" y="171450"/>
              <a:ext cx="1076325" cy="138112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1114424</xdr:colOff>
      <xdr:row>11</xdr:row>
      <xdr:rowOff>123825</xdr:rowOff>
    </xdr:from>
    <xdr:to>
      <xdr:col>1</xdr:col>
      <xdr:colOff>2178449</xdr:colOff>
      <xdr:row>37</xdr:row>
      <xdr:rowOff>4725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NN 3">
              <a:extLst>
                <a:ext uri="{FF2B5EF4-FFF2-40B4-BE49-F238E27FC236}">
                  <a16:creationId xmlns:a16="http://schemas.microsoft.com/office/drawing/2014/main" id="{00000000-0008-0000-0200-000003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N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24024" y="1590675"/>
              <a:ext cx="1064025" cy="33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2209800</xdr:colOff>
      <xdr:row>23</xdr:row>
      <xdr:rowOff>38099</xdr:rowOff>
    </xdr:from>
    <xdr:to>
      <xdr:col>1</xdr:col>
      <xdr:colOff>3381375</xdr:colOff>
      <xdr:row>37</xdr:row>
      <xdr:rowOff>7199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DN 4">
              <a:extLst>
                <a:ext uri="{FF2B5EF4-FFF2-40B4-BE49-F238E27FC236}">
                  <a16:creationId xmlns:a16="http://schemas.microsoft.com/office/drawing/2014/main" id="{00000000-0008-0000-0200-000004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N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819400" y="3105149"/>
              <a:ext cx="1171575" cy="1836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38100</xdr:colOff>
      <xdr:row>1</xdr:row>
      <xdr:rowOff>76198</xdr:rowOff>
    </xdr:from>
    <xdr:to>
      <xdr:col>1</xdr:col>
      <xdr:colOff>1066800</xdr:colOff>
      <xdr:row>35</xdr:row>
      <xdr:rowOff>6298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Date 4">
              <a:extLst>
                <a:ext uri="{FF2B5EF4-FFF2-40B4-BE49-F238E27FC236}">
                  <a16:creationId xmlns:a16="http://schemas.microsoft.com/office/drawing/2014/main" id="{00000000-0008-0000-0200-00000500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ate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47700" y="209548"/>
              <a:ext cx="1028700" cy="446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3</xdr:col>
      <xdr:colOff>962024</xdr:colOff>
      <xdr:row>1</xdr:row>
      <xdr:rowOff>38100</xdr:rowOff>
    </xdr:from>
    <xdr:to>
      <xdr:col>4</xdr:col>
      <xdr:colOff>790574</xdr:colOff>
      <xdr:row>37</xdr:row>
      <xdr:rowOff>3900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tart 4">
              <a:extLst>
                <a:ext uri="{FF2B5EF4-FFF2-40B4-BE49-F238E27FC236}">
                  <a16:creationId xmlns:a16="http://schemas.microsoft.com/office/drawing/2014/main" id="{00000000-0008-0000-0200-000006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tart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972049" y="171450"/>
              <a:ext cx="904875" cy="47664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8</xdr:col>
      <xdr:colOff>800099</xdr:colOff>
      <xdr:row>9</xdr:row>
      <xdr:rowOff>9525</xdr:rowOff>
    </xdr:from>
    <xdr:to>
      <xdr:col>13</xdr:col>
      <xdr:colOff>1052474</xdr:colOff>
      <xdr:row>16</xdr:row>
      <xdr:rowOff>85725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B 4">
              <a:extLst>
                <a:ext uri="{FF2B5EF4-FFF2-40B4-BE49-F238E27FC236}">
                  <a16:creationId xmlns:a16="http://schemas.microsoft.com/office/drawing/2014/main" id="{00000000-0008-0000-0200-000007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B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191749" y="1209675"/>
              <a:ext cx="5634000" cy="10096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11</xdr:col>
      <xdr:colOff>962026</xdr:colOff>
      <xdr:row>1</xdr:row>
      <xdr:rowOff>38100</xdr:rowOff>
    </xdr:from>
    <xdr:to>
      <xdr:col>13</xdr:col>
      <xdr:colOff>349652</xdr:colOff>
      <xdr:row>8</xdr:row>
      <xdr:rowOff>112650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Room 4">
              <a:extLst>
                <a:ext uri="{FF2B5EF4-FFF2-40B4-BE49-F238E27FC236}">
                  <a16:creationId xmlns:a16="http://schemas.microsoft.com/office/drawing/2014/main" id="{00000000-0008-0000-0200-000008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oom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582651" y="171450"/>
              <a:ext cx="1540276" cy="100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819150</xdr:colOff>
      <xdr:row>1</xdr:row>
      <xdr:rowOff>47623</xdr:rowOff>
    </xdr:from>
    <xdr:to>
      <xdr:col>7</xdr:col>
      <xdr:colOff>495300</xdr:colOff>
      <xdr:row>37</xdr:row>
      <xdr:rowOff>6223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Name 4">
              <a:extLst>
                <a:ext uri="{FF2B5EF4-FFF2-40B4-BE49-F238E27FC236}">
                  <a16:creationId xmlns:a16="http://schemas.microsoft.com/office/drawing/2014/main" id="{00000000-0008-0000-0200-000009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ame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905500" y="180973"/>
              <a:ext cx="2905125" cy="4759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8</xdr:col>
      <xdr:colOff>790575</xdr:colOff>
      <xdr:row>1</xdr:row>
      <xdr:rowOff>38100</xdr:rowOff>
    </xdr:from>
    <xdr:to>
      <xdr:col>9</xdr:col>
      <xdr:colOff>495300</xdr:colOff>
      <xdr:row>8</xdr:row>
      <xdr:rowOff>112650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Y 4">
              <a:extLst>
                <a:ext uri="{FF2B5EF4-FFF2-40B4-BE49-F238E27FC236}">
                  <a16:creationId xmlns:a16="http://schemas.microsoft.com/office/drawing/2014/main" id="{00000000-0008-0000-0200-00000A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Y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182225" y="171450"/>
              <a:ext cx="781050" cy="100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11</xdr:col>
      <xdr:colOff>66675</xdr:colOff>
      <xdr:row>1</xdr:row>
      <xdr:rowOff>38100</xdr:rowOff>
    </xdr:from>
    <xdr:to>
      <xdr:col>11</xdr:col>
      <xdr:colOff>933450</xdr:colOff>
      <xdr:row>8</xdr:row>
      <xdr:rowOff>112650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T 4">
              <a:extLst>
                <a:ext uri="{FF2B5EF4-FFF2-40B4-BE49-F238E27FC236}">
                  <a16:creationId xmlns:a16="http://schemas.microsoft.com/office/drawing/2014/main" id="{00000000-0008-0000-0200-00000B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687300" y="171450"/>
              <a:ext cx="866775" cy="100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10</xdr:col>
      <xdr:colOff>314325</xdr:colOff>
      <xdr:row>1</xdr:row>
      <xdr:rowOff>38100</xdr:rowOff>
    </xdr:from>
    <xdr:to>
      <xdr:col>11</xdr:col>
      <xdr:colOff>38100</xdr:colOff>
      <xdr:row>8</xdr:row>
      <xdr:rowOff>112650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2" name="K 4">
              <a:extLst>
                <a:ext uri="{FF2B5EF4-FFF2-40B4-BE49-F238E27FC236}">
                  <a16:creationId xmlns:a16="http://schemas.microsoft.com/office/drawing/2014/main" id="{00000000-0008-0000-0200-00000C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858625" y="171450"/>
              <a:ext cx="800100" cy="100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9</xdr:col>
      <xdr:colOff>523875</xdr:colOff>
      <xdr:row>1</xdr:row>
      <xdr:rowOff>38102</xdr:rowOff>
    </xdr:from>
    <xdr:to>
      <xdr:col>10</xdr:col>
      <xdr:colOff>285750</xdr:colOff>
      <xdr:row>8</xdr:row>
      <xdr:rowOff>112652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3" name="A 4">
              <a:extLst>
                <a:ext uri="{FF2B5EF4-FFF2-40B4-BE49-F238E27FC236}">
                  <a16:creationId xmlns:a16="http://schemas.microsoft.com/office/drawing/2014/main" id="{00000000-0008-0000-0200-00000D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991850" y="171452"/>
              <a:ext cx="838200" cy="100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2209800</xdr:colOff>
      <xdr:row>1</xdr:row>
      <xdr:rowOff>47624</xdr:rowOff>
    </xdr:from>
    <xdr:to>
      <xdr:col>1</xdr:col>
      <xdr:colOff>3381375</xdr:colOff>
      <xdr:row>22</xdr:row>
      <xdr:rowOff>127274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4" name="M 4">
              <a:extLst>
                <a:ext uri="{FF2B5EF4-FFF2-40B4-BE49-F238E27FC236}">
                  <a16:creationId xmlns:a16="http://schemas.microsoft.com/office/drawing/2014/main" id="{00000000-0008-0000-0200-00000E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819400" y="180974"/>
              <a:ext cx="1171575" cy="28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3</xdr:col>
      <xdr:colOff>28574</xdr:colOff>
      <xdr:row>1</xdr:row>
      <xdr:rowOff>47624</xdr:rowOff>
    </xdr:from>
    <xdr:to>
      <xdr:col>3</xdr:col>
      <xdr:colOff>923925</xdr:colOff>
      <xdr:row>37</xdr:row>
      <xdr:rowOff>6224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5" name="AFS 4">
              <a:extLst>
                <a:ext uri="{FF2B5EF4-FFF2-40B4-BE49-F238E27FC236}">
                  <a16:creationId xmlns:a16="http://schemas.microsoft.com/office/drawing/2014/main" id="{00000000-0008-0000-0200-00000F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FS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38599" y="180974"/>
              <a:ext cx="895351" cy="4759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7</xdr:col>
      <xdr:colOff>523875</xdr:colOff>
      <xdr:row>1</xdr:row>
      <xdr:rowOff>38100</xdr:rowOff>
    </xdr:from>
    <xdr:to>
      <xdr:col>8</xdr:col>
      <xdr:colOff>762000</xdr:colOff>
      <xdr:row>37</xdr:row>
      <xdr:rowOff>3900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6" name="F 4">
              <a:extLst>
                <a:ext uri="{FF2B5EF4-FFF2-40B4-BE49-F238E27FC236}">
                  <a16:creationId xmlns:a16="http://schemas.microsoft.com/office/drawing/2014/main" id="{00000000-0008-0000-0200-000010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839200" y="171450"/>
              <a:ext cx="1314450" cy="47664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8</xdr:col>
      <xdr:colOff>795337</xdr:colOff>
      <xdr:row>16</xdr:row>
      <xdr:rowOff>114299</xdr:rowOff>
    </xdr:from>
    <xdr:to>
      <xdr:col>13</xdr:col>
      <xdr:colOff>1047750</xdr:colOff>
      <xdr:row>37</xdr:row>
      <xdr:rowOff>0</xdr:rowOff>
    </xdr:to>
    <xdr:graphicFrame macro="">
      <xdr:nvGraphicFramePr>
        <xdr:cNvPr id="17" name="Диаграмма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13</xdr:col>
      <xdr:colOff>381000</xdr:colOff>
      <xdr:row>1</xdr:row>
      <xdr:rowOff>38099</xdr:rowOff>
    </xdr:from>
    <xdr:to>
      <xdr:col>13</xdr:col>
      <xdr:colOff>1057275</xdr:colOff>
      <xdr:row>8</xdr:row>
      <xdr:rowOff>112649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8" name="R 3">
              <a:extLst>
                <a:ext uri="{FF2B5EF4-FFF2-40B4-BE49-F238E27FC236}">
                  <a16:creationId xmlns:a16="http://schemas.microsoft.com/office/drawing/2014/main" id="{00000000-0008-0000-0200-000012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154275" y="171449"/>
              <a:ext cx="676275" cy="100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57150</xdr:colOff>
          <xdr:row>35</xdr:row>
          <xdr:rowOff>38100</xdr:rowOff>
        </xdr:from>
        <xdr:to>
          <xdr:col>1</xdr:col>
          <xdr:colOff>1057275</xdr:colOff>
          <xdr:row>36</xdr:row>
          <xdr:rowOff>123825</xdr:rowOff>
        </xdr:to>
        <xdr:sp macro="" textlink="">
          <xdr:nvSpPr>
            <xdr:cNvPr id="45057" name="Button 1" hidden="1">
              <a:extLst>
                <a:ext uri="{63B3BB69-23CF-44E3-9099-C40C66FF867C}">
                  <a14:compatExt spid="_x0000_s45057"/>
                </a:ext>
                <a:ext uri="{FF2B5EF4-FFF2-40B4-BE49-F238E27FC236}">
                  <a16:creationId xmlns:a16="http://schemas.microsoft.com/office/drawing/2014/main" id="{00000000-0008-0000-0200-000001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обновить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247650</xdr:colOff>
      <xdr:row>1</xdr:row>
      <xdr:rowOff>38100</xdr:rowOff>
    </xdr:from>
    <xdr:to>
      <xdr:col>5</xdr:col>
      <xdr:colOff>466725</xdr:colOff>
      <xdr:row>11</xdr:row>
      <xdr:rowOff>85726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G 5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G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85875" y="171450"/>
              <a:ext cx="1076325" cy="138112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257174</xdr:colOff>
      <xdr:row>11</xdr:row>
      <xdr:rowOff>123825</xdr:rowOff>
    </xdr:from>
    <xdr:to>
      <xdr:col>5</xdr:col>
      <xdr:colOff>463949</xdr:colOff>
      <xdr:row>37</xdr:row>
      <xdr:rowOff>4725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NN 4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N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95399" y="1590675"/>
              <a:ext cx="1064025" cy="33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495300</xdr:colOff>
      <xdr:row>23</xdr:row>
      <xdr:rowOff>38099</xdr:rowOff>
    </xdr:from>
    <xdr:to>
      <xdr:col>7</xdr:col>
      <xdr:colOff>66675</xdr:colOff>
      <xdr:row>37</xdr:row>
      <xdr:rowOff>7199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DN 5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N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90775" y="3105149"/>
              <a:ext cx="1171575" cy="1836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47625</xdr:colOff>
      <xdr:row>1</xdr:row>
      <xdr:rowOff>47623</xdr:rowOff>
    </xdr:from>
    <xdr:to>
      <xdr:col>4</xdr:col>
      <xdr:colOff>219075</xdr:colOff>
      <xdr:row>37</xdr:row>
      <xdr:rowOff>6223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Date 5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ate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28600" y="180973"/>
              <a:ext cx="1028700" cy="4759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8</xdr:col>
      <xdr:colOff>247649</xdr:colOff>
      <xdr:row>1</xdr:row>
      <xdr:rowOff>38100</xdr:rowOff>
    </xdr:from>
    <xdr:to>
      <xdr:col>9</xdr:col>
      <xdr:colOff>352424</xdr:colOff>
      <xdr:row>37</xdr:row>
      <xdr:rowOff>3900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tart 5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tart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43424" y="171450"/>
              <a:ext cx="904875" cy="47664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8</xdr:col>
      <xdr:colOff>238125</xdr:colOff>
      <xdr:row>37</xdr:row>
      <xdr:rowOff>47623</xdr:rowOff>
    </xdr:from>
    <xdr:to>
      <xdr:col>14</xdr:col>
      <xdr:colOff>628650</xdr:colOff>
      <xdr:row>47</xdr:row>
      <xdr:rowOff>118123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B 5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B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33900" y="4981573"/>
              <a:ext cx="5191125" cy="140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6</xdr:col>
      <xdr:colOff>133351</xdr:colOff>
      <xdr:row>37</xdr:row>
      <xdr:rowOff>47623</xdr:rowOff>
    </xdr:from>
    <xdr:to>
      <xdr:col>7</xdr:col>
      <xdr:colOff>359251</xdr:colOff>
      <xdr:row>47</xdr:row>
      <xdr:rowOff>118123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Room 5">
              <a:extLst>
                <a:ext uri="{FF2B5EF4-FFF2-40B4-BE49-F238E27FC236}">
                  <a16:creationId xmlns:a16="http://schemas.microsoft.com/office/drawing/2014/main" id="{00000000-0008-0000-0400-000008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oom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828926" y="4981573"/>
              <a:ext cx="1026000" cy="140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9</xdr:col>
      <xdr:colOff>381000</xdr:colOff>
      <xdr:row>1</xdr:row>
      <xdr:rowOff>47623</xdr:rowOff>
    </xdr:from>
    <xdr:to>
      <xdr:col>13</xdr:col>
      <xdr:colOff>85725</xdr:colOff>
      <xdr:row>37</xdr:row>
      <xdr:rowOff>6223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Name 5">
              <a:extLst>
                <a:ext uri="{FF2B5EF4-FFF2-40B4-BE49-F238E27FC236}">
                  <a16:creationId xmlns:a16="http://schemas.microsoft.com/office/drawing/2014/main" id="{00000000-0008-0000-0400-000009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ame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476875" y="180973"/>
              <a:ext cx="2905125" cy="4759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47625</xdr:colOff>
      <xdr:row>37</xdr:row>
      <xdr:rowOff>38100</xdr:rowOff>
    </xdr:from>
    <xdr:to>
      <xdr:col>1</xdr:col>
      <xdr:colOff>659625</xdr:colOff>
      <xdr:row>47</xdr:row>
      <xdr:rowOff>115800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Y 5">
              <a:extLst>
                <a:ext uri="{FF2B5EF4-FFF2-40B4-BE49-F238E27FC236}">
                  <a16:creationId xmlns:a16="http://schemas.microsoft.com/office/drawing/2014/main" id="{00000000-0008-0000-0400-00000A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Y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28600" y="4972050"/>
              <a:ext cx="612000" cy="1411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695325</xdr:colOff>
      <xdr:row>37</xdr:row>
      <xdr:rowOff>38100</xdr:rowOff>
    </xdr:from>
    <xdr:to>
      <xdr:col>4</xdr:col>
      <xdr:colOff>450075</xdr:colOff>
      <xdr:row>47</xdr:row>
      <xdr:rowOff>115800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T 5">
              <a:extLst>
                <a:ext uri="{FF2B5EF4-FFF2-40B4-BE49-F238E27FC236}">
                  <a16:creationId xmlns:a16="http://schemas.microsoft.com/office/drawing/2014/main" id="{00000000-0008-0000-0400-00000B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76300" y="4972050"/>
              <a:ext cx="612000" cy="1411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495299</xdr:colOff>
      <xdr:row>37</xdr:row>
      <xdr:rowOff>47623</xdr:rowOff>
    </xdr:from>
    <xdr:to>
      <xdr:col>5</xdr:col>
      <xdr:colOff>250049</xdr:colOff>
      <xdr:row>47</xdr:row>
      <xdr:rowOff>118123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2" name="K 5">
              <a:extLst>
                <a:ext uri="{FF2B5EF4-FFF2-40B4-BE49-F238E27FC236}">
                  <a16:creationId xmlns:a16="http://schemas.microsoft.com/office/drawing/2014/main" id="{00000000-0008-0000-0400-00000C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33524" y="4981573"/>
              <a:ext cx="612000" cy="140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285750</xdr:colOff>
      <xdr:row>37</xdr:row>
      <xdr:rowOff>38100</xdr:rowOff>
    </xdr:from>
    <xdr:to>
      <xdr:col>6</xdr:col>
      <xdr:colOff>97650</xdr:colOff>
      <xdr:row>47</xdr:row>
      <xdr:rowOff>115800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3" name="A 5">
              <a:extLst>
                <a:ext uri="{FF2B5EF4-FFF2-40B4-BE49-F238E27FC236}">
                  <a16:creationId xmlns:a16="http://schemas.microsoft.com/office/drawing/2014/main" id="{00000000-0008-0000-0400-00000D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81225" y="4972050"/>
              <a:ext cx="612000" cy="1411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495300</xdr:colOff>
      <xdr:row>1</xdr:row>
      <xdr:rowOff>47624</xdr:rowOff>
    </xdr:from>
    <xdr:to>
      <xdr:col>7</xdr:col>
      <xdr:colOff>66675</xdr:colOff>
      <xdr:row>22</xdr:row>
      <xdr:rowOff>127274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4" name="M 5">
              <a:extLst>
                <a:ext uri="{FF2B5EF4-FFF2-40B4-BE49-F238E27FC236}">
                  <a16:creationId xmlns:a16="http://schemas.microsoft.com/office/drawing/2014/main" id="{00000000-0008-0000-0400-00000E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90775" y="180974"/>
              <a:ext cx="1171575" cy="28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7</xdr:col>
      <xdr:colOff>114299</xdr:colOff>
      <xdr:row>1</xdr:row>
      <xdr:rowOff>47624</xdr:rowOff>
    </xdr:from>
    <xdr:to>
      <xdr:col>8</xdr:col>
      <xdr:colOff>209550</xdr:colOff>
      <xdr:row>37</xdr:row>
      <xdr:rowOff>6224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5" name="AFS 5">
              <a:extLst>
                <a:ext uri="{FF2B5EF4-FFF2-40B4-BE49-F238E27FC236}">
                  <a16:creationId xmlns:a16="http://schemas.microsoft.com/office/drawing/2014/main" id="{00000000-0008-0000-0400-00000F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FS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609974" y="180974"/>
              <a:ext cx="895351" cy="4759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13</xdr:col>
      <xdr:colOff>114300</xdr:colOff>
      <xdr:row>1</xdr:row>
      <xdr:rowOff>38100</xdr:rowOff>
    </xdr:from>
    <xdr:to>
      <xdr:col>14</xdr:col>
      <xdr:colOff>628650</xdr:colOff>
      <xdr:row>37</xdr:row>
      <xdr:rowOff>3900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6" name="F 5">
              <a:extLst>
                <a:ext uri="{FF2B5EF4-FFF2-40B4-BE49-F238E27FC236}">
                  <a16:creationId xmlns:a16="http://schemas.microsoft.com/office/drawing/2014/main" id="{00000000-0008-0000-0400-000010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410575" y="171450"/>
              <a:ext cx="1314450" cy="47664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52387</xdr:colOff>
      <xdr:row>48</xdr:row>
      <xdr:rowOff>19049</xdr:rowOff>
    </xdr:from>
    <xdr:to>
      <xdr:col>14</xdr:col>
      <xdr:colOff>619125</xdr:colOff>
      <xdr:row>82</xdr:row>
      <xdr:rowOff>0</xdr:rowOff>
    </xdr:to>
    <xdr:graphicFrame macro="">
      <xdr:nvGraphicFramePr>
        <xdr:cNvPr id="17" name="Диаграмма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7</xdr:col>
      <xdr:colOff>390525</xdr:colOff>
      <xdr:row>37</xdr:row>
      <xdr:rowOff>47622</xdr:rowOff>
    </xdr:from>
    <xdr:to>
      <xdr:col>8</xdr:col>
      <xdr:colOff>202425</xdr:colOff>
      <xdr:row>47</xdr:row>
      <xdr:rowOff>118122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8" name="R 4">
              <a:extLst>
                <a:ext uri="{FF2B5EF4-FFF2-40B4-BE49-F238E27FC236}">
                  <a16:creationId xmlns:a16="http://schemas.microsoft.com/office/drawing/2014/main" id="{00000000-0008-0000-0400-000012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886200" y="4981572"/>
              <a:ext cx="612000" cy="140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47625</xdr:colOff>
          <xdr:row>83</xdr:row>
          <xdr:rowOff>9525</xdr:rowOff>
        </xdr:from>
        <xdr:to>
          <xdr:col>4</xdr:col>
          <xdr:colOff>85725</xdr:colOff>
          <xdr:row>83</xdr:row>
          <xdr:rowOff>180975</xdr:rowOff>
        </xdr:to>
        <xdr:sp macro="" textlink="">
          <xdr:nvSpPr>
            <xdr:cNvPr id="64513" name="Button 1" hidden="1">
              <a:extLst>
                <a:ext uri="{63B3BB69-23CF-44E3-9099-C40C66FF867C}">
                  <a14:compatExt spid="_x0000_s64513"/>
                </a:ext>
                <a:ext uri="{FF2B5EF4-FFF2-40B4-BE49-F238E27FC236}">
                  <a16:creationId xmlns:a16="http://schemas.microsoft.com/office/drawing/2014/main" id="{00000000-0008-0000-0400-000001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обновить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123825</xdr:colOff>
      <xdr:row>1</xdr:row>
      <xdr:rowOff>38100</xdr:rowOff>
    </xdr:from>
    <xdr:to>
      <xdr:col>3</xdr:col>
      <xdr:colOff>485775</xdr:colOff>
      <xdr:row>11</xdr:row>
      <xdr:rowOff>85726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G 6">
              <a:extLst>
                <a:ext uri="{FF2B5EF4-FFF2-40B4-BE49-F238E27FC236}">
                  <a16:creationId xmlns:a16="http://schemas.microsoft.com/office/drawing/2014/main" id="{00000000-0008-0000-0500-000002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G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85875" y="171450"/>
              <a:ext cx="1076325" cy="138112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2</xdr:col>
      <xdr:colOff>133349</xdr:colOff>
      <xdr:row>11</xdr:row>
      <xdr:rowOff>123825</xdr:rowOff>
    </xdr:from>
    <xdr:to>
      <xdr:col>3</xdr:col>
      <xdr:colOff>482999</xdr:colOff>
      <xdr:row>37</xdr:row>
      <xdr:rowOff>4725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NN 5">
              <a:extLst>
                <a:ext uri="{FF2B5EF4-FFF2-40B4-BE49-F238E27FC236}">
                  <a16:creationId xmlns:a16="http://schemas.microsoft.com/office/drawing/2014/main" id="{00000000-0008-0000-0500-000003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N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95399" y="1590675"/>
              <a:ext cx="1064025" cy="33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3</xdr:col>
      <xdr:colOff>514350</xdr:colOff>
      <xdr:row>23</xdr:row>
      <xdr:rowOff>38099</xdr:rowOff>
    </xdr:from>
    <xdr:to>
      <xdr:col>5</xdr:col>
      <xdr:colOff>257175</xdr:colOff>
      <xdr:row>37</xdr:row>
      <xdr:rowOff>7199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DN 6">
              <a:extLst>
                <a:ext uri="{FF2B5EF4-FFF2-40B4-BE49-F238E27FC236}">
                  <a16:creationId xmlns:a16="http://schemas.microsoft.com/office/drawing/2014/main" id="{00000000-0008-0000-0500-000004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N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90775" y="3105149"/>
              <a:ext cx="1171575" cy="1836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47625</xdr:colOff>
      <xdr:row>1</xdr:row>
      <xdr:rowOff>47623</xdr:rowOff>
    </xdr:from>
    <xdr:to>
      <xdr:col>2</xdr:col>
      <xdr:colOff>95250</xdr:colOff>
      <xdr:row>37</xdr:row>
      <xdr:rowOff>6223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Date 6">
              <a:extLst>
                <a:ext uri="{FF2B5EF4-FFF2-40B4-BE49-F238E27FC236}">
                  <a16:creationId xmlns:a16="http://schemas.microsoft.com/office/drawing/2014/main" id="{00000000-0008-0000-0500-000005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ate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28600" y="180973"/>
              <a:ext cx="1028700" cy="4759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6</xdr:col>
      <xdr:colOff>523874</xdr:colOff>
      <xdr:row>1</xdr:row>
      <xdr:rowOff>38100</xdr:rowOff>
    </xdr:from>
    <xdr:to>
      <xdr:col>7</xdr:col>
      <xdr:colOff>714374</xdr:colOff>
      <xdr:row>37</xdr:row>
      <xdr:rowOff>3900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tart 6">
              <a:extLst>
                <a:ext uri="{FF2B5EF4-FFF2-40B4-BE49-F238E27FC236}">
                  <a16:creationId xmlns:a16="http://schemas.microsoft.com/office/drawing/2014/main" id="{00000000-0008-0000-0500-000006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tart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43424" y="171450"/>
              <a:ext cx="904875" cy="47664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6</xdr:col>
      <xdr:colOff>514350</xdr:colOff>
      <xdr:row>37</xdr:row>
      <xdr:rowOff>47623</xdr:rowOff>
    </xdr:from>
    <xdr:to>
      <xdr:col>13</xdr:col>
      <xdr:colOff>704850</xdr:colOff>
      <xdr:row>47</xdr:row>
      <xdr:rowOff>118123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B 6">
              <a:extLst>
                <a:ext uri="{FF2B5EF4-FFF2-40B4-BE49-F238E27FC236}">
                  <a16:creationId xmlns:a16="http://schemas.microsoft.com/office/drawing/2014/main" id="{00000000-0008-0000-0500-000007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B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33900" y="4981573"/>
              <a:ext cx="5191125" cy="140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238126</xdr:colOff>
      <xdr:row>37</xdr:row>
      <xdr:rowOff>47623</xdr:rowOff>
    </xdr:from>
    <xdr:to>
      <xdr:col>5</xdr:col>
      <xdr:colOff>549751</xdr:colOff>
      <xdr:row>47</xdr:row>
      <xdr:rowOff>118123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Room 6">
              <a:extLst>
                <a:ext uri="{FF2B5EF4-FFF2-40B4-BE49-F238E27FC236}">
                  <a16:creationId xmlns:a16="http://schemas.microsoft.com/office/drawing/2014/main" id="{00000000-0008-0000-0500-000008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oom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828926" y="4981573"/>
              <a:ext cx="1026000" cy="140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8</xdr:col>
      <xdr:colOff>28575</xdr:colOff>
      <xdr:row>1</xdr:row>
      <xdr:rowOff>47623</xdr:rowOff>
    </xdr:from>
    <xdr:to>
      <xdr:col>12</xdr:col>
      <xdr:colOff>76200</xdr:colOff>
      <xdr:row>37</xdr:row>
      <xdr:rowOff>6223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Name 6">
              <a:extLst>
                <a:ext uri="{FF2B5EF4-FFF2-40B4-BE49-F238E27FC236}">
                  <a16:creationId xmlns:a16="http://schemas.microsoft.com/office/drawing/2014/main" id="{00000000-0008-0000-0500-000009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ame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476875" y="180973"/>
              <a:ext cx="2905125" cy="4759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47625</xdr:colOff>
      <xdr:row>37</xdr:row>
      <xdr:rowOff>38100</xdr:rowOff>
    </xdr:from>
    <xdr:to>
      <xdr:col>1</xdr:col>
      <xdr:colOff>659625</xdr:colOff>
      <xdr:row>47</xdr:row>
      <xdr:rowOff>115800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Y 6">
              <a:extLst>
                <a:ext uri="{FF2B5EF4-FFF2-40B4-BE49-F238E27FC236}">
                  <a16:creationId xmlns:a16="http://schemas.microsoft.com/office/drawing/2014/main" id="{00000000-0008-0000-0500-00000A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Y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28600" y="4972050"/>
              <a:ext cx="612000" cy="1411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695325</xdr:colOff>
      <xdr:row>37</xdr:row>
      <xdr:rowOff>38100</xdr:rowOff>
    </xdr:from>
    <xdr:to>
      <xdr:col>2</xdr:col>
      <xdr:colOff>326250</xdr:colOff>
      <xdr:row>47</xdr:row>
      <xdr:rowOff>115800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T 6">
              <a:extLst>
                <a:ext uri="{FF2B5EF4-FFF2-40B4-BE49-F238E27FC236}">
                  <a16:creationId xmlns:a16="http://schemas.microsoft.com/office/drawing/2014/main" id="{00000000-0008-0000-0500-00000B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76300" y="4972050"/>
              <a:ext cx="612000" cy="1411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2</xdr:col>
      <xdr:colOff>371474</xdr:colOff>
      <xdr:row>37</xdr:row>
      <xdr:rowOff>47623</xdr:rowOff>
    </xdr:from>
    <xdr:to>
      <xdr:col>3</xdr:col>
      <xdr:colOff>269099</xdr:colOff>
      <xdr:row>47</xdr:row>
      <xdr:rowOff>118123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2" name="K 6">
              <a:extLst>
                <a:ext uri="{FF2B5EF4-FFF2-40B4-BE49-F238E27FC236}">
                  <a16:creationId xmlns:a16="http://schemas.microsoft.com/office/drawing/2014/main" id="{00000000-0008-0000-0500-00000C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33524" y="4981573"/>
              <a:ext cx="612000" cy="140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3</xdr:col>
      <xdr:colOff>304800</xdr:colOff>
      <xdr:row>37</xdr:row>
      <xdr:rowOff>38100</xdr:rowOff>
    </xdr:from>
    <xdr:to>
      <xdr:col>4</xdr:col>
      <xdr:colOff>202425</xdr:colOff>
      <xdr:row>47</xdr:row>
      <xdr:rowOff>115800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3" name="A 6">
              <a:extLst>
                <a:ext uri="{FF2B5EF4-FFF2-40B4-BE49-F238E27FC236}">
                  <a16:creationId xmlns:a16="http://schemas.microsoft.com/office/drawing/2014/main" id="{00000000-0008-0000-0500-00000D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81225" y="4972050"/>
              <a:ext cx="612000" cy="1411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3</xdr:col>
      <xdr:colOff>514350</xdr:colOff>
      <xdr:row>1</xdr:row>
      <xdr:rowOff>47624</xdr:rowOff>
    </xdr:from>
    <xdr:to>
      <xdr:col>5</xdr:col>
      <xdr:colOff>257175</xdr:colOff>
      <xdr:row>22</xdr:row>
      <xdr:rowOff>127274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4" name="M 6">
              <a:extLst>
                <a:ext uri="{FF2B5EF4-FFF2-40B4-BE49-F238E27FC236}">
                  <a16:creationId xmlns:a16="http://schemas.microsoft.com/office/drawing/2014/main" id="{00000000-0008-0000-0500-00000E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90775" y="180974"/>
              <a:ext cx="1171575" cy="28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304799</xdr:colOff>
      <xdr:row>1</xdr:row>
      <xdr:rowOff>47624</xdr:rowOff>
    </xdr:from>
    <xdr:to>
      <xdr:col>6</xdr:col>
      <xdr:colOff>485775</xdr:colOff>
      <xdr:row>37</xdr:row>
      <xdr:rowOff>6224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5" name="AFS 6">
              <a:extLst>
                <a:ext uri="{FF2B5EF4-FFF2-40B4-BE49-F238E27FC236}">
                  <a16:creationId xmlns:a16="http://schemas.microsoft.com/office/drawing/2014/main" id="{00000000-0008-0000-0500-00000F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FS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609974" y="180974"/>
              <a:ext cx="895351" cy="4759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12</xdr:col>
      <xdr:colOff>104775</xdr:colOff>
      <xdr:row>1</xdr:row>
      <xdr:rowOff>38100</xdr:rowOff>
    </xdr:from>
    <xdr:to>
      <xdr:col>13</xdr:col>
      <xdr:colOff>704850</xdr:colOff>
      <xdr:row>37</xdr:row>
      <xdr:rowOff>3900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6" name="F 6">
              <a:extLst>
                <a:ext uri="{FF2B5EF4-FFF2-40B4-BE49-F238E27FC236}">
                  <a16:creationId xmlns:a16="http://schemas.microsoft.com/office/drawing/2014/main" id="{00000000-0008-0000-0500-000010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410575" y="171450"/>
              <a:ext cx="1314450" cy="47664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52387</xdr:colOff>
      <xdr:row>48</xdr:row>
      <xdr:rowOff>19049</xdr:rowOff>
    </xdr:from>
    <xdr:to>
      <xdr:col>13</xdr:col>
      <xdr:colOff>695325</xdr:colOff>
      <xdr:row>82</xdr:row>
      <xdr:rowOff>0</xdr:rowOff>
    </xdr:to>
    <xdr:graphicFrame macro="">
      <xdr:nvGraphicFramePr>
        <xdr:cNvPr id="17" name="Диаграмма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5</xdr:col>
      <xdr:colOff>581025</xdr:colOff>
      <xdr:row>37</xdr:row>
      <xdr:rowOff>47622</xdr:rowOff>
    </xdr:from>
    <xdr:to>
      <xdr:col>6</xdr:col>
      <xdr:colOff>478650</xdr:colOff>
      <xdr:row>47</xdr:row>
      <xdr:rowOff>118122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8" name="R 5">
              <a:extLst>
                <a:ext uri="{FF2B5EF4-FFF2-40B4-BE49-F238E27FC236}">
                  <a16:creationId xmlns:a16="http://schemas.microsoft.com/office/drawing/2014/main" id="{00000000-0008-0000-0500-000012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886200" y="4981572"/>
              <a:ext cx="612000" cy="140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47625</xdr:colOff>
          <xdr:row>83</xdr:row>
          <xdr:rowOff>0</xdr:rowOff>
        </xdr:from>
        <xdr:to>
          <xdr:col>1</xdr:col>
          <xdr:colOff>942975</xdr:colOff>
          <xdr:row>83</xdr:row>
          <xdr:rowOff>180975</xdr:rowOff>
        </xdr:to>
        <xdr:sp macro="" textlink="">
          <xdr:nvSpPr>
            <xdr:cNvPr id="59393" name="Button 1" hidden="1">
              <a:extLst>
                <a:ext uri="{63B3BB69-23CF-44E3-9099-C40C66FF867C}">
                  <a14:compatExt spid="_x0000_s59393"/>
                </a:ext>
                <a:ext uri="{FF2B5EF4-FFF2-40B4-BE49-F238E27FC236}">
                  <a16:creationId xmlns:a16="http://schemas.microsoft.com/office/drawing/2014/main" id="{00000000-0008-0000-0500-000001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обновить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37</xdr:row>
          <xdr:rowOff>85725</xdr:rowOff>
        </xdr:from>
        <xdr:to>
          <xdr:col>6</xdr:col>
          <xdr:colOff>123825</xdr:colOff>
          <xdr:row>39</xdr:row>
          <xdr:rowOff>57150</xdr:rowOff>
        </xdr:to>
        <xdr:sp macro="" textlink="">
          <xdr:nvSpPr>
            <xdr:cNvPr id="79059" name="Check Box 211" hidden="1">
              <a:extLst>
                <a:ext uri="{63B3BB69-23CF-44E3-9099-C40C66FF867C}">
                  <a14:compatExt spid="_x0000_s79059"/>
                </a:ext>
                <a:ext uri="{FF2B5EF4-FFF2-40B4-BE49-F238E27FC236}">
                  <a16:creationId xmlns:a16="http://schemas.microsoft.com/office/drawing/2014/main" id="{00000000-0008-0000-0700-0000D3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333333" mc:Ignorable="a14" a14:legacySpreadsheetColorIndex="63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38</xdr:row>
          <xdr:rowOff>85725</xdr:rowOff>
        </xdr:from>
        <xdr:to>
          <xdr:col>6</xdr:col>
          <xdr:colOff>123825</xdr:colOff>
          <xdr:row>40</xdr:row>
          <xdr:rowOff>47625</xdr:rowOff>
        </xdr:to>
        <xdr:sp macro="" textlink="">
          <xdr:nvSpPr>
            <xdr:cNvPr id="79060" name="Check Box 212" hidden="1">
              <a:extLst>
                <a:ext uri="{63B3BB69-23CF-44E3-9099-C40C66FF867C}">
                  <a14:compatExt spid="_x0000_s79060"/>
                </a:ext>
                <a:ext uri="{FF2B5EF4-FFF2-40B4-BE49-F238E27FC236}">
                  <a16:creationId xmlns:a16="http://schemas.microsoft.com/office/drawing/2014/main" id="{00000000-0008-0000-0700-0000D4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39</xdr:row>
          <xdr:rowOff>85725</xdr:rowOff>
        </xdr:from>
        <xdr:to>
          <xdr:col>6</xdr:col>
          <xdr:colOff>123825</xdr:colOff>
          <xdr:row>41</xdr:row>
          <xdr:rowOff>38100</xdr:rowOff>
        </xdr:to>
        <xdr:sp macro="" textlink="">
          <xdr:nvSpPr>
            <xdr:cNvPr id="79061" name="Check Box 213" hidden="1">
              <a:extLst>
                <a:ext uri="{63B3BB69-23CF-44E3-9099-C40C66FF867C}">
                  <a14:compatExt spid="_x0000_s79061"/>
                </a:ext>
                <a:ext uri="{FF2B5EF4-FFF2-40B4-BE49-F238E27FC236}">
                  <a16:creationId xmlns:a16="http://schemas.microsoft.com/office/drawing/2014/main" id="{00000000-0008-0000-0700-0000D5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40</xdr:row>
          <xdr:rowOff>85725</xdr:rowOff>
        </xdr:from>
        <xdr:to>
          <xdr:col>6</xdr:col>
          <xdr:colOff>123825</xdr:colOff>
          <xdr:row>42</xdr:row>
          <xdr:rowOff>38100</xdr:rowOff>
        </xdr:to>
        <xdr:sp macro="" textlink="">
          <xdr:nvSpPr>
            <xdr:cNvPr id="79062" name="Check Box 214" hidden="1">
              <a:extLst>
                <a:ext uri="{63B3BB69-23CF-44E3-9099-C40C66FF867C}">
                  <a14:compatExt spid="_x0000_s79062"/>
                </a:ext>
                <a:ext uri="{FF2B5EF4-FFF2-40B4-BE49-F238E27FC236}">
                  <a16:creationId xmlns:a16="http://schemas.microsoft.com/office/drawing/2014/main" id="{00000000-0008-0000-0700-0000D6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41</xdr:row>
          <xdr:rowOff>85725</xdr:rowOff>
        </xdr:from>
        <xdr:to>
          <xdr:col>6</xdr:col>
          <xdr:colOff>123825</xdr:colOff>
          <xdr:row>43</xdr:row>
          <xdr:rowOff>38100</xdr:rowOff>
        </xdr:to>
        <xdr:sp macro="" textlink="">
          <xdr:nvSpPr>
            <xdr:cNvPr id="79063" name="Check Box 215" hidden="1">
              <a:extLst>
                <a:ext uri="{63B3BB69-23CF-44E3-9099-C40C66FF867C}">
                  <a14:compatExt spid="_x0000_s79063"/>
                </a:ext>
                <a:ext uri="{FF2B5EF4-FFF2-40B4-BE49-F238E27FC236}">
                  <a16:creationId xmlns:a16="http://schemas.microsoft.com/office/drawing/2014/main" id="{00000000-0008-0000-0700-0000D7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42</xdr:row>
          <xdr:rowOff>85725</xdr:rowOff>
        </xdr:from>
        <xdr:to>
          <xdr:col>6</xdr:col>
          <xdr:colOff>123825</xdr:colOff>
          <xdr:row>44</xdr:row>
          <xdr:rowOff>38100</xdr:rowOff>
        </xdr:to>
        <xdr:sp macro="" textlink="">
          <xdr:nvSpPr>
            <xdr:cNvPr id="79064" name="Check Box 216" hidden="1">
              <a:extLst>
                <a:ext uri="{63B3BB69-23CF-44E3-9099-C40C66FF867C}">
                  <a14:compatExt spid="_x0000_s79064"/>
                </a:ext>
                <a:ext uri="{FF2B5EF4-FFF2-40B4-BE49-F238E27FC236}">
                  <a16:creationId xmlns:a16="http://schemas.microsoft.com/office/drawing/2014/main" id="{00000000-0008-0000-0700-0000D8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43</xdr:row>
          <xdr:rowOff>85725</xdr:rowOff>
        </xdr:from>
        <xdr:to>
          <xdr:col>6</xdr:col>
          <xdr:colOff>123825</xdr:colOff>
          <xdr:row>45</xdr:row>
          <xdr:rowOff>38100</xdr:rowOff>
        </xdr:to>
        <xdr:sp macro="" textlink="">
          <xdr:nvSpPr>
            <xdr:cNvPr id="79065" name="Check Box 217" hidden="1">
              <a:extLst>
                <a:ext uri="{63B3BB69-23CF-44E3-9099-C40C66FF867C}">
                  <a14:compatExt spid="_x0000_s79065"/>
                </a:ext>
                <a:ext uri="{FF2B5EF4-FFF2-40B4-BE49-F238E27FC236}">
                  <a16:creationId xmlns:a16="http://schemas.microsoft.com/office/drawing/2014/main" id="{00000000-0008-0000-0700-0000D9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44</xdr:row>
          <xdr:rowOff>85725</xdr:rowOff>
        </xdr:from>
        <xdr:to>
          <xdr:col>6</xdr:col>
          <xdr:colOff>123825</xdr:colOff>
          <xdr:row>46</xdr:row>
          <xdr:rowOff>38100</xdr:rowOff>
        </xdr:to>
        <xdr:sp macro="" textlink="">
          <xdr:nvSpPr>
            <xdr:cNvPr id="79066" name="Check Box 218" hidden="1">
              <a:extLst>
                <a:ext uri="{63B3BB69-23CF-44E3-9099-C40C66FF867C}">
                  <a14:compatExt spid="_x0000_s79066"/>
                </a:ext>
                <a:ext uri="{FF2B5EF4-FFF2-40B4-BE49-F238E27FC236}">
                  <a16:creationId xmlns:a16="http://schemas.microsoft.com/office/drawing/2014/main" id="{00000000-0008-0000-0700-0000DA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45</xdr:row>
          <xdr:rowOff>85725</xdr:rowOff>
        </xdr:from>
        <xdr:to>
          <xdr:col>6</xdr:col>
          <xdr:colOff>123825</xdr:colOff>
          <xdr:row>47</xdr:row>
          <xdr:rowOff>38100</xdr:rowOff>
        </xdr:to>
        <xdr:sp macro="" textlink="">
          <xdr:nvSpPr>
            <xdr:cNvPr id="79067" name="Check Box 219" hidden="1">
              <a:extLst>
                <a:ext uri="{63B3BB69-23CF-44E3-9099-C40C66FF867C}">
                  <a14:compatExt spid="_x0000_s79067"/>
                </a:ext>
                <a:ext uri="{FF2B5EF4-FFF2-40B4-BE49-F238E27FC236}">
                  <a16:creationId xmlns:a16="http://schemas.microsoft.com/office/drawing/2014/main" id="{00000000-0008-0000-0700-0000DB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46</xdr:row>
          <xdr:rowOff>85725</xdr:rowOff>
        </xdr:from>
        <xdr:to>
          <xdr:col>6</xdr:col>
          <xdr:colOff>123825</xdr:colOff>
          <xdr:row>48</xdr:row>
          <xdr:rowOff>38100</xdr:rowOff>
        </xdr:to>
        <xdr:sp macro="" textlink="">
          <xdr:nvSpPr>
            <xdr:cNvPr id="79068" name="Check Box 220" hidden="1">
              <a:extLst>
                <a:ext uri="{63B3BB69-23CF-44E3-9099-C40C66FF867C}">
                  <a14:compatExt spid="_x0000_s79068"/>
                </a:ext>
                <a:ext uri="{FF2B5EF4-FFF2-40B4-BE49-F238E27FC236}">
                  <a16:creationId xmlns:a16="http://schemas.microsoft.com/office/drawing/2014/main" id="{00000000-0008-0000-0700-0000DC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47</xdr:row>
          <xdr:rowOff>85725</xdr:rowOff>
        </xdr:from>
        <xdr:to>
          <xdr:col>6</xdr:col>
          <xdr:colOff>123825</xdr:colOff>
          <xdr:row>49</xdr:row>
          <xdr:rowOff>38100</xdr:rowOff>
        </xdr:to>
        <xdr:sp macro="" textlink="">
          <xdr:nvSpPr>
            <xdr:cNvPr id="79069" name="Check Box 221" hidden="1">
              <a:extLst>
                <a:ext uri="{63B3BB69-23CF-44E3-9099-C40C66FF867C}">
                  <a14:compatExt spid="_x0000_s79069"/>
                </a:ext>
                <a:ext uri="{FF2B5EF4-FFF2-40B4-BE49-F238E27FC236}">
                  <a16:creationId xmlns:a16="http://schemas.microsoft.com/office/drawing/2014/main" id="{00000000-0008-0000-0700-0000DD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50</xdr:row>
          <xdr:rowOff>85725</xdr:rowOff>
        </xdr:from>
        <xdr:to>
          <xdr:col>6</xdr:col>
          <xdr:colOff>123825</xdr:colOff>
          <xdr:row>52</xdr:row>
          <xdr:rowOff>38100</xdr:rowOff>
        </xdr:to>
        <xdr:sp macro="" textlink="">
          <xdr:nvSpPr>
            <xdr:cNvPr id="79070" name="Check Box 222" hidden="1">
              <a:extLst>
                <a:ext uri="{63B3BB69-23CF-44E3-9099-C40C66FF867C}">
                  <a14:compatExt spid="_x0000_s79070"/>
                </a:ext>
                <a:ext uri="{FF2B5EF4-FFF2-40B4-BE49-F238E27FC236}">
                  <a16:creationId xmlns:a16="http://schemas.microsoft.com/office/drawing/2014/main" id="{00000000-0008-0000-0700-0000DE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51</xdr:row>
          <xdr:rowOff>85725</xdr:rowOff>
        </xdr:from>
        <xdr:to>
          <xdr:col>6</xdr:col>
          <xdr:colOff>123825</xdr:colOff>
          <xdr:row>53</xdr:row>
          <xdr:rowOff>38100</xdr:rowOff>
        </xdr:to>
        <xdr:sp macro="" textlink="">
          <xdr:nvSpPr>
            <xdr:cNvPr id="79071" name="Check Box 223" hidden="1">
              <a:extLst>
                <a:ext uri="{63B3BB69-23CF-44E3-9099-C40C66FF867C}">
                  <a14:compatExt spid="_x0000_s79071"/>
                </a:ext>
                <a:ext uri="{FF2B5EF4-FFF2-40B4-BE49-F238E27FC236}">
                  <a16:creationId xmlns:a16="http://schemas.microsoft.com/office/drawing/2014/main" id="{00000000-0008-0000-0700-0000DF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52</xdr:row>
          <xdr:rowOff>85725</xdr:rowOff>
        </xdr:from>
        <xdr:to>
          <xdr:col>6</xdr:col>
          <xdr:colOff>123825</xdr:colOff>
          <xdr:row>54</xdr:row>
          <xdr:rowOff>38100</xdr:rowOff>
        </xdr:to>
        <xdr:sp macro="" textlink="">
          <xdr:nvSpPr>
            <xdr:cNvPr id="79072" name="Check Box 224" hidden="1">
              <a:extLst>
                <a:ext uri="{63B3BB69-23CF-44E3-9099-C40C66FF867C}">
                  <a14:compatExt spid="_x0000_s79072"/>
                </a:ext>
                <a:ext uri="{FF2B5EF4-FFF2-40B4-BE49-F238E27FC236}">
                  <a16:creationId xmlns:a16="http://schemas.microsoft.com/office/drawing/2014/main" id="{00000000-0008-0000-0700-0000E0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53</xdr:row>
          <xdr:rowOff>85725</xdr:rowOff>
        </xdr:from>
        <xdr:to>
          <xdr:col>6</xdr:col>
          <xdr:colOff>123825</xdr:colOff>
          <xdr:row>55</xdr:row>
          <xdr:rowOff>38100</xdr:rowOff>
        </xdr:to>
        <xdr:sp macro="" textlink="">
          <xdr:nvSpPr>
            <xdr:cNvPr id="79073" name="Check Box 225" hidden="1">
              <a:extLst>
                <a:ext uri="{63B3BB69-23CF-44E3-9099-C40C66FF867C}">
                  <a14:compatExt spid="_x0000_s79073"/>
                </a:ext>
                <a:ext uri="{FF2B5EF4-FFF2-40B4-BE49-F238E27FC236}">
                  <a16:creationId xmlns:a16="http://schemas.microsoft.com/office/drawing/2014/main" id="{00000000-0008-0000-0700-0000E1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54</xdr:row>
          <xdr:rowOff>85725</xdr:rowOff>
        </xdr:from>
        <xdr:to>
          <xdr:col>6</xdr:col>
          <xdr:colOff>123825</xdr:colOff>
          <xdr:row>56</xdr:row>
          <xdr:rowOff>38100</xdr:rowOff>
        </xdr:to>
        <xdr:sp macro="" textlink="">
          <xdr:nvSpPr>
            <xdr:cNvPr id="79074" name="Check Box 226" hidden="1">
              <a:extLst>
                <a:ext uri="{63B3BB69-23CF-44E3-9099-C40C66FF867C}">
                  <a14:compatExt spid="_x0000_s79074"/>
                </a:ext>
                <a:ext uri="{FF2B5EF4-FFF2-40B4-BE49-F238E27FC236}">
                  <a16:creationId xmlns:a16="http://schemas.microsoft.com/office/drawing/2014/main" id="{00000000-0008-0000-0700-0000E2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55</xdr:row>
          <xdr:rowOff>85725</xdr:rowOff>
        </xdr:from>
        <xdr:to>
          <xdr:col>6</xdr:col>
          <xdr:colOff>123825</xdr:colOff>
          <xdr:row>57</xdr:row>
          <xdr:rowOff>38100</xdr:rowOff>
        </xdr:to>
        <xdr:sp macro="" textlink="">
          <xdr:nvSpPr>
            <xdr:cNvPr id="79075" name="Check Box 227" hidden="1">
              <a:extLst>
                <a:ext uri="{63B3BB69-23CF-44E3-9099-C40C66FF867C}">
                  <a14:compatExt spid="_x0000_s79075"/>
                </a:ext>
                <a:ext uri="{FF2B5EF4-FFF2-40B4-BE49-F238E27FC236}">
                  <a16:creationId xmlns:a16="http://schemas.microsoft.com/office/drawing/2014/main" id="{00000000-0008-0000-0700-0000E3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56</xdr:row>
          <xdr:rowOff>85725</xdr:rowOff>
        </xdr:from>
        <xdr:to>
          <xdr:col>6</xdr:col>
          <xdr:colOff>123825</xdr:colOff>
          <xdr:row>58</xdr:row>
          <xdr:rowOff>38100</xdr:rowOff>
        </xdr:to>
        <xdr:sp macro="" textlink="">
          <xdr:nvSpPr>
            <xdr:cNvPr id="79076" name="Check Box 228" hidden="1">
              <a:extLst>
                <a:ext uri="{63B3BB69-23CF-44E3-9099-C40C66FF867C}">
                  <a14:compatExt spid="_x0000_s79076"/>
                </a:ext>
                <a:ext uri="{FF2B5EF4-FFF2-40B4-BE49-F238E27FC236}">
                  <a16:creationId xmlns:a16="http://schemas.microsoft.com/office/drawing/2014/main" id="{00000000-0008-0000-0700-0000E4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57</xdr:row>
          <xdr:rowOff>85725</xdr:rowOff>
        </xdr:from>
        <xdr:to>
          <xdr:col>6</xdr:col>
          <xdr:colOff>123825</xdr:colOff>
          <xdr:row>59</xdr:row>
          <xdr:rowOff>38100</xdr:rowOff>
        </xdr:to>
        <xdr:sp macro="" textlink="">
          <xdr:nvSpPr>
            <xdr:cNvPr id="79077" name="Check Box 229" hidden="1">
              <a:extLst>
                <a:ext uri="{63B3BB69-23CF-44E3-9099-C40C66FF867C}">
                  <a14:compatExt spid="_x0000_s79077"/>
                </a:ext>
                <a:ext uri="{FF2B5EF4-FFF2-40B4-BE49-F238E27FC236}">
                  <a16:creationId xmlns:a16="http://schemas.microsoft.com/office/drawing/2014/main" id="{00000000-0008-0000-0700-0000E5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58</xdr:row>
          <xdr:rowOff>85725</xdr:rowOff>
        </xdr:from>
        <xdr:to>
          <xdr:col>6</xdr:col>
          <xdr:colOff>123825</xdr:colOff>
          <xdr:row>60</xdr:row>
          <xdr:rowOff>38100</xdr:rowOff>
        </xdr:to>
        <xdr:sp macro="" textlink="">
          <xdr:nvSpPr>
            <xdr:cNvPr id="79078" name="Check Box 230" hidden="1">
              <a:extLst>
                <a:ext uri="{63B3BB69-23CF-44E3-9099-C40C66FF867C}">
                  <a14:compatExt spid="_x0000_s79078"/>
                </a:ext>
                <a:ext uri="{FF2B5EF4-FFF2-40B4-BE49-F238E27FC236}">
                  <a16:creationId xmlns:a16="http://schemas.microsoft.com/office/drawing/2014/main" id="{00000000-0008-0000-0700-0000E6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59</xdr:row>
          <xdr:rowOff>85725</xdr:rowOff>
        </xdr:from>
        <xdr:to>
          <xdr:col>6</xdr:col>
          <xdr:colOff>123825</xdr:colOff>
          <xdr:row>61</xdr:row>
          <xdr:rowOff>38100</xdr:rowOff>
        </xdr:to>
        <xdr:sp macro="" textlink="">
          <xdr:nvSpPr>
            <xdr:cNvPr id="79079" name="Check Box 231" hidden="1">
              <a:extLst>
                <a:ext uri="{63B3BB69-23CF-44E3-9099-C40C66FF867C}">
                  <a14:compatExt spid="_x0000_s79079"/>
                </a:ext>
                <a:ext uri="{FF2B5EF4-FFF2-40B4-BE49-F238E27FC236}">
                  <a16:creationId xmlns:a16="http://schemas.microsoft.com/office/drawing/2014/main" id="{00000000-0008-0000-0700-0000E7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60</xdr:row>
          <xdr:rowOff>85725</xdr:rowOff>
        </xdr:from>
        <xdr:to>
          <xdr:col>6</xdr:col>
          <xdr:colOff>123825</xdr:colOff>
          <xdr:row>62</xdr:row>
          <xdr:rowOff>38100</xdr:rowOff>
        </xdr:to>
        <xdr:sp macro="" textlink="">
          <xdr:nvSpPr>
            <xdr:cNvPr id="79080" name="Check Box 232" hidden="1">
              <a:extLst>
                <a:ext uri="{63B3BB69-23CF-44E3-9099-C40C66FF867C}">
                  <a14:compatExt spid="_x0000_s79080"/>
                </a:ext>
                <a:ext uri="{FF2B5EF4-FFF2-40B4-BE49-F238E27FC236}">
                  <a16:creationId xmlns:a16="http://schemas.microsoft.com/office/drawing/2014/main" id="{00000000-0008-0000-0700-0000E8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61</xdr:row>
          <xdr:rowOff>85725</xdr:rowOff>
        </xdr:from>
        <xdr:to>
          <xdr:col>6</xdr:col>
          <xdr:colOff>123825</xdr:colOff>
          <xdr:row>63</xdr:row>
          <xdr:rowOff>38100</xdr:rowOff>
        </xdr:to>
        <xdr:sp macro="" textlink="">
          <xdr:nvSpPr>
            <xdr:cNvPr id="79081" name="Check Box 233" hidden="1">
              <a:extLst>
                <a:ext uri="{63B3BB69-23CF-44E3-9099-C40C66FF867C}">
                  <a14:compatExt spid="_x0000_s79081"/>
                </a:ext>
                <a:ext uri="{FF2B5EF4-FFF2-40B4-BE49-F238E27FC236}">
                  <a16:creationId xmlns:a16="http://schemas.microsoft.com/office/drawing/2014/main" id="{00000000-0008-0000-0700-0000E9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62</xdr:row>
          <xdr:rowOff>85725</xdr:rowOff>
        </xdr:from>
        <xdr:to>
          <xdr:col>6</xdr:col>
          <xdr:colOff>123825</xdr:colOff>
          <xdr:row>64</xdr:row>
          <xdr:rowOff>38100</xdr:rowOff>
        </xdr:to>
        <xdr:sp macro="" textlink="">
          <xdr:nvSpPr>
            <xdr:cNvPr id="79082" name="Check Box 234" hidden="1">
              <a:extLst>
                <a:ext uri="{63B3BB69-23CF-44E3-9099-C40C66FF867C}">
                  <a14:compatExt spid="_x0000_s79082"/>
                </a:ext>
                <a:ext uri="{FF2B5EF4-FFF2-40B4-BE49-F238E27FC236}">
                  <a16:creationId xmlns:a16="http://schemas.microsoft.com/office/drawing/2014/main" id="{00000000-0008-0000-0700-0000EA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63</xdr:row>
          <xdr:rowOff>85725</xdr:rowOff>
        </xdr:from>
        <xdr:to>
          <xdr:col>6</xdr:col>
          <xdr:colOff>123825</xdr:colOff>
          <xdr:row>65</xdr:row>
          <xdr:rowOff>38100</xdr:rowOff>
        </xdr:to>
        <xdr:sp macro="" textlink="">
          <xdr:nvSpPr>
            <xdr:cNvPr id="79083" name="Check Box 235" hidden="1">
              <a:extLst>
                <a:ext uri="{63B3BB69-23CF-44E3-9099-C40C66FF867C}">
                  <a14:compatExt spid="_x0000_s79083"/>
                </a:ext>
                <a:ext uri="{FF2B5EF4-FFF2-40B4-BE49-F238E27FC236}">
                  <a16:creationId xmlns:a16="http://schemas.microsoft.com/office/drawing/2014/main" id="{00000000-0008-0000-0700-0000EB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64</xdr:row>
          <xdr:rowOff>85725</xdr:rowOff>
        </xdr:from>
        <xdr:to>
          <xdr:col>6</xdr:col>
          <xdr:colOff>123825</xdr:colOff>
          <xdr:row>66</xdr:row>
          <xdr:rowOff>38100</xdr:rowOff>
        </xdr:to>
        <xdr:sp macro="" textlink="">
          <xdr:nvSpPr>
            <xdr:cNvPr id="79084" name="Check Box 236" hidden="1">
              <a:extLst>
                <a:ext uri="{63B3BB69-23CF-44E3-9099-C40C66FF867C}">
                  <a14:compatExt spid="_x0000_s79084"/>
                </a:ext>
                <a:ext uri="{FF2B5EF4-FFF2-40B4-BE49-F238E27FC236}">
                  <a16:creationId xmlns:a16="http://schemas.microsoft.com/office/drawing/2014/main" id="{00000000-0008-0000-0700-0000EC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65</xdr:row>
          <xdr:rowOff>85725</xdr:rowOff>
        </xdr:from>
        <xdr:to>
          <xdr:col>6</xdr:col>
          <xdr:colOff>123825</xdr:colOff>
          <xdr:row>67</xdr:row>
          <xdr:rowOff>38100</xdr:rowOff>
        </xdr:to>
        <xdr:sp macro="" textlink="">
          <xdr:nvSpPr>
            <xdr:cNvPr id="79085" name="Check Box 237" hidden="1">
              <a:extLst>
                <a:ext uri="{63B3BB69-23CF-44E3-9099-C40C66FF867C}">
                  <a14:compatExt spid="_x0000_s79085"/>
                </a:ext>
                <a:ext uri="{FF2B5EF4-FFF2-40B4-BE49-F238E27FC236}">
                  <a16:creationId xmlns:a16="http://schemas.microsoft.com/office/drawing/2014/main" id="{00000000-0008-0000-0700-0000ED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66</xdr:row>
          <xdr:rowOff>85725</xdr:rowOff>
        </xdr:from>
        <xdr:to>
          <xdr:col>6</xdr:col>
          <xdr:colOff>123825</xdr:colOff>
          <xdr:row>68</xdr:row>
          <xdr:rowOff>38100</xdr:rowOff>
        </xdr:to>
        <xdr:sp macro="" textlink="">
          <xdr:nvSpPr>
            <xdr:cNvPr id="79086" name="Check Box 238" hidden="1">
              <a:extLst>
                <a:ext uri="{63B3BB69-23CF-44E3-9099-C40C66FF867C}">
                  <a14:compatExt spid="_x0000_s79086"/>
                </a:ext>
                <a:ext uri="{FF2B5EF4-FFF2-40B4-BE49-F238E27FC236}">
                  <a16:creationId xmlns:a16="http://schemas.microsoft.com/office/drawing/2014/main" id="{00000000-0008-0000-0700-0000EE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67</xdr:row>
          <xdr:rowOff>85725</xdr:rowOff>
        </xdr:from>
        <xdr:to>
          <xdr:col>6</xdr:col>
          <xdr:colOff>123825</xdr:colOff>
          <xdr:row>69</xdr:row>
          <xdr:rowOff>38100</xdr:rowOff>
        </xdr:to>
        <xdr:sp macro="" textlink="">
          <xdr:nvSpPr>
            <xdr:cNvPr id="79087" name="Check Box 239" hidden="1">
              <a:extLst>
                <a:ext uri="{63B3BB69-23CF-44E3-9099-C40C66FF867C}">
                  <a14:compatExt spid="_x0000_s79087"/>
                </a:ext>
                <a:ext uri="{FF2B5EF4-FFF2-40B4-BE49-F238E27FC236}">
                  <a16:creationId xmlns:a16="http://schemas.microsoft.com/office/drawing/2014/main" id="{00000000-0008-0000-0700-0000EF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68</xdr:row>
          <xdr:rowOff>85725</xdr:rowOff>
        </xdr:from>
        <xdr:to>
          <xdr:col>6</xdr:col>
          <xdr:colOff>123825</xdr:colOff>
          <xdr:row>70</xdr:row>
          <xdr:rowOff>38100</xdr:rowOff>
        </xdr:to>
        <xdr:sp macro="" textlink="">
          <xdr:nvSpPr>
            <xdr:cNvPr id="79088" name="Check Box 240" hidden="1">
              <a:extLst>
                <a:ext uri="{63B3BB69-23CF-44E3-9099-C40C66FF867C}">
                  <a14:compatExt spid="_x0000_s79088"/>
                </a:ext>
                <a:ext uri="{FF2B5EF4-FFF2-40B4-BE49-F238E27FC236}">
                  <a16:creationId xmlns:a16="http://schemas.microsoft.com/office/drawing/2014/main" id="{00000000-0008-0000-0700-0000F0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69</xdr:row>
          <xdr:rowOff>85725</xdr:rowOff>
        </xdr:from>
        <xdr:to>
          <xdr:col>6</xdr:col>
          <xdr:colOff>123825</xdr:colOff>
          <xdr:row>71</xdr:row>
          <xdr:rowOff>38100</xdr:rowOff>
        </xdr:to>
        <xdr:sp macro="" textlink="">
          <xdr:nvSpPr>
            <xdr:cNvPr id="79089" name="Check Box 241" hidden="1">
              <a:extLst>
                <a:ext uri="{63B3BB69-23CF-44E3-9099-C40C66FF867C}">
                  <a14:compatExt spid="_x0000_s79089"/>
                </a:ext>
                <a:ext uri="{FF2B5EF4-FFF2-40B4-BE49-F238E27FC236}">
                  <a16:creationId xmlns:a16="http://schemas.microsoft.com/office/drawing/2014/main" id="{00000000-0008-0000-0700-0000F1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70</xdr:row>
          <xdr:rowOff>85725</xdr:rowOff>
        </xdr:from>
        <xdr:to>
          <xdr:col>6</xdr:col>
          <xdr:colOff>123825</xdr:colOff>
          <xdr:row>72</xdr:row>
          <xdr:rowOff>38100</xdr:rowOff>
        </xdr:to>
        <xdr:sp macro="" textlink="">
          <xdr:nvSpPr>
            <xdr:cNvPr id="79090" name="Check Box 242" hidden="1">
              <a:extLst>
                <a:ext uri="{63B3BB69-23CF-44E3-9099-C40C66FF867C}">
                  <a14:compatExt spid="_x0000_s79090"/>
                </a:ext>
                <a:ext uri="{FF2B5EF4-FFF2-40B4-BE49-F238E27FC236}">
                  <a16:creationId xmlns:a16="http://schemas.microsoft.com/office/drawing/2014/main" id="{00000000-0008-0000-0700-0000F2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71</xdr:row>
          <xdr:rowOff>85725</xdr:rowOff>
        </xdr:from>
        <xdr:to>
          <xdr:col>6</xdr:col>
          <xdr:colOff>123825</xdr:colOff>
          <xdr:row>73</xdr:row>
          <xdr:rowOff>38100</xdr:rowOff>
        </xdr:to>
        <xdr:sp macro="" textlink="">
          <xdr:nvSpPr>
            <xdr:cNvPr id="79091" name="Check Box 243" hidden="1">
              <a:extLst>
                <a:ext uri="{63B3BB69-23CF-44E3-9099-C40C66FF867C}">
                  <a14:compatExt spid="_x0000_s79091"/>
                </a:ext>
                <a:ext uri="{FF2B5EF4-FFF2-40B4-BE49-F238E27FC236}">
                  <a16:creationId xmlns:a16="http://schemas.microsoft.com/office/drawing/2014/main" id="{00000000-0008-0000-0700-0000F3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72</xdr:row>
          <xdr:rowOff>85725</xdr:rowOff>
        </xdr:from>
        <xdr:to>
          <xdr:col>6</xdr:col>
          <xdr:colOff>123825</xdr:colOff>
          <xdr:row>74</xdr:row>
          <xdr:rowOff>38100</xdr:rowOff>
        </xdr:to>
        <xdr:sp macro="" textlink="">
          <xdr:nvSpPr>
            <xdr:cNvPr id="79092" name="Check Box 244" hidden="1">
              <a:extLst>
                <a:ext uri="{63B3BB69-23CF-44E3-9099-C40C66FF867C}">
                  <a14:compatExt spid="_x0000_s79092"/>
                </a:ext>
                <a:ext uri="{FF2B5EF4-FFF2-40B4-BE49-F238E27FC236}">
                  <a16:creationId xmlns:a16="http://schemas.microsoft.com/office/drawing/2014/main" id="{00000000-0008-0000-0700-0000F4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73</xdr:row>
          <xdr:rowOff>85725</xdr:rowOff>
        </xdr:from>
        <xdr:to>
          <xdr:col>6</xdr:col>
          <xdr:colOff>123825</xdr:colOff>
          <xdr:row>75</xdr:row>
          <xdr:rowOff>38100</xdr:rowOff>
        </xdr:to>
        <xdr:sp macro="" textlink="">
          <xdr:nvSpPr>
            <xdr:cNvPr id="79093" name="Check Box 245" hidden="1">
              <a:extLst>
                <a:ext uri="{63B3BB69-23CF-44E3-9099-C40C66FF867C}">
                  <a14:compatExt spid="_x0000_s79093"/>
                </a:ext>
                <a:ext uri="{FF2B5EF4-FFF2-40B4-BE49-F238E27FC236}">
                  <a16:creationId xmlns:a16="http://schemas.microsoft.com/office/drawing/2014/main" id="{00000000-0008-0000-0700-0000F5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74</xdr:row>
          <xdr:rowOff>85725</xdr:rowOff>
        </xdr:from>
        <xdr:to>
          <xdr:col>6</xdr:col>
          <xdr:colOff>123825</xdr:colOff>
          <xdr:row>76</xdr:row>
          <xdr:rowOff>38100</xdr:rowOff>
        </xdr:to>
        <xdr:sp macro="" textlink="">
          <xdr:nvSpPr>
            <xdr:cNvPr id="79094" name="Check Box 246" hidden="1">
              <a:extLst>
                <a:ext uri="{63B3BB69-23CF-44E3-9099-C40C66FF867C}">
                  <a14:compatExt spid="_x0000_s79094"/>
                </a:ext>
                <a:ext uri="{FF2B5EF4-FFF2-40B4-BE49-F238E27FC236}">
                  <a16:creationId xmlns:a16="http://schemas.microsoft.com/office/drawing/2014/main" id="{00000000-0008-0000-0700-0000F6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75</xdr:row>
          <xdr:rowOff>85725</xdr:rowOff>
        </xdr:from>
        <xdr:to>
          <xdr:col>6</xdr:col>
          <xdr:colOff>123825</xdr:colOff>
          <xdr:row>77</xdr:row>
          <xdr:rowOff>38100</xdr:rowOff>
        </xdr:to>
        <xdr:sp macro="" textlink="">
          <xdr:nvSpPr>
            <xdr:cNvPr id="79095" name="Check Box 247" hidden="1">
              <a:extLst>
                <a:ext uri="{63B3BB69-23CF-44E3-9099-C40C66FF867C}">
                  <a14:compatExt spid="_x0000_s79095"/>
                </a:ext>
                <a:ext uri="{FF2B5EF4-FFF2-40B4-BE49-F238E27FC236}">
                  <a16:creationId xmlns:a16="http://schemas.microsoft.com/office/drawing/2014/main" id="{00000000-0008-0000-0700-0000F7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76</xdr:row>
          <xdr:rowOff>85725</xdr:rowOff>
        </xdr:from>
        <xdr:to>
          <xdr:col>6</xdr:col>
          <xdr:colOff>123825</xdr:colOff>
          <xdr:row>78</xdr:row>
          <xdr:rowOff>38100</xdr:rowOff>
        </xdr:to>
        <xdr:sp macro="" textlink="">
          <xdr:nvSpPr>
            <xdr:cNvPr id="79096" name="Check Box 248" hidden="1">
              <a:extLst>
                <a:ext uri="{63B3BB69-23CF-44E3-9099-C40C66FF867C}">
                  <a14:compatExt spid="_x0000_s79096"/>
                </a:ext>
                <a:ext uri="{FF2B5EF4-FFF2-40B4-BE49-F238E27FC236}">
                  <a16:creationId xmlns:a16="http://schemas.microsoft.com/office/drawing/2014/main" id="{00000000-0008-0000-0700-0000F8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77</xdr:row>
          <xdr:rowOff>85725</xdr:rowOff>
        </xdr:from>
        <xdr:to>
          <xdr:col>6</xdr:col>
          <xdr:colOff>123825</xdr:colOff>
          <xdr:row>79</xdr:row>
          <xdr:rowOff>38100</xdr:rowOff>
        </xdr:to>
        <xdr:sp macro="" textlink="">
          <xdr:nvSpPr>
            <xdr:cNvPr id="79097" name="Check Box 249" hidden="1">
              <a:extLst>
                <a:ext uri="{63B3BB69-23CF-44E3-9099-C40C66FF867C}">
                  <a14:compatExt spid="_x0000_s79097"/>
                </a:ext>
                <a:ext uri="{FF2B5EF4-FFF2-40B4-BE49-F238E27FC236}">
                  <a16:creationId xmlns:a16="http://schemas.microsoft.com/office/drawing/2014/main" id="{00000000-0008-0000-0700-0000F9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78</xdr:row>
          <xdr:rowOff>85725</xdr:rowOff>
        </xdr:from>
        <xdr:to>
          <xdr:col>6</xdr:col>
          <xdr:colOff>123825</xdr:colOff>
          <xdr:row>80</xdr:row>
          <xdr:rowOff>38100</xdr:rowOff>
        </xdr:to>
        <xdr:sp macro="" textlink="">
          <xdr:nvSpPr>
            <xdr:cNvPr id="79098" name="Check Box 250" hidden="1">
              <a:extLst>
                <a:ext uri="{63B3BB69-23CF-44E3-9099-C40C66FF867C}">
                  <a14:compatExt spid="_x0000_s79098"/>
                </a:ext>
                <a:ext uri="{FF2B5EF4-FFF2-40B4-BE49-F238E27FC236}">
                  <a16:creationId xmlns:a16="http://schemas.microsoft.com/office/drawing/2014/main" id="{00000000-0008-0000-0700-0000FA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79</xdr:row>
          <xdr:rowOff>85725</xdr:rowOff>
        </xdr:from>
        <xdr:to>
          <xdr:col>6</xdr:col>
          <xdr:colOff>123825</xdr:colOff>
          <xdr:row>81</xdr:row>
          <xdr:rowOff>38100</xdr:rowOff>
        </xdr:to>
        <xdr:sp macro="" textlink="">
          <xdr:nvSpPr>
            <xdr:cNvPr id="79099" name="Check Box 251" hidden="1">
              <a:extLst>
                <a:ext uri="{63B3BB69-23CF-44E3-9099-C40C66FF867C}">
                  <a14:compatExt spid="_x0000_s79099"/>
                </a:ext>
                <a:ext uri="{FF2B5EF4-FFF2-40B4-BE49-F238E27FC236}">
                  <a16:creationId xmlns:a16="http://schemas.microsoft.com/office/drawing/2014/main" id="{00000000-0008-0000-0700-0000FB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80</xdr:row>
          <xdr:rowOff>85725</xdr:rowOff>
        </xdr:from>
        <xdr:to>
          <xdr:col>6</xdr:col>
          <xdr:colOff>123825</xdr:colOff>
          <xdr:row>82</xdr:row>
          <xdr:rowOff>38100</xdr:rowOff>
        </xdr:to>
        <xdr:sp macro="" textlink="">
          <xdr:nvSpPr>
            <xdr:cNvPr id="79100" name="Check Box 252" hidden="1">
              <a:extLst>
                <a:ext uri="{63B3BB69-23CF-44E3-9099-C40C66FF867C}">
                  <a14:compatExt spid="_x0000_s79100"/>
                </a:ext>
                <a:ext uri="{FF2B5EF4-FFF2-40B4-BE49-F238E27FC236}">
                  <a16:creationId xmlns:a16="http://schemas.microsoft.com/office/drawing/2014/main" id="{00000000-0008-0000-0700-0000FC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81</xdr:row>
          <xdr:rowOff>85725</xdr:rowOff>
        </xdr:from>
        <xdr:to>
          <xdr:col>6</xdr:col>
          <xdr:colOff>123825</xdr:colOff>
          <xdr:row>83</xdr:row>
          <xdr:rowOff>38100</xdr:rowOff>
        </xdr:to>
        <xdr:sp macro="" textlink="">
          <xdr:nvSpPr>
            <xdr:cNvPr id="79101" name="Check Box 253" hidden="1">
              <a:extLst>
                <a:ext uri="{63B3BB69-23CF-44E3-9099-C40C66FF867C}">
                  <a14:compatExt spid="_x0000_s79101"/>
                </a:ext>
                <a:ext uri="{FF2B5EF4-FFF2-40B4-BE49-F238E27FC236}">
                  <a16:creationId xmlns:a16="http://schemas.microsoft.com/office/drawing/2014/main" id="{00000000-0008-0000-0700-0000FD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82</xdr:row>
          <xdr:rowOff>85725</xdr:rowOff>
        </xdr:from>
        <xdr:to>
          <xdr:col>6</xdr:col>
          <xdr:colOff>123825</xdr:colOff>
          <xdr:row>84</xdr:row>
          <xdr:rowOff>38100</xdr:rowOff>
        </xdr:to>
        <xdr:sp macro="" textlink="">
          <xdr:nvSpPr>
            <xdr:cNvPr id="79102" name="Check Box 254" hidden="1">
              <a:extLst>
                <a:ext uri="{63B3BB69-23CF-44E3-9099-C40C66FF867C}">
                  <a14:compatExt spid="_x0000_s79102"/>
                </a:ext>
                <a:ext uri="{FF2B5EF4-FFF2-40B4-BE49-F238E27FC236}">
                  <a16:creationId xmlns:a16="http://schemas.microsoft.com/office/drawing/2014/main" id="{00000000-0008-0000-0700-0000FE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83</xdr:row>
          <xdr:rowOff>85725</xdr:rowOff>
        </xdr:from>
        <xdr:to>
          <xdr:col>6</xdr:col>
          <xdr:colOff>123825</xdr:colOff>
          <xdr:row>85</xdr:row>
          <xdr:rowOff>38100</xdr:rowOff>
        </xdr:to>
        <xdr:sp macro="" textlink="">
          <xdr:nvSpPr>
            <xdr:cNvPr id="79103" name="Check Box 255" hidden="1">
              <a:extLst>
                <a:ext uri="{63B3BB69-23CF-44E3-9099-C40C66FF867C}">
                  <a14:compatExt spid="_x0000_s79103"/>
                </a:ext>
                <a:ext uri="{FF2B5EF4-FFF2-40B4-BE49-F238E27FC236}">
                  <a16:creationId xmlns:a16="http://schemas.microsoft.com/office/drawing/2014/main" id="{00000000-0008-0000-0700-0000FF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84</xdr:row>
          <xdr:rowOff>85725</xdr:rowOff>
        </xdr:from>
        <xdr:to>
          <xdr:col>6</xdr:col>
          <xdr:colOff>123825</xdr:colOff>
          <xdr:row>86</xdr:row>
          <xdr:rowOff>38100</xdr:rowOff>
        </xdr:to>
        <xdr:sp macro="" textlink="">
          <xdr:nvSpPr>
            <xdr:cNvPr id="79104" name="Check Box 256" hidden="1">
              <a:extLst>
                <a:ext uri="{63B3BB69-23CF-44E3-9099-C40C66FF867C}">
                  <a14:compatExt spid="_x0000_s79104"/>
                </a:ext>
                <a:ext uri="{FF2B5EF4-FFF2-40B4-BE49-F238E27FC236}">
                  <a16:creationId xmlns:a16="http://schemas.microsoft.com/office/drawing/2014/main" id="{00000000-0008-0000-0700-000000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85</xdr:row>
          <xdr:rowOff>85725</xdr:rowOff>
        </xdr:from>
        <xdr:to>
          <xdr:col>6</xdr:col>
          <xdr:colOff>123825</xdr:colOff>
          <xdr:row>87</xdr:row>
          <xdr:rowOff>38100</xdr:rowOff>
        </xdr:to>
        <xdr:sp macro="" textlink="">
          <xdr:nvSpPr>
            <xdr:cNvPr id="79105" name="Check Box 257" hidden="1">
              <a:extLst>
                <a:ext uri="{63B3BB69-23CF-44E3-9099-C40C66FF867C}">
                  <a14:compatExt spid="_x0000_s79105"/>
                </a:ext>
                <a:ext uri="{FF2B5EF4-FFF2-40B4-BE49-F238E27FC236}">
                  <a16:creationId xmlns:a16="http://schemas.microsoft.com/office/drawing/2014/main" id="{00000000-0008-0000-0700-000001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86</xdr:row>
          <xdr:rowOff>85725</xdr:rowOff>
        </xdr:from>
        <xdr:to>
          <xdr:col>6</xdr:col>
          <xdr:colOff>123825</xdr:colOff>
          <xdr:row>88</xdr:row>
          <xdr:rowOff>38100</xdr:rowOff>
        </xdr:to>
        <xdr:sp macro="" textlink="">
          <xdr:nvSpPr>
            <xdr:cNvPr id="79106" name="Check Box 258" hidden="1">
              <a:extLst>
                <a:ext uri="{63B3BB69-23CF-44E3-9099-C40C66FF867C}">
                  <a14:compatExt spid="_x0000_s79106"/>
                </a:ext>
                <a:ext uri="{FF2B5EF4-FFF2-40B4-BE49-F238E27FC236}">
                  <a16:creationId xmlns:a16="http://schemas.microsoft.com/office/drawing/2014/main" id="{00000000-0008-0000-0700-000002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48</xdr:row>
          <xdr:rowOff>85725</xdr:rowOff>
        </xdr:from>
        <xdr:to>
          <xdr:col>6</xdr:col>
          <xdr:colOff>123825</xdr:colOff>
          <xdr:row>50</xdr:row>
          <xdr:rowOff>38100</xdr:rowOff>
        </xdr:to>
        <xdr:sp macro="" textlink="">
          <xdr:nvSpPr>
            <xdr:cNvPr id="79107" name="Check Box 259" hidden="1">
              <a:extLst>
                <a:ext uri="{63B3BB69-23CF-44E3-9099-C40C66FF867C}">
                  <a14:compatExt spid="_x0000_s79107"/>
                </a:ext>
                <a:ext uri="{FF2B5EF4-FFF2-40B4-BE49-F238E27FC236}">
                  <a16:creationId xmlns:a16="http://schemas.microsoft.com/office/drawing/2014/main" id="{00000000-0008-0000-0700-000003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49</xdr:row>
          <xdr:rowOff>85725</xdr:rowOff>
        </xdr:from>
        <xdr:to>
          <xdr:col>6</xdr:col>
          <xdr:colOff>123825</xdr:colOff>
          <xdr:row>51</xdr:row>
          <xdr:rowOff>38100</xdr:rowOff>
        </xdr:to>
        <xdr:sp macro="" textlink="">
          <xdr:nvSpPr>
            <xdr:cNvPr id="79108" name="Check Box 260" hidden="1">
              <a:extLst>
                <a:ext uri="{63B3BB69-23CF-44E3-9099-C40C66FF867C}">
                  <a14:compatExt spid="_x0000_s79108"/>
                </a:ext>
                <a:ext uri="{FF2B5EF4-FFF2-40B4-BE49-F238E27FC236}">
                  <a16:creationId xmlns:a16="http://schemas.microsoft.com/office/drawing/2014/main" id="{00000000-0008-0000-0700-000004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87</xdr:row>
          <xdr:rowOff>85725</xdr:rowOff>
        </xdr:from>
        <xdr:to>
          <xdr:col>6</xdr:col>
          <xdr:colOff>123825</xdr:colOff>
          <xdr:row>89</xdr:row>
          <xdr:rowOff>38100</xdr:rowOff>
        </xdr:to>
        <xdr:sp macro="" textlink="">
          <xdr:nvSpPr>
            <xdr:cNvPr id="79109" name="Check Box 261" hidden="1">
              <a:extLst>
                <a:ext uri="{63B3BB69-23CF-44E3-9099-C40C66FF867C}">
                  <a14:compatExt spid="_x0000_s79109"/>
                </a:ext>
                <a:ext uri="{FF2B5EF4-FFF2-40B4-BE49-F238E27FC236}">
                  <a16:creationId xmlns:a16="http://schemas.microsoft.com/office/drawing/2014/main" id="{00000000-0008-0000-0700-000005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88</xdr:row>
          <xdr:rowOff>85725</xdr:rowOff>
        </xdr:from>
        <xdr:to>
          <xdr:col>6</xdr:col>
          <xdr:colOff>123825</xdr:colOff>
          <xdr:row>90</xdr:row>
          <xdr:rowOff>38100</xdr:rowOff>
        </xdr:to>
        <xdr:sp macro="" textlink="">
          <xdr:nvSpPr>
            <xdr:cNvPr id="79110" name="Check Box 262" hidden="1">
              <a:extLst>
                <a:ext uri="{63B3BB69-23CF-44E3-9099-C40C66FF867C}">
                  <a14:compatExt spid="_x0000_s79110"/>
                </a:ext>
                <a:ext uri="{FF2B5EF4-FFF2-40B4-BE49-F238E27FC236}">
                  <a16:creationId xmlns:a16="http://schemas.microsoft.com/office/drawing/2014/main" id="{00000000-0008-0000-0700-000006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89</xdr:row>
          <xdr:rowOff>85725</xdr:rowOff>
        </xdr:from>
        <xdr:to>
          <xdr:col>6</xdr:col>
          <xdr:colOff>123825</xdr:colOff>
          <xdr:row>91</xdr:row>
          <xdr:rowOff>38100</xdr:rowOff>
        </xdr:to>
        <xdr:sp macro="" textlink="">
          <xdr:nvSpPr>
            <xdr:cNvPr id="79111" name="Check Box 263" hidden="1">
              <a:extLst>
                <a:ext uri="{63B3BB69-23CF-44E3-9099-C40C66FF867C}">
                  <a14:compatExt spid="_x0000_s79111"/>
                </a:ext>
                <a:ext uri="{FF2B5EF4-FFF2-40B4-BE49-F238E27FC236}">
                  <a16:creationId xmlns:a16="http://schemas.microsoft.com/office/drawing/2014/main" id="{00000000-0008-0000-0700-000007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90</xdr:row>
          <xdr:rowOff>85725</xdr:rowOff>
        </xdr:from>
        <xdr:to>
          <xdr:col>6</xdr:col>
          <xdr:colOff>123825</xdr:colOff>
          <xdr:row>92</xdr:row>
          <xdr:rowOff>38100</xdr:rowOff>
        </xdr:to>
        <xdr:sp macro="" textlink="">
          <xdr:nvSpPr>
            <xdr:cNvPr id="79112" name="Check Box 264" hidden="1">
              <a:extLst>
                <a:ext uri="{63B3BB69-23CF-44E3-9099-C40C66FF867C}">
                  <a14:compatExt spid="_x0000_s79112"/>
                </a:ext>
                <a:ext uri="{FF2B5EF4-FFF2-40B4-BE49-F238E27FC236}">
                  <a16:creationId xmlns:a16="http://schemas.microsoft.com/office/drawing/2014/main" id="{00000000-0008-0000-0700-000008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91</xdr:row>
          <xdr:rowOff>85725</xdr:rowOff>
        </xdr:from>
        <xdr:to>
          <xdr:col>6</xdr:col>
          <xdr:colOff>123825</xdr:colOff>
          <xdr:row>93</xdr:row>
          <xdr:rowOff>38100</xdr:rowOff>
        </xdr:to>
        <xdr:sp macro="" textlink="">
          <xdr:nvSpPr>
            <xdr:cNvPr id="79113" name="Check Box 265" hidden="1">
              <a:extLst>
                <a:ext uri="{63B3BB69-23CF-44E3-9099-C40C66FF867C}">
                  <a14:compatExt spid="_x0000_s79113"/>
                </a:ext>
                <a:ext uri="{FF2B5EF4-FFF2-40B4-BE49-F238E27FC236}">
                  <a16:creationId xmlns:a16="http://schemas.microsoft.com/office/drawing/2014/main" id="{00000000-0008-0000-0700-000009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92</xdr:row>
          <xdr:rowOff>85725</xdr:rowOff>
        </xdr:from>
        <xdr:to>
          <xdr:col>6</xdr:col>
          <xdr:colOff>123825</xdr:colOff>
          <xdr:row>94</xdr:row>
          <xdr:rowOff>38100</xdr:rowOff>
        </xdr:to>
        <xdr:sp macro="" textlink="">
          <xdr:nvSpPr>
            <xdr:cNvPr id="79114" name="Check Box 266" hidden="1">
              <a:extLst>
                <a:ext uri="{63B3BB69-23CF-44E3-9099-C40C66FF867C}">
                  <a14:compatExt spid="_x0000_s79114"/>
                </a:ext>
                <a:ext uri="{FF2B5EF4-FFF2-40B4-BE49-F238E27FC236}">
                  <a16:creationId xmlns:a16="http://schemas.microsoft.com/office/drawing/2014/main" id="{00000000-0008-0000-0700-00000A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93</xdr:row>
          <xdr:rowOff>85725</xdr:rowOff>
        </xdr:from>
        <xdr:to>
          <xdr:col>6</xdr:col>
          <xdr:colOff>123825</xdr:colOff>
          <xdr:row>95</xdr:row>
          <xdr:rowOff>38100</xdr:rowOff>
        </xdr:to>
        <xdr:sp macro="" textlink="">
          <xdr:nvSpPr>
            <xdr:cNvPr id="79115" name="Check Box 267" hidden="1">
              <a:extLst>
                <a:ext uri="{63B3BB69-23CF-44E3-9099-C40C66FF867C}">
                  <a14:compatExt spid="_x0000_s79115"/>
                </a:ext>
                <a:ext uri="{FF2B5EF4-FFF2-40B4-BE49-F238E27FC236}">
                  <a16:creationId xmlns:a16="http://schemas.microsoft.com/office/drawing/2014/main" id="{00000000-0008-0000-0700-00000B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94</xdr:row>
          <xdr:rowOff>85725</xdr:rowOff>
        </xdr:from>
        <xdr:to>
          <xdr:col>6</xdr:col>
          <xdr:colOff>123825</xdr:colOff>
          <xdr:row>96</xdr:row>
          <xdr:rowOff>38100</xdr:rowOff>
        </xdr:to>
        <xdr:sp macro="" textlink="">
          <xdr:nvSpPr>
            <xdr:cNvPr id="79116" name="Check Box 268" hidden="1">
              <a:extLst>
                <a:ext uri="{63B3BB69-23CF-44E3-9099-C40C66FF867C}">
                  <a14:compatExt spid="_x0000_s79116"/>
                </a:ext>
                <a:ext uri="{FF2B5EF4-FFF2-40B4-BE49-F238E27FC236}">
                  <a16:creationId xmlns:a16="http://schemas.microsoft.com/office/drawing/2014/main" id="{00000000-0008-0000-0700-00000C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95</xdr:row>
          <xdr:rowOff>85725</xdr:rowOff>
        </xdr:from>
        <xdr:to>
          <xdr:col>6</xdr:col>
          <xdr:colOff>123825</xdr:colOff>
          <xdr:row>97</xdr:row>
          <xdr:rowOff>38100</xdr:rowOff>
        </xdr:to>
        <xdr:sp macro="" textlink="">
          <xdr:nvSpPr>
            <xdr:cNvPr id="79117" name="Check Box 269" hidden="1">
              <a:extLst>
                <a:ext uri="{63B3BB69-23CF-44E3-9099-C40C66FF867C}">
                  <a14:compatExt spid="_x0000_s79117"/>
                </a:ext>
                <a:ext uri="{FF2B5EF4-FFF2-40B4-BE49-F238E27FC236}">
                  <a16:creationId xmlns:a16="http://schemas.microsoft.com/office/drawing/2014/main" id="{00000000-0008-0000-0700-00000D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96</xdr:row>
          <xdr:rowOff>85725</xdr:rowOff>
        </xdr:from>
        <xdr:to>
          <xdr:col>6</xdr:col>
          <xdr:colOff>123825</xdr:colOff>
          <xdr:row>98</xdr:row>
          <xdr:rowOff>38100</xdr:rowOff>
        </xdr:to>
        <xdr:sp macro="" textlink="">
          <xdr:nvSpPr>
            <xdr:cNvPr id="79118" name="Check Box 270" hidden="1">
              <a:extLst>
                <a:ext uri="{63B3BB69-23CF-44E3-9099-C40C66FF867C}">
                  <a14:compatExt spid="_x0000_s79118"/>
                </a:ext>
                <a:ext uri="{FF2B5EF4-FFF2-40B4-BE49-F238E27FC236}">
                  <a16:creationId xmlns:a16="http://schemas.microsoft.com/office/drawing/2014/main" id="{00000000-0008-0000-0700-00000E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97</xdr:row>
          <xdr:rowOff>85725</xdr:rowOff>
        </xdr:from>
        <xdr:to>
          <xdr:col>6</xdr:col>
          <xdr:colOff>123825</xdr:colOff>
          <xdr:row>99</xdr:row>
          <xdr:rowOff>38100</xdr:rowOff>
        </xdr:to>
        <xdr:sp macro="" textlink="">
          <xdr:nvSpPr>
            <xdr:cNvPr id="79119" name="Check Box 271" hidden="1">
              <a:extLst>
                <a:ext uri="{63B3BB69-23CF-44E3-9099-C40C66FF867C}">
                  <a14:compatExt spid="_x0000_s79119"/>
                </a:ext>
                <a:ext uri="{FF2B5EF4-FFF2-40B4-BE49-F238E27FC236}">
                  <a16:creationId xmlns:a16="http://schemas.microsoft.com/office/drawing/2014/main" id="{00000000-0008-0000-0700-00000F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100</xdr:row>
          <xdr:rowOff>85725</xdr:rowOff>
        </xdr:from>
        <xdr:to>
          <xdr:col>6</xdr:col>
          <xdr:colOff>123825</xdr:colOff>
          <xdr:row>102</xdr:row>
          <xdr:rowOff>38100</xdr:rowOff>
        </xdr:to>
        <xdr:sp macro="" textlink="">
          <xdr:nvSpPr>
            <xdr:cNvPr id="79120" name="Check Box 272" hidden="1">
              <a:extLst>
                <a:ext uri="{63B3BB69-23CF-44E3-9099-C40C66FF867C}">
                  <a14:compatExt spid="_x0000_s79120"/>
                </a:ext>
                <a:ext uri="{FF2B5EF4-FFF2-40B4-BE49-F238E27FC236}">
                  <a16:creationId xmlns:a16="http://schemas.microsoft.com/office/drawing/2014/main" id="{00000000-0008-0000-0700-000010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101</xdr:row>
          <xdr:rowOff>85725</xdr:rowOff>
        </xdr:from>
        <xdr:to>
          <xdr:col>6</xdr:col>
          <xdr:colOff>123825</xdr:colOff>
          <xdr:row>103</xdr:row>
          <xdr:rowOff>38100</xdr:rowOff>
        </xdr:to>
        <xdr:sp macro="" textlink="">
          <xdr:nvSpPr>
            <xdr:cNvPr id="79121" name="Check Box 273" hidden="1">
              <a:extLst>
                <a:ext uri="{63B3BB69-23CF-44E3-9099-C40C66FF867C}">
                  <a14:compatExt spid="_x0000_s79121"/>
                </a:ext>
                <a:ext uri="{FF2B5EF4-FFF2-40B4-BE49-F238E27FC236}">
                  <a16:creationId xmlns:a16="http://schemas.microsoft.com/office/drawing/2014/main" id="{00000000-0008-0000-0700-000011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102</xdr:row>
          <xdr:rowOff>85725</xdr:rowOff>
        </xdr:from>
        <xdr:to>
          <xdr:col>6</xdr:col>
          <xdr:colOff>123825</xdr:colOff>
          <xdr:row>104</xdr:row>
          <xdr:rowOff>38100</xdr:rowOff>
        </xdr:to>
        <xdr:sp macro="" textlink="">
          <xdr:nvSpPr>
            <xdr:cNvPr id="79122" name="Check Box 274" hidden="1">
              <a:extLst>
                <a:ext uri="{63B3BB69-23CF-44E3-9099-C40C66FF867C}">
                  <a14:compatExt spid="_x0000_s79122"/>
                </a:ext>
                <a:ext uri="{FF2B5EF4-FFF2-40B4-BE49-F238E27FC236}">
                  <a16:creationId xmlns:a16="http://schemas.microsoft.com/office/drawing/2014/main" id="{00000000-0008-0000-0700-000012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103</xdr:row>
          <xdr:rowOff>85725</xdr:rowOff>
        </xdr:from>
        <xdr:to>
          <xdr:col>6</xdr:col>
          <xdr:colOff>123825</xdr:colOff>
          <xdr:row>105</xdr:row>
          <xdr:rowOff>38100</xdr:rowOff>
        </xdr:to>
        <xdr:sp macro="" textlink="">
          <xdr:nvSpPr>
            <xdr:cNvPr id="79123" name="Check Box 275" hidden="1">
              <a:extLst>
                <a:ext uri="{63B3BB69-23CF-44E3-9099-C40C66FF867C}">
                  <a14:compatExt spid="_x0000_s79123"/>
                </a:ext>
                <a:ext uri="{FF2B5EF4-FFF2-40B4-BE49-F238E27FC236}">
                  <a16:creationId xmlns:a16="http://schemas.microsoft.com/office/drawing/2014/main" id="{00000000-0008-0000-0700-000013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104</xdr:row>
          <xdr:rowOff>85725</xdr:rowOff>
        </xdr:from>
        <xdr:to>
          <xdr:col>6</xdr:col>
          <xdr:colOff>123825</xdr:colOff>
          <xdr:row>106</xdr:row>
          <xdr:rowOff>38100</xdr:rowOff>
        </xdr:to>
        <xdr:sp macro="" textlink="">
          <xdr:nvSpPr>
            <xdr:cNvPr id="79124" name="Check Box 276" hidden="1">
              <a:extLst>
                <a:ext uri="{63B3BB69-23CF-44E3-9099-C40C66FF867C}">
                  <a14:compatExt spid="_x0000_s79124"/>
                </a:ext>
                <a:ext uri="{FF2B5EF4-FFF2-40B4-BE49-F238E27FC236}">
                  <a16:creationId xmlns:a16="http://schemas.microsoft.com/office/drawing/2014/main" id="{00000000-0008-0000-0700-000014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105</xdr:row>
          <xdr:rowOff>85725</xdr:rowOff>
        </xdr:from>
        <xdr:to>
          <xdr:col>6</xdr:col>
          <xdr:colOff>123825</xdr:colOff>
          <xdr:row>107</xdr:row>
          <xdr:rowOff>38100</xdr:rowOff>
        </xdr:to>
        <xdr:sp macro="" textlink="">
          <xdr:nvSpPr>
            <xdr:cNvPr id="79125" name="Check Box 277" hidden="1">
              <a:extLst>
                <a:ext uri="{63B3BB69-23CF-44E3-9099-C40C66FF867C}">
                  <a14:compatExt spid="_x0000_s79125"/>
                </a:ext>
                <a:ext uri="{FF2B5EF4-FFF2-40B4-BE49-F238E27FC236}">
                  <a16:creationId xmlns:a16="http://schemas.microsoft.com/office/drawing/2014/main" id="{00000000-0008-0000-0700-000015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106</xdr:row>
          <xdr:rowOff>85725</xdr:rowOff>
        </xdr:from>
        <xdr:to>
          <xdr:col>6</xdr:col>
          <xdr:colOff>123825</xdr:colOff>
          <xdr:row>108</xdr:row>
          <xdr:rowOff>38100</xdr:rowOff>
        </xdr:to>
        <xdr:sp macro="" textlink="">
          <xdr:nvSpPr>
            <xdr:cNvPr id="79126" name="Check Box 278" hidden="1">
              <a:extLst>
                <a:ext uri="{63B3BB69-23CF-44E3-9099-C40C66FF867C}">
                  <a14:compatExt spid="_x0000_s79126"/>
                </a:ext>
                <a:ext uri="{FF2B5EF4-FFF2-40B4-BE49-F238E27FC236}">
                  <a16:creationId xmlns:a16="http://schemas.microsoft.com/office/drawing/2014/main" id="{00000000-0008-0000-0700-000016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107</xdr:row>
          <xdr:rowOff>85725</xdr:rowOff>
        </xdr:from>
        <xdr:to>
          <xdr:col>6</xdr:col>
          <xdr:colOff>123825</xdr:colOff>
          <xdr:row>109</xdr:row>
          <xdr:rowOff>38100</xdr:rowOff>
        </xdr:to>
        <xdr:sp macro="" textlink="">
          <xdr:nvSpPr>
            <xdr:cNvPr id="79127" name="Check Box 279" hidden="1">
              <a:extLst>
                <a:ext uri="{63B3BB69-23CF-44E3-9099-C40C66FF867C}">
                  <a14:compatExt spid="_x0000_s79127"/>
                </a:ext>
                <a:ext uri="{FF2B5EF4-FFF2-40B4-BE49-F238E27FC236}">
                  <a16:creationId xmlns:a16="http://schemas.microsoft.com/office/drawing/2014/main" id="{00000000-0008-0000-0700-000017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108</xdr:row>
          <xdr:rowOff>85725</xdr:rowOff>
        </xdr:from>
        <xdr:to>
          <xdr:col>6</xdr:col>
          <xdr:colOff>123825</xdr:colOff>
          <xdr:row>110</xdr:row>
          <xdr:rowOff>38100</xdr:rowOff>
        </xdr:to>
        <xdr:sp macro="" textlink="">
          <xdr:nvSpPr>
            <xdr:cNvPr id="79128" name="Check Box 280" hidden="1">
              <a:extLst>
                <a:ext uri="{63B3BB69-23CF-44E3-9099-C40C66FF867C}">
                  <a14:compatExt spid="_x0000_s79128"/>
                </a:ext>
                <a:ext uri="{FF2B5EF4-FFF2-40B4-BE49-F238E27FC236}">
                  <a16:creationId xmlns:a16="http://schemas.microsoft.com/office/drawing/2014/main" id="{00000000-0008-0000-0700-000018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109</xdr:row>
          <xdr:rowOff>85725</xdr:rowOff>
        </xdr:from>
        <xdr:to>
          <xdr:col>6</xdr:col>
          <xdr:colOff>123825</xdr:colOff>
          <xdr:row>111</xdr:row>
          <xdr:rowOff>38100</xdr:rowOff>
        </xdr:to>
        <xdr:sp macro="" textlink="">
          <xdr:nvSpPr>
            <xdr:cNvPr id="79129" name="Check Box 281" hidden="1">
              <a:extLst>
                <a:ext uri="{63B3BB69-23CF-44E3-9099-C40C66FF867C}">
                  <a14:compatExt spid="_x0000_s79129"/>
                </a:ext>
                <a:ext uri="{FF2B5EF4-FFF2-40B4-BE49-F238E27FC236}">
                  <a16:creationId xmlns:a16="http://schemas.microsoft.com/office/drawing/2014/main" id="{00000000-0008-0000-0700-000019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110</xdr:row>
          <xdr:rowOff>85725</xdr:rowOff>
        </xdr:from>
        <xdr:to>
          <xdr:col>6</xdr:col>
          <xdr:colOff>123825</xdr:colOff>
          <xdr:row>112</xdr:row>
          <xdr:rowOff>38100</xdr:rowOff>
        </xdr:to>
        <xdr:sp macro="" textlink="">
          <xdr:nvSpPr>
            <xdr:cNvPr id="79130" name="Check Box 282" hidden="1">
              <a:extLst>
                <a:ext uri="{63B3BB69-23CF-44E3-9099-C40C66FF867C}">
                  <a14:compatExt spid="_x0000_s79130"/>
                </a:ext>
                <a:ext uri="{FF2B5EF4-FFF2-40B4-BE49-F238E27FC236}">
                  <a16:creationId xmlns:a16="http://schemas.microsoft.com/office/drawing/2014/main" id="{00000000-0008-0000-0700-00001A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111</xdr:row>
          <xdr:rowOff>85725</xdr:rowOff>
        </xdr:from>
        <xdr:to>
          <xdr:col>6</xdr:col>
          <xdr:colOff>123825</xdr:colOff>
          <xdr:row>113</xdr:row>
          <xdr:rowOff>38100</xdr:rowOff>
        </xdr:to>
        <xdr:sp macro="" textlink="">
          <xdr:nvSpPr>
            <xdr:cNvPr id="79131" name="Check Box 283" hidden="1">
              <a:extLst>
                <a:ext uri="{63B3BB69-23CF-44E3-9099-C40C66FF867C}">
                  <a14:compatExt spid="_x0000_s79131"/>
                </a:ext>
                <a:ext uri="{FF2B5EF4-FFF2-40B4-BE49-F238E27FC236}">
                  <a16:creationId xmlns:a16="http://schemas.microsoft.com/office/drawing/2014/main" id="{00000000-0008-0000-0700-00001B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112</xdr:row>
          <xdr:rowOff>85725</xdr:rowOff>
        </xdr:from>
        <xdr:to>
          <xdr:col>6</xdr:col>
          <xdr:colOff>123825</xdr:colOff>
          <xdr:row>114</xdr:row>
          <xdr:rowOff>38100</xdr:rowOff>
        </xdr:to>
        <xdr:sp macro="" textlink="">
          <xdr:nvSpPr>
            <xdr:cNvPr id="79132" name="Check Box 284" hidden="1">
              <a:extLst>
                <a:ext uri="{63B3BB69-23CF-44E3-9099-C40C66FF867C}">
                  <a14:compatExt spid="_x0000_s79132"/>
                </a:ext>
                <a:ext uri="{FF2B5EF4-FFF2-40B4-BE49-F238E27FC236}">
                  <a16:creationId xmlns:a16="http://schemas.microsoft.com/office/drawing/2014/main" id="{00000000-0008-0000-0700-00001C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113</xdr:row>
          <xdr:rowOff>85725</xdr:rowOff>
        </xdr:from>
        <xdr:to>
          <xdr:col>6</xdr:col>
          <xdr:colOff>123825</xdr:colOff>
          <xdr:row>115</xdr:row>
          <xdr:rowOff>38100</xdr:rowOff>
        </xdr:to>
        <xdr:sp macro="" textlink="">
          <xdr:nvSpPr>
            <xdr:cNvPr id="79133" name="Check Box 285" hidden="1">
              <a:extLst>
                <a:ext uri="{63B3BB69-23CF-44E3-9099-C40C66FF867C}">
                  <a14:compatExt spid="_x0000_s79133"/>
                </a:ext>
                <a:ext uri="{FF2B5EF4-FFF2-40B4-BE49-F238E27FC236}">
                  <a16:creationId xmlns:a16="http://schemas.microsoft.com/office/drawing/2014/main" id="{00000000-0008-0000-0700-00001D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114</xdr:row>
          <xdr:rowOff>85725</xdr:rowOff>
        </xdr:from>
        <xdr:to>
          <xdr:col>6</xdr:col>
          <xdr:colOff>123825</xdr:colOff>
          <xdr:row>116</xdr:row>
          <xdr:rowOff>38100</xdr:rowOff>
        </xdr:to>
        <xdr:sp macro="" textlink="">
          <xdr:nvSpPr>
            <xdr:cNvPr id="79134" name="Check Box 286" hidden="1">
              <a:extLst>
                <a:ext uri="{63B3BB69-23CF-44E3-9099-C40C66FF867C}">
                  <a14:compatExt spid="_x0000_s79134"/>
                </a:ext>
                <a:ext uri="{FF2B5EF4-FFF2-40B4-BE49-F238E27FC236}">
                  <a16:creationId xmlns:a16="http://schemas.microsoft.com/office/drawing/2014/main" id="{00000000-0008-0000-0700-00001E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115</xdr:row>
          <xdr:rowOff>85725</xdr:rowOff>
        </xdr:from>
        <xdr:to>
          <xdr:col>6</xdr:col>
          <xdr:colOff>123825</xdr:colOff>
          <xdr:row>117</xdr:row>
          <xdr:rowOff>38100</xdr:rowOff>
        </xdr:to>
        <xdr:sp macro="" textlink="">
          <xdr:nvSpPr>
            <xdr:cNvPr id="79135" name="Check Box 287" hidden="1">
              <a:extLst>
                <a:ext uri="{63B3BB69-23CF-44E3-9099-C40C66FF867C}">
                  <a14:compatExt spid="_x0000_s79135"/>
                </a:ext>
                <a:ext uri="{FF2B5EF4-FFF2-40B4-BE49-F238E27FC236}">
                  <a16:creationId xmlns:a16="http://schemas.microsoft.com/office/drawing/2014/main" id="{00000000-0008-0000-0700-00001F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116</xdr:row>
          <xdr:rowOff>85725</xdr:rowOff>
        </xdr:from>
        <xdr:to>
          <xdr:col>6</xdr:col>
          <xdr:colOff>123825</xdr:colOff>
          <xdr:row>118</xdr:row>
          <xdr:rowOff>38100</xdr:rowOff>
        </xdr:to>
        <xdr:sp macro="" textlink="">
          <xdr:nvSpPr>
            <xdr:cNvPr id="79136" name="Check Box 288" hidden="1">
              <a:extLst>
                <a:ext uri="{63B3BB69-23CF-44E3-9099-C40C66FF867C}">
                  <a14:compatExt spid="_x0000_s79136"/>
                </a:ext>
                <a:ext uri="{FF2B5EF4-FFF2-40B4-BE49-F238E27FC236}">
                  <a16:creationId xmlns:a16="http://schemas.microsoft.com/office/drawing/2014/main" id="{00000000-0008-0000-0700-000020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117</xdr:row>
          <xdr:rowOff>85725</xdr:rowOff>
        </xdr:from>
        <xdr:to>
          <xdr:col>6</xdr:col>
          <xdr:colOff>123825</xdr:colOff>
          <xdr:row>119</xdr:row>
          <xdr:rowOff>38100</xdr:rowOff>
        </xdr:to>
        <xdr:sp macro="" textlink="">
          <xdr:nvSpPr>
            <xdr:cNvPr id="79137" name="Check Box 289" hidden="1">
              <a:extLst>
                <a:ext uri="{63B3BB69-23CF-44E3-9099-C40C66FF867C}">
                  <a14:compatExt spid="_x0000_s79137"/>
                </a:ext>
                <a:ext uri="{FF2B5EF4-FFF2-40B4-BE49-F238E27FC236}">
                  <a16:creationId xmlns:a16="http://schemas.microsoft.com/office/drawing/2014/main" id="{00000000-0008-0000-0700-000021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118</xdr:row>
          <xdr:rowOff>85725</xdr:rowOff>
        </xdr:from>
        <xdr:to>
          <xdr:col>6</xdr:col>
          <xdr:colOff>123825</xdr:colOff>
          <xdr:row>120</xdr:row>
          <xdr:rowOff>38100</xdr:rowOff>
        </xdr:to>
        <xdr:sp macro="" textlink="">
          <xdr:nvSpPr>
            <xdr:cNvPr id="79138" name="Check Box 290" hidden="1">
              <a:extLst>
                <a:ext uri="{63B3BB69-23CF-44E3-9099-C40C66FF867C}">
                  <a14:compatExt spid="_x0000_s79138"/>
                </a:ext>
                <a:ext uri="{FF2B5EF4-FFF2-40B4-BE49-F238E27FC236}">
                  <a16:creationId xmlns:a16="http://schemas.microsoft.com/office/drawing/2014/main" id="{00000000-0008-0000-0700-000022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119</xdr:row>
          <xdr:rowOff>85725</xdr:rowOff>
        </xdr:from>
        <xdr:to>
          <xdr:col>6</xdr:col>
          <xdr:colOff>123825</xdr:colOff>
          <xdr:row>121</xdr:row>
          <xdr:rowOff>38100</xdr:rowOff>
        </xdr:to>
        <xdr:sp macro="" textlink="">
          <xdr:nvSpPr>
            <xdr:cNvPr id="79139" name="Check Box 291" hidden="1">
              <a:extLst>
                <a:ext uri="{63B3BB69-23CF-44E3-9099-C40C66FF867C}">
                  <a14:compatExt spid="_x0000_s79139"/>
                </a:ext>
                <a:ext uri="{FF2B5EF4-FFF2-40B4-BE49-F238E27FC236}">
                  <a16:creationId xmlns:a16="http://schemas.microsoft.com/office/drawing/2014/main" id="{00000000-0008-0000-0700-000023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120</xdr:row>
          <xdr:rowOff>85725</xdr:rowOff>
        </xdr:from>
        <xdr:to>
          <xdr:col>6</xdr:col>
          <xdr:colOff>123825</xdr:colOff>
          <xdr:row>122</xdr:row>
          <xdr:rowOff>38100</xdr:rowOff>
        </xdr:to>
        <xdr:sp macro="" textlink="">
          <xdr:nvSpPr>
            <xdr:cNvPr id="79140" name="Check Box 292" hidden="1">
              <a:extLst>
                <a:ext uri="{63B3BB69-23CF-44E3-9099-C40C66FF867C}">
                  <a14:compatExt spid="_x0000_s79140"/>
                </a:ext>
                <a:ext uri="{FF2B5EF4-FFF2-40B4-BE49-F238E27FC236}">
                  <a16:creationId xmlns:a16="http://schemas.microsoft.com/office/drawing/2014/main" id="{00000000-0008-0000-0700-000024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121</xdr:row>
          <xdr:rowOff>85725</xdr:rowOff>
        </xdr:from>
        <xdr:to>
          <xdr:col>6</xdr:col>
          <xdr:colOff>123825</xdr:colOff>
          <xdr:row>123</xdr:row>
          <xdr:rowOff>38100</xdr:rowOff>
        </xdr:to>
        <xdr:sp macro="" textlink="">
          <xdr:nvSpPr>
            <xdr:cNvPr id="79141" name="Check Box 293" hidden="1">
              <a:extLst>
                <a:ext uri="{63B3BB69-23CF-44E3-9099-C40C66FF867C}">
                  <a14:compatExt spid="_x0000_s79141"/>
                </a:ext>
                <a:ext uri="{FF2B5EF4-FFF2-40B4-BE49-F238E27FC236}">
                  <a16:creationId xmlns:a16="http://schemas.microsoft.com/office/drawing/2014/main" id="{00000000-0008-0000-0700-000025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122</xdr:row>
          <xdr:rowOff>85725</xdr:rowOff>
        </xdr:from>
        <xdr:to>
          <xdr:col>6</xdr:col>
          <xdr:colOff>123825</xdr:colOff>
          <xdr:row>124</xdr:row>
          <xdr:rowOff>38100</xdr:rowOff>
        </xdr:to>
        <xdr:sp macro="" textlink="">
          <xdr:nvSpPr>
            <xdr:cNvPr id="79142" name="Check Box 294" hidden="1">
              <a:extLst>
                <a:ext uri="{63B3BB69-23CF-44E3-9099-C40C66FF867C}">
                  <a14:compatExt spid="_x0000_s79142"/>
                </a:ext>
                <a:ext uri="{FF2B5EF4-FFF2-40B4-BE49-F238E27FC236}">
                  <a16:creationId xmlns:a16="http://schemas.microsoft.com/office/drawing/2014/main" id="{00000000-0008-0000-0700-000026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123</xdr:row>
          <xdr:rowOff>85725</xdr:rowOff>
        </xdr:from>
        <xdr:to>
          <xdr:col>6</xdr:col>
          <xdr:colOff>123825</xdr:colOff>
          <xdr:row>125</xdr:row>
          <xdr:rowOff>38100</xdr:rowOff>
        </xdr:to>
        <xdr:sp macro="" textlink="">
          <xdr:nvSpPr>
            <xdr:cNvPr id="79143" name="Check Box 295" hidden="1">
              <a:extLst>
                <a:ext uri="{63B3BB69-23CF-44E3-9099-C40C66FF867C}">
                  <a14:compatExt spid="_x0000_s79143"/>
                </a:ext>
                <a:ext uri="{FF2B5EF4-FFF2-40B4-BE49-F238E27FC236}">
                  <a16:creationId xmlns:a16="http://schemas.microsoft.com/office/drawing/2014/main" id="{00000000-0008-0000-0700-000027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124</xdr:row>
          <xdr:rowOff>85725</xdr:rowOff>
        </xdr:from>
        <xdr:to>
          <xdr:col>6</xdr:col>
          <xdr:colOff>123825</xdr:colOff>
          <xdr:row>126</xdr:row>
          <xdr:rowOff>38100</xdr:rowOff>
        </xdr:to>
        <xdr:sp macro="" textlink="">
          <xdr:nvSpPr>
            <xdr:cNvPr id="79144" name="Check Box 296" hidden="1">
              <a:extLst>
                <a:ext uri="{63B3BB69-23CF-44E3-9099-C40C66FF867C}">
                  <a14:compatExt spid="_x0000_s79144"/>
                </a:ext>
                <a:ext uri="{FF2B5EF4-FFF2-40B4-BE49-F238E27FC236}">
                  <a16:creationId xmlns:a16="http://schemas.microsoft.com/office/drawing/2014/main" id="{00000000-0008-0000-0700-000028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125</xdr:row>
          <xdr:rowOff>85725</xdr:rowOff>
        </xdr:from>
        <xdr:to>
          <xdr:col>6</xdr:col>
          <xdr:colOff>123825</xdr:colOff>
          <xdr:row>127</xdr:row>
          <xdr:rowOff>38100</xdr:rowOff>
        </xdr:to>
        <xdr:sp macro="" textlink="">
          <xdr:nvSpPr>
            <xdr:cNvPr id="79145" name="Check Box 297" hidden="1">
              <a:extLst>
                <a:ext uri="{63B3BB69-23CF-44E3-9099-C40C66FF867C}">
                  <a14:compatExt spid="_x0000_s79145"/>
                </a:ext>
                <a:ext uri="{FF2B5EF4-FFF2-40B4-BE49-F238E27FC236}">
                  <a16:creationId xmlns:a16="http://schemas.microsoft.com/office/drawing/2014/main" id="{00000000-0008-0000-0700-000029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126</xdr:row>
          <xdr:rowOff>85725</xdr:rowOff>
        </xdr:from>
        <xdr:to>
          <xdr:col>6</xdr:col>
          <xdr:colOff>123825</xdr:colOff>
          <xdr:row>128</xdr:row>
          <xdr:rowOff>38100</xdr:rowOff>
        </xdr:to>
        <xdr:sp macro="" textlink="">
          <xdr:nvSpPr>
            <xdr:cNvPr id="79146" name="Check Box 298" hidden="1">
              <a:extLst>
                <a:ext uri="{63B3BB69-23CF-44E3-9099-C40C66FF867C}">
                  <a14:compatExt spid="_x0000_s79146"/>
                </a:ext>
                <a:ext uri="{FF2B5EF4-FFF2-40B4-BE49-F238E27FC236}">
                  <a16:creationId xmlns:a16="http://schemas.microsoft.com/office/drawing/2014/main" id="{00000000-0008-0000-0700-00002A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127</xdr:row>
          <xdr:rowOff>85725</xdr:rowOff>
        </xdr:from>
        <xdr:to>
          <xdr:col>6</xdr:col>
          <xdr:colOff>123825</xdr:colOff>
          <xdr:row>129</xdr:row>
          <xdr:rowOff>38100</xdr:rowOff>
        </xdr:to>
        <xdr:sp macro="" textlink="">
          <xdr:nvSpPr>
            <xdr:cNvPr id="79147" name="Check Box 299" hidden="1">
              <a:extLst>
                <a:ext uri="{63B3BB69-23CF-44E3-9099-C40C66FF867C}">
                  <a14:compatExt spid="_x0000_s79147"/>
                </a:ext>
                <a:ext uri="{FF2B5EF4-FFF2-40B4-BE49-F238E27FC236}">
                  <a16:creationId xmlns:a16="http://schemas.microsoft.com/office/drawing/2014/main" id="{00000000-0008-0000-0700-00002B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128</xdr:row>
          <xdr:rowOff>85725</xdr:rowOff>
        </xdr:from>
        <xdr:to>
          <xdr:col>6</xdr:col>
          <xdr:colOff>123825</xdr:colOff>
          <xdr:row>130</xdr:row>
          <xdr:rowOff>38100</xdr:rowOff>
        </xdr:to>
        <xdr:sp macro="" textlink="">
          <xdr:nvSpPr>
            <xdr:cNvPr id="79148" name="Check Box 300" hidden="1">
              <a:extLst>
                <a:ext uri="{63B3BB69-23CF-44E3-9099-C40C66FF867C}">
                  <a14:compatExt spid="_x0000_s79148"/>
                </a:ext>
                <a:ext uri="{FF2B5EF4-FFF2-40B4-BE49-F238E27FC236}">
                  <a16:creationId xmlns:a16="http://schemas.microsoft.com/office/drawing/2014/main" id="{00000000-0008-0000-0700-00002C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129</xdr:row>
          <xdr:rowOff>85725</xdr:rowOff>
        </xdr:from>
        <xdr:to>
          <xdr:col>6</xdr:col>
          <xdr:colOff>123825</xdr:colOff>
          <xdr:row>131</xdr:row>
          <xdr:rowOff>38100</xdr:rowOff>
        </xdr:to>
        <xdr:sp macro="" textlink="">
          <xdr:nvSpPr>
            <xdr:cNvPr id="79149" name="Check Box 301" hidden="1">
              <a:extLst>
                <a:ext uri="{63B3BB69-23CF-44E3-9099-C40C66FF867C}">
                  <a14:compatExt spid="_x0000_s79149"/>
                </a:ext>
                <a:ext uri="{FF2B5EF4-FFF2-40B4-BE49-F238E27FC236}">
                  <a16:creationId xmlns:a16="http://schemas.microsoft.com/office/drawing/2014/main" id="{00000000-0008-0000-0700-00002D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130</xdr:row>
          <xdr:rowOff>85725</xdr:rowOff>
        </xdr:from>
        <xdr:to>
          <xdr:col>6</xdr:col>
          <xdr:colOff>123825</xdr:colOff>
          <xdr:row>132</xdr:row>
          <xdr:rowOff>38100</xdr:rowOff>
        </xdr:to>
        <xdr:sp macro="" textlink="">
          <xdr:nvSpPr>
            <xdr:cNvPr id="79150" name="Check Box 302" hidden="1">
              <a:extLst>
                <a:ext uri="{63B3BB69-23CF-44E3-9099-C40C66FF867C}">
                  <a14:compatExt spid="_x0000_s79150"/>
                </a:ext>
                <a:ext uri="{FF2B5EF4-FFF2-40B4-BE49-F238E27FC236}">
                  <a16:creationId xmlns:a16="http://schemas.microsoft.com/office/drawing/2014/main" id="{00000000-0008-0000-0700-00002E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131</xdr:row>
          <xdr:rowOff>85725</xdr:rowOff>
        </xdr:from>
        <xdr:to>
          <xdr:col>6</xdr:col>
          <xdr:colOff>123825</xdr:colOff>
          <xdr:row>133</xdr:row>
          <xdr:rowOff>38100</xdr:rowOff>
        </xdr:to>
        <xdr:sp macro="" textlink="">
          <xdr:nvSpPr>
            <xdr:cNvPr id="79151" name="Check Box 303" hidden="1">
              <a:extLst>
                <a:ext uri="{63B3BB69-23CF-44E3-9099-C40C66FF867C}">
                  <a14:compatExt spid="_x0000_s79151"/>
                </a:ext>
                <a:ext uri="{FF2B5EF4-FFF2-40B4-BE49-F238E27FC236}">
                  <a16:creationId xmlns:a16="http://schemas.microsoft.com/office/drawing/2014/main" id="{00000000-0008-0000-0700-00002F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132</xdr:row>
          <xdr:rowOff>85725</xdr:rowOff>
        </xdr:from>
        <xdr:to>
          <xdr:col>6</xdr:col>
          <xdr:colOff>123825</xdr:colOff>
          <xdr:row>134</xdr:row>
          <xdr:rowOff>38100</xdr:rowOff>
        </xdr:to>
        <xdr:sp macro="" textlink="">
          <xdr:nvSpPr>
            <xdr:cNvPr id="79152" name="Check Box 304" hidden="1">
              <a:extLst>
                <a:ext uri="{63B3BB69-23CF-44E3-9099-C40C66FF867C}">
                  <a14:compatExt spid="_x0000_s79152"/>
                </a:ext>
                <a:ext uri="{FF2B5EF4-FFF2-40B4-BE49-F238E27FC236}">
                  <a16:creationId xmlns:a16="http://schemas.microsoft.com/office/drawing/2014/main" id="{00000000-0008-0000-0700-000030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133</xdr:row>
          <xdr:rowOff>85725</xdr:rowOff>
        </xdr:from>
        <xdr:to>
          <xdr:col>6</xdr:col>
          <xdr:colOff>123825</xdr:colOff>
          <xdr:row>135</xdr:row>
          <xdr:rowOff>38100</xdr:rowOff>
        </xdr:to>
        <xdr:sp macro="" textlink="">
          <xdr:nvSpPr>
            <xdr:cNvPr id="79153" name="Check Box 305" hidden="1">
              <a:extLst>
                <a:ext uri="{63B3BB69-23CF-44E3-9099-C40C66FF867C}">
                  <a14:compatExt spid="_x0000_s79153"/>
                </a:ext>
                <a:ext uri="{FF2B5EF4-FFF2-40B4-BE49-F238E27FC236}">
                  <a16:creationId xmlns:a16="http://schemas.microsoft.com/office/drawing/2014/main" id="{00000000-0008-0000-0700-000031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134</xdr:row>
          <xdr:rowOff>85725</xdr:rowOff>
        </xdr:from>
        <xdr:to>
          <xdr:col>6</xdr:col>
          <xdr:colOff>123825</xdr:colOff>
          <xdr:row>136</xdr:row>
          <xdr:rowOff>38100</xdr:rowOff>
        </xdr:to>
        <xdr:sp macro="" textlink="">
          <xdr:nvSpPr>
            <xdr:cNvPr id="79154" name="Check Box 306" hidden="1">
              <a:extLst>
                <a:ext uri="{63B3BB69-23CF-44E3-9099-C40C66FF867C}">
                  <a14:compatExt spid="_x0000_s79154"/>
                </a:ext>
                <a:ext uri="{FF2B5EF4-FFF2-40B4-BE49-F238E27FC236}">
                  <a16:creationId xmlns:a16="http://schemas.microsoft.com/office/drawing/2014/main" id="{00000000-0008-0000-0700-000032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135</xdr:row>
          <xdr:rowOff>85725</xdr:rowOff>
        </xdr:from>
        <xdr:to>
          <xdr:col>6</xdr:col>
          <xdr:colOff>123825</xdr:colOff>
          <xdr:row>137</xdr:row>
          <xdr:rowOff>38100</xdr:rowOff>
        </xdr:to>
        <xdr:sp macro="" textlink="">
          <xdr:nvSpPr>
            <xdr:cNvPr id="79155" name="Check Box 307" hidden="1">
              <a:extLst>
                <a:ext uri="{63B3BB69-23CF-44E3-9099-C40C66FF867C}">
                  <a14:compatExt spid="_x0000_s79155"/>
                </a:ext>
                <a:ext uri="{FF2B5EF4-FFF2-40B4-BE49-F238E27FC236}">
                  <a16:creationId xmlns:a16="http://schemas.microsoft.com/office/drawing/2014/main" id="{00000000-0008-0000-0700-000033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136</xdr:row>
          <xdr:rowOff>85725</xdr:rowOff>
        </xdr:from>
        <xdr:to>
          <xdr:col>6</xdr:col>
          <xdr:colOff>123825</xdr:colOff>
          <xdr:row>138</xdr:row>
          <xdr:rowOff>38100</xdr:rowOff>
        </xdr:to>
        <xdr:sp macro="" textlink="">
          <xdr:nvSpPr>
            <xdr:cNvPr id="79156" name="Check Box 308" hidden="1">
              <a:extLst>
                <a:ext uri="{63B3BB69-23CF-44E3-9099-C40C66FF867C}">
                  <a14:compatExt spid="_x0000_s79156"/>
                </a:ext>
                <a:ext uri="{FF2B5EF4-FFF2-40B4-BE49-F238E27FC236}">
                  <a16:creationId xmlns:a16="http://schemas.microsoft.com/office/drawing/2014/main" id="{00000000-0008-0000-0700-000034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98</xdr:row>
          <xdr:rowOff>85725</xdr:rowOff>
        </xdr:from>
        <xdr:to>
          <xdr:col>6</xdr:col>
          <xdr:colOff>123825</xdr:colOff>
          <xdr:row>100</xdr:row>
          <xdr:rowOff>38100</xdr:rowOff>
        </xdr:to>
        <xdr:sp macro="" textlink="">
          <xdr:nvSpPr>
            <xdr:cNvPr id="79157" name="Check Box 309" hidden="1">
              <a:extLst>
                <a:ext uri="{63B3BB69-23CF-44E3-9099-C40C66FF867C}">
                  <a14:compatExt spid="_x0000_s79157"/>
                </a:ext>
                <a:ext uri="{FF2B5EF4-FFF2-40B4-BE49-F238E27FC236}">
                  <a16:creationId xmlns:a16="http://schemas.microsoft.com/office/drawing/2014/main" id="{00000000-0008-0000-0700-000035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99</xdr:row>
          <xdr:rowOff>85725</xdr:rowOff>
        </xdr:from>
        <xdr:to>
          <xdr:col>6</xdr:col>
          <xdr:colOff>123825</xdr:colOff>
          <xdr:row>101</xdr:row>
          <xdr:rowOff>38100</xdr:rowOff>
        </xdr:to>
        <xdr:sp macro="" textlink="">
          <xdr:nvSpPr>
            <xdr:cNvPr id="79158" name="Check Box 310" hidden="1">
              <a:extLst>
                <a:ext uri="{63B3BB69-23CF-44E3-9099-C40C66FF867C}">
                  <a14:compatExt spid="_x0000_s79158"/>
                </a:ext>
                <a:ext uri="{FF2B5EF4-FFF2-40B4-BE49-F238E27FC236}">
                  <a16:creationId xmlns:a16="http://schemas.microsoft.com/office/drawing/2014/main" id="{00000000-0008-0000-0700-000036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137</xdr:row>
          <xdr:rowOff>85725</xdr:rowOff>
        </xdr:from>
        <xdr:to>
          <xdr:col>6</xdr:col>
          <xdr:colOff>123825</xdr:colOff>
          <xdr:row>139</xdr:row>
          <xdr:rowOff>38100</xdr:rowOff>
        </xdr:to>
        <xdr:sp macro="" textlink="">
          <xdr:nvSpPr>
            <xdr:cNvPr id="79159" name="Check Box 311" hidden="1">
              <a:extLst>
                <a:ext uri="{63B3BB69-23CF-44E3-9099-C40C66FF867C}">
                  <a14:compatExt spid="_x0000_s79159"/>
                </a:ext>
                <a:ext uri="{FF2B5EF4-FFF2-40B4-BE49-F238E27FC236}">
                  <a16:creationId xmlns:a16="http://schemas.microsoft.com/office/drawing/2014/main" id="{00000000-0008-0000-0700-000037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138</xdr:row>
          <xdr:rowOff>85725</xdr:rowOff>
        </xdr:from>
        <xdr:to>
          <xdr:col>6</xdr:col>
          <xdr:colOff>123825</xdr:colOff>
          <xdr:row>140</xdr:row>
          <xdr:rowOff>38100</xdr:rowOff>
        </xdr:to>
        <xdr:sp macro="" textlink="">
          <xdr:nvSpPr>
            <xdr:cNvPr id="79160" name="Check Box 312" hidden="1">
              <a:extLst>
                <a:ext uri="{63B3BB69-23CF-44E3-9099-C40C66FF867C}">
                  <a14:compatExt spid="_x0000_s79160"/>
                </a:ext>
                <a:ext uri="{FF2B5EF4-FFF2-40B4-BE49-F238E27FC236}">
                  <a16:creationId xmlns:a16="http://schemas.microsoft.com/office/drawing/2014/main" id="{00000000-0008-0000-0700-000038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139</xdr:row>
          <xdr:rowOff>85725</xdr:rowOff>
        </xdr:from>
        <xdr:to>
          <xdr:col>6</xdr:col>
          <xdr:colOff>123825</xdr:colOff>
          <xdr:row>141</xdr:row>
          <xdr:rowOff>38100</xdr:rowOff>
        </xdr:to>
        <xdr:sp macro="" textlink="">
          <xdr:nvSpPr>
            <xdr:cNvPr id="79161" name="Check Box 313" hidden="1">
              <a:extLst>
                <a:ext uri="{63B3BB69-23CF-44E3-9099-C40C66FF867C}">
                  <a14:compatExt spid="_x0000_s79161"/>
                </a:ext>
                <a:ext uri="{FF2B5EF4-FFF2-40B4-BE49-F238E27FC236}">
                  <a16:creationId xmlns:a16="http://schemas.microsoft.com/office/drawing/2014/main" id="{00000000-0008-0000-0700-000039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140</xdr:row>
          <xdr:rowOff>85725</xdr:rowOff>
        </xdr:from>
        <xdr:to>
          <xdr:col>6</xdr:col>
          <xdr:colOff>123825</xdr:colOff>
          <xdr:row>142</xdr:row>
          <xdr:rowOff>38100</xdr:rowOff>
        </xdr:to>
        <xdr:sp macro="" textlink="">
          <xdr:nvSpPr>
            <xdr:cNvPr id="79162" name="Check Box 314" hidden="1">
              <a:extLst>
                <a:ext uri="{63B3BB69-23CF-44E3-9099-C40C66FF867C}">
                  <a14:compatExt spid="_x0000_s79162"/>
                </a:ext>
                <a:ext uri="{FF2B5EF4-FFF2-40B4-BE49-F238E27FC236}">
                  <a16:creationId xmlns:a16="http://schemas.microsoft.com/office/drawing/2014/main" id="{00000000-0008-0000-0700-00003A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141</xdr:row>
          <xdr:rowOff>85725</xdr:rowOff>
        </xdr:from>
        <xdr:to>
          <xdr:col>6</xdr:col>
          <xdr:colOff>123825</xdr:colOff>
          <xdr:row>143</xdr:row>
          <xdr:rowOff>38100</xdr:rowOff>
        </xdr:to>
        <xdr:sp macro="" textlink="">
          <xdr:nvSpPr>
            <xdr:cNvPr id="79163" name="Check Box 315" hidden="1">
              <a:extLst>
                <a:ext uri="{63B3BB69-23CF-44E3-9099-C40C66FF867C}">
                  <a14:compatExt spid="_x0000_s79163"/>
                </a:ext>
                <a:ext uri="{FF2B5EF4-FFF2-40B4-BE49-F238E27FC236}">
                  <a16:creationId xmlns:a16="http://schemas.microsoft.com/office/drawing/2014/main" id="{00000000-0008-0000-0700-00003B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142</xdr:row>
          <xdr:rowOff>85725</xdr:rowOff>
        </xdr:from>
        <xdr:to>
          <xdr:col>6</xdr:col>
          <xdr:colOff>123825</xdr:colOff>
          <xdr:row>144</xdr:row>
          <xdr:rowOff>38100</xdr:rowOff>
        </xdr:to>
        <xdr:sp macro="" textlink="">
          <xdr:nvSpPr>
            <xdr:cNvPr id="79164" name="Check Box 316" hidden="1">
              <a:extLst>
                <a:ext uri="{63B3BB69-23CF-44E3-9099-C40C66FF867C}">
                  <a14:compatExt spid="_x0000_s79164"/>
                </a:ext>
                <a:ext uri="{FF2B5EF4-FFF2-40B4-BE49-F238E27FC236}">
                  <a16:creationId xmlns:a16="http://schemas.microsoft.com/office/drawing/2014/main" id="{00000000-0008-0000-0700-00003C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143</xdr:row>
          <xdr:rowOff>85725</xdr:rowOff>
        </xdr:from>
        <xdr:to>
          <xdr:col>6</xdr:col>
          <xdr:colOff>123825</xdr:colOff>
          <xdr:row>145</xdr:row>
          <xdr:rowOff>38100</xdr:rowOff>
        </xdr:to>
        <xdr:sp macro="" textlink="">
          <xdr:nvSpPr>
            <xdr:cNvPr id="79165" name="Check Box 317" hidden="1">
              <a:extLst>
                <a:ext uri="{63B3BB69-23CF-44E3-9099-C40C66FF867C}">
                  <a14:compatExt spid="_x0000_s79165"/>
                </a:ext>
                <a:ext uri="{FF2B5EF4-FFF2-40B4-BE49-F238E27FC236}">
                  <a16:creationId xmlns:a16="http://schemas.microsoft.com/office/drawing/2014/main" id="{00000000-0008-0000-0700-00003D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144</xdr:row>
          <xdr:rowOff>85725</xdr:rowOff>
        </xdr:from>
        <xdr:to>
          <xdr:col>6</xdr:col>
          <xdr:colOff>123825</xdr:colOff>
          <xdr:row>146</xdr:row>
          <xdr:rowOff>38100</xdr:rowOff>
        </xdr:to>
        <xdr:sp macro="" textlink="">
          <xdr:nvSpPr>
            <xdr:cNvPr id="79166" name="Check Box 318" hidden="1">
              <a:extLst>
                <a:ext uri="{63B3BB69-23CF-44E3-9099-C40C66FF867C}">
                  <a14:compatExt spid="_x0000_s79166"/>
                </a:ext>
                <a:ext uri="{FF2B5EF4-FFF2-40B4-BE49-F238E27FC236}">
                  <a16:creationId xmlns:a16="http://schemas.microsoft.com/office/drawing/2014/main" id="{00000000-0008-0000-0700-00003E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145</xdr:row>
          <xdr:rowOff>85725</xdr:rowOff>
        </xdr:from>
        <xdr:to>
          <xdr:col>6</xdr:col>
          <xdr:colOff>123825</xdr:colOff>
          <xdr:row>147</xdr:row>
          <xdr:rowOff>38100</xdr:rowOff>
        </xdr:to>
        <xdr:sp macro="" textlink="">
          <xdr:nvSpPr>
            <xdr:cNvPr id="79167" name="Check Box 319" hidden="1">
              <a:extLst>
                <a:ext uri="{63B3BB69-23CF-44E3-9099-C40C66FF867C}">
                  <a14:compatExt spid="_x0000_s79167"/>
                </a:ext>
                <a:ext uri="{FF2B5EF4-FFF2-40B4-BE49-F238E27FC236}">
                  <a16:creationId xmlns:a16="http://schemas.microsoft.com/office/drawing/2014/main" id="{00000000-0008-0000-0700-00003F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146</xdr:row>
          <xdr:rowOff>85725</xdr:rowOff>
        </xdr:from>
        <xdr:to>
          <xdr:col>6</xdr:col>
          <xdr:colOff>123825</xdr:colOff>
          <xdr:row>148</xdr:row>
          <xdr:rowOff>38100</xdr:rowOff>
        </xdr:to>
        <xdr:sp macro="" textlink="">
          <xdr:nvSpPr>
            <xdr:cNvPr id="79168" name="Check Box 320" hidden="1">
              <a:extLst>
                <a:ext uri="{63B3BB69-23CF-44E3-9099-C40C66FF867C}">
                  <a14:compatExt spid="_x0000_s79168"/>
                </a:ext>
                <a:ext uri="{FF2B5EF4-FFF2-40B4-BE49-F238E27FC236}">
                  <a16:creationId xmlns:a16="http://schemas.microsoft.com/office/drawing/2014/main" id="{00000000-0008-0000-0700-000040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147</xdr:row>
          <xdr:rowOff>85725</xdr:rowOff>
        </xdr:from>
        <xdr:to>
          <xdr:col>6</xdr:col>
          <xdr:colOff>123825</xdr:colOff>
          <xdr:row>149</xdr:row>
          <xdr:rowOff>38100</xdr:rowOff>
        </xdr:to>
        <xdr:sp macro="" textlink="">
          <xdr:nvSpPr>
            <xdr:cNvPr id="79169" name="Check Box 321" hidden="1">
              <a:extLst>
                <a:ext uri="{63B3BB69-23CF-44E3-9099-C40C66FF867C}">
                  <a14:compatExt spid="_x0000_s79169"/>
                </a:ext>
                <a:ext uri="{FF2B5EF4-FFF2-40B4-BE49-F238E27FC236}">
                  <a16:creationId xmlns:a16="http://schemas.microsoft.com/office/drawing/2014/main" id="{00000000-0008-0000-0700-000041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150</xdr:row>
          <xdr:rowOff>85725</xdr:rowOff>
        </xdr:from>
        <xdr:to>
          <xdr:col>6</xdr:col>
          <xdr:colOff>123825</xdr:colOff>
          <xdr:row>152</xdr:row>
          <xdr:rowOff>38100</xdr:rowOff>
        </xdr:to>
        <xdr:sp macro="" textlink="">
          <xdr:nvSpPr>
            <xdr:cNvPr id="79170" name="Check Box 322" hidden="1">
              <a:extLst>
                <a:ext uri="{63B3BB69-23CF-44E3-9099-C40C66FF867C}">
                  <a14:compatExt spid="_x0000_s79170"/>
                </a:ext>
                <a:ext uri="{FF2B5EF4-FFF2-40B4-BE49-F238E27FC236}">
                  <a16:creationId xmlns:a16="http://schemas.microsoft.com/office/drawing/2014/main" id="{00000000-0008-0000-0700-000042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151</xdr:row>
          <xdr:rowOff>85725</xdr:rowOff>
        </xdr:from>
        <xdr:to>
          <xdr:col>6</xdr:col>
          <xdr:colOff>123825</xdr:colOff>
          <xdr:row>153</xdr:row>
          <xdr:rowOff>38100</xdr:rowOff>
        </xdr:to>
        <xdr:sp macro="" textlink="">
          <xdr:nvSpPr>
            <xdr:cNvPr id="79171" name="Check Box 323" hidden="1">
              <a:extLst>
                <a:ext uri="{63B3BB69-23CF-44E3-9099-C40C66FF867C}">
                  <a14:compatExt spid="_x0000_s79171"/>
                </a:ext>
                <a:ext uri="{FF2B5EF4-FFF2-40B4-BE49-F238E27FC236}">
                  <a16:creationId xmlns:a16="http://schemas.microsoft.com/office/drawing/2014/main" id="{00000000-0008-0000-0700-000043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152</xdr:row>
          <xdr:rowOff>85725</xdr:rowOff>
        </xdr:from>
        <xdr:to>
          <xdr:col>6</xdr:col>
          <xdr:colOff>123825</xdr:colOff>
          <xdr:row>154</xdr:row>
          <xdr:rowOff>38100</xdr:rowOff>
        </xdr:to>
        <xdr:sp macro="" textlink="">
          <xdr:nvSpPr>
            <xdr:cNvPr id="79172" name="Check Box 324" hidden="1">
              <a:extLst>
                <a:ext uri="{63B3BB69-23CF-44E3-9099-C40C66FF867C}">
                  <a14:compatExt spid="_x0000_s79172"/>
                </a:ext>
                <a:ext uri="{FF2B5EF4-FFF2-40B4-BE49-F238E27FC236}">
                  <a16:creationId xmlns:a16="http://schemas.microsoft.com/office/drawing/2014/main" id="{00000000-0008-0000-0700-000044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153</xdr:row>
          <xdr:rowOff>85725</xdr:rowOff>
        </xdr:from>
        <xdr:to>
          <xdr:col>6</xdr:col>
          <xdr:colOff>123825</xdr:colOff>
          <xdr:row>155</xdr:row>
          <xdr:rowOff>38100</xdr:rowOff>
        </xdr:to>
        <xdr:sp macro="" textlink="">
          <xdr:nvSpPr>
            <xdr:cNvPr id="79173" name="Check Box 325" hidden="1">
              <a:extLst>
                <a:ext uri="{63B3BB69-23CF-44E3-9099-C40C66FF867C}">
                  <a14:compatExt spid="_x0000_s79173"/>
                </a:ext>
                <a:ext uri="{FF2B5EF4-FFF2-40B4-BE49-F238E27FC236}">
                  <a16:creationId xmlns:a16="http://schemas.microsoft.com/office/drawing/2014/main" id="{00000000-0008-0000-0700-000045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154</xdr:row>
          <xdr:rowOff>85725</xdr:rowOff>
        </xdr:from>
        <xdr:to>
          <xdr:col>6</xdr:col>
          <xdr:colOff>123825</xdr:colOff>
          <xdr:row>156</xdr:row>
          <xdr:rowOff>38100</xdr:rowOff>
        </xdr:to>
        <xdr:sp macro="" textlink="">
          <xdr:nvSpPr>
            <xdr:cNvPr id="79174" name="Check Box 326" hidden="1">
              <a:extLst>
                <a:ext uri="{63B3BB69-23CF-44E3-9099-C40C66FF867C}">
                  <a14:compatExt spid="_x0000_s79174"/>
                </a:ext>
                <a:ext uri="{FF2B5EF4-FFF2-40B4-BE49-F238E27FC236}">
                  <a16:creationId xmlns:a16="http://schemas.microsoft.com/office/drawing/2014/main" id="{00000000-0008-0000-0700-000046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155</xdr:row>
          <xdr:rowOff>85725</xdr:rowOff>
        </xdr:from>
        <xdr:to>
          <xdr:col>6</xdr:col>
          <xdr:colOff>123825</xdr:colOff>
          <xdr:row>157</xdr:row>
          <xdr:rowOff>38100</xdr:rowOff>
        </xdr:to>
        <xdr:sp macro="" textlink="">
          <xdr:nvSpPr>
            <xdr:cNvPr id="79175" name="Check Box 327" hidden="1">
              <a:extLst>
                <a:ext uri="{63B3BB69-23CF-44E3-9099-C40C66FF867C}">
                  <a14:compatExt spid="_x0000_s79175"/>
                </a:ext>
                <a:ext uri="{FF2B5EF4-FFF2-40B4-BE49-F238E27FC236}">
                  <a16:creationId xmlns:a16="http://schemas.microsoft.com/office/drawing/2014/main" id="{00000000-0008-0000-0700-000047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156</xdr:row>
          <xdr:rowOff>85725</xdr:rowOff>
        </xdr:from>
        <xdr:to>
          <xdr:col>6</xdr:col>
          <xdr:colOff>123825</xdr:colOff>
          <xdr:row>158</xdr:row>
          <xdr:rowOff>38100</xdr:rowOff>
        </xdr:to>
        <xdr:sp macro="" textlink="">
          <xdr:nvSpPr>
            <xdr:cNvPr id="79176" name="Check Box 328" hidden="1">
              <a:extLst>
                <a:ext uri="{63B3BB69-23CF-44E3-9099-C40C66FF867C}">
                  <a14:compatExt spid="_x0000_s79176"/>
                </a:ext>
                <a:ext uri="{FF2B5EF4-FFF2-40B4-BE49-F238E27FC236}">
                  <a16:creationId xmlns:a16="http://schemas.microsoft.com/office/drawing/2014/main" id="{00000000-0008-0000-0700-000048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157</xdr:row>
          <xdr:rowOff>85725</xdr:rowOff>
        </xdr:from>
        <xdr:to>
          <xdr:col>6</xdr:col>
          <xdr:colOff>123825</xdr:colOff>
          <xdr:row>159</xdr:row>
          <xdr:rowOff>38100</xdr:rowOff>
        </xdr:to>
        <xdr:sp macro="" textlink="">
          <xdr:nvSpPr>
            <xdr:cNvPr id="79177" name="Check Box 329" hidden="1">
              <a:extLst>
                <a:ext uri="{63B3BB69-23CF-44E3-9099-C40C66FF867C}">
                  <a14:compatExt spid="_x0000_s79177"/>
                </a:ext>
                <a:ext uri="{FF2B5EF4-FFF2-40B4-BE49-F238E27FC236}">
                  <a16:creationId xmlns:a16="http://schemas.microsoft.com/office/drawing/2014/main" id="{00000000-0008-0000-0700-000049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158</xdr:row>
          <xdr:rowOff>85725</xdr:rowOff>
        </xdr:from>
        <xdr:to>
          <xdr:col>6</xdr:col>
          <xdr:colOff>123825</xdr:colOff>
          <xdr:row>160</xdr:row>
          <xdr:rowOff>38100</xdr:rowOff>
        </xdr:to>
        <xdr:sp macro="" textlink="">
          <xdr:nvSpPr>
            <xdr:cNvPr id="79178" name="Check Box 330" hidden="1">
              <a:extLst>
                <a:ext uri="{63B3BB69-23CF-44E3-9099-C40C66FF867C}">
                  <a14:compatExt spid="_x0000_s79178"/>
                </a:ext>
                <a:ext uri="{FF2B5EF4-FFF2-40B4-BE49-F238E27FC236}">
                  <a16:creationId xmlns:a16="http://schemas.microsoft.com/office/drawing/2014/main" id="{00000000-0008-0000-0700-00004A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159</xdr:row>
          <xdr:rowOff>85725</xdr:rowOff>
        </xdr:from>
        <xdr:to>
          <xdr:col>6</xdr:col>
          <xdr:colOff>123825</xdr:colOff>
          <xdr:row>161</xdr:row>
          <xdr:rowOff>38100</xdr:rowOff>
        </xdr:to>
        <xdr:sp macro="" textlink="">
          <xdr:nvSpPr>
            <xdr:cNvPr id="79179" name="Check Box 331" hidden="1">
              <a:extLst>
                <a:ext uri="{63B3BB69-23CF-44E3-9099-C40C66FF867C}">
                  <a14:compatExt spid="_x0000_s79179"/>
                </a:ext>
                <a:ext uri="{FF2B5EF4-FFF2-40B4-BE49-F238E27FC236}">
                  <a16:creationId xmlns:a16="http://schemas.microsoft.com/office/drawing/2014/main" id="{00000000-0008-0000-0700-00004B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160</xdr:row>
          <xdr:rowOff>85725</xdr:rowOff>
        </xdr:from>
        <xdr:to>
          <xdr:col>6</xdr:col>
          <xdr:colOff>123825</xdr:colOff>
          <xdr:row>162</xdr:row>
          <xdr:rowOff>38100</xdr:rowOff>
        </xdr:to>
        <xdr:sp macro="" textlink="">
          <xdr:nvSpPr>
            <xdr:cNvPr id="79180" name="Check Box 332" hidden="1">
              <a:extLst>
                <a:ext uri="{63B3BB69-23CF-44E3-9099-C40C66FF867C}">
                  <a14:compatExt spid="_x0000_s79180"/>
                </a:ext>
                <a:ext uri="{FF2B5EF4-FFF2-40B4-BE49-F238E27FC236}">
                  <a16:creationId xmlns:a16="http://schemas.microsoft.com/office/drawing/2014/main" id="{00000000-0008-0000-0700-00004C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161</xdr:row>
          <xdr:rowOff>85725</xdr:rowOff>
        </xdr:from>
        <xdr:to>
          <xdr:col>6</xdr:col>
          <xdr:colOff>123825</xdr:colOff>
          <xdr:row>163</xdr:row>
          <xdr:rowOff>38100</xdr:rowOff>
        </xdr:to>
        <xdr:sp macro="" textlink="">
          <xdr:nvSpPr>
            <xdr:cNvPr id="79181" name="Check Box 333" hidden="1">
              <a:extLst>
                <a:ext uri="{63B3BB69-23CF-44E3-9099-C40C66FF867C}">
                  <a14:compatExt spid="_x0000_s79181"/>
                </a:ext>
                <a:ext uri="{FF2B5EF4-FFF2-40B4-BE49-F238E27FC236}">
                  <a16:creationId xmlns:a16="http://schemas.microsoft.com/office/drawing/2014/main" id="{00000000-0008-0000-0700-00004D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162</xdr:row>
          <xdr:rowOff>85725</xdr:rowOff>
        </xdr:from>
        <xdr:to>
          <xdr:col>6</xdr:col>
          <xdr:colOff>123825</xdr:colOff>
          <xdr:row>164</xdr:row>
          <xdr:rowOff>38100</xdr:rowOff>
        </xdr:to>
        <xdr:sp macro="" textlink="">
          <xdr:nvSpPr>
            <xdr:cNvPr id="79182" name="Check Box 334" hidden="1">
              <a:extLst>
                <a:ext uri="{63B3BB69-23CF-44E3-9099-C40C66FF867C}">
                  <a14:compatExt spid="_x0000_s79182"/>
                </a:ext>
                <a:ext uri="{FF2B5EF4-FFF2-40B4-BE49-F238E27FC236}">
                  <a16:creationId xmlns:a16="http://schemas.microsoft.com/office/drawing/2014/main" id="{00000000-0008-0000-0700-00004E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163</xdr:row>
          <xdr:rowOff>85725</xdr:rowOff>
        </xdr:from>
        <xdr:to>
          <xdr:col>6</xdr:col>
          <xdr:colOff>123825</xdr:colOff>
          <xdr:row>165</xdr:row>
          <xdr:rowOff>38100</xdr:rowOff>
        </xdr:to>
        <xdr:sp macro="" textlink="">
          <xdr:nvSpPr>
            <xdr:cNvPr id="79183" name="Check Box 335" hidden="1">
              <a:extLst>
                <a:ext uri="{63B3BB69-23CF-44E3-9099-C40C66FF867C}">
                  <a14:compatExt spid="_x0000_s79183"/>
                </a:ext>
                <a:ext uri="{FF2B5EF4-FFF2-40B4-BE49-F238E27FC236}">
                  <a16:creationId xmlns:a16="http://schemas.microsoft.com/office/drawing/2014/main" id="{00000000-0008-0000-0700-00004F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164</xdr:row>
          <xdr:rowOff>85725</xdr:rowOff>
        </xdr:from>
        <xdr:to>
          <xdr:col>6</xdr:col>
          <xdr:colOff>123825</xdr:colOff>
          <xdr:row>166</xdr:row>
          <xdr:rowOff>38100</xdr:rowOff>
        </xdr:to>
        <xdr:sp macro="" textlink="">
          <xdr:nvSpPr>
            <xdr:cNvPr id="79184" name="Check Box 336" hidden="1">
              <a:extLst>
                <a:ext uri="{63B3BB69-23CF-44E3-9099-C40C66FF867C}">
                  <a14:compatExt spid="_x0000_s79184"/>
                </a:ext>
                <a:ext uri="{FF2B5EF4-FFF2-40B4-BE49-F238E27FC236}">
                  <a16:creationId xmlns:a16="http://schemas.microsoft.com/office/drawing/2014/main" id="{00000000-0008-0000-0700-000050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165</xdr:row>
          <xdr:rowOff>85725</xdr:rowOff>
        </xdr:from>
        <xdr:to>
          <xdr:col>6</xdr:col>
          <xdr:colOff>123825</xdr:colOff>
          <xdr:row>167</xdr:row>
          <xdr:rowOff>38100</xdr:rowOff>
        </xdr:to>
        <xdr:sp macro="" textlink="">
          <xdr:nvSpPr>
            <xdr:cNvPr id="79185" name="Check Box 337" hidden="1">
              <a:extLst>
                <a:ext uri="{63B3BB69-23CF-44E3-9099-C40C66FF867C}">
                  <a14:compatExt spid="_x0000_s79185"/>
                </a:ext>
                <a:ext uri="{FF2B5EF4-FFF2-40B4-BE49-F238E27FC236}">
                  <a16:creationId xmlns:a16="http://schemas.microsoft.com/office/drawing/2014/main" id="{00000000-0008-0000-0700-000051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166</xdr:row>
          <xdr:rowOff>85725</xdr:rowOff>
        </xdr:from>
        <xdr:to>
          <xdr:col>6</xdr:col>
          <xdr:colOff>123825</xdr:colOff>
          <xdr:row>168</xdr:row>
          <xdr:rowOff>38100</xdr:rowOff>
        </xdr:to>
        <xdr:sp macro="" textlink="">
          <xdr:nvSpPr>
            <xdr:cNvPr id="79186" name="Check Box 338" hidden="1">
              <a:extLst>
                <a:ext uri="{63B3BB69-23CF-44E3-9099-C40C66FF867C}">
                  <a14:compatExt spid="_x0000_s79186"/>
                </a:ext>
                <a:ext uri="{FF2B5EF4-FFF2-40B4-BE49-F238E27FC236}">
                  <a16:creationId xmlns:a16="http://schemas.microsoft.com/office/drawing/2014/main" id="{00000000-0008-0000-0700-000052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167</xdr:row>
          <xdr:rowOff>85725</xdr:rowOff>
        </xdr:from>
        <xdr:to>
          <xdr:col>6</xdr:col>
          <xdr:colOff>123825</xdr:colOff>
          <xdr:row>169</xdr:row>
          <xdr:rowOff>38100</xdr:rowOff>
        </xdr:to>
        <xdr:sp macro="" textlink="">
          <xdr:nvSpPr>
            <xdr:cNvPr id="79187" name="Check Box 339" hidden="1">
              <a:extLst>
                <a:ext uri="{63B3BB69-23CF-44E3-9099-C40C66FF867C}">
                  <a14:compatExt spid="_x0000_s79187"/>
                </a:ext>
                <a:ext uri="{FF2B5EF4-FFF2-40B4-BE49-F238E27FC236}">
                  <a16:creationId xmlns:a16="http://schemas.microsoft.com/office/drawing/2014/main" id="{00000000-0008-0000-0700-000053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168</xdr:row>
          <xdr:rowOff>85725</xdr:rowOff>
        </xdr:from>
        <xdr:to>
          <xdr:col>6</xdr:col>
          <xdr:colOff>123825</xdr:colOff>
          <xdr:row>170</xdr:row>
          <xdr:rowOff>38100</xdr:rowOff>
        </xdr:to>
        <xdr:sp macro="" textlink="">
          <xdr:nvSpPr>
            <xdr:cNvPr id="79188" name="Check Box 340" hidden="1">
              <a:extLst>
                <a:ext uri="{63B3BB69-23CF-44E3-9099-C40C66FF867C}">
                  <a14:compatExt spid="_x0000_s79188"/>
                </a:ext>
                <a:ext uri="{FF2B5EF4-FFF2-40B4-BE49-F238E27FC236}">
                  <a16:creationId xmlns:a16="http://schemas.microsoft.com/office/drawing/2014/main" id="{00000000-0008-0000-0700-000054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169</xdr:row>
          <xdr:rowOff>85725</xdr:rowOff>
        </xdr:from>
        <xdr:to>
          <xdr:col>6</xdr:col>
          <xdr:colOff>123825</xdr:colOff>
          <xdr:row>171</xdr:row>
          <xdr:rowOff>38100</xdr:rowOff>
        </xdr:to>
        <xdr:sp macro="" textlink="">
          <xdr:nvSpPr>
            <xdr:cNvPr id="79189" name="Check Box 341" hidden="1">
              <a:extLst>
                <a:ext uri="{63B3BB69-23CF-44E3-9099-C40C66FF867C}">
                  <a14:compatExt spid="_x0000_s79189"/>
                </a:ext>
                <a:ext uri="{FF2B5EF4-FFF2-40B4-BE49-F238E27FC236}">
                  <a16:creationId xmlns:a16="http://schemas.microsoft.com/office/drawing/2014/main" id="{00000000-0008-0000-0700-000055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170</xdr:row>
          <xdr:rowOff>85725</xdr:rowOff>
        </xdr:from>
        <xdr:to>
          <xdr:col>6</xdr:col>
          <xdr:colOff>123825</xdr:colOff>
          <xdr:row>172</xdr:row>
          <xdr:rowOff>38100</xdr:rowOff>
        </xdr:to>
        <xdr:sp macro="" textlink="">
          <xdr:nvSpPr>
            <xdr:cNvPr id="79190" name="Check Box 342" hidden="1">
              <a:extLst>
                <a:ext uri="{63B3BB69-23CF-44E3-9099-C40C66FF867C}">
                  <a14:compatExt spid="_x0000_s79190"/>
                </a:ext>
                <a:ext uri="{FF2B5EF4-FFF2-40B4-BE49-F238E27FC236}">
                  <a16:creationId xmlns:a16="http://schemas.microsoft.com/office/drawing/2014/main" id="{00000000-0008-0000-0700-000056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171</xdr:row>
          <xdr:rowOff>85725</xdr:rowOff>
        </xdr:from>
        <xdr:to>
          <xdr:col>6</xdr:col>
          <xdr:colOff>123825</xdr:colOff>
          <xdr:row>173</xdr:row>
          <xdr:rowOff>38100</xdr:rowOff>
        </xdr:to>
        <xdr:sp macro="" textlink="">
          <xdr:nvSpPr>
            <xdr:cNvPr id="79191" name="Check Box 343" hidden="1">
              <a:extLst>
                <a:ext uri="{63B3BB69-23CF-44E3-9099-C40C66FF867C}">
                  <a14:compatExt spid="_x0000_s79191"/>
                </a:ext>
                <a:ext uri="{FF2B5EF4-FFF2-40B4-BE49-F238E27FC236}">
                  <a16:creationId xmlns:a16="http://schemas.microsoft.com/office/drawing/2014/main" id="{00000000-0008-0000-0700-000057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172</xdr:row>
          <xdr:rowOff>85725</xdr:rowOff>
        </xdr:from>
        <xdr:to>
          <xdr:col>6</xdr:col>
          <xdr:colOff>123825</xdr:colOff>
          <xdr:row>174</xdr:row>
          <xdr:rowOff>38100</xdr:rowOff>
        </xdr:to>
        <xdr:sp macro="" textlink="">
          <xdr:nvSpPr>
            <xdr:cNvPr id="79192" name="Check Box 344" hidden="1">
              <a:extLst>
                <a:ext uri="{63B3BB69-23CF-44E3-9099-C40C66FF867C}">
                  <a14:compatExt spid="_x0000_s79192"/>
                </a:ext>
                <a:ext uri="{FF2B5EF4-FFF2-40B4-BE49-F238E27FC236}">
                  <a16:creationId xmlns:a16="http://schemas.microsoft.com/office/drawing/2014/main" id="{00000000-0008-0000-0700-000058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173</xdr:row>
          <xdr:rowOff>85725</xdr:rowOff>
        </xdr:from>
        <xdr:to>
          <xdr:col>6</xdr:col>
          <xdr:colOff>123825</xdr:colOff>
          <xdr:row>175</xdr:row>
          <xdr:rowOff>38100</xdr:rowOff>
        </xdr:to>
        <xdr:sp macro="" textlink="">
          <xdr:nvSpPr>
            <xdr:cNvPr id="79193" name="Check Box 345" hidden="1">
              <a:extLst>
                <a:ext uri="{63B3BB69-23CF-44E3-9099-C40C66FF867C}">
                  <a14:compatExt spid="_x0000_s79193"/>
                </a:ext>
                <a:ext uri="{FF2B5EF4-FFF2-40B4-BE49-F238E27FC236}">
                  <a16:creationId xmlns:a16="http://schemas.microsoft.com/office/drawing/2014/main" id="{00000000-0008-0000-0700-000059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174</xdr:row>
          <xdr:rowOff>85725</xdr:rowOff>
        </xdr:from>
        <xdr:to>
          <xdr:col>6</xdr:col>
          <xdr:colOff>123825</xdr:colOff>
          <xdr:row>176</xdr:row>
          <xdr:rowOff>38100</xdr:rowOff>
        </xdr:to>
        <xdr:sp macro="" textlink="">
          <xdr:nvSpPr>
            <xdr:cNvPr id="79194" name="Check Box 346" hidden="1">
              <a:extLst>
                <a:ext uri="{63B3BB69-23CF-44E3-9099-C40C66FF867C}">
                  <a14:compatExt spid="_x0000_s79194"/>
                </a:ext>
                <a:ext uri="{FF2B5EF4-FFF2-40B4-BE49-F238E27FC236}">
                  <a16:creationId xmlns:a16="http://schemas.microsoft.com/office/drawing/2014/main" id="{00000000-0008-0000-0700-00005A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175</xdr:row>
          <xdr:rowOff>85725</xdr:rowOff>
        </xdr:from>
        <xdr:to>
          <xdr:col>6</xdr:col>
          <xdr:colOff>123825</xdr:colOff>
          <xdr:row>177</xdr:row>
          <xdr:rowOff>38100</xdr:rowOff>
        </xdr:to>
        <xdr:sp macro="" textlink="">
          <xdr:nvSpPr>
            <xdr:cNvPr id="79195" name="Check Box 347" hidden="1">
              <a:extLst>
                <a:ext uri="{63B3BB69-23CF-44E3-9099-C40C66FF867C}">
                  <a14:compatExt spid="_x0000_s79195"/>
                </a:ext>
                <a:ext uri="{FF2B5EF4-FFF2-40B4-BE49-F238E27FC236}">
                  <a16:creationId xmlns:a16="http://schemas.microsoft.com/office/drawing/2014/main" id="{00000000-0008-0000-0700-00005B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176</xdr:row>
          <xdr:rowOff>85725</xdr:rowOff>
        </xdr:from>
        <xdr:to>
          <xdr:col>6</xdr:col>
          <xdr:colOff>123825</xdr:colOff>
          <xdr:row>178</xdr:row>
          <xdr:rowOff>38100</xdr:rowOff>
        </xdr:to>
        <xdr:sp macro="" textlink="">
          <xdr:nvSpPr>
            <xdr:cNvPr id="79196" name="Check Box 348" hidden="1">
              <a:extLst>
                <a:ext uri="{63B3BB69-23CF-44E3-9099-C40C66FF867C}">
                  <a14:compatExt spid="_x0000_s79196"/>
                </a:ext>
                <a:ext uri="{FF2B5EF4-FFF2-40B4-BE49-F238E27FC236}">
                  <a16:creationId xmlns:a16="http://schemas.microsoft.com/office/drawing/2014/main" id="{00000000-0008-0000-0700-00005C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177</xdr:row>
          <xdr:rowOff>85725</xdr:rowOff>
        </xdr:from>
        <xdr:to>
          <xdr:col>6</xdr:col>
          <xdr:colOff>123825</xdr:colOff>
          <xdr:row>179</xdr:row>
          <xdr:rowOff>38100</xdr:rowOff>
        </xdr:to>
        <xdr:sp macro="" textlink="">
          <xdr:nvSpPr>
            <xdr:cNvPr id="79197" name="Check Box 349" hidden="1">
              <a:extLst>
                <a:ext uri="{63B3BB69-23CF-44E3-9099-C40C66FF867C}">
                  <a14:compatExt spid="_x0000_s79197"/>
                </a:ext>
                <a:ext uri="{FF2B5EF4-FFF2-40B4-BE49-F238E27FC236}">
                  <a16:creationId xmlns:a16="http://schemas.microsoft.com/office/drawing/2014/main" id="{00000000-0008-0000-0700-00005D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178</xdr:row>
          <xdr:rowOff>85725</xdr:rowOff>
        </xdr:from>
        <xdr:to>
          <xdr:col>6</xdr:col>
          <xdr:colOff>123825</xdr:colOff>
          <xdr:row>180</xdr:row>
          <xdr:rowOff>38100</xdr:rowOff>
        </xdr:to>
        <xdr:sp macro="" textlink="">
          <xdr:nvSpPr>
            <xdr:cNvPr id="79198" name="Check Box 350" hidden="1">
              <a:extLst>
                <a:ext uri="{63B3BB69-23CF-44E3-9099-C40C66FF867C}">
                  <a14:compatExt spid="_x0000_s79198"/>
                </a:ext>
                <a:ext uri="{FF2B5EF4-FFF2-40B4-BE49-F238E27FC236}">
                  <a16:creationId xmlns:a16="http://schemas.microsoft.com/office/drawing/2014/main" id="{00000000-0008-0000-0700-00005E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179</xdr:row>
          <xdr:rowOff>85725</xdr:rowOff>
        </xdr:from>
        <xdr:to>
          <xdr:col>6</xdr:col>
          <xdr:colOff>123825</xdr:colOff>
          <xdr:row>181</xdr:row>
          <xdr:rowOff>38100</xdr:rowOff>
        </xdr:to>
        <xdr:sp macro="" textlink="">
          <xdr:nvSpPr>
            <xdr:cNvPr id="79199" name="Check Box 351" hidden="1">
              <a:extLst>
                <a:ext uri="{63B3BB69-23CF-44E3-9099-C40C66FF867C}">
                  <a14:compatExt spid="_x0000_s79199"/>
                </a:ext>
                <a:ext uri="{FF2B5EF4-FFF2-40B4-BE49-F238E27FC236}">
                  <a16:creationId xmlns:a16="http://schemas.microsoft.com/office/drawing/2014/main" id="{00000000-0008-0000-0700-00005F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180</xdr:row>
          <xdr:rowOff>85725</xdr:rowOff>
        </xdr:from>
        <xdr:to>
          <xdr:col>6</xdr:col>
          <xdr:colOff>123825</xdr:colOff>
          <xdr:row>182</xdr:row>
          <xdr:rowOff>38100</xdr:rowOff>
        </xdr:to>
        <xdr:sp macro="" textlink="">
          <xdr:nvSpPr>
            <xdr:cNvPr id="79200" name="Check Box 352" hidden="1">
              <a:extLst>
                <a:ext uri="{63B3BB69-23CF-44E3-9099-C40C66FF867C}">
                  <a14:compatExt spid="_x0000_s79200"/>
                </a:ext>
                <a:ext uri="{FF2B5EF4-FFF2-40B4-BE49-F238E27FC236}">
                  <a16:creationId xmlns:a16="http://schemas.microsoft.com/office/drawing/2014/main" id="{00000000-0008-0000-0700-000060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181</xdr:row>
          <xdr:rowOff>85725</xdr:rowOff>
        </xdr:from>
        <xdr:to>
          <xdr:col>6</xdr:col>
          <xdr:colOff>123825</xdr:colOff>
          <xdr:row>183</xdr:row>
          <xdr:rowOff>38100</xdr:rowOff>
        </xdr:to>
        <xdr:sp macro="" textlink="">
          <xdr:nvSpPr>
            <xdr:cNvPr id="79201" name="Check Box 353" hidden="1">
              <a:extLst>
                <a:ext uri="{63B3BB69-23CF-44E3-9099-C40C66FF867C}">
                  <a14:compatExt spid="_x0000_s79201"/>
                </a:ext>
                <a:ext uri="{FF2B5EF4-FFF2-40B4-BE49-F238E27FC236}">
                  <a16:creationId xmlns:a16="http://schemas.microsoft.com/office/drawing/2014/main" id="{00000000-0008-0000-0700-000061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182</xdr:row>
          <xdr:rowOff>85725</xdr:rowOff>
        </xdr:from>
        <xdr:to>
          <xdr:col>6</xdr:col>
          <xdr:colOff>123825</xdr:colOff>
          <xdr:row>184</xdr:row>
          <xdr:rowOff>38100</xdr:rowOff>
        </xdr:to>
        <xdr:sp macro="" textlink="">
          <xdr:nvSpPr>
            <xdr:cNvPr id="79202" name="Check Box 354" hidden="1">
              <a:extLst>
                <a:ext uri="{63B3BB69-23CF-44E3-9099-C40C66FF867C}">
                  <a14:compatExt spid="_x0000_s79202"/>
                </a:ext>
                <a:ext uri="{FF2B5EF4-FFF2-40B4-BE49-F238E27FC236}">
                  <a16:creationId xmlns:a16="http://schemas.microsoft.com/office/drawing/2014/main" id="{00000000-0008-0000-0700-000062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183</xdr:row>
          <xdr:rowOff>85725</xdr:rowOff>
        </xdr:from>
        <xdr:to>
          <xdr:col>6</xdr:col>
          <xdr:colOff>123825</xdr:colOff>
          <xdr:row>185</xdr:row>
          <xdr:rowOff>38100</xdr:rowOff>
        </xdr:to>
        <xdr:sp macro="" textlink="">
          <xdr:nvSpPr>
            <xdr:cNvPr id="79203" name="Check Box 355" hidden="1">
              <a:extLst>
                <a:ext uri="{63B3BB69-23CF-44E3-9099-C40C66FF867C}">
                  <a14:compatExt spid="_x0000_s79203"/>
                </a:ext>
                <a:ext uri="{FF2B5EF4-FFF2-40B4-BE49-F238E27FC236}">
                  <a16:creationId xmlns:a16="http://schemas.microsoft.com/office/drawing/2014/main" id="{00000000-0008-0000-0700-000063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184</xdr:row>
          <xdr:rowOff>85725</xdr:rowOff>
        </xdr:from>
        <xdr:to>
          <xdr:col>6</xdr:col>
          <xdr:colOff>123825</xdr:colOff>
          <xdr:row>186</xdr:row>
          <xdr:rowOff>38100</xdr:rowOff>
        </xdr:to>
        <xdr:sp macro="" textlink="">
          <xdr:nvSpPr>
            <xdr:cNvPr id="79204" name="Check Box 356" hidden="1">
              <a:extLst>
                <a:ext uri="{63B3BB69-23CF-44E3-9099-C40C66FF867C}">
                  <a14:compatExt spid="_x0000_s79204"/>
                </a:ext>
                <a:ext uri="{FF2B5EF4-FFF2-40B4-BE49-F238E27FC236}">
                  <a16:creationId xmlns:a16="http://schemas.microsoft.com/office/drawing/2014/main" id="{00000000-0008-0000-0700-000064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185</xdr:row>
          <xdr:rowOff>85725</xdr:rowOff>
        </xdr:from>
        <xdr:to>
          <xdr:col>6</xdr:col>
          <xdr:colOff>123825</xdr:colOff>
          <xdr:row>187</xdr:row>
          <xdr:rowOff>38100</xdr:rowOff>
        </xdr:to>
        <xdr:sp macro="" textlink="">
          <xdr:nvSpPr>
            <xdr:cNvPr id="79205" name="Check Box 357" hidden="1">
              <a:extLst>
                <a:ext uri="{63B3BB69-23CF-44E3-9099-C40C66FF867C}">
                  <a14:compatExt spid="_x0000_s79205"/>
                </a:ext>
                <a:ext uri="{FF2B5EF4-FFF2-40B4-BE49-F238E27FC236}">
                  <a16:creationId xmlns:a16="http://schemas.microsoft.com/office/drawing/2014/main" id="{00000000-0008-0000-0700-000065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186</xdr:row>
          <xdr:rowOff>85725</xdr:rowOff>
        </xdr:from>
        <xdr:to>
          <xdr:col>6</xdr:col>
          <xdr:colOff>123825</xdr:colOff>
          <xdr:row>188</xdr:row>
          <xdr:rowOff>38100</xdr:rowOff>
        </xdr:to>
        <xdr:sp macro="" textlink="">
          <xdr:nvSpPr>
            <xdr:cNvPr id="79206" name="Check Box 358" hidden="1">
              <a:extLst>
                <a:ext uri="{63B3BB69-23CF-44E3-9099-C40C66FF867C}">
                  <a14:compatExt spid="_x0000_s79206"/>
                </a:ext>
                <a:ext uri="{FF2B5EF4-FFF2-40B4-BE49-F238E27FC236}">
                  <a16:creationId xmlns:a16="http://schemas.microsoft.com/office/drawing/2014/main" id="{00000000-0008-0000-0700-000066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148</xdr:row>
          <xdr:rowOff>85725</xdr:rowOff>
        </xdr:from>
        <xdr:to>
          <xdr:col>6</xdr:col>
          <xdr:colOff>123825</xdr:colOff>
          <xdr:row>150</xdr:row>
          <xdr:rowOff>38100</xdr:rowOff>
        </xdr:to>
        <xdr:sp macro="" textlink="">
          <xdr:nvSpPr>
            <xdr:cNvPr id="79207" name="Check Box 359" hidden="1">
              <a:extLst>
                <a:ext uri="{63B3BB69-23CF-44E3-9099-C40C66FF867C}">
                  <a14:compatExt spid="_x0000_s79207"/>
                </a:ext>
                <a:ext uri="{FF2B5EF4-FFF2-40B4-BE49-F238E27FC236}">
                  <a16:creationId xmlns:a16="http://schemas.microsoft.com/office/drawing/2014/main" id="{00000000-0008-0000-0700-000067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149</xdr:row>
          <xdr:rowOff>85725</xdr:rowOff>
        </xdr:from>
        <xdr:to>
          <xdr:col>6</xdr:col>
          <xdr:colOff>123825</xdr:colOff>
          <xdr:row>151</xdr:row>
          <xdr:rowOff>38100</xdr:rowOff>
        </xdr:to>
        <xdr:sp macro="" textlink="">
          <xdr:nvSpPr>
            <xdr:cNvPr id="79208" name="Check Box 360" hidden="1">
              <a:extLst>
                <a:ext uri="{63B3BB69-23CF-44E3-9099-C40C66FF867C}">
                  <a14:compatExt spid="_x0000_s79208"/>
                </a:ext>
                <a:ext uri="{FF2B5EF4-FFF2-40B4-BE49-F238E27FC236}">
                  <a16:creationId xmlns:a16="http://schemas.microsoft.com/office/drawing/2014/main" id="{00000000-0008-0000-0700-000068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187</xdr:row>
          <xdr:rowOff>85725</xdr:rowOff>
        </xdr:from>
        <xdr:to>
          <xdr:col>6</xdr:col>
          <xdr:colOff>123825</xdr:colOff>
          <xdr:row>189</xdr:row>
          <xdr:rowOff>38100</xdr:rowOff>
        </xdr:to>
        <xdr:sp macro="" textlink="">
          <xdr:nvSpPr>
            <xdr:cNvPr id="79209" name="Check Box 361" hidden="1">
              <a:extLst>
                <a:ext uri="{63B3BB69-23CF-44E3-9099-C40C66FF867C}">
                  <a14:compatExt spid="_x0000_s79209"/>
                </a:ext>
                <a:ext uri="{FF2B5EF4-FFF2-40B4-BE49-F238E27FC236}">
                  <a16:creationId xmlns:a16="http://schemas.microsoft.com/office/drawing/2014/main" id="{00000000-0008-0000-0700-000069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188</xdr:row>
          <xdr:rowOff>85725</xdr:rowOff>
        </xdr:from>
        <xdr:to>
          <xdr:col>6</xdr:col>
          <xdr:colOff>123825</xdr:colOff>
          <xdr:row>190</xdr:row>
          <xdr:rowOff>38100</xdr:rowOff>
        </xdr:to>
        <xdr:sp macro="" textlink="">
          <xdr:nvSpPr>
            <xdr:cNvPr id="79210" name="Check Box 362" hidden="1">
              <a:extLst>
                <a:ext uri="{63B3BB69-23CF-44E3-9099-C40C66FF867C}">
                  <a14:compatExt spid="_x0000_s79210"/>
                </a:ext>
                <a:ext uri="{FF2B5EF4-FFF2-40B4-BE49-F238E27FC236}">
                  <a16:creationId xmlns:a16="http://schemas.microsoft.com/office/drawing/2014/main" id="{00000000-0008-0000-0700-00006A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189</xdr:row>
          <xdr:rowOff>85725</xdr:rowOff>
        </xdr:from>
        <xdr:to>
          <xdr:col>6</xdr:col>
          <xdr:colOff>123825</xdr:colOff>
          <xdr:row>191</xdr:row>
          <xdr:rowOff>38100</xdr:rowOff>
        </xdr:to>
        <xdr:sp macro="" textlink="">
          <xdr:nvSpPr>
            <xdr:cNvPr id="79211" name="Check Box 363" hidden="1">
              <a:extLst>
                <a:ext uri="{63B3BB69-23CF-44E3-9099-C40C66FF867C}">
                  <a14:compatExt spid="_x0000_s79211"/>
                </a:ext>
                <a:ext uri="{FF2B5EF4-FFF2-40B4-BE49-F238E27FC236}">
                  <a16:creationId xmlns:a16="http://schemas.microsoft.com/office/drawing/2014/main" id="{00000000-0008-0000-0700-00006B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190</xdr:row>
          <xdr:rowOff>85725</xdr:rowOff>
        </xdr:from>
        <xdr:to>
          <xdr:col>6</xdr:col>
          <xdr:colOff>123825</xdr:colOff>
          <xdr:row>192</xdr:row>
          <xdr:rowOff>38100</xdr:rowOff>
        </xdr:to>
        <xdr:sp macro="" textlink="">
          <xdr:nvSpPr>
            <xdr:cNvPr id="79212" name="Check Box 364" hidden="1">
              <a:extLst>
                <a:ext uri="{63B3BB69-23CF-44E3-9099-C40C66FF867C}">
                  <a14:compatExt spid="_x0000_s79212"/>
                </a:ext>
                <a:ext uri="{FF2B5EF4-FFF2-40B4-BE49-F238E27FC236}">
                  <a16:creationId xmlns:a16="http://schemas.microsoft.com/office/drawing/2014/main" id="{00000000-0008-0000-0700-00006C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191</xdr:row>
          <xdr:rowOff>85725</xdr:rowOff>
        </xdr:from>
        <xdr:to>
          <xdr:col>6</xdr:col>
          <xdr:colOff>123825</xdr:colOff>
          <xdr:row>193</xdr:row>
          <xdr:rowOff>38100</xdr:rowOff>
        </xdr:to>
        <xdr:sp macro="" textlink="">
          <xdr:nvSpPr>
            <xdr:cNvPr id="79213" name="Check Box 365" hidden="1">
              <a:extLst>
                <a:ext uri="{63B3BB69-23CF-44E3-9099-C40C66FF867C}">
                  <a14:compatExt spid="_x0000_s79213"/>
                </a:ext>
                <a:ext uri="{FF2B5EF4-FFF2-40B4-BE49-F238E27FC236}">
                  <a16:creationId xmlns:a16="http://schemas.microsoft.com/office/drawing/2014/main" id="{00000000-0008-0000-0700-00006D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192</xdr:row>
          <xdr:rowOff>85725</xdr:rowOff>
        </xdr:from>
        <xdr:to>
          <xdr:col>6</xdr:col>
          <xdr:colOff>123825</xdr:colOff>
          <xdr:row>194</xdr:row>
          <xdr:rowOff>38100</xdr:rowOff>
        </xdr:to>
        <xdr:sp macro="" textlink="">
          <xdr:nvSpPr>
            <xdr:cNvPr id="79214" name="Check Box 366" hidden="1">
              <a:extLst>
                <a:ext uri="{63B3BB69-23CF-44E3-9099-C40C66FF867C}">
                  <a14:compatExt spid="_x0000_s79214"/>
                </a:ext>
                <a:ext uri="{FF2B5EF4-FFF2-40B4-BE49-F238E27FC236}">
                  <a16:creationId xmlns:a16="http://schemas.microsoft.com/office/drawing/2014/main" id="{00000000-0008-0000-0700-00006E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193</xdr:row>
          <xdr:rowOff>85725</xdr:rowOff>
        </xdr:from>
        <xdr:to>
          <xdr:col>6</xdr:col>
          <xdr:colOff>123825</xdr:colOff>
          <xdr:row>195</xdr:row>
          <xdr:rowOff>38100</xdr:rowOff>
        </xdr:to>
        <xdr:sp macro="" textlink="">
          <xdr:nvSpPr>
            <xdr:cNvPr id="79215" name="Check Box 367" hidden="1">
              <a:extLst>
                <a:ext uri="{63B3BB69-23CF-44E3-9099-C40C66FF867C}">
                  <a14:compatExt spid="_x0000_s79215"/>
                </a:ext>
                <a:ext uri="{FF2B5EF4-FFF2-40B4-BE49-F238E27FC236}">
                  <a16:creationId xmlns:a16="http://schemas.microsoft.com/office/drawing/2014/main" id="{00000000-0008-0000-0700-00006F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194</xdr:row>
          <xdr:rowOff>85725</xdr:rowOff>
        </xdr:from>
        <xdr:to>
          <xdr:col>6</xdr:col>
          <xdr:colOff>123825</xdr:colOff>
          <xdr:row>196</xdr:row>
          <xdr:rowOff>38100</xdr:rowOff>
        </xdr:to>
        <xdr:sp macro="" textlink="">
          <xdr:nvSpPr>
            <xdr:cNvPr id="79216" name="Check Box 368" hidden="1">
              <a:extLst>
                <a:ext uri="{63B3BB69-23CF-44E3-9099-C40C66FF867C}">
                  <a14:compatExt spid="_x0000_s79216"/>
                </a:ext>
                <a:ext uri="{FF2B5EF4-FFF2-40B4-BE49-F238E27FC236}">
                  <a16:creationId xmlns:a16="http://schemas.microsoft.com/office/drawing/2014/main" id="{00000000-0008-0000-0700-000070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195</xdr:row>
          <xdr:rowOff>85725</xdr:rowOff>
        </xdr:from>
        <xdr:to>
          <xdr:col>6</xdr:col>
          <xdr:colOff>123825</xdr:colOff>
          <xdr:row>197</xdr:row>
          <xdr:rowOff>38100</xdr:rowOff>
        </xdr:to>
        <xdr:sp macro="" textlink="">
          <xdr:nvSpPr>
            <xdr:cNvPr id="79217" name="Check Box 369" hidden="1">
              <a:extLst>
                <a:ext uri="{63B3BB69-23CF-44E3-9099-C40C66FF867C}">
                  <a14:compatExt spid="_x0000_s79217"/>
                </a:ext>
                <a:ext uri="{FF2B5EF4-FFF2-40B4-BE49-F238E27FC236}">
                  <a16:creationId xmlns:a16="http://schemas.microsoft.com/office/drawing/2014/main" id="{00000000-0008-0000-0700-000071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196</xdr:row>
          <xdr:rowOff>85725</xdr:rowOff>
        </xdr:from>
        <xdr:to>
          <xdr:col>6</xdr:col>
          <xdr:colOff>123825</xdr:colOff>
          <xdr:row>198</xdr:row>
          <xdr:rowOff>38100</xdr:rowOff>
        </xdr:to>
        <xdr:sp macro="" textlink="">
          <xdr:nvSpPr>
            <xdr:cNvPr id="79218" name="Check Box 370" hidden="1">
              <a:extLst>
                <a:ext uri="{63B3BB69-23CF-44E3-9099-C40C66FF867C}">
                  <a14:compatExt spid="_x0000_s79218"/>
                </a:ext>
                <a:ext uri="{FF2B5EF4-FFF2-40B4-BE49-F238E27FC236}">
                  <a16:creationId xmlns:a16="http://schemas.microsoft.com/office/drawing/2014/main" id="{00000000-0008-0000-0700-000072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197</xdr:row>
          <xdr:rowOff>85725</xdr:rowOff>
        </xdr:from>
        <xdr:to>
          <xdr:col>6</xdr:col>
          <xdr:colOff>123825</xdr:colOff>
          <xdr:row>199</xdr:row>
          <xdr:rowOff>38100</xdr:rowOff>
        </xdr:to>
        <xdr:sp macro="" textlink="">
          <xdr:nvSpPr>
            <xdr:cNvPr id="79219" name="Check Box 371" hidden="1">
              <a:extLst>
                <a:ext uri="{63B3BB69-23CF-44E3-9099-C40C66FF867C}">
                  <a14:compatExt spid="_x0000_s79219"/>
                </a:ext>
                <a:ext uri="{FF2B5EF4-FFF2-40B4-BE49-F238E27FC236}">
                  <a16:creationId xmlns:a16="http://schemas.microsoft.com/office/drawing/2014/main" id="{00000000-0008-0000-0700-000073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200</xdr:row>
          <xdr:rowOff>85725</xdr:rowOff>
        </xdr:from>
        <xdr:to>
          <xdr:col>6</xdr:col>
          <xdr:colOff>123825</xdr:colOff>
          <xdr:row>202</xdr:row>
          <xdr:rowOff>38100</xdr:rowOff>
        </xdr:to>
        <xdr:sp macro="" textlink="">
          <xdr:nvSpPr>
            <xdr:cNvPr id="79220" name="Check Box 372" hidden="1">
              <a:extLst>
                <a:ext uri="{63B3BB69-23CF-44E3-9099-C40C66FF867C}">
                  <a14:compatExt spid="_x0000_s79220"/>
                </a:ext>
                <a:ext uri="{FF2B5EF4-FFF2-40B4-BE49-F238E27FC236}">
                  <a16:creationId xmlns:a16="http://schemas.microsoft.com/office/drawing/2014/main" id="{00000000-0008-0000-0700-000074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201</xdr:row>
          <xdr:rowOff>85725</xdr:rowOff>
        </xdr:from>
        <xdr:to>
          <xdr:col>6</xdr:col>
          <xdr:colOff>123825</xdr:colOff>
          <xdr:row>203</xdr:row>
          <xdr:rowOff>38100</xdr:rowOff>
        </xdr:to>
        <xdr:sp macro="" textlink="">
          <xdr:nvSpPr>
            <xdr:cNvPr id="79221" name="Check Box 373" hidden="1">
              <a:extLst>
                <a:ext uri="{63B3BB69-23CF-44E3-9099-C40C66FF867C}">
                  <a14:compatExt spid="_x0000_s79221"/>
                </a:ext>
                <a:ext uri="{FF2B5EF4-FFF2-40B4-BE49-F238E27FC236}">
                  <a16:creationId xmlns:a16="http://schemas.microsoft.com/office/drawing/2014/main" id="{00000000-0008-0000-0700-000075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202</xdr:row>
          <xdr:rowOff>85725</xdr:rowOff>
        </xdr:from>
        <xdr:to>
          <xdr:col>6</xdr:col>
          <xdr:colOff>123825</xdr:colOff>
          <xdr:row>204</xdr:row>
          <xdr:rowOff>38100</xdr:rowOff>
        </xdr:to>
        <xdr:sp macro="" textlink="">
          <xdr:nvSpPr>
            <xdr:cNvPr id="79222" name="Check Box 374" hidden="1">
              <a:extLst>
                <a:ext uri="{63B3BB69-23CF-44E3-9099-C40C66FF867C}">
                  <a14:compatExt spid="_x0000_s79222"/>
                </a:ext>
                <a:ext uri="{FF2B5EF4-FFF2-40B4-BE49-F238E27FC236}">
                  <a16:creationId xmlns:a16="http://schemas.microsoft.com/office/drawing/2014/main" id="{00000000-0008-0000-0700-000076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203</xdr:row>
          <xdr:rowOff>85725</xdr:rowOff>
        </xdr:from>
        <xdr:to>
          <xdr:col>6</xdr:col>
          <xdr:colOff>123825</xdr:colOff>
          <xdr:row>205</xdr:row>
          <xdr:rowOff>38100</xdr:rowOff>
        </xdr:to>
        <xdr:sp macro="" textlink="">
          <xdr:nvSpPr>
            <xdr:cNvPr id="79223" name="Check Box 375" hidden="1">
              <a:extLst>
                <a:ext uri="{63B3BB69-23CF-44E3-9099-C40C66FF867C}">
                  <a14:compatExt spid="_x0000_s79223"/>
                </a:ext>
                <a:ext uri="{FF2B5EF4-FFF2-40B4-BE49-F238E27FC236}">
                  <a16:creationId xmlns:a16="http://schemas.microsoft.com/office/drawing/2014/main" id="{00000000-0008-0000-0700-000077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204</xdr:row>
          <xdr:rowOff>85725</xdr:rowOff>
        </xdr:from>
        <xdr:to>
          <xdr:col>6</xdr:col>
          <xdr:colOff>123825</xdr:colOff>
          <xdr:row>206</xdr:row>
          <xdr:rowOff>38100</xdr:rowOff>
        </xdr:to>
        <xdr:sp macro="" textlink="">
          <xdr:nvSpPr>
            <xdr:cNvPr id="79224" name="Check Box 376" hidden="1">
              <a:extLst>
                <a:ext uri="{63B3BB69-23CF-44E3-9099-C40C66FF867C}">
                  <a14:compatExt spid="_x0000_s79224"/>
                </a:ext>
                <a:ext uri="{FF2B5EF4-FFF2-40B4-BE49-F238E27FC236}">
                  <a16:creationId xmlns:a16="http://schemas.microsoft.com/office/drawing/2014/main" id="{00000000-0008-0000-0700-000078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205</xdr:row>
          <xdr:rowOff>85725</xdr:rowOff>
        </xdr:from>
        <xdr:to>
          <xdr:col>6</xdr:col>
          <xdr:colOff>123825</xdr:colOff>
          <xdr:row>207</xdr:row>
          <xdr:rowOff>38100</xdr:rowOff>
        </xdr:to>
        <xdr:sp macro="" textlink="">
          <xdr:nvSpPr>
            <xdr:cNvPr id="79225" name="Check Box 377" hidden="1">
              <a:extLst>
                <a:ext uri="{63B3BB69-23CF-44E3-9099-C40C66FF867C}">
                  <a14:compatExt spid="_x0000_s79225"/>
                </a:ext>
                <a:ext uri="{FF2B5EF4-FFF2-40B4-BE49-F238E27FC236}">
                  <a16:creationId xmlns:a16="http://schemas.microsoft.com/office/drawing/2014/main" id="{00000000-0008-0000-0700-000079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206</xdr:row>
          <xdr:rowOff>85725</xdr:rowOff>
        </xdr:from>
        <xdr:to>
          <xdr:col>6</xdr:col>
          <xdr:colOff>123825</xdr:colOff>
          <xdr:row>208</xdr:row>
          <xdr:rowOff>38100</xdr:rowOff>
        </xdr:to>
        <xdr:sp macro="" textlink="">
          <xdr:nvSpPr>
            <xdr:cNvPr id="79226" name="Check Box 378" hidden="1">
              <a:extLst>
                <a:ext uri="{63B3BB69-23CF-44E3-9099-C40C66FF867C}">
                  <a14:compatExt spid="_x0000_s79226"/>
                </a:ext>
                <a:ext uri="{FF2B5EF4-FFF2-40B4-BE49-F238E27FC236}">
                  <a16:creationId xmlns:a16="http://schemas.microsoft.com/office/drawing/2014/main" id="{00000000-0008-0000-0700-00007A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207</xdr:row>
          <xdr:rowOff>85725</xdr:rowOff>
        </xdr:from>
        <xdr:to>
          <xdr:col>6</xdr:col>
          <xdr:colOff>123825</xdr:colOff>
          <xdr:row>209</xdr:row>
          <xdr:rowOff>38100</xdr:rowOff>
        </xdr:to>
        <xdr:sp macro="" textlink="">
          <xdr:nvSpPr>
            <xdr:cNvPr id="79227" name="Check Box 379" hidden="1">
              <a:extLst>
                <a:ext uri="{63B3BB69-23CF-44E3-9099-C40C66FF867C}">
                  <a14:compatExt spid="_x0000_s79227"/>
                </a:ext>
                <a:ext uri="{FF2B5EF4-FFF2-40B4-BE49-F238E27FC236}">
                  <a16:creationId xmlns:a16="http://schemas.microsoft.com/office/drawing/2014/main" id="{00000000-0008-0000-0700-00007B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208</xdr:row>
          <xdr:rowOff>85725</xdr:rowOff>
        </xdr:from>
        <xdr:to>
          <xdr:col>6</xdr:col>
          <xdr:colOff>123825</xdr:colOff>
          <xdr:row>210</xdr:row>
          <xdr:rowOff>38100</xdr:rowOff>
        </xdr:to>
        <xdr:sp macro="" textlink="">
          <xdr:nvSpPr>
            <xdr:cNvPr id="79228" name="Check Box 380" hidden="1">
              <a:extLst>
                <a:ext uri="{63B3BB69-23CF-44E3-9099-C40C66FF867C}">
                  <a14:compatExt spid="_x0000_s79228"/>
                </a:ext>
                <a:ext uri="{FF2B5EF4-FFF2-40B4-BE49-F238E27FC236}">
                  <a16:creationId xmlns:a16="http://schemas.microsoft.com/office/drawing/2014/main" id="{00000000-0008-0000-0700-00007C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209</xdr:row>
          <xdr:rowOff>85725</xdr:rowOff>
        </xdr:from>
        <xdr:to>
          <xdr:col>6</xdr:col>
          <xdr:colOff>123825</xdr:colOff>
          <xdr:row>211</xdr:row>
          <xdr:rowOff>38100</xdr:rowOff>
        </xdr:to>
        <xdr:sp macro="" textlink="">
          <xdr:nvSpPr>
            <xdr:cNvPr id="79229" name="Check Box 381" hidden="1">
              <a:extLst>
                <a:ext uri="{63B3BB69-23CF-44E3-9099-C40C66FF867C}">
                  <a14:compatExt spid="_x0000_s79229"/>
                </a:ext>
                <a:ext uri="{FF2B5EF4-FFF2-40B4-BE49-F238E27FC236}">
                  <a16:creationId xmlns:a16="http://schemas.microsoft.com/office/drawing/2014/main" id="{00000000-0008-0000-0700-00007D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210</xdr:row>
          <xdr:rowOff>85725</xdr:rowOff>
        </xdr:from>
        <xdr:to>
          <xdr:col>6</xdr:col>
          <xdr:colOff>123825</xdr:colOff>
          <xdr:row>212</xdr:row>
          <xdr:rowOff>38100</xdr:rowOff>
        </xdr:to>
        <xdr:sp macro="" textlink="">
          <xdr:nvSpPr>
            <xdr:cNvPr id="79230" name="Check Box 382" hidden="1">
              <a:extLst>
                <a:ext uri="{63B3BB69-23CF-44E3-9099-C40C66FF867C}">
                  <a14:compatExt spid="_x0000_s79230"/>
                </a:ext>
                <a:ext uri="{FF2B5EF4-FFF2-40B4-BE49-F238E27FC236}">
                  <a16:creationId xmlns:a16="http://schemas.microsoft.com/office/drawing/2014/main" id="{00000000-0008-0000-0700-00007E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211</xdr:row>
          <xdr:rowOff>85725</xdr:rowOff>
        </xdr:from>
        <xdr:to>
          <xdr:col>6</xdr:col>
          <xdr:colOff>123825</xdr:colOff>
          <xdr:row>213</xdr:row>
          <xdr:rowOff>38100</xdr:rowOff>
        </xdr:to>
        <xdr:sp macro="" textlink="">
          <xdr:nvSpPr>
            <xdr:cNvPr id="79231" name="Check Box 383" hidden="1">
              <a:extLst>
                <a:ext uri="{63B3BB69-23CF-44E3-9099-C40C66FF867C}">
                  <a14:compatExt spid="_x0000_s79231"/>
                </a:ext>
                <a:ext uri="{FF2B5EF4-FFF2-40B4-BE49-F238E27FC236}">
                  <a16:creationId xmlns:a16="http://schemas.microsoft.com/office/drawing/2014/main" id="{00000000-0008-0000-0700-00007F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212</xdr:row>
          <xdr:rowOff>85725</xdr:rowOff>
        </xdr:from>
        <xdr:to>
          <xdr:col>6</xdr:col>
          <xdr:colOff>123825</xdr:colOff>
          <xdr:row>214</xdr:row>
          <xdr:rowOff>38100</xdr:rowOff>
        </xdr:to>
        <xdr:sp macro="" textlink="">
          <xdr:nvSpPr>
            <xdr:cNvPr id="79232" name="Check Box 384" hidden="1">
              <a:extLst>
                <a:ext uri="{63B3BB69-23CF-44E3-9099-C40C66FF867C}">
                  <a14:compatExt spid="_x0000_s79232"/>
                </a:ext>
                <a:ext uri="{FF2B5EF4-FFF2-40B4-BE49-F238E27FC236}">
                  <a16:creationId xmlns:a16="http://schemas.microsoft.com/office/drawing/2014/main" id="{00000000-0008-0000-0700-000080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213</xdr:row>
          <xdr:rowOff>85725</xdr:rowOff>
        </xdr:from>
        <xdr:to>
          <xdr:col>6</xdr:col>
          <xdr:colOff>123825</xdr:colOff>
          <xdr:row>215</xdr:row>
          <xdr:rowOff>38100</xdr:rowOff>
        </xdr:to>
        <xdr:sp macro="" textlink="">
          <xdr:nvSpPr>
            <xdr:cNvPr id="79233" name="Check Box 385" hidden="1">
              <a:extLst>
                <a:ext uri="{63B3BB69-23CF-44E3-9099-C40C66FF867C}">
                  <a14:compatExt spid="_x0000_s79233"/>
                </a:ext>
                <a:ext uri="{FF2B5EF4-FFF2-40B4-BE49-F238E27FC236}">
                  <a16:creationId xmlns:a16="http://schemas.microsoft.com/office/drawing/2014/main" id="{00000000-0008-0000-0700-000081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214</xdr:row>
          <xdr:rowOff>85725</xdr:rowOff>
        </xdr:from>
        <xdr:to>
          <xdr:col>6</xdr:col>
          <xdr:colOff>123825</xdr:colOff>
          <xdr:row>216</xdr:row>
          <xdr:rowOff>38100</xdr:rowOff>
        </xdr:to>
        <xdr:sp macro="" textlink="">
          <xdr:nvSpPr>
            <xdr:cNvPr id="79234" name="Check Box 386" hidden="1">
              <a:extLst>
                <a:ext uri="{63B3BB69-23CF-44E3-9099-C40C66FF867C}">
                  <a14:compatExt spid="_x0000_s79234"/>
                </a:ext>
                <a:ext uri="{FF2B5EF4-FFF2-40B4-BE49-F238E27FC236}">
                  <a16:creationId xmlns:a16="http://schemas.microsoft.com/office/drawing/2014/main" id="{00000000-0008-0000-0700-000082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215</xdr:row>
          <xdr:rowOff>85725</xdr:rowOff>
        </xdr:from>
        <xdr:to>
          <xdr:col>6</xdr:col>
          <xdr:colOff>123825</xdr:colOff>
          <xdr:row>217</xdr:row>
          <xdr:rowOff>38100</xdr:rowOff>
        </xdr:to>
        <xdr:sp macro="" textlink="">
          <xdr:nvSpPr>
            <xdr:cNvPr id="79235" name="Check Box 387" hidden="1">
              <a:extLst>
                <a:ext uri="{63B3BB69-23CF-44E3-9099-C40C66FF867C}">
                  <a14:compatExt spid="_x0000_s79235"/>
                </a:ext>
                <a:ext uri="{FF2B5EF4-FFF2-40B4-BE49-F238E27FC236}">
                  <a16:creationId xmlns:a16="http://schemas.microsoft.com/office/drawing/2014/main" id="{00000000-0008-0000-0700-000083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216</xdr:row>
          <xdr:rowOff>85725</xdr:rowOff>
        </xdr:from>
        <xdr:to>
          <xdr:col>6</xdr:col>
          <xdr:colOff>123825</xdr:colOff>
          <xdr:row>218</xdr:row>
          <xdr:rowOff>38100</xdr:rowOff>
        </xdr:to>
        <xdr:sp macro="" textlink="">
          <xdr:nvSpPr>
            <xdr:cNvPr id="79236" name="Check Box 388" hidden="1">
              <a:extLst>
                <a:ext uri="{63B3BB69-23CF-44E3-9099-C40C66FF867C}">
                  <a14:compatExt spid="_x0000_s79236"/>
                </a:ext>
                <a:ext uri="{FF2B5EF4-FFF2-40B4-BE49-F238E27FC236}">
                  <a16:creationId xmlns:a16="http://schemas.microsoft.com/office/drawing/2014/main" id="{00000000-0008-0000-0700-000084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217</xdr:row>
          <xdr:rowOff>85725</xdr:rowOff>
        </xdr:from>
        <xdr:to>
          <xdr:col>6</xdr:col>
          <xdr:colOff>123825</xdr:colOff>
          <xdr:row>219</xdr:row>
          <xdr:rowOff>38100</xdr:rowOff>
        </xdr:to>
        <xdr:sp macro="" textlink="">
          <xdr:nvSpPr>
            <xdr:cNvPr id="79237" name="Check Box 389" hidden="1">
              <a:extLst>
                <a:ext uri="{63B3BB69-23CF-44E3-9099-C40C66FF867C}">
                  <a14:compatExt spid="_x0000_s79237"/>
                </a:ext>
                <a:ext uri="{FF2B5EF4-FFF2-40B4-BE49-F238E27FC236}">
                  <a16:creationId xmlns:a16="http://schemas.microsoft.com/office/drawing/2014/main" id="{00000000-0008-0000-0700-000085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218</xdr:row>
          <xdr:rowOff>85725</xdr:rowOff>
        </xdr:from>
        <xdr:to>
          <xdr:col>6</xdr:col>
          <xdr:colOff>123825</xdr:colOff>
          <xdr:row>220</xdr:row>
          <xdr:rowOff>38100</xdr:rowOff>
        </xdr:to>
        <xdr:sp macro="" textlink="">
          <xdr:nvSpPr>
            <xdr:cNvPr id="79238" name="Check Box 390" hidden="1">
              <a:extLst>
                <a:ext uri="{63B3BB69-23CF-44E3-9099-C40C66FF867C}">
                  <a14:compatExt spid="_x0000_s79238"/>
                </a:ext>
                <a:ext uri="{FF2B5EF4-FFF2-40B4-BE49-F238E27FC236}">
                  <a16:creationId xmlns:a16="http://schemas.microsoft.com/office/drawing/2014/main" id="{00000000-0008-0000-0700-000086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219</xdr:row>
          <xdr:rowOff>85725</xdr:rowOff>
        </xdr:from>
        <xdr:to>
          <xdr:col>6</xdr:col>
          <xdr:colOff>123825</xdr:colOff>
          <xdr:row>221</xdr:row>
          <xdr:rowOff>38100</xdr:rowOff>
        </xdr:to>
        <xdr:sp macro="" textlink="">
          <xdr:nvSpPr>
            <xdr:cNvPr id="79239" name="Check Box 391" hidden="1">
              <a:extLst>
                <a:ext uri="{63B3BB69-23CF-44E3-9099-C40C66FF867C}">
                  <a14:compatExt spid="_x0000_s79239"/>
                </a:ext>
                <a:ext uri="{FF2B5EF4-FFF2-40B4-BE49-F238E27FC236}">
                  <a16:creationId xmlns:a16="http://schemas.microsoft.com/office/drawing/2014/main" id="{00000000-0008-0000-0700-000087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220</xdr:row>
          <xdr:rowOff>85725</xdr:rowOff>
        </xdr:from>
        <xdr:to>
          <xdr:col>6</xdr:col>
          <xdr:colOff>123825</xdr:colOff>
          <xdr:row>222</xdr:row>
          <xdr:rowOff>38100</xdr:rowOff>
        </xdr:to>
        <xdr:sp macro="" textlink="">
          <xdr:nvSpPr>
            <xdr:cNvPr id="79240" name="Check Box 392" hidden="1">
              <a:extLst>
                <a:ext uri="{63B3BB69-23CF-44E3-9099-C40C66FF867C}">
                  <a14:compatExt spid="_x0000_s79240"/>
                </a:ext>
                <a:ext uri="{FF2B5EF4-FFF2-40B4-BE49-F238E27FC236}">
                  <a16:creationId xmlns:a16="http://schemas.microsoft.com/office/drawing/2014/main" id="{00000000-0008-0000-0700-000088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221</xdr:row>
          <xdr:rowOff>85725</xdr:rowOff>
        </xdr:from>
        <xdr:to>
          <xdr:col>6</xdr:col>
          <xdr:colOff>123825</xdr:colOff>
          <xdr:row>223</xdr:row>
          <xdr:rowOff>38100</xdr:rowOff>
        </xdr:to>
        <xdr:sp macro="" textlink="">
          <xdr:nvSpPr>
            <xdr:cNvPr id="79241" name="Check Box 393" hidden="1">
              <a:extLst>
                <a:ext uri="{63B3BB69-23CF-44E3-9099-C40C66FF867C}">
                  <a14:compatExt spid="_x0000_s79241"/>
                </a:ext>
                <a:ext uri="{FF2B5EF4-FFF2-40B4-BE49-F238E27FC236}">
                  <a16:creationId xmlns:a16="http://schemas.microsoft.com/office/drawing/2014/main" id="{00000000-0008-0000-0700-000089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222</xdr:row>
          <xdr:rowOff>85725</xdr:rowOff>
        </xdr:from>
        <xdr:to>
          <xdr:col>6</xdr:col>
          <xdr:colOff>123825</xdr:colOff>
          <xdr:row>224</xdr:row>
          <xdr:rowOff>38100</xdr:rowOff>
        </xdr:to>
        <xdr:sp macro="" textlink="">
          <xdr:nvSpPr>
            <xdr:cNvPr id="79242" name="Check Box 394" hidden="1">
              <a:extLst>
                <a:ext uri="{63B3BB69-23CF-44E3-9099-C40C66FF867C}">
                  <a14:compatExt spid="_x0000_s79242"/>
                </a:ext>
                <a:ext uri="{FF2B5EF4-FFF2-40B4-BE49-F238E27FC236}">
                  <a16:creationId xmlns:a16="http://schemas.microsoft.com/office/drawing/2014/main" id="{00000000-0008-0000-0700-00008A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223</xdr:row>
          <xdr:rowOff>85725</xdr:rowOff>
        </xdr:from>
        <xdr:to>
          <xdr:col>6</xdr:col>
          <xdr:colOff>123825</xdr:colOff>
          <xdr:row>225</xdr:row>
          <xdr:rowOff>38100</xdr:rowOff>
        </xdr:to>
        <xdr:sp macro="" textlink="">
          <xdr:nvSpPr>
            <xdr:cNvPr id="79243" name="Check Box 395" hidden="1">
              <a:extLst>
                <a:ext uri="{63B3BB69-23CF-44E3-9099-C40C66FF867C}">
                  <a14:compatExt spid="_x0000_s79243"/>
                </a:ext>
                <a:ext uri="{FF2B5EF4-FFF2-40B4-BE49-F238E27FC236}">
                  <a16:creationId xmlns:a16="http://schemas.microsoft.com/office/drawing/2014/main" id="{00000000-0008-0000-0700-00008B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224</xdr:row>
          <xdr:rowOff>85725</xdr:rowOff>
        </xdr:from>
        <xdr:to>
          <xdr:col>6</xdr:col>
          <xdr:colOff>123825</xdr:colOff>
          <xdr:row>226</xdr:row>
          <xdr:rowOff>38100</xdr:rowOff>
        </xdr:to>
        <xdr:sp macro="" textlink="">
          <xdr:nvSpPr>
            <xdr:cNvPr id="79244" name="Check Box 396" hidden="1">
              <a:extLst>
                <a:ext uri="{63B3BB69-23CF-44E3-9099-C40C66FF867C}">
                  <a14:compatExt spid="_x0000_s79244"/>
                </a:ext>
                <a:ext uri="{FF2B5EF4-FFF2-40B4-BE49-F238E27FC236}">
                  <a16:creationId xmlns:a16="http://schemas.microsoft.com/office/drawing/2014/main" id="{00000000-0008-0000-0700-00008C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225</xdr:row>
          <xdr:rowOff>85725</xdr:rowOff>
        </xdr:from>
        <xdr:to>
          <xdr:col>6</xdr:col>
          <xdr:colOff>123825</xdr:colOff>
          <xdr:row>227</xdr:row>
          <xdr:rowOff>38100</xdr:rowOff>
        </xdr:to>
        <xdr:sp macro="" textlink="">
          <xdr:nvSpPr>
            <xdr:cNvPr id="79245" name="Check Box 397" hidden="1">
              <a:extLst>
                <a:ext uri="{63B3BB69-23CF-44E3-9099-C40C66FF867C}">
                  <a14:compatExt spid="_x0000_s79245"/>
                </a:ext>
                <a:ext uri="{FF2B5EF4-FFF2-40B4-BE49-F238E27FC236}">
                  <a16:creationId xmlns:a16="http://schemas.microsoft.com/office/drawing/2014/main" id="{00000000-0008-0000-0700-00008D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226</xdr:row>
          <xdr:rowOff>85725</xdr:rowOff>
        </xdr:from>
        <xdr:to>
          <xdr:col>6</xdr:col>
          <xdr:colOff>123825</xdr:colOff>
          <xdr:row>228</xdr:row>
          <xdr:rowOff>38100</xdr:rowOff>
        </xdr:to>
        <xdr:sp macro="" textlink="">
          <xdr:nvSpPr>
            <xdr:cNvPr id="79246" name="Check Box 398" hidden="1">
              <a:extLst>
                <a:ext uri="{63B3BB69-23CF-44E3-9099-C40C66FF867C}">
                  <a14:compatExt spid="_x0000_s79246"/>
                </a:ext>
                <a:ext uri="{FF2B5EF4-FFF2-40B4-BE49-F238E27FC236}">
                  <a16:creationId xmlns:a16="http://schemas.microsoft.com/office/drawing/2014/main" id="{00000000-0008-0000-0700-00008E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227</xdr:row>
          <xdr:rowOff>85725</xdr:rowOff>
        </xdr:from>
        <xdr:to>
          <xdr:col>6</xdr:col>
          <xdr:colOff>123825</xdr:colOff>
          <xdr:row>229</xdr:row>
          <xdr:rowOff>38100</xdr:rowOff>
        </xdr:to>
        <xdr:sp macro="" textlink="">
          <xdr:nvSpPr>
            <xdr:cNvPr id="79247" name="Check Box 399" hidden="1">
              <a:extLst>
                <a:ext uri="{63B3BB69-23CF-44E3-9099-C40C66FF867C}">
                  <a14:compatExt spid="_x0000_s79247"/>
                </a:ext>
                <a:ext uri="{FF2B5EF4-FFF2-40B4-BE49-F238E27FC236}">
                  <a16:creationId xmlns:a16="http://schemas.microsoft.com/office/drawing/2014/main" id="{00000000-0008-0000-0700-00008F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228</xdr:row>
          <xdr:rowOff>85725</xdr:rowOff>
        </xdr:from>
        <xdr:to>
          <xdr:col>6</xdr:col>
          <xdr:colOff>123825</xdr:colOff>
          <xdr:row>230</xdr:row>
          <xdr:rowOff>38100</xdr:rowOff>
        </xdr:to>
        <xdr:sp macro="" textlink="">
          <xdr:nvSpPr>
            <xdr:cNvPr id="79248" name="Check Box 400" hidden="1">
              <a:extLst>
                <a:ext uri="{63B3BB69-23CF-44E3-9099-C40C66FF867C}">
                  <a14:compatExt spid="_x0000_s79248"/>
                </a:ext>
                <a:ext uri="{FF2B5EF4-FFF2-40B4-BE49-F238E27FC236}">
                  <a16:creationId xmlns:a16="http://schemas.microsoft.com/office/drawing/2014/main" id="{00000000-0008-0000-0700-000090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229</xdr:row>
          <xdr:rowOff>85725</xdr:rowOff>
        </xdr:from>
        <xdr:to>
          <xdr:col>6</xdr:col>
          <xdr:colOff>123825</xdr:colOff>
          <xdr:row>231</xdr:row>
          <xdr:rowOff>38100</xdr:rowOff>
        </xdr:to>
        <xdr:sp macro="" textlink="">
          <xdr:nvSpPr>
            <xdr:cNvPr id="79249" name="Check Box 401" hidden="1">
              <a:extLst>
                <a:ext uri="{63B3BB69-23CF-44E3-9099-C40C66FF867C}">
                  <a14:compatExt spid="_x0000_s79249"/>
                </a:ext>
                <a:ext uri="{FF2B5EF4-FFF2-40B4-BE49-F238E27FC236}">
                  <a16:creationId xmlns:a16="http://schemas.microsoft.com/office/drawing/2014/main" id="{00000000-0008-0000-0700-000091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230</xdr:row>
          <xdr:rowOff>85725</xdr:rowOff>
        </xdr:from>
        <xdr:to>
          <xdr:col>6</xdr:col>
          <xdr:colOff>123825</xdr:colOff>
          <xdr:row>232</xdr:row>
          <xdr:rowOff>38100</xdr:rowOff>
        </xdr:to>
        <xdr:sp macro="" textlink="">
          <xdr:nvSpPr>
            <xdr:cNvPr id="79250" name="Check Box 402" hidden="1">
              <a:extLst>
                <a:ext uri="{63B3BB69-23CF-44E3-9099-C40C66FF867C}">
                  <a14:compatExt spid="_x0000_s79250"/>
                </a:ext>
                <a:ext uri="{FF2B5EF4-FFF2-40B4-BE49-F238E27FC236}">
                  <a16:creationId xmlns:a16="http://schemas.microsoft.com/office/drawing/2014/main" id="{00000000-0008-0000-0700-000092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231</xdr:row>
          <xdr:rowOff>85725</xdr:rowOff>
        </xdr:from>
        <xdr:to>
          <xdr:col>6</xdr:col>
          <xdr:colOff>123825</xdr:colOff>
          <xdr:row>233</xdr:row>
          <xdr:rowOff>38100</xdr:rowOff>
        </xdr:to>
        <xdr:sp macro="" textlink="">
          <xdr:nvSpPr>
            <xdr:cNvPr id="79251" name="Check Box 403" hidden="1">
              <a:extLst>
                <a:ext uri="{63B3BB69-23CF-44E3-9099-C40C66FF867C}">
                  <a14:compatExt spid="_x0000_s79251"/>
                </a:ext>
                <a:ext uri="{FF2B5EF4-FFF2-40B4-BE49-F238E27FC236}">
                  <a16:creationId xmlns:a16="http://schemas.microsoft.com/office/drawing/2014/main" id="{00000000-0008-0000-0700-000093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232</xdr:row>
          <xdr:rowOff>85725</xdr:rowOff>
        </xdr:from>
        <xdr:to>
          <xdr:col>6</xdr:col>
          <xdr:colOff>123825</xdr:colOff>
          <xdr:row>234</xdr:row>
          <xdr:rowOff>38100</xdr:rowOff>
        </xdr:to>
        <xdr:sp macro="" textlink="">
          <xdr:nvSpPr>
            <xdr:cNvPr id="79252" name="Check Box 404" hidden="1">
              <a:extLst>
                <a:ext uri="{63B3BB69-23CF-44E3-9099-C40C66FF867C}">
                  <a14:compatExt spid="_x0000_s79252"/>
                </a:ext>
                <a:ext uri="{FF2B5EF4-FFF2-40B4-BE49-F238E27FC236}">
                  <a16:creationId xmlns:a16="http://schemas.microsoft.com/office/drawing/2014/main" id="{00000000-0008-0000-0700-000094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233</xdr:row>
          <xdr:rowOff>85725</xdr:rowOff>
        </xdr:from>
        <xdr:to>
          <xdr:col>6</xdr:col>
          <xdr:colOff>123825</xdr:colOff>
          <xdr:row>235</xdr:row>
          <xdr:rowOff>38100</xdr:rowOff>
        </xdr:to>
        <xdr:sp macro="" textlink="">
          <xdr:nvSpPr>
            <xdr:cNvPr id="79253" name="Check Box 405" hidden="1">
              <a:extLst>
                <a:ext uri="{63B3BB69-23CF-44E3-9099-C40C66FF867C}">
                  <a14:compatExt spid="_x0000_s79253"/>
                </a:ext>
                <a:ext uri="{FF2B5EF4-FFF2-40B4-BE49-F238E27FC236}">
                  <a16:creationId xmlns:a16="http://schemas.microsoft.com/office/drawing/2014/main" id="{00000000-0008-0000-0700-000095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234</xdr:row>
          <xdr:rowOff>85725</xdr:rowOff>
        </xdr:from>
        <xdr:to>
          <xdr:col>6</xdr:col>
          <xdr:colOff>123825</xdr:colOff>
          <xdr:row>236</xdr:row>
          <xdr:rowOff>38100</xdr:rowOff>
        </xdr:to>
        <xdr:sp macro="" textlink="">
          <xdr:nvSpPr>
            <xdr:cNvPr id="79254" name="Check Box 406" hidden="1">
              <a:extLst>
                <a:ext uri="{63B3BB69-23CF-44E3-9099-C40C66FF867C}">
                  <a14:compatExt spid="_x0000_s79254"/>
                </a:ext>
                <a:ext uri="{FF2B5EF4-FFF2-40B4-BE49-F238E27FC236}">
                  <a16:creationId xmlns:a16="http://schemas.microsoft.com/office/drawing/2014/main" id="{00000000-0008-0000-0700-000096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235</xdr:row>
          <xdr:rowOff>85725</xdr:rowOff>
        </xdr:from>
        <xdr:to>
          <xdr:col>6</xdr:col>
          <xdr:colOff>123825</xdr:colOff>
          <xdr:row>237</xdr:row>
          <xdr:rowOff>38100</xdr:rowOff>
        </xdr:to>
        <xdr:sp macro="" textlink="">
          <xdr:nvSpPr>
            <xdr:cNvPr id="79255" name="Check Box 407" hidden="1">
              <a:extLst>
                <a:ext uri="{63B3BB69-23CF-44E3-9099-C40C66FF867C}">
                  <a14:compatExt spid="_x0000_s79255"/>
                </a:ext>
                <a:ext uri="{FF2B5EF4-FFF2-40B4-BE49-F238E27FC236}">
                  <a16:creationId xmlns:a16="http://schemas.microsoft.com/office/drawing/2014/main" id="{00000000-0008-0000-0700-000097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236</xdr:row>
          <xdr:rowOff>85725</xdr:rowOff>
        </xdr:from>
        <xdr:to>
          <xdr:col>6</xdr:col>
          <xdr:colOff>123825</xdr:colOff>
          <xdr:row>238</xdr:row>
          <xdr:rowOff>38100</xdr:rowOff>
        </xdr:to>
        <xdr:sp macro="" textlink="">
          <xdr:nvSpPr>
            <xdr:cNvPr id="79256" name="Check Box 408" hidden="1">
              <a:extLst>
                <a:ext uri="{63B3BB69-23CF-44E3-9099-C40C66FF867C}">
                  <a14:compatExt spid="_x0000_s79256"/>
                </a:ext>
                <a:ext uri="{FF2B5EF4-FFF2-40B4-BE49-F238E27FC236}">
                  <a16:creationId xmlns:a16="http://schemas.microsoft.com/office/drawing/2014/main" id="{00000000-0008-0000-0700-000098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198</xdr:row>
          <xdr:rowOff>85725</xdr:rowOff>
        </xdr:from>
        <xdr:to>
          <xdr:col>6</xdr:col>
          <xdr:colOff>123825</xdr:colOff>
          <xdr:row>200</xdr:row>
          <xdr:rowOff>38100</xdr:rowOff>
        </xdr:to>
        <xdr:sp macro="" textlink="">
          <xdr:nvSpPr>
            <xdr:cNvPr id="79257" name="Check Box 409" hidden="1">
              <a:extLst>
                <a:ext uri="{63B3BB69-23CF-44E3-9099-C40C66FF867C}">
                  <a14:compatExt spid="_x0000_s79257"/>
                </a:ext>
                <a:ext uri="{FF2B5EF4-FFF2-40B4-BE49-F238E27FC236}">
                  <a16:creationId xmlns:a16="http://schemas.microsoft.com/office/drawing/2014/main" id="{00000000-0008-0000-0700-000099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199</xdr:row>
          <xdr:rowOff>85725</xdr:rowOff>
        </xdr:from>
        <xdr:to>
          <xdr:col>6</xdr:col>
          <xdr:colOff>123825</xdr:colOff>
          <xdr:row>201</xdr:row>
          <xdr:rowOff>38100</xdr:rowOff>
        </xdr:to>
        <xdr:sp macro="" textlink="">
          <xdr:nvSpPr>
            <xdr:cNvPr id="79258" name="Check Box 410" hidden="1">
              <a:extLst>
                <a:ext uri="{63B3BB69-23CF-44E3-9099-C40C66FF867C}">
                  <a14:compatExt spid="_x0000_s79258"/>
                </a:ext>
                <a:ext uri="{FF2B5EF4-FFF2-40B4-BE49-F238E27FC236}">
                  <a16:creationId xmlns:a16="http://schemas.microsoft.com/office/drawing/2014/main" id="{00000000-0008-0000-0700-00009A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236</xdr:row>
          <xdr:rowOff>85725</xdr:rowOff>
        </xdr:from>
        <xdr:to>
          <xdr:col>6</xdr:col>
          <xdr:colOff>123825</xdr:colOff>
          <xdr:row>238</xdr:row>
          <xdr:rowOff>38100</xdr:rowOff>
        </xdr:to>
        <xdr:sp macro="" textlink="">
          <xdr:nvSpPr>
            <xdr:cNvPr id="79259" name="Check Box 411" hidden="1">
              <a:extLst>
                <a:ext uri="{63B3BB69-23CF-44E3-9099-C40C66FF867C}">
                  <a14:compatExt spid="_x0000_s79259"/>
                </a:ext>
                <a:ext uri="{FF2B5EF4-FFF2-40B4-BE49-F238E27FC236}">
                  <a16:creationId xmlns:a16="http://schemas.microsoft.com/office/drawing/2014/main" id="{00000000-0008-0000-0700-00009B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38100</xdr:colOff>
          <xdr:row>33</xdr:row>
          <xdr:rowOff>28575</xdr:rowOff>
        </xdr:from>
        <xdr:to>
          <xdr:col>10</xdr:col>
          <xdr:colOff>1038225</xdr:colOff>
          <xdr:row>33</xdr:row>
          <xdr:rowOff>180975</xdr:rowOff>
        </xdr:to>
        <xdr:sp macro="" textlink="">
          <xdr:nvSpPr>
            <xdr:cNvPr id="79260" name="Button 412" hidden="1">
              <a:extLst>
                <a:ext uri="{63B3BB69-23CF-44E3-9099-C40C66FF867C}">
                  <a14:compatExt spid="_x0000_s79260"/>
                </a:ext>
                <a:ext uri="{FF2B5EF4-FFF2-40B4-BE49-F238E27FC236}">
                  <a16:creationId xmlns:a16="http://schemas.microsoft.com/office/drawing/2014/main" id="{00000000-0008-0000-0700-00009C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Start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38100</xdr:colOff>
          <xdr:row>34</xdr:row>
          <xdr:rowOff>28575</xdr:rowOff>
        </xdr:from>
        <xdr:to>
          <xdr:col>10</xdr:col>
          <xdr:colOff>1038225</xdr:colOff>
          <xdr:row>34</xdr:row>
          <xdr:rowOff>180975</xdr:rowOff>
        </xdr:to>
        <xdr:sp macro="" textlink="">
          <xdr:nvSpPr>
            <xdr:cNvPr id="79261" name="Button 413" hidden="1">
              <a:extLst>
                <a:ext uri="{63B3BB69-23CF-44E3-9099-C40C66FF867C}">
                  <a14:compatExt spid="_x0000_s79261"/>
                </a:ext>
                <a:ext uri="{FF2B5EF4-FFF2-40B4-BE49-F238E27FC236}">
                  <a16:creationId xmlns:a16="http://schemas.microsoft.com/office/drawing/2014/main" id="{00000000-0008-0000-0700-00009D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Stop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38100</xdr:colOff>
          <xdr:row>35</xdr:row>
          <xdr:rowOff>28575</xdr:rowOff>
        </xdr:from>
        <xdr:to>
          <xdr:col>10</xdr:col>
          <xdr:colOff>1038225</xdr:colOff>
          <xdr:row>35</xdr:row>
          <xdr:rowOff>180975</xdr:rowOff>
        </xdr:to>
        <xdr:sp macro="" textlink="">
          <xdr:nvSpPr>
            <xdr:cNvPr id="79262" name="Button 414" hidden="1">
              <a:extLst>
                <a:ext uri="{63B3BB69-23CF-44E3-9099-C40C66FF867C}">
                  <a14:compatExt spid="_x0000_s79262"/>
                </a:ext>
                <a:ext uri="{FF2B5EF4-FFF2-40B4-BE49-F238E27FC236}">
                  <a16:creationId xmlns:a16="http://schemas.microsoft.com/office/drawing/2014/main" id="{00000000-0008-0000-0700-00009E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  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1085850</xdr:colOff>
          <xdr:row>33</xdr:row>
          <xdr:rowOff>28575</xdr:rowOff>
        </xdr:from>
        <xdr:to>
          <xdr:col>10</xdr:col>
          <xdr:colOff>2085975</xdr:colOff>
          <xdr:row>33</xdr:row>
          <xdr:rowOff>180975</xdr:rowOff>
        </xdr:to>
        <xdr:sp macro="" textlink="">
          <xdr:nvSpPr>
            <xdr:cNvPr id="79263" name="Button 415" hidden="1">
              <a:extLst>
                <a:ext uri="{63B3BB69-23CF-44E3-9099-C40C66FF867C}">
                  <a14:compatExt spid="_x0000_s79263"/>
                </a:ext>
                <a:ext uri="{FF2B5EF4-FFF2-40B4-BE49-F238E27FC236}">
                  <a16:creationId xmlns:a16="http://schemas.microsoft.com/office/drawing/2014/main" id="{00000000-0008-0000-0700-00009F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CopyPass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1085850</xdr:colOff>
          <xdr:row>34</xdr:row>
          <xdr:rowOff>28575</xdr:rowOff>
        </xdr:from>
        <xdr:to>
          <xdr:col>10</xdr:col>
          <xdr:colOff>2085975</xdr:colOff>
          <xdr:row>34</xdr:row>
          <xdr:rowOff>180975</xdr:rowOff>
        </xdr:to>
        <xdr:sp macro="" textlink="">
          <xdr:nvSpPr>
            <xdr:cNvPr id="79264" name="Button 416" hidden="1">
              <a:extLst>
                <a:ext uri="{63B3BB69-23CF-44E3-9099-C40C66FF867C}">
                  <a14:compatExt spid="_x0000_s79264"/>
                </a:ext>
                <a:ext uri="{FF2B5EF4-FFF2-40B4-BE49-F238E27FC236}">
                  <a16:creationId xmlns:a16="http://schemas.microsoft.com/office/drawing/2014/main" id="{00000000-0008-0000-0700-0000A0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New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1085850</xdr:colOff>
          <xdr:row>35</xdr:row>
          <xdr:rowOff>28575</xdr:rowOff>
        </xdr:from>
        <xdr:to>
          <xdr:col>10</xdr:col>
          <xdr:colOff>2085975</xdr:colOff>
          <xdr:row>35</xdr:row>
          <xdr:rowOff>180975</xdr:rowOff>
        </xdr:to>
        <xdr:sp macro="" textlink="">
          <xdr:nvSpPr>
            <xdr:cNvPr id="79265" name="Button 417" hidden="1">
              <a:extLst>
                <a:ext uri="{63B3BB69-23CF-44E3-9099-C40C66FF867C}">
                  <a14:compatExt spid="_x0000_s79265"/>
                </a:ext>
                <a:ext uri="{FF2B5EF4-FFF2-40B4-BE49-F238E27FC236}">
                  <a16:creationId xmlns:a16="http://schemas.microsoft.com/office/drawing/2014/main" id="{00000000-0008-0000-0700-0000A1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  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2133600</xdr:colOff>
          <xdr:row>33</xdr:row>
          <xdr:rowOff>28575</xdr:rowOff>
        </xdr:from>
        <xdr:to>
          <xdr:col>10</xdr:col>
          <xdr:colOff>3133725</xdr:colOff>
          <xdr:row>33</xdr:row>
          <xdr:rowOff>180975</xdr:rowOff>
        </xdr:to>
        <xdr:sp macro="" textlink="">
          <xdr:nvSpPr>
            <xdr:cNvPr id="79266" name="Button 418" hidden="1">
              <a:extLst>
                <a:ext uri="{63B3BB69-23CF-44E3-9099-C40C66FF867C}">
                  <a14:compatExt spid="_x0000_s79266"/>
                </a:ext>
                <a:ext uri="{FF2B5EF4-FFF2-40B4-BE49-F238E27FC236}">
                  <a16:creationId xmlns:a16="http://schemas.microsoft.com/office/drawing/2014/main" id="{00000000-0008-0000-0700-0000A2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Hide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2133600</xdr:colOff>
          <xdr:row>34</xdr:row>
          <xdr:rowOff>28575</xdr:rowOff>
        </xdr:from>
        <xdr:to>
          <xdr:col>10</xdr:col>
          <xdr:colOff>3133725</xdr:colOff>
          <xdr:row>34</xdr:row>
          <xdr:rowOff>180975</xdr:rowOff>
        </xdr:to>
        <xdr:sp macro="" textlink="">
          <xdr:nvSpPr>
            <xdr:cNvPr id="79267" name="Button 419" hidden="1">
              <a:extLst>
                <a:ext uri="{63B3BB69-23CF-44E3-9099-C40C66FF867C}">
                  <a14:compatExt spid="_x0000_s79267"/>
                </a:ext>
                <a:ext uri="{FF2B5EF4-FFF2-40B4-BE49-F238E27FC236}">
                  <a16:creationId xmlns:a16="http://schemas.microsoft.com/office/drawing/2014/main" id="{00000000-0008-0000-0700-0000A3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Open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2133600</xdr:colOff>
          <xdr:row>35</xdr:row>
          <xdr:rowOff>28575</xdr:rowOff>
        </xdr:from>
        <xdr:to>
          <xdr:col>10</xdr:col>
          <xdr:colOff>3133725</xdr:colOff>
          <xdr:row>35</xdr:row>
          <xdr:rowOff>180975</xdr:rowOff>
        </xdr:to>
        <xdr:sp macro="" textlink="">
          <xdr:nvSpPr>
            <xdr:cNvPr id="79268" name="Button 420" hidden="1">
              <a:extLst>
                <a:ext uri="{63B3BB69-23CF-44E3-9099-C40C66FF867C}">
                  <a14:compatExt spid="_x0000_s79268"/>
                </a:ext>
                <a:ext uri="{FF2B5EF4-FFF2-40B4-BE49-F238E27FC236}">
                  <a16:creationId xmlns:a16="http://schemas.microsoft.com/office/drawing/2014/main" id="{00000000-0008-0000-0700-0000A4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  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37</xdr:row>
          <xdr:rowOff>85725</xdr:rowOff>
        </xdr:from>
        <xdr:to>
          <xdr:col>34</xdr:col>
          <xdr:colOff>304800</xdr:colOff>
          <xdr:row>39</xdr:row>
          <xdr:rowOff>38100</xdr:rowOff>
        </xdr:to>
        <xdr:sp macro="" textlink="">
          <xdr:nvSpPr>
            <xdr:cNvPr id="79269" name="Check Box 421" hidden="1">
              <a:extLst>
                <a:ext uri="{63B3BB69-23CF-44E3-9099-C40C66FF867C}">
                  <a14:compatExt spid="_x0000_s79269"/>
                </a:ext>
                <a:ext uri="{FF2B5EF4-FFF2-40B4-BE49-F238E27FC236}">
                  <a16:creationId xmlns:a16="http://schemas.microsoft.com/office/drawing/2014/main" id="{00000000-0008-0000-0700-0000A5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333333" mc:Ignorable="a14" a14:legacySpreadsheetColorIndex="63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38</xdr:row>
          <xdr:rowOff>85725</xdr:rowOff>
        </xdr:from>
        <xdr:to>
          <xdr:col>34</xdr:col>
          <xdr:colOff>304800</xdr:colOff>
          <xdr:row>40</xdr:row>
          <xdr:rowOff>38100</xdr:rowOff>
        </xdr:to>
        <xdr:sp macro="" textlink="">
          <xdr:nvSpPr>
            <xdr:cNvPr id="79270" name="Check Box 422" hidden="1">
              <a:extLst>
                <a:ext uri="{63B3BB69-23CF-44E3-9099-C40C66FF867C}">
                  <a14:compatExt spid="_x0000_s79270"/>
                </a:ext>
                <a:ext uri="{FF2B5EF4-FFF2-40B4-BE49-F238E27FC236}">
                  <a16:creationId xmlns:a16="http://schemas.microsoft.com/office/drawing/2014/main" id="{00000000-0008-0000-0700-0000A6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39</xdr:row>
          <xdr:rowOff>85725</xdr:rowOff>
        </xdr:from>
        <xdr:to>
          <xdr:col>34</xdr:col>
          <xdr:colOff>304800</xdr:colOff>
          <xdr:row>41</xdr:row>
          <xdr:rowOff>38100</xdr:rowOff>
        </xdr:to>
        <xdr:sp macro="" textlink="">
          <xdr:nvSpPr>
            <xdr:cNvPr id="79271" name="Check Box 423" hidden="1">
              <a:extLst>
                <a:ext uri="{63B3BB69-23CF-44E3-9099-C40C66FF867C}">
                  <a14:compatExt spid="_x0000_s79271"/>
                </a:ext>
                <a:ext uri="{FF2B5EF4-FFF2-40B4-BE49-F238E27FC236}">
                  <a16:creationId xmlns:a16="http://schemas.microsoft.com/office/drawing/2014/main" id="{00000000-0008-0000-0700-0000A7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40</xdr:row>
          <xdr:rowOff>85725</xdr:rowOff>
        </xdr:from>
        <xdr:to>
          <xdr:col>34</xdr:col>
          <xdr:colOff>304800</xdr:colOff>
          <xdr:row>42</xdr:row>
          <xdr:rowOff>38100</xdr:rowOff>
        </xdr:to>
        <xdr:sp macro="" textlink="">
          <xdr:nvSpPr>
            <xdr:cNvPr id="79272" name="Check Box 424" hidden="1">
              <a:extLst>
                <a:ext uri="{63B3BB69-23CF-44E3-9099-C40C66FF867C}">
                  <a14:compatExt spid="_x0000_s79272"/>
                </a:ext>
                <a:ext uri="{FF2B5EF4-FFF2-40B4-BE49-F238E27FC236}">
                  <a16:creationId xmlns:a16="http://schemas.microsoft.com/office/drawing/2014/main" id="{00000000-0008-0000-0700-0000A8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41</xdr:row>
          <xdr:rowOff>85725</xdr:rowOff>
        </xdr:from>
        <xdr:to>
          <xdr:col>34</xdr:col>
          <xdr:colOff>304800</xdr:colOff>
          <xdr:row>43</xdr:row>
          <xdr:rowOff>38100</xdr:rowOff>
        </xdr:to>
        <xdr:sp macro="" textlink="">
          <xdr:nvSpPr>
            <xdr:cNvPr id="79273" name="Check Box 425" hidden="1">
              <a:extLst>
                <a:ext uri="{63B3BB69-23CF-44E3-9099-C40C66FF867C}">
                  <a14:compatExt spid="_x0000_s79273"/>
                </a:ext>
                <a:ext uri="{FF2B5EF4-FFF2-40B4-BE49-F238E27FC236}">
                  <a16:creationId xmlns:a16="http://schemas.microsoft.com/office/drawing/2014/main" id="{00000000-0008-0000-0700-0000A9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42</xdr:row>
          <xdr:rowOff>85725</xdr:rowOff>
        </xdr:from>
        <xdr:to>
          <xdr:col>34</xdr:col>
          <xdr:colOff>304800</xdr:colOff>
          <xdr:row>44</xdr:row>
          <xdr:rowOff>38100</xdr:rowOff>
        </xdr:to>
        <xdr:sp macro="" textlink="">
          <xdr:nvSpPr>
            <xdr:cNvPr id="79274" name="Check Box 426" hidden="1">
              <a:extLst>
                <a:ext uri="{63B3BB69-23CF-44E3-9099-C40C66FF867C}">
                  <a14:compatExt spid="_x0000_s79274"/>
                </a:ext>
                <a:ext uri="{FF2B5EF4-FFF2-40B4-BE49-F238E27FC236}">
                  <a16:creationId xmlns:a16="http://schemas.microsoft.com/office/drawing/2014/main" id="{00000000-0008-0000-0700-0000AA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43</xdr:row>
          <xdr:rowOff>85725</xdr:rowOff>
        </xdr:from>
        <xdr:to>
          <xdr:col>34</xdr:col>
          <xdr:colOff>304800</xdr:colOff>
          <xdr:row>45</xdr:row>
          <xdr:rowOff>38100</xdr:rowOff>
        </xdr:to>
        <xdr:sp macro="" textlink="">
          <xdr:nvSpPr>
            <xdr:cNvPr id="79275" name="Check Box 427" hidden="1">
              <a:extLst>
                <a:ext uri="{63B3BB69-23CF-44E3-9099-C40C66FF867C}">
                  <a14:compatExt spid="_x0000_s79275"/>
                </a:ext>
                <a:ext uri="{FF2B5EF4-FFF2-40B4-BE49-F238E27FC236}">
                  <a16:creationId xmlns:a16="http://schemas.microsoft.com/office/drawing/2014/main" id="{00000000-0008-0000-0700-0000AB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44</xdr:row>
          <xdr:rowOff>85725</xdr:rowOff>
        </xdr:from>
        <xdr:to>
          <xdr:col>34</xdr:col>
          <xdr:colOff>304800</xdr:colOff>
          <xdr:row>46</xdr:row>
          <xdr:rowOff>38100</xdr:rowOff>
        </xdr:to>
        <xdr:sp macro="" textlink="">
          <xdr:nvSpPr>
            <xdr:cNvPr id="79276" name="Check Box 428" hidden="1">
              <a:extLst>
                <a:ext uri="{63B3BB69-23CF-44E3-9099-C40C66FF867C}">
                  <a14:compatExt spid="_x0000_s79276"/>
                </a:ext>
                <a:ext uri="{FF2B5EF4-FFF2-40B4-BE49-F238E27FC236}">
                  <a16:creationId xmlns:a16="http://schemas.microsoft.com/office/drawing/2014/main" id="{00000000-0008-0000-0700-0000AC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45</xdr:row>
          <xdr:rowOff>85725</xdr:rowOff>
        </xdr:from>
        <xdr:to>
          <xdr:col>34</xdr:col>
          <xdr:colOff>304800</xdr:colOff>
          <xdr:row>47</xdr:row>
          <xdr:rowOff>38100</xdr:rowOff>
        </xdr:to>
        <xdr:sp macro="" textlink="">
          <xdr:nvSpPr>
            <xdr:cNvPr id="79277" name="Check Box 429" hidden="1">
              <a:extLst>
                <a:ext uri="{63B3BB69-23CF-44E3-9099-C40C66FF867C}">
                  <a14:compatExt spid="_x0000_s79277"/>
                </a:ext>
                <a:ext uri="{FF2B5EF4-FFF2-40B4-BE49-F238E27FC236}">
                  <a16:creationId xmlns:a16="http://schemas.microsoft.com/office/drawing/2014/main" id="{00000000-0008-0000-0700-0000AD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46</xdr:row>
          <xdr:rowOff>85725</xdr:rowOff>
        </xdr:from>
        <xdr:to>
          <xdr:col>34</xdr:col>
          <xdr:colOff>304800</xdr:colOff>
          <xdr:row>48</xdr:row>
          <xdr:rowOff>38100</xdr:rowOff>
        </xdr:to>
        <xdr:sp macro="" textlink="">
          <xdr:nvSpPr>
            <xdr:cNvPr id="79278" name="Check Box 430" hidden="1">
              <a:extLst>
                <a:ext uri="{63B3BB69-23CF-44E3-9099-C40C66FF867C}">
                  <a14:compatExt spid="_x0000_s79278"/>
                </a:ext>
                <a:ext uri="{FF2B5EF4-FFF2-40B4-BE49-F238E27FC236}">
                  <a16:creationId xmlns:a16="http://schemas.microsoft.com/office/drawing/2014/main" id="{00000000-0008-0000-0700-0000AE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47</xdr:row>
          <xdr:rowOff>85725</xdr:rowOff>
        </xdr:from>
        <xdr:to>
          <xdr:col>34</xdr:col>
          <xdr:colOff>304800</xdr:colOff>
          <xdr:row>49</xdr:row>
          <xdr:rowOff>38100</xdr:rowOff>
        </xdr:to>
        <xdr:sp macro="" textlink="">
          <xdr:nvSpPr>
            <xdr:cNvPr id="79279" name="Check Box 431" hidden="1">
              <a:extLst>
                <a:ext uri="{63B3BB69-23CF-44E3-9099-C40C66FF867C}">
                  <a14:compatExt spid="_x0000_s79279"/>
                </a:ext>
                <a:ext uri="{FF2B5EF4-FFF2-40B4-BE49-F238E27FC236}">
                  <a16:creationId xmlns:a16="http://schemas.microsoft.com/office/drawing/2014/main" id="{00000000-0008-0000-0700-0000AF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50</xdr:row>
          <xdr:rowOff>85725</xdr:rowOff>
        </xdr:from>
        <xdr:to>
          <xdr:col>34</xdr:col>
          <xdr:colOff>304800</xdr:colOff>
          <xdr:row>52</xdr:row>
          <xdr:rowOff>38100</xdr:rowOff>
        </xdr:to>
        <xdr:sp macro="" textlink="">
          <xdr:nvSpPr>
            <xdr:cNvPr id="79280" name="Check Box 432" hidden="1">
              <a:extLst>
                <a:ext uri="{63B3BB69-23CF-44E3-9099-C40C66FF867C}">
                  <a14:compatExt spid="_x0000_s79280"/>
                </a:ext>
                <a:ext uri="{FF2B5EF4-FFF2-40B4-BE49-F238E27FC236}">
                  <a16:creationId xmlns:a16="http://schemas.microsoft.com/office/drawing/2014/main" id="{00000000-0008-0000-0700-0000B0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51</xdr:row>
          <xdr:rowOff>85725</xdr:rowOff>
        </xdr:from>
        <xdr:to>
          <xdr:col>34</xdr:col>
          <xdr:colOff>304800</xdr:colOff>
          <xdr:row>53</xdr:row>
          <xdr:rowOff>38100</xdr:rowOff>
        </xdr:to>
        <xdr:sp macro="" textlink="">
          <xdr:nvSpPr>
            <xdr:cNvPr id="79281" name="Check Box 433" hidden="1">
              <a:extLst>
                <a:ext uri="{63B3BB69-23CF-44E3-9099-C40C66FF867C}">
                  <a14:compatExt spid="_x0000_s79281"/>
                </a:ext>
                <a:ext uri="{FF2B5EF4-FFF2-40B4-BE49-F238E27FC236}">
                  <a16:creationId xmlns:a16="http://schemas.microsoft.com/office/drawing/2014/main" id="{00000000-0008-0000-0700-0000B1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52</xdr:row>
          <xdr:rowOff>85725</xdr:rowOff>
        </xdr:from>
        <xdr:to>
          <xdr:col>34</xdr:col>
          <xdr:colOff>304800</xdr:colOff>
          <xdr:row>54</xdr:row>
          <xdr:rowOff>38100</xdr:rowOff>
        </xdr:to>
        <xdr:sp macro="" textlink="">
          <xdr:nvSpPr>
            <xdr:cNvPr id="79282" name="Check Box 434" hidden="1">
              <a:extLst>
                <a:ext uri="{63B3BB69-23CF-44E3-9099-C40C66FF867C}">
                  <a14:compatExt spid="_x0000_s79282"/>
                </a:ext>
                <a:ext uri="{FF2B5EF4-FFF2-40B4-BE49-F238E27FC236}">
                  <a16:creationId xmlns:a16="http://schemas.microsoft.com/office/drawing/2014/main" id="{00000000-0008-0000-0700-0000B2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53</xdr:row>
          <xdr:rowOff>85725</xdr:rowOff>
        </xdr:from>
        <xdr:to>
          <xdr:col>34</xdr:col>
          <xdr:colOff>304800</xdr:colOff>
          <xdr:row>55</xdr:row>
          <xdr:rowOff>38100</xdr:rowOff>
        </xdr:to>
        <xdr:sp macro="" textlink="">
          <xdr:nvSpPr>
            <xdr:cNvPr id="79283" name="Check Box 435" hidden="1">
              <a:extLst>
                <a:ext uri="{63B3BB69-23CF-44E3-9099-C40C66FF867C}">
                  <a14:compatExt spid="_x0000_s79283"/>
                </a:ext>
                <a:ext uri="{FF2B5EF4-FFF2-40B4-BE49-F238E27FC236}">
                  <a16:creationId xmlns:a16="http://schemas.microsoft.com/office/drawing/2014/main" id="{00000000-0008-0000-0700-0000B3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54</xdr:row>
          <xdr:rowOff>85725</xdr:rowOff>
        </xdr:from>
        <xdr:to>
          <xdr:col>34</xdr:col>
          <xdr:colOff>304800</xdr:colOff>
          <xdr:row>56</xdr:row>
          <xdr:rowOff>38100</xdr:rowOff>
        </xdr:to>
        <xdr:sp macro="" textlink="">
          <xdr:nvSpPr>
            <xdr:cNvPr id="79284" name="Check Box 436" hidden="1">
              <a:extLst>
                <a:ext uri="{63B3BB69-23CF-44E3-9099-C40C66FF867C}">
                  <a14:compatExt spid="_x0000_s79284"/>
                </a:ext>
                <a:ext uri="{FF2B5EF4-FFF2-40B4-BE49-F238E27FC236}">
                  <a16:creationId xmlns:a16="http://schemas.microsoft.com/office/drawing/2014/main" id="{00000000-0008-0000-0700-0000B4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55</xdr:row>
          <xdr:rowOff>85725</xdr:rowOff>
        </xdr:from>
        <xdr:to>
          <xdr:col>34</xdr:col>
          <xdr:colOff>304800</xdr:colOff>
          <xdr:row>57</xdr:row>
          <xdr:rowOff>38100</xdr:rowOff>
        </xdr:to>
        <xdr:sp macro="" textlink="">
          <xdr:nvSpPr>
            <xdr:cNvPr id="79285" name="Check Box 437" hidden="1">
              <a:extLst>
                <a:ext uri="{63B3BB69-23CF-44E3-9099-C40C66FF867C}">
                  <a14:compatExt spid="_x0000_s79285"/>
                </a:ext>
                <a:ext uri="{FF2B5EF4-FFF2-40B4-BE49-F238E27FC236}">
                  <a16:creationId xmlns:a16="http://schemas.microsoft.com/office/drawing/2014/main" id="{00000000-0008-0000-0700-0000B5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56</xdr:row>
          <xdr:rowOff>85725</xdr:rowOff>
        </xdr:from>
        <xdr:to>
          <xdr:col>34</xdr:col>
          <xdr:colOff>304800</xdr:colOff>
          <xdr:row>58</xdr:row>
          <xdr:rowOff>38100</xdr:rowOff>
        </xdr:to>
        <xdr:sp macro="" textlink="">
          <xdr:nvSpPr>
            <xdr:cNvPr id="79286" name="Check Box 438" hidden="1">
              <a:extLst>
                <a:ext uri="{63B3BB69-23CF-44E3-9099-C40C66FF867C}">
                  <a14:compatExt spid="_x0000_s79286"/>
                </a:ext>
                <a:ext uri="{FF2B5EF4-FFF2-40B4-BE49-F238E27FC236}">
                  <a16:creationId xmlns:a16="http://schemas.microsoft.com/office/drawing/2014/main" id="{00000000-0008-0000-0700-0000B6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57</xdr:row>
          <xdr:rowOff>85725</xdr:rowOff>
        </xdr:from>
        <xdr:to>
          <xdr:col>34</xdr:col>
          <xdr:colOff>304800</xdr:colOff>
          <xdr:row>59</xdr:row>
          <xdr:rowOff>38100</xdr:rowOff>
        </xdr:to>
        <xdr:sp macro="" textlink="">
          <xdr:nvSpPr>
            <xdr:cNvPr id="79287" name="Check Box 439" hidden="1">
              <a:extLst>
                <a:ext uri="{63B3BB69-23CF-44E3-9099-C40C66FF867C}">
                  <a14:compatExt spid="_x0000_s79287"/>
                </a:ext>
                <a:ext uri="{FF2B5EF4-FFF2-40B4-BE49-F238E27FC236}">
                  <a16:creationId xmlns:a16="http://schemas.microsoft.com/office/drawing/2014/main" id="{00000000-0008-0000-0700-0000B7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58</xdr:row>
          <xdr:rowOff>85725</xdr:rowOff>
        </xdr:from>
        <xdr:to>
          <xdr:col>34</xdr:col>
          <xdr:colOff>304800</xdr:colOff>
          <xdr:row>60</xdr:row>
          <xdr:rowOff>38100</xdr:rowOff>
        </xdr:to>
        <xdr:sp macro="" textlink="">
          <xdr:nvSpPr>
            <xdr:cNvPr id="79288" name="Check Box 440" hidden="1">
              <a:extLst>
                <a:ext uri="{63B3BB69-23CF-44E3-9099-C40C66FF867C}">
                  <a14:compatExt spid="_x0000_s79288"/>
                </a:ext>
                <a:ext uri="{FF2B5EF4-FFF2-40B4-BE49-F238E27FC236}">
                  <a16:creationId xmlns:a16="http://schemas.microsoft.com/office/drawing/2014/main" id="{00000000-0008-0000-0700-0000B8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59</xdr:row>
          <xdr:rowOff>85725</xdr:rowOff>
        </xdr:from>
        <xdr:to>
          <xdr:col>34</xdr:col>
          <xdr:colOff>304800</xdr:colOff>
          <xdr:row>61</xdr:row>
          <xdr:rowOff>38100</xdr:rowOff>
        </xdr:to>
        <xdr:sp macro="" textlink="">
          <xdr:nvSpPr>
            <xdr:cNvPr id="79289" name="Check Box 441" hidden="1">
              <a:extLst>
                <a:ext uri="{63B3BB69-23CF-44E3-9099-C40C66FF867C}">
                  <a14:compatExt spid="_x0000_s79289"/>
                </a:ext>
                <a:ext uri="{FF2B5EF4-FFF2-40B4-BE49-F238E27FC236}">
                  <a16:creationId xmlns:a16="http://schemas.microsoft.com/office/drawing/2014/main" id="{00000000-0008-0000-0700-0000B9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60</xdr:row>
          <xdr:rowOff>85725</xdr:rowOff>
        </xdr:from>
        <xdr:to>
          <xdr:col>34</xdr:col>
          <xdr:colOff>304800</xdr:colOff>
          <xdr:row>62</xdr:row>
          <xdr:rowOff>38100</xdr:rowOff>
        </xdr:to>
        <xdr:sp macro="" textlink="">
          <xdr:nvSpPr>
            <xdr:cNvPr id="79290" name="Check Box 442" hidden="1">
              <a:extLst>
                <a:ext uri="{63B3BB69-23CF-44E3-9099-C40C66FF867C}">
                  <a14:compatExt spid="_x0000_s79290"/>
                </a:ext>
                <a:ext uri="{FF2B5EF4-FFF2-40B4-BE49-F238E27FC236}">
                  <a16:creationId xmlns:a16="http://schemas.microsoft.com/office/drawing/2014/main" id="{00000000-0008-0000-0700-0000BA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61</xdr:row>
          <xdr:rowOff>85725</xdr:rowOff>
        </xdr:from>
        <xdr:to>
          <xdr:col>34</xdr:col>
          <xdr:colOff>304800</xdr:colOff>
          <xdr:row>63</xdr:row>
          <xdr:rowOff>38100</xdr:rowOff>
        </xdr:to>
        <xdr:sp macro="" textlink="">
          <xdr:nvSpPr>
            <xdr:cNvPr id="79291" name="Check Box 443" hidden="1">
              <a:extLst>
                <a:ext uri="{63B3BB69-23CF-44E3-9099-C40C66FF867C}">
                  <a14:compatExt spid="_x0000_s79291"/>
                </a:ext>
                <a:ext uri="{FF2B5EF4-FFF2-40B4-BE49-F238E27FC236}">
                  <a16:creationId xmlns:a16="http://schemas.microsoft.com/office/drawing/2014/main" id="{00000000-0008-0000-0700-0000BB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62</xdr:row>
          <xdr:rowOff>85725</xdr:rowOff>
        </xdr:from>
        <xdr:to>
          <xdr:col>34</xdr:col>
          <xdr:colOff>304800</xdr:colOff>
          <xdr:row>64</xdr:row>
          <xdr:rowOff>38100</xdr:rowOff>
        </xdr:to>
        <xdr:sp macro="" textlink="">
          <xdr:nvSpPr>
            <xdr:cNvPr id="79292" name="Check Box 444" hidden="1">
              <a:extLst>
                <a:ext uri="{63B3BB69-23CF-44E3-9099-C40C66FF867C}">
                  <a14:compatExt spid="_x0000_s79292"/>
                </a:ext>
                <a:ext uri="{FF2B5EF4-FFF2-40B4-BE49-F238E27FC236}">
                  <a16:creationId xmlns:a16="http://schemas.microsoft.com/office/drawing/2014/main" id="{00000000-0008-0000-0700-0000BC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63</xdr:row>
          <xdr:rowOff>85725</xdr:rowOff>
        </xdr:from>
        <xdr:to>
          <xdr:col>34</xdr:col>
          <xdr:colOff>304800</xdr:colOff>
          <xdr:row>65</xdr:row>
          <xdr:rowOff>38100</xdr:rowOff>
        </xdr:to>
        <xdr:sp macro="" textlink="">
          <xdr:nvSpPr>
            <xdr:cNvPr id="79293" name="Check Box 445" hidden="1">
              <a:extLst>
                <a:ext uri="{63B3BB69-23CF-44E3-9099-C40C66FF867C}">
                  <a14:compatExt spid="_x0000_s79293"/>
                </a:ext>
                <a:ext uri="{FF2B5EF4-FFF2-40B4-BE49-F238E27FC236}">
                  <a16:creationId xmlns:a16="http://schemas.microsoft.com/office/drawing/2014/main" id="{00000000-0008-0000-0700-0000BD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64</xdr:row>
          <xdr:rowOff>85725</xdr:rowOff>
        </xdr:from>
        <xdr:to>
          <xdr:col>34</xdr:col>
          <xdr:colOff>304800</xdr:colOff>
          <xdr:row>66</xdr:row>
          <xdr:rowOff>38100</xdr:rowOff>
        </xdr:to>
        <xdr:sp macro="" textlink="">
          <xdr:nvSpPr>
            <xdr:cNvPr id="79294" name="Check Box 446" hidden="1">
              <a:extLst>
                <a:ext uri="{63B3BB69-23CF-44E3-9099-C40C66FF867C}">
                  <a14:compatExt spid="_x0000_s79294"/>
                </a:ext>
                <a:ext uri="{FF2B5EF4-FFF2-40B4-BE49-F238E27FC236}">
                  <a16:creationId xmlns:a16="http://schemas.microsoft.com/office/drawing/2014/main" id="{00000000-0008-0000-0700-0000BE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65</xdr:row>
          <xdr:rowOff>85725</xdr:rowOff>
        </xdr:from>
        <xdr:to>
          <xdr:col>34</xdr:col>
          <xdr:colOff>304800</xdr:colOff>
          <xdr:row>67</xdr:row>
          <xdr:rowOff>38100</xdr:rowOff>
        </xdr:to>
        <xdr:sp macro="" textlink="">
          <xdr:nvSpPr>
            <xdr:cNvPr id="79295" name="Check Box 447" hidden="1">
              <a:extLst>
                <a:ext uri="{63B3BB69-23CF-44E3-9099-C40C66FF867C}">
                  <a14:compatExt spid="_x0000_s79295"/>
                </a:ext>
                <a:ext uri="{FF2B5EF4-FFF2-40B4-BE49-F238E27FC236}">
                  <a16:creationId xmlns:a16="http://schemas.microsoft.com/office/drawing/2014/main" id="{00000000-0008-0000-0700-0000BF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66</xdr:row>
          <xdr:rowOff>85725</xdr:rowOff>
        </xdr:from>
        <xdr:to>
          <xdr:col>34</xdr:col>
          <xdr:colOff>304800</xdr:colOff>
          <xdr:row>68</xdr:row>
          <xdr:rowOff>38100</xdr:rowOff>
        </xdr:to>
        <xdr:sp macro="" textlink="">
          <xdr:nvSpPr>
            <xdr:cNvPr id="79296" name="Check Box 448" hidden="1">
              <a:extLst>
                <a:ext uri="{63B3BB69-23CF-44E3-9099-C40C66FF867C}">
                  <a14:compatExt spid="_x0000_s79296"/>
                </a:ext>
                <a:ext uri="{FF2B5EF4-FFF2-40B4-BE49-F238E27FC236}">
                  <a16:creationId xmlns:a16="http://schemas.microsoft.com/office/drawing/2014/main" id="{00000000-0008-0000-0700-0000C0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67</xdr:row>
          <xdr:rowOff>85725</xdr:rowOff>
        </xdr:from>
        <xdr:to>
          <xdr:col>34</xdr:col>
          <xdr:colOff>304800</xdr:colOff>
          <xdr:row>69</xdr:row>
          <xdr:rowOff>38100</xdr:rowOff>
        </xdr:to>
        <xdr:sp macro="" textlink="">
          <xdr:nvSpPr>
            <xdr:cNvPr id="79297" name="Check Box 449" hidden="1">
              <a:extLst>
                <a:ext uri="{63B3BB69-23CF-44E3-9099-C40C66FF867C}">
                  <a14:compatExt spid="_x0000_s79297"/>
                </a:ext>
                <a:ext uri="{FF2B5EF4-FFF2-40B4-BE49-F238E27FC236}">
                  <a16:creationId xmlns:a16="http://schemas.microsoft.com/office/drawing/2014/main" id="{00000000-0008-0000-0700-0000C1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68</xdr:row>
          <xdr:rowOff>85725</xdr:rowOff>
        </xdr:from>
        <xdr:to>
          <xdr:col>34</xdr:col>
          <xdr:colOff>304800</xdr:colOff>
          <xdr:row>70</xdr:row>
          <xdr:rowOff>38100</xdr:rowOff>
        </xdr:to>
        <xdr:sp macro="" textlink="">
          <xdr:nvSpPr>
            <xdr:cNvPr id="79298" name="Check Box 450" hidden="1">
              <a:extLst>
                <a:ext uri="{63B3BB69-23CF-44E3-9099-C40C66FF867C}">
                  <a14:compatExt spid="_x0000_s79298"/>
                </a:ext>
                <a:ext uri="{FF2B5EF4-FFF2-40B4-BE49-F238E27FC236}">
                  <a16:creationId xmlns:a16="http://schemas.microsoft.com/office/drawing/2014/main" id="{00000000-0008-0000-0700-0000C2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69</xdr:row>
          <xdr:rowOff>85725</xdr:rowOff>
        </xdr:from>
        <xdr:to>
          <xdr:col>34</xdr:col>
          <xdr:colOff>304800</xdr:colOff>
          <xdr:row>71</xdr:row>
          <xdr:rowOff>38100</xdr:rowOff>
        </xdr:to>
        <xdr:sp macro="" textlink="">
          <xdr:nvSpPr>
            <xdr:cNvPr id="79299" name="Check Box 451" hidden="1">
              <a:extLst>
                <a:ext uri="{63B3BB69-23CF-44E3-9099-C40C66FF867C}">
                  <a14:compatExt spid="_x0000_s79299"/>
                </a:ext>
                <a:ext uri="{FF2B5EF4-FFF2-40B4-BE49-F238E27FC236}">
                  <a16:creationId xmlns:a16="http://schemas.microsoft.com/office/drawing/2014/main" id="{00000000-0008-0000-0700-0000C3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70</xdr:row>
          <xdr:rowOff>85725</xdr:rowOff>
        </xdr:from>
        <xdr:to>
          <xdr:col>34</xdr:col>
          <xdr:colOff>304800</xdr:colOff>
          <xdr:row>72</xdr:row>
          <xdr:rowOff>38100</xdr:rowOff>
        </xdr:to>
        <xdr:sp macro="" textlink="">
          <xdr:nvSpPr>
            <xdr:cNvPr id="79300" name="Check Box 452" hidden="1">
              <a:extLst>
                <a:ext uri="{63B3BB69-23CF-44E3-9099-C40C66FF867C}">
                  <a14:compatExt spid="_x0000_s79300"/>
                </a:ext>
                <a:ext uri="{FF2B5EF4-FFF2-40B4-BE49-F238E27FC236}">
                  <a16:creationId xmlns:a16="http://schemas.microsoft.com/office/drawing/2014/main" id="{00000000-0008-0000-0700-0000C4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71</xdr:row>
          <xdr:rowOff>85725</xdr:rowOff>
        </xdr:from>
        <xdr:to>
          <xdr:col>34</xdr:col>
          <xdr:colOff>304800</xdr:colOff>
          <xdr:row>73</xdr:row>
          <xdr:rowOff>38100</xdr:rowOff>
        </xdr:to>
        <xdr:sp macro="" textlink="">
          <xdr:nvSpPr>
            <xdr:cNvPr id="79301" name="Check Box 453" hidden="1">
              <a:extLst>
                <a:ext uri="{63B3BB69-23CF-44E3-9099-C40C66FF867C}">
                  <a14:compatExt spid="_x0000_s79301"/>
                </a:ext>
                <a:ext uri="{FF2B5EF4-FFF2-40B4-BE49-F238E27FC236}">
                  <a16:creationId xmlns:a16="http://schemas.microsoft.com/office/drawing/2014/main" id="{00000000-0008-0000-0700-0000C5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72</xdr:row>
          <xdr:rowOff>85725</xdr:rowOff>
        </xdr:from>
        <xdr:to>
          <xdr:col>34</xdr:col>
          <xdr:colOff>304800</xdr:colOff>
          <xdr:row>74</xdr:row>
          <xdr:rowOff>38100</xdr:rowOff>
        </xdr:to>
        <xdr:sp macro="" textlink="">
          <xdr:nvSpPr>
            <xdr:cNvPr id="79302" name="Check Box 454" hidden="1">
              <a:extLst>
                <a:ext uri="{63B3BB69-23CF-44E3-9099-C40C66FF867C}">
                  <a14:compatExt spid="_x0000_s79302"/>
                </a:ext>
                <a:ext uri="{FF2B5EF4-FFF2-40B4-BE49-F238E27FC236}">
                  <a16:creationId xmlns:a16="http://schemas.microsoft.com/office/drawing/2014/main" id="{00000000-0008-0000-0700-0000C6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73</xdr:row>
          <xdr:rowOff>85725</xdr:rowOff>
        </xdr:from>
        <xdr:to>
          <xdr:col>34</xdr:col>
          <xdr:colOff>304800</xdr:colOff>
          <xdr:row>75</xdr:row>
          <xdr:rowOff>38100</xdr:rowOff>
        </xdr:to>
        <xdr:sp macro="" textlink="">
          <xdr:nvSpPr>
            <xdr:cNvPr id="79303" name="Check Box 455" hidden="1">
              <a:extLst>
                <a:ext uri="{63B3BB69-23CF-44E3-9099-C40C66FF867C}">
                  <a14:compatExt spid="_x0000_s79303"/>
                </a:ext>
                <a:ext uri="{FF2B5EF4-FFF2-40B4-BE49-F238E27FC236}">
                  <a16:creationId xmlns:a16="http://schemas.microsoft.com/office/drawing/2014/main" id="{00000000-0008-0000-0700-0000C7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74</xdr:row>
          <xdr:rowOff>85725</xdr:rowOff>
        </xdr:from>
        <xdr:to>
          <xdr:col>34</xdr:col>
          <xdr:colOff>304800</xdr:colOff>
          <xdr:row>76</xdr:row>
          <xdr:rowOff>38100</xdr:rowOff>
        </xdr:to>
        <xdr:sp macro="" textlink="">
          <xdr:nvSpPr>
            <xdr:cNvPr id="79304" name="Check Box 456" hidden="1">
              <a:extLst>
                <a:ext uri="{63B3BB69-23CF-44E3-9099-C40C66FF867C}">
                  <a14:compatExt spid="_x0000_s79304"/>
                </a:ext>
                <a:ext uri="{FF2B5EF4-FFF2-40B4-BE49-F238E27FC236}">
                  <a16:creationId xmlns:a16="http://schemas.microsoft.com/office/drawing/2014/main" id="{00000000-0008-0000-0700-0000C8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75</xdr:row>
          <xdr:rowOff>85725</xdr:rowOff>
        </xdr:from>
        <xdr:to>
          <xdr:col>34</xdr:col>
          <xdr:colOff>304800</xdr:colOff>
          <xdr:row>77</xdr:row>
          <xdr:rowOff>38100</xdr:rowOff>
        </xdr:to>
        <xdr:sp macro="" textlink="">
          <xdr:nvSpPr>
            <xdr:cNvPr id="79305" name="Check Box 457" hidden="1">
              <a:extLst>
                <a:ext uri="{63B3BB69-23CF-44E3-9099-C40C66FF867C}">
                  <a14:compatExt spid="_x0000_s79305"/>
                </a:ext>
                <a:ext uri="{FF2B5EF4-FFF2-40B4-BE49-F238E27FC236}">
                  <a16:creationId xmlns:a16="http://schemas.microsoft.com/office/drawing/2014/main" id="{00000000-0008-0000-0700-0000C9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76</xdr:row>
          <xdr:rowOff>85725</xdr:rowOff>
        </xdr:from>
        <xdr:to>
          <xdr:col>34</xdr:col>
          <xdr:colOff>304800</xdr:colOff>
          <xdr:row>78</xdr:row>
          <xdr:rowOff>38100</xdr:rowOff>
        </xdr:to>
        <xdr:sp macro="" textlink="">
          <xdr:nvSpPr>
            <xdr:cNvPr id="79306" name="Check Box 458" hidden="1">
              <a:extLst>
                <a:ext uri="{63B3BB69-23CF-44E3-9099-C40C66FF867C}">
                  <a14:compatExt spid="_x0000_s79306"/>
                </a:ext>
                <a:ext uri="{FF2B5EF4-FFF2-40B4-BE49-F238E27FC236}">
                  <a16:creationId xmlns:a16="http://schemas.microsoft.com/office/drawing/2014/main" id="{00000000-0008-0000-0700-0000CA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77</xdr:row>
          <xdr:rowOff>85725</xdr:rowOff>
        </xdr:from>
        <xdr:to>
          <xdr:col>34</xdr:col>
          <xdr:colOff>304800</xdr:colOff>
          <xdr:row>79</xdr:row>
          <xdr:rowOff>38100</xdr:rowOff>
        </xdr:to>
        <xdr:sp macro="" textlink="">
          <xdr:nvSpPr>
            <xdr:cNvPr id="79307" name="Check Box 459" hidden="1">
              <a:extLst>
                <a:ext uri="{63B3BB69-23CF-44E3-9099-C40C66FF867C}">
                  <a14:compatExt spid="_x0000_s79307"/>
                </a:ext>
                <a:ext uri="{FF2B5EF4-FFF2-40B4-BE49-F238E27FC236}">
                  <a16:creationId xmlns:a16="http://schemas.microsoft.com/office/drawing/2014/main" id="{00000000-0008-0000-0700-0000CB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78</xdr:row>
          <xdr:rowOff>85725</xdr:rowOff>
        </xdr:from>
        <xdr:to>
          <xdr:col>34</xdr:col>
          <xdr:colOff>304800</xdr:colOff>
          <xdr:row>80</xdr:row>
          <xdr:rowOff>38100</xdr:rowOff>
        </xdr:to>
        <xdr:sp macro="" textlink="">
          <xdr:nvSpPr>
            <xdr:cNvPr id="79308" name="Check Box 460" hidden="1">
              <a:extLst>
                <a:ext uri="{63B3BB69-23CF-44E3-9099-C40C66FF867C}">
                  <a14:compatExt spid="_x0000_s79308"/>
                </a:ext>
                <a:ext uri="{FF2B5EF4-FFF2-40B4-BE49-F238E27FC236}">
                  <a16:creationId xmlns:a16="http://schemas.microsoft.com/office/drawing/2014/main" id="{00000000-0008-0000-0700-0000CC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79</xdr:row>
          <xdr:rowOff>85725</xdr:rowOff>
        </xdr:from>
        <xdr:to>
          <xdr:col>34</xdr:col>
          <xdr:colOff>304800</xdr:colOff>
          <xdr:row>81</xdr:row>
          <xdr:rowOff>38100</xdr:rowOff>
        </xdr:to>
        <xdr:sp macro="" textlink="">
          <xdr:nvSpPr>
            <xdr:cNvPr id="79309" name="Check Box 461" hidden="1">
              <a:extLst>
                <a:ext uri="{63B3BB69-23CF-44E3-9099-C40C66FF867C}">
                  <a14:compatExt spid="_x0000_s79309"/>
                </a:ext>
                <a:ext uri="{FF2B5EF4-FFF2-40B4-BE49-F238E27FC236}">
                  <a16:creationId xmlns:a16="http://schemas.microsoft.com/office/drawing/2014/main" id="{00000000-0008-0000-0700-0000CD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80</xdr:row>
          <xdr:rowOff>85725</xdr:rowOff>
        </xdr:from>
        <xdr:to>
          <xdr:col>34</xdr:col>
          <xdr:colOff>304800</xdr:colOff>
          <xdr:row>82</xdr:row>
          <xdr:rowOff>38100</xdr:rowOff>
        </xdr:to>
        <xdr:sp macro="" textlink="">
          <xdr:nvSpPr>
            <xdr:cNvPr id="79310" name="Check Box 462" hidden="1">
              <a:extLst>
                <a:ext uri="{63B3BB69-23CF-44E3-9099-C40C66FF867C}">
                  <a14:compatExt spid="_x0000_s79310"/>
                </a:ext>
                <a:ext uri="{FF2B5EF4-FFF2-40B4-BE49-F238E27FC236}">
                  <a16:creationId xmlns:a16="http://schemas.microsoft.com/office/drawing/2014/main" id="{00000000-0008-0000-0700-0000CE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81</xdr:row>
          <xdr:rowOff>85725</xdr:rowOff>
        </xdr:from>
        <xdr:to>
          <xdr:col>34</xdr:col>
          <xdr:colOff>304800</xdr:colOff>
          <xdr:row>83</xdr:row>
          <xdr:rowOff>38100</xdr:rowOff>
        </xdr:to>
        <xdr:sp macro="" textlink="">
          <xdr:nvSpPr>
            <xdr:cNvPr id="79311" name="Check Box 463" hidden="1">
              <a:extLst>
                <a:ext uri="{63B3BB69-23CF-44E3-9099-C40C66FF867C}">
                  <a14:compatExt spid="_x0000_s79311"/>
                </a:ext>
                <a:ext uri="{FF2B5EF4-FFF2-40B4-BE49-F238E27FC236}">
                  <a16:creationId xmlns:a16="http://schemas.microsoft.com/office/drawing/2014/main" id="{00000000-0008-0000-0700-0000CF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82</xdr:row>
          <xdr:rowOff>85725</xdr:rowOff>
        </xdr:from>
        <xdr:to>
          <xdr:col>34</xdr:col>
          <xdr:colOff>304800</xdr:colOff>
          <xdr:row>84</xdr:row>
          <xdr:rowOff>38100</xdr:rowOff>
        </xdr:to>
        <xdr:sp macro="" textlink="">
          <xdr:nvSpPr>
            <xdr:cNvPr id="79312" name="Check Box 464" hidden="1">
              <a:extLst>
                <a:ext uri="{63B3BB69-23CF-44E3-9099-C40C66FF867C}">
                  <a14:compatExt spid="_x0000_s79312"/>
                </a:ext>
                <a:ext uri="{FF2B5EF4-FFF2-40B4-BE49-F238E27FC236}">
                  <a16:creationId xmlns:a16="http://schemas.microsoft.com/office/drawing/2014/main" id="{00000000-0008-0000-0700-0000D0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83</xdr:row>
          <xdr:rowOff>85725</xdr:rowOff>
        </xdr:from>
        <xdr:to>
          <xdr:col>34</xdr:col>
          <xdr:colOff>304800</xdr:colOff>
          <xdr:row>85</xdr:row>
          <xdr:rowOff>38100</xdr:rowOff>
        </xdr:to>
        <xdr:sp macro="" textlink="">
          <xdr:nvSpPr>
            <xdr:cNvPr id="79313" name="Check Box 465" hidden="1">
              <a:extLst>
                <a:ext uri="{63B3BB69-23CF-44E3-9099-C40C66FF867C}">
                  <a14:compatExt spid="_x0000_s79313"/>
                </a:ext>
                <a:ext uri="{FF2B5EF4-FFF2-40B4-BE49-F238E27FC236}">
                  <a16:creationId xmlns:a16="http://schemas.microsoft.com/office/drawing/2014/main" id="{00000000-0008-0000-0700-0000D1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84</xdr:row>
          <xdr:rowOff>85725</xdr:rowOff>
        </xdr:from>
        <xdr:to>
          <xdr:col>34</xdr:col>
          <xdr:colOff>304800</xdr:colOff>
          <xdr:row>86</xdr:row>
          <xdr:rowOff>38100</xdr:rowOff>
        </xdr:to>
        <xdr:sp macro="" textlink="">
          <xdr:nvSpPr>
            <xdr:cNvPr id="79314" name="Check Box 466" hidden="1">
              <a:extLst>
                <a:ext uri="{63B3BB69-23CF-44E3-9099-C40C66FF867C}">
                  <a14:compatExt spid="_x0000_s79314"/>
                </a:ext>
                <a:ext uri="{FF2B5EF4-FFF2-40B4-BE49-F238E27FC236}">
                  <a16:creationId xmlns:a16="http://schemas.microsoft.com/office/drawing/2014/main" id="{00000000-0008-0000-0700-0000D2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85</xdr:row>
          <xdr:rowOff>85725</xdr:rowOff>
        </xdr:from>
        <xdr:to>
          <xdr:col>34</xdr:col>
          <xdr:colOff>304800</xdr:colOff>
          <xdr:row>87</xdr:row>
          <xdr:rowOff>38100</xdr:rowOff>
        </xdr:to>
        <xdr:sp macro="" textlink="">
          <xdr:nvSpPr>
            <xdr:cNvPr id="79315" name="Check Box 467" hidden="1">
              <a:extLst>
                <a:ext uri="{63B3BB69-23CF-44E3-9099-C40C66FF867C}">
                  <a14:compatExt spid="_x0000_s79315"/>
                </a:ext>
                <a:ext uri="{FF2B5EF4-FFF2-40B4-BE49-F238E27FC236}">
                  <a16:creationId xmlns:a16="http://schemas.microsoft.com/office/drawing/2014/main" id="{00000000-0008-0000-0700-0000D3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86</xdr:row>
          <xdr:rowOff>85725</xdr:rowOff>
        </xdr:from>
        <xdr:to>
          <xdr:col>34</xdr:col>
          <xdr:colOff>304800</xdr:colOff>
          <xdr:row>88</xdr:row>
          <xdr:rowOff>38100</xdr:rowOff>
        </xdr:to>
        <xdr:sp macro="" textlink="">
          <xdr:nvSpPr>
            <xdr:cNvPr id="79316" name="Check Box 468" hidden="1">
              <a:extLst>
                <a:ext uri="{63B3BB69-23CF-44E3-9099-C40C66FF867C}">
                  <a14:compatExt spid="_x0000_s79316"/>
                </a:ext>
                <a:ext uri="{FF2B5EF4-FFF2-40B4-BE49-F238E27FC236}">
                  <a16:creationId xmlns:a16="http://schemas.microsoft.com/office/drawing/2014/main" id="{00000000-0008-0000-0700-0000D4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48</xdr:row>
          <xdr:rowOff>85725</xdr:rowOff>
        </xdr:from>
        <xdr:to>
          <xdr:col>34</xdr:col>
          <xdr:colOff>304800</xdr:colOff>
          <xdr:row>50</xdr:row>
          <xdr:rowOff>38100</xdr:rowOff>
        </xdr:to>
        <xdr:sp macro="" textlink="">
          <xdr:nvSpPr>
            <xdr:cNvPr id="79317" name="Check Box 469" hidden="1">
              <a:extLst>
                <a:ext uri="{63B3BB69-23CF-44E3-9099-C40C66FF867C}">
                  <a14:compatExt spid="_x0000_s79317"/>
                </a:ext>
                <a:ext uri="{FF2B5EF4-FFF2-40B4-BE49-F238E27FC236}">
                  <a16:creationId xmlns:a16="http://schemas.microsoft.com/office/drawing/2014/main" id="{00000000-0008-0000-0700-0000D5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49</xdr:row>
          <xdr:rowOff>85725</xdr:rowOff>
        </xdr:from>
        <xdr:to>
          <xdr:col>34</xdr:col>
          <xdr:colOff>304800</xdr:colOff>
          <xdr:row>51</xdr:row>
          <xdr:rowOff>38100</xdr:rowOff>
        </xdr:to>
        <xdr:sp macro="" textlink="">
          <xdr:nvSpPr>
            <xdr:cNvPr id="79318" name="Check Box 470" hidden="1">
              <a:extLst>
                <a:ext uri="{63B3BB69-23CF-44E3-9099-C40C66FF867C}">
                  <a14:compatExt spid="_x0000_s79318"/>
                </a:ext>
                <a:ext uri="{FF2B5EF4-FFF2-40B4-BE49-F238E27FC236}">
                  <a16:creationId xmlns:a16="http://schemas.microsoft.com/office/drawing/2014/main" id="{00000000-0008-0000-0700-0000D6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87</xdr:row>
          <xdr:rowOff>85725</xdr:rowOff>
        </xdr:from>
        <xdr:to>
          <xdr:col>34</xdr:col>
          <xdr:colOff>304800</xdr:colOff>
          <xdr:row>89</xdr:row>
          <xdr:rowOff>38100</xdr:rowOff>
        </xdr:to>
        <xdr:sp macro="" textlink="">
          <xdr:nvSpPr>
            <xdr:cNvPr id="79319" name="Check Box 471" hidden="1">
              <a:extLst>
                <a:ext uri="{63B3BB69-23CF-44E3-9099-C40C66FF867C}">
                  <a14:compatExt spid="_x0000_s79319"/>
                </a:ext>
                <a:ext uri="{FF2B5EF4-FFF2-40B4-BE49-F238E27FC236}">
                  <a16:creationId xmlns:a16="http://schemas.microsoft.com/office/drawing/2014/main" id="{00000000-0008-0000-0700-0000D7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88</xdr:row>
          <xdr:rowOff>85725</xdr:rowOff>
        </xdr:from>
        <xdr:to>
          <xdr:col>34</xdr:col>
          <xdr:colOff>304800</xdr:colOff>
          <xdr:row>90</xdr:row>
          <xdr:rowOff>38100</xdr:rowOff>
        </xdr:to>
        <xdr:sp macro="" textlink="">
          <xdr:nvSpPr>
            <xdr:cNvPr id="79320" name="Check Box 472" hidden="1">
              <a:extLst>
                <a:ext uri="{63B3BB69-23CF-44E3-9099-C40C66FF867C}">
                  <a14:compatExt spid="_x0000_s79320"/>
                </a:ext>
                <a:ext uri="{FF2B5EF4-FFF2-40B4-BE49-F238E27FC236}">
                  <a16:creationId xmlns:a16="http://schemas.microsoft.com/office/drawing/2014/main" id="{00000000-0008-0000-0700-0000D8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89</xdr:row>
          <xdr:rowOff>85725</xdr:rowOff>
        </xdr:from>
        <xdr:to>
          <xdr:col>34</xdr:col>
          <xdr:colOff>304800</xdr:colOff>
          <xdr:row>91</xdr:row>
          <xdr:rowOff>38100</xdr:rowOff>
        </xdr:to>
        <xdr:sp macro="" textlink="">
          <xdr:nvSpPr>
            <xdr:cNvPr id="79321" name="Check Box 473" hidden="1">
              <a:extLst>
                <a:ext uri="{63B3BB69-23CF-44E3-9099-C40C66FF867C}">
                  <a14:compatExt spid="_x0000_s79321"/>
                </a:ext>
                <a:ext uri="{FF2B5EF4-FFF2-40B4-BE49-F238E27FC236}">
                  <a16:creationId xmlns:a16="http://schemas.microsoft.com/office/drawing/2014/main" id="{00000000-0008-0000-0700-0000D9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90</xdr:row>
          <xdr:rowOff>85725</xdr:rowOff>
        </xdr:from>
        <xdr:to>
          <xdr:col>34</xdr:col>
          <xdr:colOff>304800</xdr:colOff>
          <xdr:row>92</xdr:row>
          <xdr:rowOff>38100</xdr:rowOff>
        </xdr:to>
        <xdr:sp macro="" textlink="">
          <xdr:nvSpPr>
            <xdr:cNvPr id="79322" name="Check Box 474" hidden="1">
              <a:extLst>
                <a:ext uri="{63B3BB69-23CF-44E3-9099-C40C66FF867C}">
                  <a14:compatExt spid="_x0000_s79322"/>
                </a:ext>
                <a:ext uri="{FF2B5EF4-FFF2-40B4-BE49-F238E27FC236}">
                  <a16:creationId xmlns:a16="http://schemas.microsoft.com/office/drawing/2014/main" id="{00000000-0008-0000-0700-0000DA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91</xdr:row>
          <xdr:rowOff>85725</xdr:rowOff>
        </xdr:from>
        <xdr:to>
          <xdr:col>34</xdr:col>
          <xdr:colOff>304800</xdr:colOff>
          <xdr:row>93</xdr:row>
          <xdr:rowOff>38100</xdr:rowOff>
        </xdr:to>
        <xdr:sp macro="" textlink="">
          <xdr:nvSpPr>
            <xdr:cNvPr id="79323" name="Check Box 475" hidden="1">
              <a:extLst>
                <a:ext uri="{63B3BB69-23CF-44E3-9099-C40C66FF867C}">
                  <a14:compatExt spid="_x0000_s79323"/>
                </a:ext>
                <a:ext uri="{FF2B5EF4-FFF2-40B4-BE49-F238E27FC236}">
                  <a16:creationId xmlns:a16="http://schemas.microsoft.com/office/drawing/2014/main" id="{00000000-0008-0000-0700-0000DB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92</xdr:row>
          <xdr:rowOff>85725</xdr:rowOff>
        </xdr:from>
        <xdr:to>
          <xdr:col>34</xdr:col>
          <xdr:colOff>304800</xdr:colOff>
          <xdr:row>94</xdr:row>
          <xdr:rowOff>38100</xdr:rowOff>
        </xdr:to>
        <xdr:sp macro="" textlink="">
          <xdr:nvSpPr>
            <xdr:cNvPr id="79324" name="Check Box 476" hidden="1">
              <a:extLst>
                <a:ext uri="{63B3BB69-23CF-44E3-9099-C40C66FF867C}">
                  <a14:compatExt spid="_x0000_s79324"/>
                </a:ext>
                <a:ext uri="{FF2B5EF4-FFF2-40B4-BE49-F238E27FC236}">
                  <a16:creationId xmlns:a16="http://schemas.microsoft.com/office/drawing/2014/main" id="{00000000-0008-0000-0700-0000DC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93</xdr:row>
          <xdr:rowOff>85725</xdr:rowOff>
        </xdr:from>
        <xdr:to>
          <xdr:col>34</xdr:col>
          <xdr:colOff>304800</xdr:colOff>
          <xdr:row>95</xdr:row>
          <xdr:rowOff>38100</xdr:rowOff>
        </xdr:to>
        <xdr:sp macro="" textlink="">
          <xdr:nvSpPr>
            <xdr:cNvPr id="79325" name="Check Box 477" hidden="1">
              <a:extLst>
                <a:ext uri="{63B3BB69-23CF-44E3-9099-C40C66FF867C}">
                  <a14:compatExt spid="_x0000_s79325"/>
                </a:ext>
                <a:ext uri="{FF2B5EF4-FFF2-40B4-BE49-F238E27FC236}">
                  <a16:creationId xmlns:a16="http://schemas.microsoft.com/office/drawing/2014/main" id="{00000000-0008-0000-0700-0000DD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94</xdr:row>
          <xdr:rowOff>85725</xdr:rowOff>
        </xdr:from>
        <xdr:to>
          <xdr:col>34</xdr:col>
          <xdr:colOff>304800</xdr:colOff>
          <xdr:row>96</xdr:row>
          <xdr:rowOff>38100</xdr:rowOff>
        </xdr:to>
        <xdr:sp macro="" textlink="">
          <xdr:nvSpPr>
            <xdr:cNvPr id="79326" name="Check Box 478" hidden="1">
              <a:extLst>
                <a:ext uri="{63B3BB69-23CF-44E3-9099-C40C66FF867C}">
                  <a14:compatExt spid="_x0000_s79326"/>
                </a:ext>
                <a:ext uri="{FF2B5EF4-FFF2-40B4-BE49-F238E27FC236}">
                  <a16:creationId xmlns:a16="http://schemas.microsoft.com/office/drawing/2014/main" id="{00000000-0008-0000-0700-0000DE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95</xdr:row>
          <xdr:rowOff>85725</xdr:rowOff>
        </xdr:from>
        <xdr:to>
          <xdr:col>34</xdr:col>
          <xdr:colOff>304800</xdr:colOff>
          <xdr:row>97</xdr:row>
          <xdr:rowOff>38100</xdr:rowOff>
        </xdr:to>
        <xdr:sp macro="" textlink="">
          <xdr:nvSpPr>
            <xdr:cNvPr id="79327" name="Check Box 479" hidden="1">
              <a:extLst>
                <a:ext uri="{63B3BB69-23CF-44E3-9099-C40C66FF867C}">
                  <a14:compatExt spid="_x0000_s79327"/>
                </a:ext>
                <a:ext uri="{FF2B5EF4-FFF2-40B4-BE49-F238E27FC236}">
                  <a16:creationId xmlns:a16="http://schemas.microsoft.com/office/drawing/2014/main" id="{00000000-0008-0000-0700-0000DF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96</xdr:row>
          <xdr:rowOff>85725</xdr:rowOff>
        </xdr:from>
        <xdr:to>
          <xdr:col>34</xdr:col>
          <xdr:colOff>304800</xdr:colOff>
          <xdr:row>98</xdr:row>
          <xdr:rowOff>38100</xdr:rowOff>
        </xdr:to>
        <xdr:sp macro="" textlink="">
          <xdr:nvSpPr>
            <xdr:cNvPr id="79328" name="Check Box 480" hidden="1">
              <a:extLst>
                <a:ext uri="{63B3BB69-23CF-44E3-9099-C40C66FF867C}">
                  <a14:compatExt spid="_x0000_s79328"/>
                </a:ext>
                <a:ext uri="{FF2B5EF4-FFF2-40B4-BE49-F238E27FC236}">
                  <a16:creationId xmlns:a16="http://schemas.microsoft.com/office/drawing/2014/main" id="{00000000-0008-0000-0700-0000E0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97</xdr:row>
          <xdr:rowOff>85725</xdr:rowOff>
        </xdr:from>
        <xdr:to>
          <xdr:col>34</xdr:col>
          <xdr:colOff>304800</xdr:colOff>
          <xdr:row>99</xdr:row>
          <xdr:rowOff>38100</xdr:rowOff>
        </xdr:to>
        <xdr:sp macro="" textlink="">
          <xdr:nvSpPr>
            <xdr:cNvPr id="79329" name="Check Box 481" hidden="1">
              <a:extLst>
                <a:ext uri="{63B3BB69-23CF-44E3-9099-C40C66FF867C}">
                  <a14:compatExt spid="_x0000_s79329"/>
                </a:ext>
                <a:ext uri="{FF2B5EF4-FFF2-40B4-BE49-F238E27FC236}">
                  <a16:creationId xmlns:a16="http://schemas.microsoft.com/office/drawing/2014/main" id="{00000000-0008-0000-0700-0000E1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100</xdr:row>
          <xdr:rowOff>85725</xdr:rowOff>
        </xdr:from>
        <xdr:to>
          <xdr:col>34</xdr:col>
          <xdr:colOff>304800</xdr:colOff>
          <xdr:row>102</xdr:row>
          <xdr:rowOff>38100</xdr:rowOff>
        </xdr:to>
        <xdr:sp macro="" textlink="">
          <xdr:nvSpPr>
            <xdr:cNvPr id="79330" name="Check Box 482" hidden="1">
              <a:extLst>
                <a:ext uri="{63B3BB69-23CF-44E3-9099-C40C66FF867C}">
                  <a14:compatExt spid="_x0000_s79330"/>
                </a:ext>
                <a:ext uri="{FF2B5EF4-FFF2-40B4-BE49-F238E27FC236}">
                  <a16:creationId xmlns:a16="http://schemas.microsoft.com/office/drawing/2014/main" id="{00000000-0008-0000-0700-0000E2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101</xdr:row>
          <xdr:rowOff>85725</xdr:rowOff>
        </xdr:from>
        <xdr:to>
          <xdr:col>34</xdr:col>
          <xdr:colOff>304800</xdr:colOff>
          <xdr:row>103</xdr:row>
          <xdr:rowOff>38100</xdr:rowOff>
        </xdr:to>
        <xdr:sp macro="" textlink="">
          <xdr:nvSpPr>
            <xdr:cNvPr id="79331" name="Check Box 483" hidden="1">
              <a:extLst>
                <a:ext uri="{63B3BB69-23CF-44E3-9099-C40C66FF867C}">
                  <a14:compatExt spid="_x0000_s79331"/>
                </a:ext>
                <a:ext uri="{FF2B5EF4-FFF2-40B4-BE49-F238E27FC236}">
                  <a16:creationId xmlns:a16="http://schemas.microsoft.com/office/drawing/2014/main" id="{00000000-0008-0000-0700-0000E3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102</xdr:row>
          <xdr:rowOff>85725</xdr:rowOff>
        </xdr:from>
        <xdr:to>
          <xdr:col>34</xdr:col>
          <xdr:colOff>304800</xdr:colOff>
          <xdr:row>104</xdr:row>
          <xdr:rowOff>38100</xdr:rowOff>
        </xdr:to>
        <xdr:sp macro="" textlink="">
          <xdr:nvSpPr>
            <xdr:cNvPr id="79332" name="Check Box 484" hidden="1">
              <a:extLst>
                <a:ext uri="{63B3BB69-23CF-44E3-9099-C40C66FF867C}">
                  <a14:compatExt spid="_x0000_s79332"/>
                </a:ext>
                <a:ext uri="{FF2B5EF4-FFF2-40B4-BE49-F238E27FC236}">
                  <a16:creationId xmlns:a16="http://schemas.microsoft.com/office/drawing/2014/main" id="{00000000-0008-0000-0700-0000E4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103</xdr:row>
          <xdr:rowOff>85725</xdr:rowOff>
        </xdr:from>
        <xdr:to>
          <xdr:col>34</xdr:col>
          <xdr:colOff>304800</xdr:colOff>
          <xdr:row>105</xdr:row>
          <xdr:rowOff>38100</xdr:rowOff>
        </xdr:to>
        <xdr:sp macro="" textlink="">
          <xdr:nvSpPr>
            <xdr:cNvPr id="79333" name="Check Box 485" hidden="1">
              <a:extLst>
                <a:ext uri="{63B3BB69-23CF-44E3-9099-C40C66FF867C}">
                  <a14:compatExt spid="_x0000_s79333"/>
                </a:ext>
                <a:ext uri="{FF2B5EF4-FFF2-40B4-BE49-F238E27FC236}">
                  <a16:creationId xmlns:a16="http://schemas.microsoft.com/office/drawing/2014/main" id="{00000000-0008-0000-0700-0000E5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104</xdr:row>
          <xdr:rowOff>85725</xdr:rowOff>
        </xdr:from>
        <xdr:to>
          <xdr:col>34</xdr:col>
          <xdr:colOff>304800</xdr:colOff>
          <xdr:row>106</xdr:row>
          <xdr:rowOff>38100</xdr:rowOff>
        </xdr:to>
        <xdr:sp macro="" textlink="">
          <xdr:nvSpPr>
            <xdr:cNvPr id="79334" name="Check Box 486" hidden="1">
              <a:extLst>
                <a:ext uri="{63B3BB69-23CF-44E3-9099-C40C66FF867C}">
                  <a14:compatExt spid="_x0000_s79334"/>
                </a:ext>
                <a:ext uri="{FF2B5EF4-FFF2-40B4-BE49-F238E27FC236}">
                  <a16:creationId xmlns:a16="http://schemas.microsoft.com/office/drawing/2014/main" id="{00000000-0008-0000-0700-0000E6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105</xdr:row>
          <xdr:rowOff>85725</xdr:rowOff>
        </xdr:from>
        <xdr:to>
          <xdr:col>34</xdr:col>
          <xdr:colOff>304800</xdr:colOff>
          <xdr:row>107</xdr:row>
          <xdr:rowOff>38100</xdr:rowOff>
        </xdr:to>
        <xdr:sp macro="" textlink="">
          <xdr:nvSpPr>
            <xdr:cNvPr id="79335" name="Check Box 487" hidden="1">
              <a:extLst>
                <a:ext uri="{63B3BB69-23CF-44E3-9099-C40C66FF867C}">
                  <a14:compatExt spid="_x0000_s79335"/>
                </a:ext>
                <a:ext uri="{FF2B5EF4-FFF2-40B4-BE49-F238E27FC236}">
                  <a16:creationId xmlns:a16="http://schemas.microsoft.com/office/drawing/2014/main" id="{00000000-0008-0000-0700-0000E7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106</xdr:row>
          <xdr:rowOff>85725</xdr:rowOff>
        </xdr:from>
        <xdr:to>
          <xdr:col>34</xdr:col>
          <xdr:colOff>304800</xdr:colOff>
          <xdr:row>108</xdr:row>
          <xdr:rowOff>38100</xdr:rowOff>
        </xdr:to>
        <xdr:sp macro="" textlink="">
          <xdr:nvSpPr>
            <xdr:cNvPr id="79336" name="Check Box 488" hidden="1">
              <a:extLst>
                <a:ext uri="{63B3BB69-23CF-44E3-9099-C40C66FF867C}">
                  <a14:compatExt spid="_x0000_s79336"/>
                </a:ext>
                <a:ext uri="{FF2B5EF4-FFF2-40B4-BE49-F238E27FC236}">
                  <a16:creationId xmlns:a16="http://schemas.microsoft.com/office/drawing/2014/main" id="{00000000-0008-0000-0700-0000E8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107</xdr:row>
          <xdr:rowOff>85725</xdr:rowOff>
        </xdr:from>
        <xdr:to>
          <xdr:col>34</xdr:col>
          <xdr:colOff>304800</xdr:colOff>
          <xdr:row>109</xdr:row>
          <xdr:rowOff>38100</xdr:rowOff>
        </xdr:to>
        <xdr:sp macro="" textlink="">
          <xdr:nvSpPr>
            <xdr:cNvPr id="79337" name="Check Box 489" hidden="1">
              <a:extLst>
                <a:ext uri="{63B3BB69-23CF-44E3-9099-C40C66FF867C}">
                  <a14:compatExt spid="_x0000_s79337"/>
                </a:ext>
                <a:ext uri="{FF2B5EF4-FFF2-40B4-BE49-F238E27FC236}">
                  <a16:creationId xmlns:a16="http://schemas.microsoft.com/office/drawing/2014/main" id="{00000000-0008-0000-0700-0000E9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108</xdr:row>
          <xdr:rowOff>85725</xdr:rowOff>
        </xdr:from>
        <xdr:to>
          <xdr:col>34</xdr:col>
          <xdr:colOff>304800</xdr:colOff>
          <xdr:row>110</xdr:row>
          <xdr:rowOff>38100</xdr:rowOff>
        </xdr:to>
        <xdr:sp macro="" textlink="">
          <xdr:nvSpPr>
            <xdr:cNvPr id="79338" name="Check Box 490" hidden="1">
              <a:extLst>
                <a:ext uri="{63B3BB69-23CF-44E3-9099-C40C66FF867C}">
                  <a14:compatExt spid="_x0000_s79338"/>
                </a:ext>
                <a:ext uri="{FF2B5EF4-FFF2-40B4-BE49-F238E27FC236}">
                  <a16:creationId xmlns:a16="http://schemas.microsoft.com/office/drawing/2014/main" id="{00000000-0008-0000-0700-0000EA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109</xdr:row>
          <xdr:rowOff>85725</xdr:rowOff>
        </xdr:from>
        <xdr:to>
          <xdr:col>34</xdr:col>
          <xdr:colOff>304800</xdr:colOff>
          <xdr:row>111</xdr:row>
          <xdr:rowOff>38100</xdr:rowOff>
        </xdr:to>
        <xdr:sp macro="" textlink="">
          <xdr:nvSpPr>
            <xdr:cNvPr id="79339" name="Check Box 491" hidden="1">
              <a:extLst>
                <a:ext uri="{63B3BB69-23CF-44E3-9099-C40C66FF867C}">
                  <a14:compatExt spid="_x0000_s79339"/>
                </a:ext>
                <a:ext uri="{FF2B5EF4-FFF2-40B4-BE49-F238E27FC236}">
                  <a16:creationId xmlns:a16="http://schemas.microsoft.com/office/drawing/2014/main" id="{00000000-0008-0000-0700-0000EB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110</xdr:row>
          <xdr:rowOff>85725</xdr:rowOff>
        </xdr:from>
        <xdr:to>
          <xdr:col>34</xdr:col>
          <xdr:colOff>304800</xdr:colOff>
          <xdr:row>112</xdr:row>
          <xdr:rowOff>38100</xdr:rowOff>
        </xdr:to>
        <xdr:sp macro="" textlink="">
          <xdr:nvSpPr>
            <xdr:cNvPr id="79340" name="Check Box 492" hidden="1">
              <a:extLst>
                <a:ext uri="{63B3BB69-23CF-44E3-9099-C40C66FF867C}">
                  <a14:compatExt spid="_x0000_s79340"/>
                </a:ext>
                <a:ext uri="{FF2B5EF4-FFF2-40B4-BE49-F238E27FC236}">
                  <a16:creationId xmlns:a16="http://schemas.microsoft.com/office/drawing/2014/main" id="{00000000-0008-0000-0700-0000EC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111</xdr:row>
          <xdr:rowOff>85725</xdr:rowOff>
        </xdr:from>
        <xdr:to>
          <xdr:col>34</xdr:col>
          <xdr:colOff>304800</xdr:colOff>
          <xdr:row>113</xdr:row>
          <xdr:rowOff>38100</xdr:rowOff>
        </xdr:to>
        <xdr:sp macro="" textlink="">
          <xdr:nvSpPr>
            <xdr:cNvPr id="79341" name="Check Box 493" hidden="1">
              <a:extLst>
                <a:ext uri="{63B3BB69-23CF-44E3-9099-C40C66FF867C}">
                  <a14:compatExt spid="_x0000_s79341"/>
                </a:ext>
                <a:ext uri="{FF2B5EF4-FFF2-40B4-BE49-F238E27FC236}">
                  <a16:creationId xmlns:a16="http://schemas.microsoft.com/office/drawing/2014/main" id="{00000000-0008-0000-0700-0000ED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112</xdr:row>
          <xdr:rowOff>85725</xdr:rowOff>
        </xdr:from>
        <xdr:to>
          <xdr:col>34</xdr:col>
          <xdr:colOff>304800</xdr:colOff>
          <xdr:row>114</xdr:row>
          <xdr:rowOff>38100</xdr:rowOff>
        </xdr:to>
        <xdr:sp macro="" textlink="">
          <xdr:nvSpPr>
            <xdr:cNvPr id="79342" name="Check Box 494" hidden="1">
              <a:extLst>
                <a:ext uri="{63B3BB69-23CF-44E3-9099-C40C66FF867C}">
                  <a14:compatExt spid="_x0000_s79342"/>
                </a:ext>
                <a:ext uri="{FF2B5EF4-FFF2-40B4-BE49-F238E27FC236}">
                  <a16:creationId xmlns:a16="http://schemas.microsoft.com/office/drawing/2014/main" id="{00000000-0008-0000-0700-0000EE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113</xdr:row>
          <xdr:rowOff>85725</xdr:rowOff>
        </xdr:from>
        <xdr:to>
          <xdr:col>34</xdr:col>
          <xdr:colOff>304800</xdr:colOff>
          <xdr:row>115</xdr:row>
          <xdr:rowOff>38100</xdr:rowOff>
        </xdr:to>
        <xdr:sp macro="" textlink="">
          <xdr:nvSpPr>
            <xdr:cNvPr id="79343" name="Check Box 495" hidden="1">
              <a:extLst>
                <a:ext uri="{63B3BB69-23CF-44E3-9099-C40C66FF867C}">
                  <a14:compatExt spid="_x0000_s79343"/>
                </a:ext>
                <a:ext uri="{FF2B5EF4-FFF2-40B4-BE49-F238E27FC236}">
                  <a16:creationId xmlns:a16="http://schemas.microsoft.com/office/drawing/2014/main" id="{00000000-0008-0000-0700-0000EF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114</xdr:row>
          <xdr:rowOff>85725</xdr:rowOff>
        </xdr:from>
        <xdr:to>
          <xdr:col>34</xdr:col>
          <xdr:colOff>304800</xdr:colOff>
          <xdr:row>116</xdr:row>
          <xdr:rowOff>38100</xdr:rowOff>
        </xdr:to>
        <xdr:sp macro="" textlink="">
          <xdr:nvSpPr>
            <xdr:cNvPr id="79344" name="Check Box 496" hidden="1">
              <a:extLst>
                <a:ext uri="{63B3BB69-23CF-44E3-9099-C40C66FF867C}">
                  <a14:compatExt spid="_x0000_s79344"/>
                </a:ext>
                <a:ext uri="{FF2B5EF4-FFF2-40B4-BE49-F238E27FC236}">
                  <a16:creationId xmlns:a16="http://schemas.microsoft.com/office/drawing/2014/main" id="{00000000-0008-0000-0700-0000F0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115</xdr:row>
          <xdr:rowOff>85725</xdr:rowOff>
        </xdr:from>
        <xdr:to>
          <xdr:col>34</xdr:col>
          <xdr:colOff>304800</xdr:colOff>
          <xdr:row>117</xdr:row>
          <xdr:rowOff>38100</xdr:rowOff>
        </xdr:to>
        <xdr:sp macro="" textlink="">
          <xdr:nvSpPr>
            <xdr:cNvPr id="79345" name="Check Box 497" hidden="1">
              <a:extLst>
                <a:ext uri="{63B3BB69-23CF-44E3-9099-C40C66FF867C}">
                  <a14:compatExt spid="_x0000_s79345"/>
                </a:ext>
                <a:ext uri="{FF2B5EF4-FFF2-40B4-BE49-F238E27FC236}">
                  <a16:creationId xmlns:a16="http://schemas.microsoft.com/office/drawing/2014/main" id="{00000000-0008-0000-0700-0000F1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116</xdr:row>
          <xdr:rowOff>85725</xdr:rowOff>
        </xdr:from>
        <xdr:to>
          <xdr:col>34</xdr:col>
          <xdr:colOff>304800</xdr:colOff>
          <xdr:row>118</xdr:row>
          <xdr:rowOff>38100</xdr:rowOff>
        </xdr:to>
        <xdr:sp macro="" textlink="">
          <xdr:nvSpPr>
            <xdr:cNvPr id="79346" name="Check Box 498" hidden="1">
              <a:extLst>
                <a:ext uri="{63B3BB69-23CF-44E3-9099-C40C66FF867C}">
                  <a14:compatExt spid="_x0000_s79346"/>
                </a:ext>
                <a:ext uri="{FF2B5EF4-FFF2-40B4-BE49-F238E27FC236}">
                  <a16:creationId xmlns:a16="http://schemas.microsoft.com/office/drawing/2014/main" id="{00000000-0008-0000-0700-0000F2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117</xdr:row>
          <xdr:rowOff>85725</xdr:rowOff>
        </xdr:from>
        <xdr:to>
          <xdr:col>34</xdr:col>
          <xdr:colOff>304800</xdr:colOff>
          <xdr:row>119</xdr:row>
          <xdr:rowOff>38100</xdr:rowOff>
        </xdr:to>
        <xdr:sp macro="" textlink="">
          <xdr:nvSpPr>
            <xdr:cNvPr id="79347" name="Check Box 499" hidden="1">
              <a:extLst>
                <a:ext uri="{63B3BB69-23CF-44E3-9099-C40C66FF867C}">
                  <a14:compatExt spid="_x0000_s79347"/>
                </a:ext>
                <a:ext uri="{FF2B5EF4-FFF2-40B4-BE49-F238E27FC236}">
                  <a16:creationId xmlns:a16="http://schemas.microsoft.com/office/drawing/2014/main" id="{00000000-0008-0000-0700-0000F3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118</xdr:row>
          <xdr:rowOff>85725</xdr:rowOff>
        </xdr:from>
        <xdr:to>
          <xdr:col>34</xdr:col>
          <xdr:colOff>304800</xdr:colOff>
          <xdr:row>120</xdr:row>
          <xdr:rowOff>38100</xdr:rowOff>
        </xdr:to>
        <xdr:sp macro="" textlink="">
          <xdr:nvSpPr>
            <xdr:cNvPr id="79348" name="Check Box 500" hidden="1">
              <a:extLst>
                <a:ext uri="{63B3BB69-23CF-44E3-9099-C40C66FF867C}">
                  <a14:compatExt spid="_x0000_s79348"/>
                </a:ext>
                <a:ext uri="{FF2B5EF4-FFF2-40B4-BE49-F238E27FC236}">
                  <a16:creationId xmlns:a16="http://schemas.microsoft.com/office/drawing/2014/main" id="{00000000-0008-0000-0700-0000F4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119</xdr:row>
          <xdr:rowOff>85725</xdr:rowOff>
        </xdr:from>
        <xdr:to>
          <xdr:col>34</xdr:col>
          <xdr:colOff>304800</xdr:colOff>
          <xdr:row>121</xdr:row>
          <xdr:rowOff>38100</xdr:rowOff>
        </xdr:to>
        <xdr:sp macro="" textlink="">
          <xdr:nvSpPr>
            <xdr:cNvPr id="79349" name="Check Box 501" hidden="1">
              <a:extLst>
                <a:ext uri="{63B3BB69-23CF-44E3-9099-C40C66FF867C}">
                  <a14:compatExt spid="_x0000_s79349"/>
                </a:ext>
                <a:ext uri="{FF2B5EF4-FFF2-40B4-BE49-F238E27FC236}">
                  <a16:creationId xmlns:a16="http://schemas.microsoft.com/office/drawing/2014/main" id="{00000000-0008-0000-0700-0000F5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120</xdr:row>
          <xdr:rowOff>85725</xdr:rowOff>
        </xdr:from>
        <xdr:to>
          <xdr:col>34</xdr:col>
          <xdr:colOff>304800</xdr:colOff>
          <xdr:row>122</xdr:row>
          <xdr:rowOff>38100</xdr:rowOff>
        </xdr:to>
        <xdr:sp macro="" textlink="">
          <xdr:nvSpPr>
            <xdr:cNvPr id="79350" name="Check Box 502" hidden="1">
              <a:extLst>
                <a:ext uri="{63B3BB69-23CF-44E3-9099-C40C66FF867C}">
                  <a14:compatExt spid="_x0000_s79350"/>
                </a:ext>
                <a:ext uri="{FF2B5EF4-FFF2-40B4-BE49-F238E27FC236}">
                  <a16:creationId xmlns:a16="http://schemas.microsoft.com/office/drawing/2014/main" id="{00000000-0008-0000-0700-0000F6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121</xdr:row>
          <xdr:rowOff>85725</xdr:rowOff>
        </xdr:from>
        <xdr:to>
          <xdr:col>34</xdr:col>
          <xdr:colOff>304800</xdr:colOff>
          <xdr:row>123</xdr:row>
          <xdr:rowOff>38100</xdr:rowOff>
        </xdr:to>
        <xdr:sp macro="" textlink="">
          <xdr:nvSpPr>
            <xdr:cNvPr id="79351" name="Check Box 503" hidden="1">
              <a:extLst>
                <a:ext uri="{63B3BB69-23CF-44E3-9099-C40C66FF867C}">
                  <a14:compatExt spid="_x0000_s79351"/>
                </a:ext>
                <a:ext uri="{FF2B5EF4-FFF2-40B4-BE49-F238E27FC236}">
                  <a16:creationId xmlns:a16="http://schemas.microsoft.com/office/drawing/2014/main" id="{00000000-0008-0000-0700-0000F7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122</xdr:row>
          <xdr:rowOff>85725</xdr:rowOff>
        </xdr:from>
        <xdr:to>
          <xdr:col>34</xdr:col>
          <xdr:colOff>304800</xdr:colOff>
          <xdr:row>124</xdr:row>
          <xdr:rowOff>38100</xdr:rowOff>
        </xdr:to>
        <xdr:sp macro="" textlink="">
          <xdr:nvSpPr>
            <xdr:cNvPr id="79352" name="Check Box 504" hidden="1">
              <a:extLst>
                <a:ext uri="{63B3BB69-23CF-44E3-9099-C40C66FF867C}">
                  <a14:compatExt spid="_x0000_s79352"/>
                </a:ext>
                <a:ext uri="{FF2B5EF4-FFF2-40B4-BE49-F238E27FC236}">
                  <a16:creationId xmlns:a16="http://schemas.microsoft.com/office/drawing/2014/main" id="{00000000-0008-0000-0700-0000F8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123</xdr:row>
          <xdr:rowOff>85725</xdr:rowOff>
        </xdr:from>
        <xdr:to>
          <xdr:col>34</xdr:col>
          <xdr:colOff>304800</xdr:colOff>
          <xdr:row>125</xdr:row>
          <xdr:rowOff>38100</xdr:rowOff>
        </xdr:to>
        <xdr:sp macro="" textlink="">
          <xdr:nvSpPr>
            <xdr:cNvPr id="79353" name="Check Box 505" hidden="1">
              <a:extLst>
                <a:ext uri="{63B3BB69-23CF-44E3-9099-C40C66FF867C}">
                  <a14:compatExt spid="_x0000_s79353"/>
                </a:ext>
                <a:ext uri="{FF2B5EF4-FFF2-40B4-BE49-F238E27FC236}">
                  <a16:creationId xmlns:a16="http://schemas.microsoft.com/office/drawing/2014/main" id="{00000000-0008-0000-0700-0000F9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124</xdr:row>
          <xdr:rowOff>85725</xdr:rowOff>
        </xdr:from>
        <xdr:to>
          <xdr:col>34</xdr:col>
          <xdr:colOff>304800</xdr:colOff>
          <xdr:row>126</xdr:row>
          <xdr:rowOff>38100</xdr:rowOff>
        </xdr:to>
        <xdr:sp macro="" textlink="">
          <xdr:nvSpPr>
            <xdr:cNvPr id="79354" name="Check Box 506" hidden="1">
              <a:extLst>
                <a:ext uri="{63B3BB69-23CF-44E3-9099-C40C66FF867C}">
                  <a14:compatExt spid="_x0000_s79354"/>
                </a:ext>
                <a:ext uri="{FF2B5EF4-FFF2-40B4-BE49-F238E27FC236}">
                  <a16:creationId xmlns:a16="http://schemas.microsoft.com/office/drawing/2014/main" id="{00000000-0008-0000-0700-0000FA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125</xdr:row>
          <xdr:rowOff>85725</xdr:rowOff>
        </xdr:from>
        <xdr:to>
          <xdr:col>34</xdr:col>
          <xdr:colOff>304800</xdr:colOff>
          <xdr:row>127</xdr:row>
          <xdr:rowOff>38100</xdr:rowOff>
        </xdr:to>
        <xdr:sp macro="" textlink="">
          <xdr:nvSpPr>
            <xdr:cNvPr id="79355" name="Check Box 507" hidden="1">
              <a:extLst>
                <a:ext uri="{63B3BB69-23CF-44E3-9099-C40C66FF867C}">
                  <a14:compatExt spid="_x0000_s79355"/>
                </a:ext>
                <a:ext uri="{FF2B5EF4-FFF2-40B4-BE49-F238E27FC236}">
                  <a16:creationId xmlns:a16="http://schemas.microsoft.com/office/drawing/2014/main" id="{00000000-0008-0000-0700-0000FB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126</xdr:row>
          <xdr:rowOff>85725</xdr:rowOff>
        </xdr:from>
        <xdr:to>
          <xdr:col>34</xdr:col>
          <xdr:colOff>304800</xdr:colOff>
          <xdr:row>128</xdr:row>
          <xdr:rowOff>38100</xdr:rowOff>
        </xdr:to>
        <xdr:sp macro="" textlink="">
          <xdr:nvSpPr>
            <xdr:cNvPr id="79356" name="Check Box 508" hidden="1">
              <a:extLst>
                <a:ext uri="{63B3BB69-23CF-44E3-9099-C40C66FF867C}">
                  <a14:compatExt spid="_x0000_s79356"/>
                </a:ext>
                <a:ext uri="{FF2B5EF4-FFF2-40B4-BE49-F238E27FC236}">
                  <a16:creationId xmlns:a16="http://schemas.microsoft.com/office/drawing/2014/main" id="{00000000-0008-0000-0700-0000FC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127</xdr:row>
          <xdr:rowOff>85725</xdr:rowOff>
        </xdr:from>
        <xdr:to>
          <xdr:col>34</xdr:col>
          <xdr:colOff>304800</xdr:colOff>
          <xdr:row>129</xdr:row>
          <xdr:rowOff>38100</xdr:rowOff>
        </xdr:to>
        <xdr:sp macro="" textlink="">
          <xdr:nvSpPr>
            <xdr:cNvPr id="79357" name="Check Box 509" hidden="1">
              <a:extLst>
                <a:ext uri="{63B3BB69-23CF-44E3-9099-C40C66FF867C}">
                  <a14:compatExt spid="_x0000_s79357"/>
                </a:ext>
                <a:ext uri="{FF2B5EF4-FFF2-40B4-BE49-F238E27FC236}">
                  <a16:creationId xmlns:a16="http://schemas.microsoft.com/office/drawing/2014/main" id="{00000000-0008-0000-0700-0000FD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128</xdr:row>
          <xdr:rowOff>85725</xdr:rowOff>
        </xdr:from>
        <xdr:to>
          <xdr:col>34</xdr:col>
          <xdr:colOff>304800</xdr:colOff>
          <xdr:row>130</xdr:row>
          <xdr:rowOff>38100</xdr:rowOff>
        </xdr:to>
        <xdr:sp macro="" textlink="">
          <xdr:nvSpPr>
            <xdr:cNvPr id="79358" name="Check Box 510" hidden="1">
              <a:extLst>
                <a:ext uri="{63B3BB69-23CF-44E3-9099-C40C66FF867C}">
                  <a14:compatExt spid="_x0000_s79358"/>
                </a:ext>
                <a:ext uri="{FF2B5EF4-FFF2-40B4-BE49-F238E27FC236}">
                  <a16:creationId xmlns:a16="http://schemas.microsoft.com/office/drawing/2014/main" id="{00000000-0008-0000-0700-0000FE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129</xdr:row>
          <xdr:rowOff>85725</xdr:rowOff>
        </xdr:from>
        <xdr:to>
          <xdr:col>34</xdr:col>
          <xdr:colOff>304800</xdr:colOff>
          <xdr:row>131</xdr:row>
          <xdr:rowOff>38100</xdr:rowOff>
        </xdr:to>
        <xdr:sp macro="" textlink="">
          <xdr:nvSpPr>
            <xdr:cNvPr id="79359" name="Check Box 511" hidden="1">
              <a:extLst>
                <a:ext uri="{63B3BB69-23CF-44E3-9099-C40C66FF867C}">
                  <a14:compatExt spid="_x0000_s79359"/>
                </a:ext>
                <a:ext uri="{FF2B5EF4-FFF2-40B4-BE49-F238E27FC236}">
                  <a16:creationId xmlns:a16="http://schemas.microsoft.com/office/drawing/2014/main" id="{00000000-0008-0000-0700-0000FF35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130</xdr:row>
          <xdr:rowOff>85725</xdr:rowOff>
        </xdr:from>
        <xdr:to>
          <xdr:col>34</xdr:col>
          <xdr:colOff>304800</xdr:colOff>
          <xdr:row>132</xdr:row>
          <xdr:rowOff>38100</xdr:rowOff>
        </xdr:to>
        <xdr:sp macro="" textlink="">
          <xdr:nvSpPr>
            <xdr:cNvPr id="79360" name="Check Box 512" hidden="1">
              <a:extLst>
                <a:ext uri="{63B3BB69-23CF-44E3-9099-C40C66FF867C}">
                  <a14:compatExt spid="_x0000_s79360"/>
                </a:ext>
                <a:ext uri="{FF2B5EF4-FFF2-40B4-BE49-F238E27FC236}">
                  <a16:creationId xmlns:a16="http://schemas.microsoft.com/office/drawing/2014/main" id="{00000000-0008-0000-0700-000000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131</xdr:row>
          <xdr:rowOff>85725</xdr:rowOff>
        </xdr:from>
        <xdr:to>
          <xdr:col>34</xdr:col>
          <xdr:colOff>304800</xdr:colOff>
          <xdr:row>133</xdr:row>
          <xdr:rowOff>38100</xdr:rowOff>
        </xdr:to>
        <xdr:sp macro="" textlink="">
          <xdr:nvSpPr>
            <xdr:cNvPr id="79361" name="Check Box 513" hidden="1">
              <a:extLst>
                <a:ext uri="{63B3BB69-23CF-44E3-9099-C40C66FF867C}">
                  <a14:compatExt spid="_x0000_s79361"/>
                </a:ext>
                <a:ext uri="{FF2B5EF4-FFF2-40B4-BE49-F238E27FC236}">
                  <a16:creationId xmlns:a16="http://schemas.microsoft.com/office/drawing/2014/main" id="{00000000-0008-0000-0700-000001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132</xdr:row>
          <xdr:rowOff>85725</xdr:rowOff>
        </xdr:from>
        <xdr:to>
          <xdr:col>34</xdr:col>
          <xdr:colOff>304800</xdr:colOff>
          <xdr:row>134</xdr:row>
          <xdr:rowOff>38100</xdr:rowOff>
        </xdr:to>
        <xdr:sp macro="" textlink="">
          <xdr:nvSpPr>
            <xdr:cNvPr id="79362" name="Check Box 514" hidden="1">
              <a:extLst>
                <a:ext uri="{63B3BB69-23CF-44E3-9099-C40C66FF867C}">
                  <a14:compatExt spid="_x0000_s79362"/>
                </a:ext>
                <a:ext uri="{FF2B5EF4-FFF2-40B4-BE49-F238E27FC236}">
                  <a16:creationId xmlns:a16="http://schemas.microsoft.com/office/drawing/2014/main" id="{00000000-0008-0000-0700-000002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133</xdr:row>
          <xdr:rowOff>85725</xdr:rowOff>
        </xdr:from>
        <xdr:to>
          <xdr:col>34</xdr:col>
          <xdr:colOff>304800</xdr:colOff>
          <xdr:row>135</xdr:row>
          <xdr:rowOff>38100</xdr:rowOff>
        </xdr:to>
        <xdr:sp macro="" textlink="">
          <xdr:nvSpPr>
            <xdr:cNvPr id="79363" name="Check Box 515" hidden="1">
              <a:extLst>
                <a:ext uri="{63B3BB69-23CF-44E3-9099-C40C66FF867C}">
                  <a14:compatExt spid="_x0000_s79363"/>
                </a:ext>
                <a:ext uri="{FF2B5EF4-FFF2-40B4-BE49-F238E27FC236}">
                  <a16:creationId xmlns:a16="http://schemas.microsoft.com/office/drawing/2014/main" id="{00000000-0008-0000-0700-000003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134</xdr:row>
          <xdr:rowOff>85725</xdr:rowOff>
        </xdr:from>
        <xdr:to>
          <xdr:col>34</xdr:col>
          <xdr:colOff>304800</xdr:colOff>
          <xdr:row>136</xdr:row>
          <xdr:rowOff>38100</xdr:rowOff>
        </xdr:to>
        <xdr:sp macro="" textlink="">
          <xdr:nvSpPr>
            <xdr:cNvPr id="79364" name="Check Box 516" hidden="1">
              <a:extLst>
                <a:ext uri="{63B3BB69-23CF-44E3-9099-C40C66FF867C}">
                  <a14:compatExt spid="_x0000_s79364"/>
                </a:ext>
                <a:ext uri="{FF2B5EF4-FFF2-40B4-BE49-F238E27FC236}">
                  <a16:creationId xmlns:a16="http://schemas.microsoft.com/office/drawing/2014/main" id="{00000000-0008-0000-0700-000004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135</xdr:row>
          <xdr:rowOff>85725</xdr:rowOff>
        </xdr:from>
        <xdr:to>
          <xdr:col>34</xdr:col>
          <xdr:colOff>304800</xdr:colOff>
          <xdr:row>137</xdr:row>
          <xdr:rowOff>38100</xdr:rowOff>
        </xdr:to>
        <xdr:sp macro="" textlink="">
          <xdr:nvSpPr>
            <xdr:cNvPr id="79365" name="Check Box 517" hidden="1">
              <a:extLst>
                <a:ext uri="{63B3BB69-23CF-44E3-9099-C40C66FF867C}">
                  <a14:compatExt spid="_x0000_s79365"/>
                </a:ext>
                <a:ext uri="{FF2B5EF4-FFF2-40B4-BE49-F238E27FC236}">
                  <a16:creationId xmlns:a16="http://schemas.microsoft.com/office/drawing/2014/main" id="{00000000-0008-0000-0700-000005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136</xdr:row>
          <xdr:rowOff>85725</xdr:rowOff>
        </xdr:from>
        <xdr:to>
          <xdr:col>34</xdr:col>
          <xdr:colOff>304800</xdr:colOff>
          <xdr:row>138</xdr:row>
          <xdr:rowOff>38100</xdr:rowOff>
        </xdr:to>
        <xdr:sp macro="" textlink="">
          <xdr:nvSpPr>
            <xdr:cNvPr id="79366" name="Check Box 518" hidden="1">
              <a:extLst>
                <a:ext uri="{63B3BB69-23CF-44E3-9099-C40C66FF867C}">
                  <a14:compatExt spid="_x0000_s79366"/>
                </a:ext>
                <a:ext uri="{FF2B5EF4-FFF2-40B4-BE49-F238E27FC236}">
                  <a16:creationId xmlns:a16="http://schemas.microsoft.com/office/drawing/2014/main" id="{00000000-0008-0000-0700-000006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98</xdr:row>
          <xdr:rowOff>85725</xdr:rowOff>
        </xdr:from>
        <xdr:to>
          <xdr:col>34</xdr:col>
          <xdr:colOff>304800</xdr:colOff>
          <xdr:row>100</xdr:row>
          <xdr:rowOff>38100</xdr:rowOff>
        </xdr:to>
        <xdr:sp macro="" textlink="">
          <xdr:nvSpPr>
            <xdr:cNvPr id="79367" name="Check Box 519" hidden="1">
              <a:extLst>
                <a:ext uri="{63B3BB69-23CF-44E3-9099-C40C66FF867C}">
                  <a14:compatExt spid="_x0000_s79367"/>
                </a:ext>
                <a:ext uri="{FF2B5EF4-FFF2-40B4-BE49-F238E27FC236}">
                  <a16:creationId xmlns:a16="http://schemas.microsoft.com/office/drawing/2014/main" id="{00000000-0008-0000-0700-000007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99</xdr:row>
          <xdr:rowOff>85725</xdr:rowOff>
        </xdr:from>
        <xdr:to>
          <xdr:col>34</xdr:col>
          <xdr:colOff>304800</xdr:colOff>
          <xdr:row>101</xdr:row>
          <xdr:rowOff>38100</xdr:rowOff>
        </xdr:to>
        <xdr:sp macro="" textlink="">
          <xdr:nvSpPr>
            <xdr:cNvPr id="79368" name="Check Box 520" hidden="1">
              <a:extLst>
                <a:ext uri="{63B3BB69-23CF-44E3-9099-C40C66FF867C}">
                  <a14:compatExt spid="_x0000_s79368"/>
                </a:ext>
                <a:ext uri="{FF2B5EF4-FFF2-40B4-BE49-F238E27FC236}">
                  <a16:creationId xmlns:a16="http://schemas.microsoft.com/office/drawing/2014/main" id="{00000000-0008-0000-0700-000008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137</xdr:row>
          <xdr:rowOff>85725</xdr:rowOff>
        </xdr:from>
        <xdr:to>
          <xdr:col>34</xdr:col>
          <xdr:colOff>304800</xdr:colOff>
          <xdr:row>139</xdr:row>
          <xdr:rowOff>38100</xdr:rowOff>
        </xdr:to>
        <xdr:sp macro="" textlink="">
          <xdr:nvSpPr>
            <xdr:cNvPr id="79369" name="Check Box 521" hidden="1">
              <a:extLst>
                <a:ext uri="{63B3BB69-23CF-44E3-9099-C40C66FF867C}">
                  <a14:compatExt spid="_x0000_s79369"/>
                </a:ext>
                <a:ext uri="{FF2B5EF4-FFF2-40B4-BE49-F238E27FC236}">
                  <a16:creationId xmlns:a16="http://schemas.microsoft.com/office/drawing/2014/main" id="{00000000-0008-0000-0700-000009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138</xdr:row>
          <xdr:rowOff>85725</xdr:rowOff>
        </xdr:from>
        <xdr:to>
          <xdr:col>34</xdr:col>
          <xdr:colOff>304800</xdr:colOff>
          <xdr:row>140</xdr:row>
          <xdr:rowOff>38100</xdr:rowOff>
        </xdr:to>
        <xdr:sp macro="" textlink="">
          <xdr:nvSpPr>
            <xdr:cNvPr id="79370" name="Check Box 522" hidden="1">
              <a:extLst>
                <a:ext uri="{63B3BB69-23CF-44E3-9099-C40C66FF867C}">
                  <a14:compatExt spid="_x0000_s79370"/>
                </a:ext>
                <a:ext uri="{FF2B5EF4-FFF2-40B4-BE49-F238E27FC236}">
                  <a16:creationId xmlns:a16="http://schemas.microsoft.com/office/drawing/2014/main" id="{00000000-0008-0000-0700-00000A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139</xdr:row>
          <xdr:rowOff>85725</xdr:rowOff>
        </xdr:from>
        <xdr:to>
          <xdr:col>34</xdr:col>
          <xdr:colOff>304800</xdr:colOff>
          <xdr:row>141</xdr:row>
          <xdr:rowOff>38100</xdr:rowOff>
        </xdr:to>
        <xdr:sp macro="" textlink="">
          <xdr:nvSpPr>
            <xdr:cNvPr id="79371" name="Check Box 523" hidden="1">
              <a:extLst>
                <a:ext uri="{63B3BB69-23CF-44E3-9099-C40C66FF867C}">
                  <a14:compatExt spid="_x0000_s79371"/>
                </a:ext>
                <a:ext uri="{FF2B5EF4-FFF2-40B4-BE49-F238E27FC236}">
                  <a16:creationId xmlns:a16="http://schemas.microsoft.com/office/drawing/2014/main" id="{00000000-0008-0000-0700-00000B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140</xdr:row>
          <xdr:rowOff>85725</xdr:rowOff>
        </xdr:from>
        <xdr:to>
          <xdr:col>34</xdr:col>
          <xdr:colOff>304800</xdr:colOff>
          <xdr:row>142</xdr:row>
          <xdr:rowOff>38100</xdr:rowOff>
        </xdr:to>
        <xdr:sp macro="" textlink="">
          <xdr:nvSpPr>
            <xdr:cNvPr id="79372" name="Check Box 524" hidden="1">
              <a:extLst>
                <a:ext uri="{63B3BB69-23CF-44E3-9099-C40C66FF867C}">
                  <a14:compatExt spid="_x0000_s79372"/>
                </a:ext>
                <a:ext uri="{FF2B5EF4-FFF2-40B4-BE49-F238E27FC236}">
                  <a16:creationId xmlns:a16="http://schemas.microsoft.com/office/drawing/2014/main" id="{00000000-0008-0000-0700-00000C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141</xdr:row>
          <xdr:rowOff>85725</xdr:rowOff>
        </xdr:from>
        <xdr:to>
          <xdr:col>34</xdr:col>
          <xdr:colOff>304800</xdr:colOff>
          <xdr:row>143</xdr:row>
          <xdr:rowOff>38100</xdr:rowOff>
        </xdr:to>
        <xdr:sp macro="" textlink="">
          <xdr:nvSpPr>
            <xdr:cNvPr id="79373" name="Check Box 525" hidden="1">
              <a:extLst>
                <a:ext uri="{63B3BB69-23CF-44E3-9099-C40C66FF867C}">
                  <a14:compatExt spid="_x0000_s79373"/>
                </a:ext>
                <a:ext uri="{FF2B5EF4-FFF2-40B4-BE49-F238E27FC236}">
                  <a16:creationId xmlns:a16="http://schemas.microsoft.com/office/drawing/2014/main" id="{00000000-0008-0000-0700-00000D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142</xdr:row>
          <xdr:rowOff>85725</xdr:rowOff>
        </xdr:from>
        <xdr:to>
          <xdr:col>34</xdr:col>
          <xdr:colOff>304800</xdr:colOff>
          <xdr:row>144</xdr:row>
          <xdr:rowOff>38100</xdr:rowOff>
        </xdr:to>
        <xdr:sp macro="" textlink="">
          <xdr:nvSpPr>
            <xdr:cNvPr id="79374" name="Check Box 526" hidden="1">
              <a:extLst>
                <a:ext uri="{63B3BB69-23CF-44E3-9099-C40C66FF867C}">
                  <a14:compatExt spid="_x0000_s79374"/>
                </a:ext>
                <a:ext uri="{FF2B5EF4-FFF2-40B4-BE49-F238E27FC236}">
                  <a16:creationId xmlns:a16="http://schemas.microsoft.com/office/drawing/2014/main" id="{00000000-0008-0000-0700-00000E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143</xdr:row>
          <xdr:rowOff>85725</xdr:rowOff>
        </xdr:from>
        <xdr:to>
          <xdr:col>34</xdr:col>
          <xdr:colOff>304800</xdr:colOff>
          <xdr:row>145</xdr:row>
          <xdr:rowOff>38100</xdr:rowOff>
        </xdr:to>
        <xdr:sp macro="" textlink="">
          <xdr:nvSpPr>
            <xdr:cNvPr id="79375" name="Check Box 527" hidden="1">
              <a:extLst>
                <a:ext uri="{63B3BB69-23CF-44E3-9099-C40C66FF867C}">
                  <a14:compatExt spid="_x0000_s79375"/>
                </a:ext>
                <a:ext uri="{FF2B5EF4-FFF2-40B4-BE49-F238E27FC236}">
                  <a16:creationId xmlns:a16="http://schemas.microsoft.com/office/drawing/2014/main" id="{00000000-0008-0000-0700-00000F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144</xdr:row>
          <xdr:rowOff>85725</xdr:rowOff>
        </xdr:from>
        <xdr:to>
          <xdr:col>34</xdr:col>
          <xdr:colOff>304800</xdr:colOff>
          <xdr:row>146</xdr:row>
          <xdr:rowOff>38100</xdr:rowOff>
        </xdr:to>
        <xdr:sp macro="" textlink="">
          <xdr:nvSpPr>
            <xdr:cNvPr id="79376" name="Check Box 528" hidden="1">
              <a:extLst>
                <a:ext uri="{63B3BB69-23CF-44E3-9099-C40C66FF867C}">
                  <a14:compatExt spid="_x0000_s79376"/>
                </a:ext>
                <a:ext uri="{FF2B5EF4-FFF2-40B4-BE49-F238E27FC236}">
                  <a16:creationId xmlns:a16="http://schemas.microsoft.com/office/drawing/2014/main" id="{00000000-0008-0000-0700-000010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145</xdr:row>
          <xdr:rowOff>85725</xdr:rowOff>
        </xdr:from>
        <xdr:to>
          <xdr:col>34</xdr:col>
          <xdr:colOff>304800</xdr:colOff>
          <xdr:row>147</xdr:row>
          <xdr:rowOff>38100</xdr:rowOff>
        </xdr:to>
        <xdr:sp macro="" textlink="">
          <xdr:nvSpPr>
            <xdr:cNvPr id="79377" name="Check Box 529" hidden="1">
              <a:extLst>
                <a:ext uri="{63B3BB69-23CF-44E3-9099-C40C66FF867C}">
                  <a14:compatExt spid="_x0000_s79377"/>
                </a:ext>
                <a:ext uri="{FF2B5EF4-FFF2-40B4-BE49-F238E27FC236}">
                  <a16:creationId xmlns:a16="http://schemas.microsoft.com/office/drawing/2014/main" id="{00000000-0008-0000-0700-000011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146</xdr:row>
          <xdr:rowOff>85725</xdr:rowOff>
        </xdr:from>
        <xdr:to>
          <xdr:col>34</xdr:col>
          <xdr:colOff>304800</xdr:colOff>
          <xdr:row>148</xdr:row>
          <xdr:rowOff>38100</xdr:rowOff>
        </xdr:to>
        <xdr:sp macro="" textlink="">
          <xdr:nvSpPr>
            <xdr:cNvPr id="79378" name="Check Box 530" hidden="1">
              <a:extLst>
                <a:ext uri="{63B3BB69-23CF-44E3-9099-C40C66FF867C}">
                  <a14:compatExt spid="_x0000_s79378"/>
                </a:ext>
                <a:ext uri="{FF2B5EF4-FFF2-40B4-BE49-F238E27FC236}">
                  <a16:creationId xmlns:a16="http://schemas.microsoft.com/office/drawing/2014/main" id="{00000000-0008-0000-0700-000012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147</xdr:row>
          <xdr:rowOff>85725</xdr:rowOff>
        </xdr:from>
        <xdr:to>
          <xdr:col>34</xdr:col>
          <xdr:colOff>304800</xdr:colOff>
          <xdr:row>149</xdr:row>
          <xdr:rowOff>38100</xdr:rowOff>
        </xdr:to>
        <xdr:sp macro="" textlink="">
          <xdr:nvSpPr>
            <xdr:cNvPr id="79379" name="Check Box 531" hidden="1">
              <a:extLst>
                <a:ext uri="{63B3BB69-23CF-44E3-9099-C40C66FF867C}">
                  <a14:compatExt spid="_x0000_s79379"/>
                </a:ext>
                <a:ext uri="{FF2B5EF4-FFF2-40B4-BE49-F238E27FC236}">
                  <a16:creationId xmlns:a16="http://schemas.microsoft.com/office/drawing/2014/main" id="{00000000-0008-0000-0700-000013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150</xdr:row>
          <xdr:rowOff>85725</xdr:rowOff>
        </xdr:from>
        <xdr:to>
          <xdr:col>34</xdr:col>
          <xdr:colOff>304800</xdr:colOff>
          <xdr:row>152</xdr:row>
          <xdr:rowOff>38100</xdr:rowOff>
        </xdr:to>
        <xdr:sp macro="" textlink="">
          <xdr:nvSpPr>
            <xdr:cNvPr id="79380" name="Check Box 532" hidden="1">
              <a:extLst>
                <a:ext uri="{63B3BB69-23CF-44E3-9099-C40C66FF867C}">
                  <a14:compatExt spid="_x0000_s79380"/>
                </a:ext>
                <a:ext uri="{FF2B5EF4-FFF2-40B4-BE49-F238E27FC236}">
                  <a16:creationId xmlns:a16="http://schemas.microsoft.com/office/drawing/2014/main" id="{00000000-0008-0000-0700-000014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151</xdr:row>
          <xdr:rowOff>85725</xdr:rowOff>
        </xdr:from>
        <xdr:to>
          <xdr:col>34</xdr:col>
          <xdr:colOff>304800</xdr:colOff>
          <xdr:row>153</xdr:row>
          <xdr:rowOff>38100</xdr:rowOff>
        </xdr:to>
        <xdr:sp macro="" textlink="">
          <xdr:nvSpPr>
            <xdr:cNvPr id="79381" name="Check Box 533" hidden="1">
              <a:extLst>
                <a:ext uri="{63B3BB69-23CF-44E3-9099-C40C66FF867C}">
                  <a14:compatExt spid="_x0000_s79381"/>
                </a:ext>
                <a:ext uri="{FF2B5EF4-FFF2-40B4-BE49-F238E27FC236}">
                  <a16:creationId xmlns:a16="http://schemas.microsoft.com/office/drawing/2014/main" id="{00000000-0008-0000-0700-000015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152</xdr:row>
          <xdr:rowOff>85725</xdr:rowOff>
        </xdr:from>
        <xdr:to>
          <xdr:col>34</xdr:col>
          <xdr:colOff>304800</xdr:colOff>
          <xdr:row>154</xdr:row>
          <xdr:rowOff>38100</xdr:rowOff>
        </xdr:to>
        <xdr:sp macro="" textlink="">
          <xdr:nvSpPr>
            <xdr:cNvPr id="79382" name="Check Box 534" hidden="1">
              <a:extLst>
                <a:ext uri="{63B3BB69-23CF-44E3-9099-C40C66FF867C}">
                  <a14:compatExt spid="_x0000_s79382"/>
                </a:ext>
                <a:ext uri="{FF2B5EF4-FFF2-40B4-BE49-F238E27FC236}">
                  <a16:creationId xmlns:a16="http://schemas.microsoft.com/office/drawing/2014/main" id="{00000000-0008-0000-0700-000016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153</xdr:row>
          <xdr:rowOff>85725</xdr:rowOff>
        </xdr:from>
        <xdr:to>
          <xdr:col>34</xdr:col>
          <xdr:colOff>304800</xdr:colOff>
          <xdr:row>155</xdr:row>
          <xdr:rowOff>38100</xdr:rowOff>
        </xdr:to>
        <xdr:sp macro="" textlink="">
          <xdr:nvSpPr>
            <xdr:cNvPr id="79383" name="Check Box 535" hidden="1">
              <a:extLst>
                <a:ext uri="{63B3BB69-23CF-44E3-9099-C40C66FF867C}">
                  <a14:compatExt spid="_x0000_s79383"/>
                </a:ext>
                <a:ext uri="{FF2B5EF4-FFF2-40B4-BE49-F238E27FC236}">
                  <a16:creationId xmlns:a16="http://schemas.microsoft.com/office/drawing/2014/main" id="{00000000-0008-0000-0700-000017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154</xdr:row>
          <xdr:rowOff>85725</xdr:rowOff>
        </xdr:from>
        <xdr:to>
          <xdr:col>34</xdr:col>
          <xdr:colOff>304800</xdr:colOff>
          <xdr:row>156</xdr:row>
          <xdr:rowOff>38100</xdr:rowOff>
        </xdr:to>
        <xdr:sp macro="" textlink="">
          <xdr:nvSpPr>
            <xdr:cNvPr id="79384" name="Check Box 536" hidden="1">
              <a:extLst>
                <a:ext uri="{63B3BB69-23CF-44E3-9099-C40C66FF867C}">
                  <a14:compatExt spid="_x0000_s79384"/>
                </a:ext>
                <a:ext uri="{FF2B5EF4-FFF2-40B4-BE49-F238E27FC236}">
                  <a16:creationId xmlns:a16="http://schemas.microsoft.com/office/drawing/2014/main" id="{00000000-0008-0000-0700-000018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155</xdr:row>
          <xdr:rowOff>85725</xdr:rowOff>
        </xdr:from>
        <xdr:to>
          <xdr:col>34</xdr:col>
          <xdr:colOff>304800</xdr:colOff>
          <xdr:row>157</xdr:row>
          <xdr:rowOff>38100</xdr:rowOff>
        </xdr:to>
        <xdr:sp macro="" textlink="">
          <xdr:nvSpPr>
            <xdr:cNvPr id="79385" name="Check Box 537" hidden="1">
              <a:extLst>
                <a:ext uri="{63B3BB69-23CF-44E3-9099-C40C66FF867C}">
                  <a14:compatExt spid="_x0000_s79385"/>
                </a:ext>
                <a:ext uri="{FF2B5EF4-FFF2-40B4-BE49-F238E27FC236}">
                  <a16:creationId xmlns:a16="http://schemas.microsoft.com/office/drawing/2014/main" id="{00000000-0008-0000-0700-000019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156</xdr:row>
          <xdr:rowOff>85725</xdr:rowOff>
        </xdr:from>
        <xdr:to>
          <xdr:col>34</xdr:col>
          <xdr:colOff>304800</xdr:colOff>
          <xdr:row>158</xdr:row>
          <xdr:rowOff>38100</xdr:rowOff>
        </xdr:to>
        <xdr:sp macro="" textlink="">
          <xdr:nvSpPr>
            <xdr:cNvPr id="79386" name="Check Box 538" hidden="1">
              <a:extLst>
                <a:ext uri="{63B3BB69-23CF-44E3-9099-C40C66FF867C}">
                  <a14:compatExt spid="_x0000_s79386"/>
                </a:ext>
                <a:ext uri="{FF2B5EF4-FFF2-40B4-BE49-F238E27FC236}">
                  <a16:creationId xmlns:a16="http://schemas.microsoft.com/office/drawing/2014/main" id="{00000000-0008-0000-0700-00001A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157</xdr:row>
          <xdr:rowOff>85725</xdr:rowOff>
        </xdr:from>
        <xdr:to>
          <xdr:col>34</xdr:col>
          <xdr:colOff>304800</xdr:colOff>
          <xdr:row>159</xdr:row>
          <xdr:rowOff>38100</xdr:rowOff>
        </xdr:to>
        <xdr:sp macro="" textlink="">
          <xdr:nvSpPr>
            <xdr:cNvPr id="79387" name="Check Box 539" hidden="1">
              <a:extLst>
                <a:ext uri="{63B3BB69-23CF-44E3-9099-C40C66FF867C}">
                  <a14:compatExt spid="_x0000_s79387"/>
                </a:ext>
                <a:ext uri="{FF2B5EF4-FFF2-40B4-BE49-F238E27FC236}">
                  <a16:creationId xmlns:a16="http://schemas.microsoft.com/office/drawing/2014/main" id="{00000000-0008-0000-0700-00001B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158</xdr:row>
          <xdr:rowOff>85725</xdr:rowOff>
        </xdr:from>
        <xdr:to>
          <xdr:col>34</xdr:col>
          <xdr:colOff>304800</xdr:colOff>
          <xdr:row>160</xdr:row>
          <xdr:rowOff>38100</xdr:rowOff>
        </xdr:to>
        <xdr:sp macro="" textlink="">
          <xdr:nvSpPr>
            <xdr:cNvPr id="79388" name="Check Box 540" hidden="1">
              <a:extLst>
                <a:ext uri="{63B3BB69-23CF-44E3-9099-C40C66FF867C}">
                  <a14:compatExt spid="_x0000_s79388"/>
                </a:ext>
                <a:ext uri="{FF2B5EF4-FFF2-40B4-BE49-F238E27FC236}">
                  <a16:creationId xmlns:a16="http://schemas.microsoft.com/office/drawing/2014/main" id="{00000000-0008-0000-0700-00001C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159</xdr:row>
          <xdr:rowOff>85725</xdr:rowOff>
        </xdr:from>
        <xdr:to>
          <xdr:col>34</xdr:col>
          <xdr:colOff>304800</xdr:colOff>
          <xdr:row>161</xdr:row>
          <xdr:rowOff>38100</xdr:rowOff>
        </xdr:to>
        <xdr:sp macro="" textlink="">
          <xdr:nvSpPr>
            <xdr:cNvPr id="79389" name="Check Box 541" hidden="1">
              <a:extLst>
                <a:ext uri="{63B3BB69-23CF-44E3-9099-C40C66FF867C}">
                  <a14:compatExt spid="_x0000_s79389"/>
                </a:ext>
                <a:ext uri="{FF2B5EF4-FFF2-40B4-BE49-F238E27FC236}">
                  <a16:creationId xmlns:a16="http://schemas.microsoft.com/office/drawing/2014/main" id="{00000000-0008-0000-0700-00001D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160</xdr:row>
          <xdr:rowOff>85725</xdr:rowOff>
        </xdr:from>
        <xdr:to>
          <xdr:col>34</xdr:col>
          <xdr:colOff>304800</xdr:colOff>
          <xdr:row>162</xdr:row>
          <xdr:rowOff>38100</xdr:rowOff>
        </xdr:to>
        <xdr:sp macro="" textlink="">
          <xdr:nvSpPr>
            <xdr:cNvPr id="79390" name="Check Box 542" hidden="1">
              <a:extLst>
                <a:ext uri="{63B3BB69-23CF-44E3-9099-C40C66FF867C}">
                  <a14:compatExt spid="_x0000_s79390"/>
                </a:ext>
                <a:ext uri="{FF2B5EF4-FFF2-40B4-BE49-F238E27FC236}">
                  <a16:creationId xmlns:a16="http://schemas.microsoft.com/office/drawing/2014/main" id="{00000000-0008-0000-0700-00001E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161</xdr:row>
          <xdr:rowOff>85725</xdr:rowOff>
        </xdr:from>
        <xdr:to>
          <xdr:col>34</xdr:col>
          <xdr:colOff>304800</xdr:colOff>
          <xdr:row>163</xdr:row>
          <xdr:rowOff>38100</xdr:rowOff>
        </xdr:to>
        <xdr:sp macro="" textlink="">
          <xdr:nvSpPr>
            <xdr:cNvPr id="79391" name="Check Box 543" hidden="1">
              <a:extLst>
                <a:ext uri="{63B3BB69-23CF-44E3-9099-C40C66FF867C}">
                  <a14:compatExt spid="_x0000_s79391"/>
                </a:ext>
                <a:ext uri="{FF2B5EF4-FFF2-40B4-BE49-F238E27FC236}">
                  <a16:creationId xmlns:a16="http://schemas.microsoft.com/office/drawing/2014/main" id="{00000000-0008-0000-0700-00001F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162</xdr:row>
          <xdr:rowOff>85725</xdr:rowOff>
        </xdr:from>
        <xdr:to>
          <xdr:col>34</xdr:col>
          <xdr:colOff>304800</xdr:colOff>
          <xdr:row>164</xdr:row>
          <xdr:rowOff>38100</xdr:rowOff>
        </xdr:to>
        <xdr:sp macro="" textlink="">
          <xdr:nvSpPr>
            <xdr:cNvPr id="79392" name="Check Box 544" hidden="1">
              <a:extLst>
                <a:ext uri="{63B3BB69-23CF-44E3-9099-C40C66FF867C}">
                  <a14:compatExt spid="_x0000_s79392"/>
                </a:ext>
                <a:ext uri="{FF2B5EF4-FFF2-40B4-BE49-F238E27FC236}">
                  <a16:creationId xmlns:a16="http://schemas.microsoft.com/office/drawing/2014/main" id="{00000000-0008-0000-0700-000020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163</xdr:row>
          <xdr:rowOff>85725</xdr:rowOff>
        </xdr:from>
        <xdr:to>
          <xdr:col>34</xdr:col>
          <xdr:colOff>304800</xdr:colOff>
          <xdr:row>165</xdr:row>
          <xdr:rowOff>38100</xdr:rowOff>
        </xdr:to>
        <xdr:sp macro="" textlink="">
          <xdr:nvSpPr>
            <xdr:cNvPr id="79393" name="Check Box 545" hidden="1">
              <a:extLst>
                <a:ext uri="{63B3BB69-23CF-44E3-9099-C40C66FF867C}">
                  <a14:compatExt spid="_x0000_s79393"/>
                </a:ext>
                <a:ext uri="{FF2B5EF4-FFF2-40B4-BE49-F238E27FC236}">
                  <a16:creationId xmlns:a16="http://schemas.microsoft.com/office/drawing/2014/main" id="{00000000-0008-0000-0700-000021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164</xdr:row>
          <xdr:rowOff>85725</xdr:rowOff>
        </xdr:from>
        <xdr:to>
          <xdr:col>34</xdr:col>
          <xdr:colOff>304800</xdr:colOff>
          <xdr:row>166</xdr:row>
          <xdr:rowOff>38100</xdr:rowOff>
        </xdr:to>
        <xdr:sp macro="" textlink="">
          <xdr:nvSpPr>
            <xdr:cNvPr id="79394" name="Check Box 546" hidden="1">
              <a:extLst>
                <a:ext uri="{63B3BB69-23CF-44E3-9099-C40C66FF867C}">
                  <a14:compatExt spid="_x0000_s79394"/>
                </a:ext>
                <a:ext uri="{FF2B5EF4-FFF2-40B4-BE49-F238E27FC236}">
                  <a16:creationId xmlns:a16="http://schemas.microsoft.com/office/drawing/2014/main" id="{00000000-0008-0000-0700-000022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165</xdr:row>
          <xdr:rowOff>85725</xdr:rowOff>
        </xdr:from>
        <xdr:to>
          <xdr:col>34</xdr:col>
          <xdr:colOff>304800</xdr:colOff>
          <xdr:row>167</xdr:row>
          <xdr:rowOff>38100</xdr:rowOff>
        </xdr:to>
        <xdr:sp macro="" textlink="">
          <xdr:nvSpPr>
            <xdr:cNvPr id="79395" name="Check Box 547" hidden="1">
              <a:extLst>
                <a:ext uri="{63B3BB69-23CF-44E3-9099-C40C66FF867C}">
                  <a14:compatExt spid="_x0000_s79395"/>
                </a:ext>
                <a:ext uri="{FF2B5EF4-FFF2-40B4-BE49-F238E27FC236}">
                  <a16:creationId xmlns:a16="http://schemas.microsoft.com/office/drawing/2014/main" id="{00000000-0008-0000-0700-000023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166</xdr:row>
          <xdr:rowOff>85725</xdr:rowOff>
        </xdr:from>
        <xdr:to>
          <xdr:col>34</xdr:col>
          <xdr:colOff>304800</xdr:colOff>
          <xdr:row>168</xdr:row>
          <xdr:rowOff>38100</xdr:rowOff>
        </xdr:to>
        <xdr:sp macro="" textlink="">
          <xdr:nvSpPr>
            <xdr:cNvPr id="79396" name="Check Box 548" hidden="1">
              <a:extLst>
                <a:ext uri="{63B3BB69-23CF-44E3-9099-C40C66FF867C}">
                  <a14:compatExt spid="_x0000_s79396"/>
                </a:ext>
                <a:ext uri="{FF2B5EF4-FFF2-40B4-BE49-F238E27FC236}">
                  <a16:creationId xmlns:a16="http://schemas.microsoft.com/office/drawing/2014/main" id="{00000000-0008-0000-0700-000024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167</xdr:row>
          <xdr:rowOff>85725</xdr:rowOff>
        </xdr:from>
        <xdr:to>
          <xdr:col>34</xdr:col>
          <xdr:colOff>304800</xdr:colOff>
          <xdr:row>169</xdr:row>
          <xdr:rowOff>38100</xdr:rowOff>
        </xdr:to>
        <xdr:sp macro="" textlink="">
          <xdr:nvSpPr>
            <xdr:cNvPr id="79397" name="Check Box 549" hidden="1">
              <a:extLst>
                <a:ext uri="{63B3BB69-23CF-44E3-9099-C40C66FF867C}">
                  <a14:compatExt spid="_x0000_s79397"/>
                </a:ext>
                <a:ext uri="{FF2B5EF4-FFF2-40B4-BE49-F238E27FC236}">
                  <a16:creationId xmlns:a16="http://schemas.microsoft.com/office/drawing/2014/main" id="{00000000-0008-0000-0700-000025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168</xdr:row>
          <xdr:rowOff>85725</xdr:rowOff>
        </xdr:from>
        <xdr:to>
          <xdr:col>34</xdr:col>
          <xdr:colOff>304800</xdr:colOff>
          <xdr:row>170</xdr:row>
          <xdr:rowOff>38100</xdr:rowOff>
        </xdr:to>
        <xdr:sp macro="" textlink="">
          <xdr:nvSpPr>
            <xdr:cNvPr id="79398" name="Check Box 550" hidden="1">
              <a:extLst>
                <a:ext uri="{63B3BB69-23CF-44E3-9099-C40C66FF867C}">
                  <a14:compatExt spid="_x0000_s79398"/>
                </a:ext>
                <a:ext uri="{FF2B5EF4-FFF2-40B4-BE49-F238E27FC236}">
                  <a16:creationId xmlns:a16="http://schemas.microsoft.com/office/drawing/2014/main" id="{00000000-0008-0000-0700-000026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169</xdr:row>
          <xdr:rowOff>85725</xdr:rowOff>
        </xdr:from>
        <xdr:to>
          <xdr:col>34</xdr:col>
          <xdr:colOff>304800</xdr:colOff>
          <xdr:row>171</xdr:row>
          <xdr:rowOff>38100</xdr:rowOff>
        </xdr:to>
        <xdr:sp macro="" textlink="">
          <xdr:nvSpPr>
            <xdr:cNvPr id="79399" name="Check Box 551" hidden="1">
              <a:extLst>
                <a:ext uri="{63B3BB69-23CF-44E3-9099-C40C66FF867C}">
                  <a14:compatExt spid="_x0000_s79399"/>
                </a:ext>
                <a:ext uri="{FF2B5EF4-FFF2-40B4-BE49-F238E27FC236}">
                  <a16:creationId xmlns:a16="http://schemas.microsoft.com/office/drawing/2014/main" id="{00000000-0008-0000-0700-000027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170</xdr:row>
          <xdr:rowOff>85725</xdr:rowOff>
        </xdr:from>
        <xdr:to>
          <xdr:col>34</xdr:col>
          <xdr:colOff>304800</xdr:colOff>
          <xdr:row>172</xdr:row>
          <xdr:rowOff>38100</xdr:rowOff>
        </xdr:to>
        <xdr:sp macro="" textlink="">
          <xdr:nvSpPr>
            <xdr:cNvPr id="79400" name="Check Box 552" hidden="1">
              <a:extLst>
                <a:ext uri="{63B3BB69-23CF-44E3-9099-C40C66FF867C}">
                  <a14:compatExt spid="_x0000_s79400"/>
                </a:ext>
                <a:ext uri="{FF2B5EF4-FFF2-40B4-BE49-F238E27FC236}">
                  <a16:creationId xmlns:a16="http://schemas.microsoft.com/office/drawing/2014/main" id="{00000000-0008-0000-0700-000028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171</xdr:row>
          <xdr:rowOff>85725</xdr:rowOff>
        </xdr:from>
        <xdr:to>
          <xdr:col>34</xdr:col>
          <xdr:colOff>304800</xdr:colOff>
          <xdr:row>173</xdr:row>
          <xdr:rowOff>38100</xdr:rowOff>
        </xdr:to>
        <xdr:sp macro="" textlink="">
          <xdr:nvSpPr>
            <xdr:cNvPr id="79401" name="Check Box 553" hidden="1">
              <a:extLst>
                <a:ext uri="{63B3BB69-23CF-44E3-9099-C40C66FF867C}">
                  <a14:compatExt spid="_x0000_s79401"/>
                </a:ext>
                <a:ext uri="{FF2B5EF4-FFF2-40B4-BE49-F238E27FC236}">
                  <a16:creationId xmlns:a16="http://schemas.microsoft.com/office/drawing/2014/main" id="{00000000-0008-0000-0700-000029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172</xdr:row>
          <xdr:rowOff>85725</xdr:rowOff>
        </xdr:from>
        <xdr:to>
          <xdr:col>34</xdr:col>
          <xdr:colOff>304800</xdr:colOff>
          <xdr:row>174</xdr:row>
          <xdr:rowOff>38100</xdr:rowOff>
        </xdr:to>
        <xdr:sp macro="" textlink="">
          <xdr:nvSpPr>
            <xdr:cNvPr id="79402" name="Check Box 554" hidden="1">
              <a:extLst>
                <a:ext uri="{63B3BB69-23CF-44E3-9099-C40C66FF867C}">
                  <a14:compatExt spid="_x0000_s79402"/>
                </a:ext>
                <a:ext uri="{FF2B5EF4-FFF2-40B4-BE49-F238E27FC236}">
                  <a16:creationId xmlns:a16="http://schemas.microsoft.com/office/drawing/2014/main" id="{00000000-0008-0000-0700-00002A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173</xdr:row>
          <xdr:rowOff>85725</xdr:rowOff>
        </xdr:from>
        <xdr:to>
          <xdr:col>34</xdr:col>
          <xdr:colOff>304800</xdr:colOff>
          <xdr:row>175</xdr:row>
          <xdr:rowOff>38100</xdr:rowOff>
        </xdr:to>
        <xdr:sp macro="" textlink="">
          <xdr:nvSpPr>
            <xdr:cNvPr id="79403" name="Check Box 555" hidden="1">
              <a:extLst>
                <a:ext uri="{63B3BB69-23CF-44E3-9099-C40C66FF867C}">
                  <a14:compatExt spid="_x0000_s79403"/>
                </a:ext>
                <a:ext uri="{FF2B5EF4-FFF2-40B4-BE49-F238E27FC236}">
                  <a16:creationId xmlns:a16="http://schemas.microsoft.com/office/drawing/2014/main" id="{00000000-0008-0000-0700-00002B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174</xdr:row>
          <xdr:rowOff>85725</xdr:rowOff>
        </xdr:from>
        <xdr:to>
          <xdr:col>34</xdr:col>
          <xdr:colOff>304800</xdr:colOff>
          <xdr:row>176</xdr:row>
          <xdr:rowOff>38100</xdr:rowOff>
        </xdr:to>
        <xdr:sp macro="" textlink="">
          <xdr:nvSpPr>
            <xdr:cNvPr id="79404" name="Check Box 556" hidden="1">
              <a:extLst>
                <a:ext uri="{63B3BB69-23CF-44E3-9099-C40C66FF867C}">
                  <a14:compatExt spid="_x0000_s79404"/>
                </a:ext>
                <a:ext uri="{FF2B5EF4-FFF2-40B4-BE49-F238E27FC236}">
                  <a16:creationId xmlns:a16="http://schemas.microsoft.com/office/drawing/2014/main" id="{00000000-0008-0000-0700-00002C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175</xdr:row>
          <xdr:rowOff>85725</xdr:rowOff>
        </xdr:from>
        <xdr:to>
          <xdr:col>34</xdr:col>
          <xdr:colOff>304800</xdr:colOff>
          <xdr:row>177</xdr:row>
          <xdr:rowOff>38100</xdr:rowOff>
        </xdr:to>
        <xdr:sp macro="" textlink="">
          <xdr:nvSpPr>
            <xdr:cNvPr id="79405" name="Check Box 557" hidden="1">
              <a:extLst>
                <a:ext uri="{63B3BB69-23CF-44E3-9099-C40C66FF867C}">
                  <a14:compatExt spid="_x0000_s79405"/>
                </a:ext>
                <a:ext uri="{FF2B5EF4-FFF2-40B4-BE49-F238E27FC236}">
                  <a16:creationId xmlns:a16="http://schemas.microsoft.com/office/drawing/2014/main" id="{00000000-0008-0000-0700-00002D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176</xdr:row>
          <xdr:rowOff>85725</xdr:rowOff>
        </xdr:from>
        <xdr:to>
          <xdr:col>34</xdr:col>
          <xdr:colOff>304800</xdr:colOff>
          <xdr:row>178</xdr:row>
          <xdr:rowOff>38100</xdr:rowOff>
        </xdr:to>
        <xdr:sp macro="" textlink="">
          <xdr:nvSpPr>
            <xdr:cNvPr id="79406" name="Check Box 558" hidden="1">
              <a:extLst>
                <a:ext uri="{63B3BB69-23CF-44E3-9099-C40C66FF867C}">
                  <a14:compatExt spid="_x0000_s79406"/>
                </a:ext>
                <a:ext uri="{FF2B5EF4-FFF2-40B4-BE49-F238E27FC236}">
                  <a16:creationId xmlns:a16="http://schemas.microsoft.com/office/drawing/2014/main" id="{00000000-0008-0000-0700-00002E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177</xdr:row>
          <xdr:rowOff>85725</xdr:rowOff>
        </xdr:from>
        <xdr:to>
          <xdr:col>34</xdr:col>
          <xdr:colOff>304800</xdr:colOff>
          <xdr:row>179</xdr:row>
          <xdr:rowOff>38100</xdr:rowOff>
        </xdr:to>
        <xdr:sp macro="" textlink="">
          <xdr:nvSpPr>
            <xdr:cNvPr id="79407" name="Check Box 559" hidden="1">
              <a:extLst>
                <a:ext uri="{63B3BB69-23CF-44E3-9099-C40C66FF867C}">
                  <a14:compatExt spid="_x0000_s79407"/>
                </a:ext>
                <a:ext uri="{FF2B5EF4-FFF2-40B4-BE49-F238E27FC236}">
                  <a16:creationId xmlns:a16="http://schemas.microsoft.com/office/drawing/2014/main" id="{00000000-0008-0000-0700-00002F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178</xdr:row>
          <xdr:rowOff>85725</xdr:rowOff>
        </xdr:from>
        <xdr:to>
          <xdr:col>34</xdr:col>
          <xdr:colOff>304800</xdr:colOff>
          <xdr:row>180</xdr:row>
          <xdr:rowOff>38100</xdr:rowOff>
        </xdr:to>
        <xdr:sp macro="" textlink="">
          <xdr:nvSpPr>
            <xdr:cNvPr id="79408" name="Check Box 560" hidden="1">
              <a:extLst>
                <a:ext uri="{63B3BB69-23CF-44E3-9099-C40C66FF867C}">
                  <a14:compatExt spid="_x0000_s79408"/>
                </a:ext>
                <a:ext uri="{FF2B5EF4-FFF2-40B4-BE49-F238E27FC236}">
                  <a16:creationId xmlns:a16="http://schemas.microsoft.com/office/drawing/2014/main" id="{00000000-0008-0000-0700-000030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179</xdr:row>
          <xdr:rowOff>85725</xdr:rowOff>
        </xdr:from>
        <xdr:to>
          <xdr:col>34</xdr:col>
          <xdr:colOff>304800</xdr:colOff>
          <xdr:row>181</xdr:row>
          <xdr:rowOff>38100</xdr:rowOff>
        </xdr:to>
        <xdr:sp macro="" textlink="">
          <xdr:nvSpPr>
            <xdr:cNvPr id="79409" name="Check Box 561" hidden="1">
              <a:extLst>
                <a:ext uri="{63B3BB69-23CF-44E3-9099-C40C66FF867C}">
                  <a14:compatExt spid="_x0000_s79409"/>
                </a:ext>
                <a:ext uri="{FF2B5EF4-FFF2-40B4-BE49-F238E27FC236}">
                  <a16:creationId xmlns:a16="http://schemas.microsoft.com/office/drawing/2014/main" id="{00000000-0008-0000-0700-000031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180</xdr:row>
          <xdr:rowOff>85725</xdr:rowOff>
        </xdr:from>
        <xdr:to>
          <xdr:col>34</xdr:col>
          <xdr:colOff>304800</xdr:colOff>
          <xdr:row>182</xdr:row>
          <xdr:rowOff>38100</xdr:rowOff>
        </xdr:to>
        <xdr:sp macro="" textlink="">
          <xdr:nvSpPr>
            <xdr:cNvPr id="79410" name="Check Box 562" hidden="1">
              <a:extLst>
                <a:ext uri="{63B3BB69-23CF-44E3-9099-C40C66FF867C}">
                  <a14:compatExt spid="_x0000_s79410"/>
                </a:ext>
                <a:ext uri="{FF2B5EF4-FFF2-40B4-BE49-F238E27FC236}">
                  <a16:creationId xmlns:a16="http://schemas.microsoft.com/office/drawing/2014/main" id="{00000000-0008-0000-0700-000032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181</xdr:row>
          <xdr:rowOff>85725</xdr:rowOff>
        </xdr:from>
        <xdr:to>
          <xdr:col>34</xdr:col>
          <xdr:colOff>304800</xdr:colOff>
          <xdr:row>183</xdr:row>
          <xdr:rowOff>38100</xdr:rowOff>
        </xdr:to>
        <xdr:sp macro="" textlink="">
          <xdr:nvSpPr>
            <xdr:cNvPr id="79411" name="Check Box 563" hidden="1">
              <a:extLst>
                <a:ext uri="{63B3BB69-23CF-44E3-9099-C40C66FF867C}">
                  <a14:compatExt spid="_x0000_s79411"/>
                </a:ext>
                <a:ext uri="{FF2B5EF4-FFF2-40B4-BE49-F238E27FC236}">
                  <a16:creationId xmlns:a16="http://schemas.microsoft.com/office/drawing/2014/main" id="{00000000-0008-0000-0700-000033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182</xdr:row>
          <xdr:rowOff>85725</xdr:rowOff>
        </xdr:from>
        <xdr:to>
          <xdr:col>34</xdr:col>
          <xdr:colOff>304800</xdr:colOff>
          <xdr:row>184</xdr:row>
          <xdr:rowOff>38100</xdr:rowOff>
        </xdr:to>
        <xdr:sp macro="" textlink="">
          <xdr:nvSpPr>
            <xdr:cNvPr id="79412" name="Check Box 564" hidden="1">
              <a:extLst>
                <a:ext uri="{63B3BB69-23CF-44E3-9099-C40C66FF867C}">
                  <a14:compatExt spid="_x0000_s79412"/>
                </a:ext>
                <a:ext uri="{FF2B5EF4-FFF2-40B4-BE49-F238E27FC236}">
                  <a16:creationId xmlns:a16="http://schemas.microsoft.com/office/drawing/2014/main" id="{00000000-0008-0000-0700-000034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183</xdr:row>
          <xdr:rowOff>85725</xdr:rowOff>
        </xdr:from>
        <xdr:to>
          <xdr:col>34</xdr:col>
          <xdr:colOff>304800</xdr:colOff>
          <xdr:row>185</xdr:row>
          <xdr:rowOff>38100</xdr:rowOff>
        </xdr:to>
        <xdr:sp macro="" textlink="">
          <xdr:nvSpPr>
            <xdr:cNvPr id="79413" name="Check Box 565" hidden="1">
              <a:extLst>
                <a:ext uri="{63B3BB69-23CF-44E3-9099-C40C66FF867C}">
                  <a14:compatExt spid="_x0000_s79413"/>
                </a:ext>
                <a:ext uri="{FF2B5EF4-FFF2-40B4-BE49-F238E27FC236}">
                  <a16:creationId xmlns:a16="http://schemas.microsoft.com/office/drawing/2014/main" id="{00000000-0008-0000-0700-000035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184</xdr:row>
          <xdr:rowOff>85725</xdr:rowOff>
        </xdr:from>
        <xdr:to>
          <xdr:col>34</xdr:col>
          <xdr:colOff>304800</xdr:colOff>
          <xdr:row>186</xdr:row>
          <xdr:rowOff>38100</xdr:rowOff>
        </xdr:to>
        <xdr:sp macro="" textlink="">
          <xdr:nvSpPr>
            <xdr:cNvPr id="79414" name="Check Box 566" hidden="1">
              <a:extLst>
                <a:ext uri="{63B3BB69-23CF-44E3-9099-C40C66FF867C}">
                  <a14:compatExt spid="_x0000_s79414"/>
                </a:ext>
                <a:ext uri="{FF2B5EF4-FFF2-40B4-BE49-F238E27FC236}">
                  <a16:creationId xmlns:a16="http://schemas.microsoft.com/office/drawing/2014/main" id="{00000000-0008-0000-0700-000036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185</xdr:row>
          <xdr:rowOff>85725</xdr:rowOff>
        </xdr:from>
        <xdr:to>
          <xdr:col>34</xdr:col>
          <xdr:colOff>304800</xdr:colOff>
          <xdr:row>187</xdr:row>
          <xdr:rowOff>38100</xdr:rowOff>
        </xdr:to>
        <xdr:sp macro="" textlink="">
          <xdr:nvSpPr>
            <xdr:cNvPr id="79415" name="Check Box 567" hidden="1">
              <a:extLst>
                <a:ext uri="{63B3BB69-23CF-44E3-9099-C40C66FF867C}">
                  <a14:compatExt spid="_x0000_s79415"/>
                </a:ext>
                <a:ext uri="{FF2B5EF4-FFF2-40B4-BE49-F238E27FC236}">
                  <a16:creationId xmlns:a16="http://schemas.microsoft.com/office/drawing/2014/main" id="{00000000-0008-0000-0700-000037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186</xdr:row>
          <xdr:rowOff>85725</xdr:rowOff>
        </xdr:from>
        <xdr:to>
          <xdr:col>34</xdr:col>
          <xdr:colOff>304800</xdr:colOff>
          <xdr:row>188</xdr:row>
          <xdr:rowOff>38100</xdr:rowOff>
        </xdr:to>
        <xdr:sp macro="" textlink="">
          <xdr:nvSpPr>
            <xdr:cNvPr id="79416" name="Check Box 568" hidden="1">
              <a:extLst>
                <a:ext uri="{63B3BB69-23CF-44E3-9099-C40C66FF867C}">
                  <a14:compatExt spid="_x0000_s79416"/>
                </a:ext>
                <a:ext uri="{FF2B5EF4-FFF2-40B4-BE49-F238E27FC236}">
                  <a16:creationId xmlns:a16="http://schemas.microsoft.com/office/drawing/2014/main" id="{00000000-0008-0000-0700-000038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148</xdr:row>
          <xdr:rowOff>85725</xdr:rowOff>
        </xdr:from>
        <xdr:to>
          <xdr:col>34</xdr:col>
          <xdr:colOff>304800</xdr:colOff>
          <xdr:row>150</xdr:row>
          <xdr:rowOff>38100</xdr:rowOff>
        </xdr:to>
        <xdr:sp macro="" textlink="">
          <xdr:nvSpPr>
            <xdr:cNvPr id="79417" name="Check Box 569" hidden="1">
              <a:extLst>
                <a:ext uri="{63B3BB69-23CF-44E3-9099-C40C66FF867C}">
                  <a14:compatExt spid="_x0000_s79417"/>
                </a:ext>
                <a:ext uri="{FF2B5EF4-FFF2-40B4-BE49-F238E27FC236}">
                  <a16:creationId xmlns:a16="http://schemas.microsoft.com/office/drawing/2014/main" id="{00000000-0008-0000-0700-000039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149</xdr:row>
          <xdr:rowOff>85725</xdr:rowOff>
        </xdr:from>
        <xdr:to>
          <xdr:col>34</xdr:col>
          <xdr:colOff>304800</xdr:colOff>
          <xdr:row>151</xdr:row>
          <xdr:rowOff>38100</xdr:rowOff>
        </xdr:to>
        <xdr:sp macro="" textlink="">
          <xdr:nvSpPr>
            <xdr:cNvPr id="79418" name="Check Box 570" hidden="1">
              <a:extLst>
                <a:ext uri="{63B3BB69-23CF-44E3-9099-C40C66FF867C}">
                  <a14:compatExt spid="_x0000_s79418"/>
                </a:ext>
                <a:ext uri="{FF2B5EF4-FFF2-40B4-BE49-F238E27FC236}">
                  <a16:creationId xmlns:a16="http://schemas.microsoft.com/office/drawing/2014/main" id="{00000000-0008-0000-0700-00003A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187</xdr:row>
          <xdr:rowOff>85725</xdr:rowOff>
        </xdr:from>
        <xdr:to>
          <xdr:col>34</xdr:col>
          <xdr:colOff>304800</xdr:colOff>
          <xdr:row>189</xdr:row>
          <xdr:rowOff>38100</xdr:rowOff>
        </xdr:to>
        <xdr:sp macro="" textlink="">
          <xdr:nvSpPr>
            <xdr:cNvPr id="79419" name="Check Box 571" hidden="1">
              <a:extLst>
                <a:ext uri="{63B3BB69-23CF-44E3-9099-C40C66FF867C}">
                  <a14:compatExt spid="_x0000_s79419"/>
                </a:ext>
                <a:ext uri="{FF2B5EF4-FFF2-40B4-BE49-F238E27FC236}">
                  <a16:creationId xmlns:a16="http://schemas.microsoft.com/office/drawing/2014/main" id="{00000000-0008-0000-0700-00003B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188</xdr:row>
          <xdr:rowOff>85725</xdr:rowOff>
        </xdr:from>
        <xdr:to>
          <xdr:col>34</xdr:col>
          <xdr:colOff>304800</xdr:colOff>
          <xdr:row>190</xdr:row>
          <xdr:rowOff>38100</xdr:rowOff>
        </xdr:to>
        <xdr:sp macro="" textlink="">
          <xdr:nvSpPr>
            <xdr:cNvPr id="79420" name="Check Box 572" hidden="1">
              <a:extLst>
                <a:ext uri="{63B3BB69-23CF-44E3-9099-C40C66FF867C}">
                  <a14:compatExt spid="_x0000_s79420"/>
                </a:ext>
                <a:ext uri="{FF2B5EF4-FFF2-40B4-BE49-F238E27FC236}">
                  <a16:creationId xmlns:a16="http://schemas.microsoft.com/office/drawing/2014/main" id="{00000000-0008-0000-0700-00003C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189</xdr:row>
          <xdr:rowOff>85725</xdr:rowOff>
        </xdr:from>
        <xdr:to>
          <xdr:col>34</xdr:col>
          <xdr:colOff>304800</xdr:colOff>
          <xdr:row>191</xdr:row>
          <xdr:rowOff>38100</xdr:rowOff>
        </xdr:to>
        <xdr:sp macro="" textlink="">
          <xdr:nvSpPr>
            <xdr:cNvPr id="79421" name="Check Box 573" hidden="1">
              <a:extLst>
                <a:ext uri="{63B3BB69-23CF-44E3-9099-C40C66FF867C}">
                  <a14:compatExt spid="_x0000_s79421"/>
                </a:ext>
                <a:ext uri="{FF2B5EF4-FFF2-40B4-BE49-F238E27FC236}">
                  <a16:creationId xmlns:a16="http://schemas.microsoft.com/office/drawing/2014/main" id="{00000000-0008-0000-0700-00003D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190</xdr:row>
          <xdr:rowOff>85725</xdr:rowOff>
        </xdr:from>
        <xdr:to>
          <xdr:col>34</xdr:col>
          <xdr:colOff>304800</xdr:colOff>
          <xdr:row>192</xdr:row>
          <xdr:rowOff>38100</xdr:rowOff>
        </xdr:to>
        <xdr:sp macro="" textlink="">
          <xdr:nvSpPr>
            <xdr:cNvPr id="79422" name="Check Box 574" hidden="1">
              <a:extLst>
                <a:ext uri="{63B3BB69-23CF-44E3-9099-C40C66FF867C}">
                  <a14:compatExt spid="_x0000_s79422"/>
                </a:ext>
                <a:ext uri="{FF2B5EF4-FFF2-40B4-BE49-F238E27FC236}">
                  <a16:creationId xmlns:a16="http://schemas.microsoft.com/office/drawing/2014/main" id="{00000000-0008-0000-0700-00003E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191</xdr:row>
          <xdr:rowOff>85725</xdr:rowOff>
        </xdr:from>
        <xdr:to>
          <xdr:col>34</xdr:col>
          <xdr:colOff>304800</xdr:colOff>
          <xdr:row>193</xdr:row>
          <xdr:rowOff>38100</xdr:rowOff>
        </xdr:to>
        <xdr:sp macro="" textlink="">
          <xdr:nvSpPr>
            <xdr:cNvPr id="79423" name="Check Box 575" hidden="1">
              <a:extLst>
                <a:ext uri="{63B3BB69-23CF-44E3-9099-C40C66FF867C}">
                  <a14:compatExt spid="_x0000_s79423"/>
                </a:ext>
                <a:ext uri="{FF2B5EF4-FFF2-40B4-BE49-F238E27FC236}">
                  <a16:creationId xmlns:a16="http://schemas.microsoft.com/office/drawing/2014/main" id="{00000000-0008-0000-0700-00003F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192</xdr:row>
          <xdr:rowOff>85725</xdr:rowOff>
        </xdr:from>
        <xdr:to>
          <xdr:col>34</xdr:col>
          <xdr:colOff>304800</xdr:colOff>
          <xdr:row>194</xdr:row>
          <xdr:rowOff>38100</xdr:rowOff>
        </xdr:to>
        <xdr:sp macro="" textlink="">
          <xdr:nvSpPr>
            <xdr:cNvPr id="79424" name="Check Box 576" hidden="1">
              <a:extLst>
                <a:ext uri="{63B3BB69-23CF-44E3-9099-C40C66FF867C}">
                  <a14:compatExt spid="_x0000_s79424"/>
                </a:ext>
                <a:ext uri="{FF2B5EF4-FFF2-40B4-BE49-F238E27FC236}">
                  <a16:creationId xmlns:a16="http://schemas.microsoft.com/office/drawing/2014/main" id="{00000000-0008-0000-0700-000040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193</xdr:row>
          <xdr:rowOff>85725</xdr:rowOff>
        </xdr:from>
        <xdr:to>
          <xdr:col>34</xdr:col>
          <xdr:colOff>304800</xdr:colOff>
          <xdr:row>195</xdr:row>
          <xdr:rowOff>38100</xdr:rowOff>
        </xdr:to>
        <xdr:sp macro="" textlink="">
          <xdr:nvSpPr>
            <xdr:cNvPr id="79425" name="Check Box 577" hidden="1">
              <a:extLst>
                <a:ext uri="{63B3BB69-23CF-44E3-9099-C40C66FF867C}">
                  <a14:compatExt spid="_x0000_s79425"/>
                </a:ext>
                <a:ext uri="{FF2B5EF4-FFF2-40B4-BE49-F238E27FC236}">
                  <a16:creationId xmlns:a16="http://schemas.microsoft.com/office/drawing/2014/main" id="{00000000-0008-0000-0700-000041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194</xdr:row>
          <xdr:rowOff>85725</xdr:rowOff>
        </xdr:from>
        <xdr:to>
          <xdr:col>34</xdr:col>
          <xdr:colOff>304800</xdr:colOff>
          <xdr:row>196</xdr:row>
          <xdr:rowOff>38100</xdr:rowOff>
        </xdr:to>
        <xdr:sp macro="" textlink="">
          <xdr:nvSpPr>
            <xdr:cNvPr id="79426" name="Check Box 578" hidden="1">
              <a:extLst>
                <a:ext uri="{63B3BB69-23CF-44E3-9099-C40C66FF867C}">
                  <a14:compatExt spid="_x0000_s79426"/>
                </a:ext>
                <a:ext uri="{FF2B5EF4-FFF2-40B4-BE49-F238E27FC236}">
                  <a16:creationId xmlns:a16="http://schemas.microsoft.com/office/drawing/2014/main" id="{00000000-0008-0000-0700-000042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195</xdr:row>
          <xdr:rowOff>85725</xdr:rowOff>
        </xdr:from>
        <xdr:to>
          <xdr:col>34</xdr:col>
          <xdr:colOff>304800</xdr:colOff>
          <xdr:row>197</xdr:row>
          <xdr:rowOff>38100</xdr:rowOff>
        </xdr:to>
        <xdr:sp macro="" textlink="">
          <xdr:nvSpPr>
            <xdr:cNvPr id="79427" name="Check Box 579" hidden="1">
              <a:extLst>
                <a:ext uri="{63B3BB69-23CF-44E3-9099-C40C66FF867C}">
                  <a14:compatExt spid="_x0000_s79427"/>
                </a:ext>
                <a:ext uri="{FF2B5EF4-FFF2-40B4-BE49-F238E27FC236}">
                  <a16:creationId xmlns:a16="http://schemas.microsoft.com/office/drawing/2014/main" id="{00000000-0008-0000-0700-000043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196</xdr:row>
          <xdr:rowOff>85725</xdr:rowOff>
        </xdr:from>
        <xdr:to>
          <xdr:col>34</xdr:col>
          <xdr:colOff>304800</xdr:colOff>
          <xdr:row>198</xdr:row>
          <xdr:rowOff>38100</xdr:rowOff>
        </xdr:to>
        <xdr:sp macro="" textlink="">
          <xdr:nvSpPr>
            <xdr:cNvPr id="79428" name="Check Box 580" hidden="1">
              <a:extLst>
                <a:ext uri="{63B3BB69-23CF-44E3-9099-C40C66FF867C}">
                  <a14:compatExt spid="_x0000_s79428"/>
                </a:ext>
                <a:ext uri="{FF2B5EF4-FFF2-40B4-BE49-F238E27FC236}">
                  <a16:creationId xmlns:a16="http://schemas.microsoft.com/office/drawing/2014/main" id="{00000000-0008-0000-0700-000044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197</xdr:row>
          <xdr:rowOff>85725</xdr:rowOff>
        </xdr:from>
        <xdr:to>
          <xdr:col>34</xdr:col>
          <xdr:colOff>304800</xdr:colOff>
          <xdr:row>199</xdr:row>
          <xdr:rowOff>38100</xdr:rowOff>
        </xdr:to>
        <xdr:sp macro="" textlink="">
          <xdr:nvSpPr>
            <xdr:cNvPr id="79429" name="Check Box 581" hidden="1">
              <a:extLst>
                <a:ext uri="{63B3BB69-23CF-44E3-9099-C40C66FF867C}">
                  <a14:compatExt spid="_x0000_s79429"/>
                </a:ext>
                <a:ext uri="{FF2B5EF4-FFF2-40B4-BE49-F238E27FC236}">
                  <a16:creationId xmlns:a16="http://schemas.microsoft.com/office/drawing/2014/main" id="{00000000-0008-0000-0700-000045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200</xdr:row>
          <xdr:rowOff>85725</xdr:rowOff>
        </xdr:from>
        <xdr:to>
          <xdr:col>34</xdr:col>
          <xdr:colOff>304800</xdr:colOff>
          <xdr:row>202</xdr:row>
          <xdr:rowOff>38100</xdr:rowOff>
        </xdr:to>
        <xdr:sp macro="" textlink="">
          <xdr:nvSpPr>
            <xdr:cNvPr id="79430" name="Check Box 582" hidden="1">
              <a:extLst>
                <a:ext uri="{63B3BB69-23CF-44E3-9099-C40C66FF867C}">
                  <a14:compatExt spid="_x0000_s79430"/>
                </a:ext>
                <a:ext uri="{FF2B5EF4-FFF2-40B4-BE49-F238E27FC236}">
                  <a16:creationId xmlns:a16="http://schemas.microsoft.com/office/drawing/2014/main" id="{00000000-0008-0000-0700-000046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201</xdr:row>
          <xdr:rowOff>85725</xdr:rowOff>
        </xdr:from>
        <xdr:to>
          <xdr:col>34</xdr:col>
          <xdr:colOff>304800</xdr:colOff>
          <xdr:row>203</xdr:row>
          <xdr:rowOff>38100</xdr:rowOff>
        </xdr:to>
        <xdr:sp macro="" textlink="">
          <xdr:nvSpPr>
            <xdr:cNvPr id="79431" name="Check Box 583" hidden="1">
              <a:extLst>
                <a:ext uri="{63B3BB69-23CF-44E3-9099-C40C66FF867C}">
                  <a14:compatExt spid="_x0000_s79431"/>
                </a:ext>
                <a:ext uri="{FF2B5EF4-FFF2-40B4-BE49-F238E27FC236}">
                  <a16:creationId xmlns:a16="http://schemas.microsoft.com/office/drawing/2014/main" id="{00000000-0008-0000-0700-000047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202</xdr:row>
          <xdr:rowOff>85725</xdr:rowOff>
        </xdr:from>
        <xdr:to>
          <xdr:col>34</xdr:col>
          <xdr:colOff>304800</xdr:colOff>
          <xdr:row>204</xdr:row>
          <xdr:rowOff>38100</xdr:rowOff>
        </xdr:to>
        <xdr:sp macro="" textlink="">
          <xdr:nvSpPr>
            <xdr:cNvPr id="79432" name="Check Box 584" hidden="1">
              <a:extLst>
                <a:ext uri="{63B3BB69-23CF-44E3-9099-C40C66FF867C}">
                  <a14:compatExt spid="_x0000_s79432"/>
                </a:ext>
                <a:ext uri="{FF2B5EF4-FFF2-40B4-BE49-F238E27FC236}">
                  <a16:creationId xmlns:a16="http://schemas.microsoft.com/office/drawing/2014/main" id="{00000000-0008-0000-0700-000048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203</xdr:row>
          <xdr:rowOff>85725</xdr:rowOff>
        </xdr:from>
        <xdr:to>
          <xdr:col>34</xdr:col>
          <xdr:colOff>304800</xdr:colOff>
          <xdr:row>205</xdr:row>
          <xdr:rowOff>38100</xdr:rowOff>
        </xdr:to>
        <xdr:sp macro="" textlink="">
          <xdr:nvSpPr>
            <xdr:cNvPr id="79433" name="Check Box 585" hidden="1">
              <a:extLst>
                <a:ext uri="{63B3BB69-23CF-44E3-9099-C40C66FF867C}">
                  <a14:compatExt spid="_x0000_s79433"/>
                </a:ext>
                <a:ext uri="{FF2B5EF4-FFF2-40B4-BE49-F238E27FC236}">
                  <a16:creationId xmlns:a16="http://schemas.microsoft.com/office/drawing/2014/main" id="{00000000-0008-0000-0700-000049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204</xdr:row>
          <xdr:rowOff>85725</xdr:rowOff>
        </xdr:from>
        <xdr:to>
          <xdr:col>34</xdr:col>
          <xdr:colOff>304800</xdr:colOff>
          <xdr:row>206</xdr:row>
          <xdr:rowOff>38100</xdr:rowOff>
        </xdr:to>
        <xdr:sp macro="" textlink="">
          <xdr:nvSpPr>
            <xdr:cNvPr id="79434" name="Check Box 586" hidden="1">
              <a:extLst>
                <a:ext uri="{63B3BB69-23CF-44E3-9099-C40C66FF867C}">
                  <a14:compatExt spid="_x0000_s79434"/>
                </a:ext>
                <a:ext uri="{FF2B5EF4-FFF2-40B4-BE49-F238E27FC236}">
                  <a16:creationId xmlns:a16="http://schemas.microsoft.com/office/drawing/2014/main" id="{00000000-0008-0000-0700-00004A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205</xdr:row>
          <xdr:rowOff>85725</xdr:rowOff>
        </xdr:from>
        <xdr:to>
          <xdr:col>34</xdr:col>
          <xdr:colOff>304800</xdr:colOff>
          <xdr:row>207</xdr:row>
          <xdr:rowOff>38100</xdr:rowOff>
        </xdr:to>
        <xdr:sp macro="" textlink="">
          <xdr:nvSpPr>
            <xdr:cNvPr id="79435" name="Check Box 587" hidden="1">
              <a:extLst>
                <a:ext uri="{63B3BB69-23CF-44E3-9099-C40C66FF867C}">
                  <a14:compatExt spid="_x0000_s79435"/>
                </a:ext>
                <a:ext uri="{FF2B5EF4-FFF2-40B4-BE49-F238E27FC236}">
                  <a16:creationId xmlns:a16="http://schemas.microsoft.com/office/drawing/2014/main" id="{00000000-0008-0000-0700-00004B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206</xdr:row>
          <xdr:rowOff>85725</xdr:rowOff>
        </xdr:from>
        <xdr:to>
          <xdr:col>34</xdr:col>
          <xdr:colOff>304800</xdr:colOff>
          <xdr:row>208</xdr:row>
          <xdr:rowOff>38100</xdr:rowOff>
        </xdr:to>
        <xdr:sp macro="" textlink="">
          <xdr:nvSpPr>
            <xdr:cNvPr id="79436" name="Check Box 588" hidden="1">
              <a:extLst>
                <a:ext uri="{63B3BB69-23CF-44E3-9099-C40C66FF867C}">
                  <a14:compatExt spid="_x0000_s79436"/>
                </a:ext>
                <a:ext uri="{FF2B5EF4-FFF2-40B4-BE49-F238E27FC236}">
                  <a16:creationId xmlns:a16="http://schemas.microsoft.com/office/drawing/2014/main" id="{00000000-0008-0000-0700-00004C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207</xdr:row>
          <xdr:rowOff>85725</xdr:rowOff>
        </xdr:from>
        <xdr:to>
          <xdr:col>34</xdr:col>
          <xdr:colOff>304800</xdr:colOff>
          <xdr:row>209</xdr:row>
          <xdr:rowOff>38100</xdr:rowOff>
        </xdr:to>
        <xdr:sp macro="" textlink="">
          <xdr:nvSpPr>
            <xdr:cNvPr id="79437" name="Check Box 589" hidden="1">
              <a:extLst>
                <a:ext uri="{63B3BB69-23CF-44E3-9099-C40C66FF867C}">
                  <a14:compatExt spid="_x0000_s79437"/>
                </a:ext>
                <a:ext uri="{FF2B5EF4-FFF2-40B4-BE49-F238E27FC236}">
                  <a16:creationId xmlns:a16="http://schemas.microsoft.com/office/drawing/2014/main" id="{00000000-0008-0000-0700-00004D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208</xdr:row>
          <xdr:rowOff>85725</xdr:rowOff>
        </xdr:from>
        <xdr:to>
          <xdr:col>34</xdr:col>
          <xdr:colOff>304800</xdr:colOff>
          <xdr:row>210</xdr:row>
          <xdr:rowOff>38100</xdr:rowOff>
        </xdr:to>
        <xdr:sp macro="" textlink="">
          <xdr:nvSpPr>
            <xdr:cNvPr id="79438" name="Check Box 590" hidden="1">
              <a:extLst>
                <a:ext uri="{63B3BB69-23CF-44E3-9099-C40C66FF867C}">
                  <a14:compatExt spid="_x0000_s79438"/>
                </a:ext>
                <a:ext uri="{FF2B5EF4-FFF2-40B4-BE49-F238E27FC236}">
                  <a16:creationId xmlns:a16="http://schemas.microsoft.com/office/drawing/2014/main" id="{00000000-0008-0000-0700-00004E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209</xdr:row>
          <xdr:rowOff>85725</xdr:rowOff>
        </xdr:from>
        <xdr:to>
          <xdr:col>34</xdr:col>
          <xdr:colOff>304800</xdr:colOff>
          <xdr:row>211</xdr:row>
          <xdr:rowOff>38100</xdr:rowOff>
        </xdr:to>
        <xdr:sp macro="" textlink="">
          <xdr:nvSpPr>
            <xdr:cNvPr id="79439" name="Check Box 591" hidden="1">
              <a:extLst>
                <a:ext uri="{63B3BB69-23CF-44E3-9099-C40C66FF867C}">
                  <a14:compatExt spid="_x0000_s79439"/>
                </a:ext>
                <a:ext uri="{FF2B5EF4-FFF2-40B4-BE49-F238E27FC236}">
                  <a16:creationId xmlns:a16="http://schemas.microsoft.com/office/drawing/2014/main" id="{00000000-0008-0000-0700-00004F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210</xdr:row>
          <xdr:rowOff>85725</xdr:rowOff>
        </xdr:from>
        <xdr:to>
          <xdr:col>34</xdr:col>
          <xdr:colOff>304800</xdr:colOff>
          <xdr:row>212</xdr:row>
          <xdr:rowOff>38100</xdr:rowOff>
        </xdr:to>
        <xdr:sp macro="" textlink="">
          <xdr:nvSpPr>
            <xdr:cNvPr id="79440" name="Check Box 592" hidden="1">
              <a:extLst>
                <a:ext uri="{63B3BB69-23CF-44E3-9099-C40C66FF867C}">
                  <a14:compatExt spid="_x0000_s79440"/>
                </a:ext>
                <a:ext uri="{FF2B5EF4-FFF2-40B4-BE49-F238E27FC236}">
                  <a16:creationId xmlns:a16="http://schemas.microsoft.com/office/drawing/2014/main" id="{00000000-0008-0000-0700-000050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211</xdr:row>
          <xdr:rowOff>85725</xdr:rowOff>
        </xdr:from>
        <xdr:to>
          <xdr:col>34</xdr:col>
          <xdr:colOff>304800</xdr:colOff>
          <xdr:row>213</xdr:row>
          <xdr:rowOff>38100</xdr:rowOff>
        </xdr:to>
        <xdr:sp macro="" textlink="">
          <xdr:nvSpPr>
            <xdr:cNvPr id="79441" name="Check Box 593" hidden="1">
              <a:extLst>
                <a:ext uri="{63B3BB69-23CF-44E3-9099-C40C66FF867C}">
                  <a14:compatExt spid="_x0000_s79441"/>
                </a:ext>
                <a:ext uri="{FF2B5EF4-FFF2-40B4-BE49-F238E27FC236}">
                  <a16:creationId xmlns:a16="http://schemas.microsoft.com/office/drawing/2014/main" id="{00000000-0008-0000-0700-000051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212</xdr:row>
          <xdr:rowOff>85725</xdr:rowOff>
        </xdr:from>
        <xdr:to>
          <xdr:col>34</xdr:col>
          <xdr:colOff>304800</xdr:colOff>
          <xdr:row>214</xdr:row>
          <xdr:rowOff>38100</xdr:rowOff>
        </xdr:to>
        <xdr:sp macro="" textlink="">
          <xdr:nvSpPr>
            <xdr:cNvPr id="79442" name="Check Box 594" hidden="1">
              <a:extLst>
                <a:ext uri="{63B3BB69-23CF-44E3-9099-C40C66FF867C}">
                  <a14:compatExt spid="_x0000_s79442"/>
                </a:ext>
                <a:ext uri="{FF2B5EF4-FFF2-40B4-BE49-F238E27FC236}">
                  <a16:creationId xmlns:a16="http://schemas.microsoft.com/office/drawing/2014/main" id="{00000000-0008-0000-0700-000052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213</xdr:row>
          <xdr:rowOff>85725</xdr:rowOff>
        </xdr:from>
        <xdr:to>
          <xdr:col>34</xdr:col>
          <xdr:colOff>304800</xdr:colOff>
          <xdr:row>215</xdr:row>
          <xdr:rowOff>38100</xdr:rowOff>
        </xdr:to>
        <xdr:sp macro="" textlink="">
          <xdr:nvSpPr>
            <xdr:cNvPr id="79443" name="Check Box 595" hidden="1">
              <a:extLst>
                <a:ext uri="{63B3BB69-23CF-44E3-9099-C40C66FF867C}">
                  <a14:compatExt spid="_x0000_s79443"/>
                </a:ext>
                <a:ext uri="{FF2B5EF4-FFF2-40B4-BE49-F238E27FC236}">
                  <a16:creationId xmlns:a16="http://schemas.microsoft.com/office/drawing/2014/main" id="{00000000-0008-0000-0700-000053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214</xdr:row>
          <xdr:rowOff>85725</xdr:rowOff>
        </xdr:from>
        <xdr:to>
          <xdr:col>34</xdr:col>
          <xdr:colOff>304800</xdr:colOff>
          <xdr:row>216</xdr:row>
          <xdr:rowOff>38100</xdr:rowOff>
        </xdr:to>
        <xdr:sp macro="" textlink="">
          <xdr:nvSpPr>
            <xdr:cNvPr id="79444" name="Check Box 596" hidden="1">
              <a:extLst>
                <a:ext uri="{63B3BB69-23CF-44E3-9099-C40C66FF867C}">
                  <a14:compatExt spid="_x0000_s79444"/>
                </a:ext>
                <a:ext uri="{FF2B5EF4-FFF2-40B4-BE49-F238E27FC236}">
                  <a16:creationId xmlns:a16="http://schemas.microsoft.com/office/drawing/2014/main" id="{00000000-0008-0000-0700-000054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215</xdr:row>
          <xdr:rowOff>85725</xdr:rowOff>
        </xdr:from>
        <xdr:to>
          <xdr:col>34</xdr:col>
          <xdr:colOff>304800</xdr:colOff>
          <xdr:row>217</xdr:row>
          <xdr:rowOff>38100</xdr:rowOff>
        </xdr:to>
        <xdr:sp macro="" textlink="">
          <xdr:nvSpPr>
            <xdr:cNvPr id="79445" name="Check Box 597" hidden="1">
              <a:extLst>
                <a:ext uri="{63B3BB69-23CF-44E3-9099-C40C66FF867C}">
                  <a14:compatExt spid="_x0000_s79445"/>
                </a:ext>
                <a:ext uri="{FF2B5EF4-FFF2-40B4-BE49-F238E27FC236}">
                  <a16:creationId xmlns:a16="http://schemas.microsoft.com/office/drawing/2014/main" id="{00000000-0008-0000-0700-000055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216</xdr:row>
          <xdr:rowOff>85725</xdr:rowOff>
        </xdr:from>
        <xdr:to>
          <xdr:col>34</xdr:col>
          <xdr:colOff>304800</xdr:colOff>
          <xdr:row>218</xdr:row>
          <xdr:rowOff>38100</xdr:rowOff>
        </xdr:to>
        <xdr:sp macro="" textlink="">
          <xdr:nvSpPr>
            <xdr:cNvPr id="79446" name="Check Box 598" hidden="1">
              <a:extLst>
                <a:ext uri="{63B3BB69-23CF-44E3-9099-C40C66FF867C}">
                  <a14:compatExt spid="_x0000_s79446"/>
                </a:ext>
                <a:ext uri="{FF2B5EF4-FFF2-40B4-BE49-F238E27FC236}">
                  <a16:creationId xmlns:a16="http://schemas.microsoft.com/office/drawing/2014/main" id="{00000000-0008-0000-0700-000056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217</xdr:row>
          <xdr:rowOff>85725</xdr:rowOff>
        </xdr:from>
        <xdr:to>
          <xdr:col>34</xdr:col>
          <xdr:colOff>304800</xdr:colOff>
          <xdr:row>219</xdr:row>
          <xdr:rowOff>38100</xdr:rowOff>
        </xdr:to>
        <xdr:sp macro="" textlink="">
          <xdr:nvSpPr>
            <xdr:cNvPr id="79447" name="Check Box 599" hidden="1">
              <a:extLst>
                <a:ext uri="{63B3BB69-23CF-44E3-9099-C40C66FF867C}">
                  <a14:compatExt spid="_x0000_s79447"/>
                </a:ext>
                <a:ext uri="{FF2B5EF4-FFF2-40B4-BE49-F238E27FC236}">
                  <a16:creationId xmlns:a16="http://schemas.microsoft.com/office/drawing/2014/main" id="{00000000-0008-0000-0700-000057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218</xdr:row>
          <xdr:rowOff>85725</xdr:rowOff>
        </xdr:from>
        <xdr:to>
          <xdr:col>34</xdr:col>
          <xdr:colOff>304800</xdr:colOff>
          <xdr:row>220</xdr:row>
          <xdr:rowOff>38100</xdr:rowOff>
        </xdr:to>
        <xdr:sp macro="" textlink="">
          <xdr:nvSpPr>
            <xdr:cNvPr id="79448" name="Check Box 600" hidden="1">
              <a:extLst>
                <a:ext uri="{63B3BB69-23CF-44E3-9099-C40C66FF867C}">
                  <a14:compatExt spid="_x0000_s79448"/>
                </a:ext>
                <a:ext uri="{FF2B5EF4-FFF2-40B4-BE49-F238E27FC236}">
                  <a16:creationId xmlns:a16="http://schemas.microsoft.com/office/drawing/2014/main" id="{00000000-0008-0000-0700-000058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219</xdr:row>
          <xdr:rowOff>85725</xdr:rowOff>
        </xdr:from>
        <xdr:to>
          <xdr:col>34</xdr:col>
          <xdr:colOff>304800</xdr:colOff>
          <xdr:row>221</xdr:row>
          <xdr:rowOff>38100</xdr:rowOff>
        </xdr:to>
        <xdr:sp macro="" textlink="">
          <xdr:nvSpPr>
            <xdr:cNvPr id="79449" name="Check Box 601" hidden="1">
              <a:extLst>
                <a:ext uri="{63B3BB69-23CF-44E3-9099-C40C66FF867C}">
                  <a14:compatExt spid="_x0000_s79449"/>
                </a:ext>
                <a:ext uri="{FF2B5EF4-FFF2-40B4-BE49-F238E27FC236}">
                  <a16:creationId xmlns:a16="http://schemas.microsoft.com/office/drawing/2014/main" id="{00000000-0008-0000-0700-000059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220</xdr:row>
          <xdr:rowOff>85725</xdr:rowOff>
        </xdr:from>
        <xdr:to>
          <xdr:col>34</xdr:col>
          <xdr:colOff>304800</xdr:colOff>
          <xdr:row>222</xdr:row>
          <xdr:rowOff>38100</xdr:rowOff>
        </xdr:to>
        <xdr:sp macro="" textlink="">
          <xdr:nvSpPr>
            <xdr:cNvPr id="79450" name="Check Box 602" hidden="1">
              <a:extLst>
                <a:ext uri="{63B3BB69-23CF-44E3-9099-C40C66FF867C}">
                  <a14:compatExt spid="_x0000_s79450"/>
                </a:ext>
                <a:ext uri="{FF2B5EF4-FFF2-40B4-BE49-F238E27FC236}">
                  <a16:creationId xmlns:a16="http://schemas.microsoft.com/office/drawing/2014/main" id="{00000000-0008-0000-0700-00005A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221</xdr:row>
          <xdr:rowOff>85725</xdr:rowOff>
        </xdr:from>
        <xdr:to>
          <xdr:col>34</xdr:col>
          <xdr:colOff>304800</xdr:colOff>
          <xdr:row>223</xdr:row>
          <xdr:rowOff>38100</xdr:rowOff>
        </xdr:to>
        <xdr:sp macro="" textlink="">
          <xdr:nvSpPr>
            <xdr:cNvPr id="79451" name="Check Box 603" hidden="1">
              <a:extLst>
                <a:ext uri="{63B3BB69-23CF-44E3-9099-C40C66FF867C}">
                  <a14:compatExt spid="_x0000_s79451"/>
                </a:ext>
                <a:ext uri="{FF2B5EF4-FFF2-40B4-BE49-F238E27FC236}">
                  <a16:creationId xmlns:a16="http://schemas.microsoft.com/office/drawing/2014/main" id="{00000000-0008-0000-0700-00005B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222</xdr:row>
          <xdr:rowOff>85725</xdr:rowOff>
        </xdr:from>
        <xdr:to>
          <xdr:col>34</xdr:col>
          <xdr:colOff>304800</xdr:colOff>
          <xdr:row>224</xdr:row>
          <xdr:rowOff>38100</xdr:rowOff>
        </xdr:to>
        <xdr:sp macro="" textlink="">
          <xdr:nvSpPr>
            <xdr:cNvPr id="79452" name="Check Box 604" hidden="1">
              <a:extLst>
                <a:ext uri="{63B3BB69-23CF-44E3-9099-C40C66FF867C}">
                  <a14:compatExt spid="_x0000_s79452"/>
                </a:ext>
                <a:ext uri="{FF2B5EF4-FFF2-40B4-BE49-F238E27FC236}">
                  <a16:creationId xmlns:a16="http://schemas.microsoft.com/office/drawing/2014/main" id="{00000000-0008-0000-0700-00005C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223</xdr:row>
          <xdr:rowOff>85725</xdr:rowOff>
        </xdr:from>
        <xdr:to>
          <xdr:col>34</xdr:col>
          <xdr:colOff>304800</xdr:colOff>
          <xdr:row>225</xdr:row>
          <xdr:rowOff>38100</xdr:rowOff>
        </xdr:to>
        <xdr:sp macro="" textlink="">
          <xdr:nvSpPr>
            <xdr:cNvPr id="79453" name="Check Box 605" hidden="1">
              <a:extLst>
                <a:ext uri="{63B3BB69-23CF-44E3-9099-C40C66FF867C}">
                  <a14:compatExt spid="_x0000_s79453"/>
                </a:ext>
                <a:ext uri="{FF2B5EF4-FFF2-40B4-BE49-F238E27FC236}">
                  <a16:creationId xmlns:a16="http://schemas.microsoft.com/office/drawing/2014/main" id="{00000000-0008-0000-0700-00005D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224</xdr:row>
          <xdr:rowOff>85725</xdr:rowOff>
        </xdr:from>
        <xdr:to>
          <xdr:col>34</xdr:col>
          <xdr:colOff>304800</xdr:colOff>
          <xdr:row>226</xdr:row>
          <xdr:rowOff>38100</xdr:rowOff>
        </xdr:to>
        <xdr:sp macro="" textlink="">
          <xdr:nvSpPr>
            <xdr:cNvPr id="79454" name="Check Box 606" hidden="1">
              <a:extLst>
                <a:ext uri="{63B3BB69-23CF-44E3-9099-C40C66FF867C}">
                  <a14:compatExt spid="_x0000_s79454"/>
                </a:ext>
                <a:ext uri="{FF2B5EF4-FFF2-40B4-BE49-F238E27FC236}">
                  <a16:creationId xmlns:a16="http://schemas.microsoft.com/office/drawing/2014/main" id="{00000000-0008-0000-0700-00005E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225</xdr:row>
          <xdr:rowOff>85725</xdr:rowOff>
        </xdr:from>
        <xdr:to>
          <xdr:col>34</xdr:col>
          <xdr:colOff>304800</xdr:colOff>
          <xdr:row>227</xdr:row>
          <xdr:rowOff>38100</xdr:rowOff>
        </xdr:to>
        <xdr:sp macro="" textlink="">
          <xdr:nvSpPr>
            <xdr:cNvPr id="79455" name="Check Box 607" hidden="1">
              <a:extLst>
                <a:ext uri="{63B3BB69-23CF-44E3-9099-C40C66FF867C}">
                  <a14:compatExt spid="_x0000_s79455"/>
                </a:ext>
                <a:ext uri="{FF2B5EF4-FFF2-40B4-BE49-F238E27FC236}">
                  <a16:creationId xmlns:a16="http://schemas.microsoft.com/office/drawing/2014/main" id="{00000000-0008-0000-0700-00005F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226</xdr:row>
          <xdr:rowOff>85725</xdr:rowOff>
        </xdr:from>
        <xdr:to>
          <xdr:col>34</xdr:col>
          <xdr:colOff>304800</xdr:colOff>
          <xdr:row>228</xdr:row>
          <xdr:rowOff>38100</xdr:rowOff>
        </xdr:to>
        <xdr:sp macro="" textlink="">
          <xdr:nvSpPr>
            <xdr:cNvPr id="79456" name="Check Box 608" hidden="1">
              <a:extLst>
                <a:ext uri="{63B3BB69-23CF-44E3-9099-C40C66FF867C}">
                  <a14:compatExt spid="_x0000_s79456"/>
                </a:ext>
                <a:ext uri="{FF2B5EF4-FFF2-40B4-BE49-F238E27FC236}">
                  <a16:creationId xmlns:a16="http://schemas.microsoft.com/office/drawing/2014/main" id="{00000000-0008-0000-0700-000060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227</xdr:row>
          <xdr:rowOff>85725</xdr:rowOff>
        </xdr:from>
        <xdr:to>
          <xdr:col>34</xdr:col>
          <xdr:colOff>304800</xdr:colOff>
          <xdr:row>229</xdr:row>
          <xdr:rowOff>38100</xdr:rowOff>
        </xdr:to>
        <xdr:sp macro="" textlink="">
          <xdr:nvSpPr>
            <xdr:cNvPr id="79457" name="Check Box 609" hidden="1">
              <a:extLst>
                <a:ext uri="{63B3BB69-23CF-44E3-9099-C40C66FF867C}">
                  <a14:compatExt spid="_x0000_s79457"/>
                </a:ext>
                <a:ext uri="{FF2B5EF4-FFF2-40B4-BE49-F238E27FC236}">
                  <a16:creationId xmlns:a16="http://schemas.microsoft.com/office/drawing/2014/main" id="{00000000-0008-0000-0700-000061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228</xdr:row>
          <xdr:rowOff>85725</xdr:rowOff>
        </xdr:from>
        <xdr:to>
          <xdr:col>34</xdr:col>
          <xdr:colOff>304800</xdr:colOff>
          <xdr:row>230</xdr:row>
          <xdr:rowOff>38100</xdr:rowOff>
        </xdr:to>
        <xdr:sp macro="" textlink="">
          <xdr:nvSpPr>
            <xdr:cNvPr id="79458" name="Check Box 610" hidden="1">
              <a:extLst>
                <a:ext uri="{63B3BB69-23CF-44E3-9099-C40C66FF867C}">
                  <a14:compatExt spid="_x0000_s79458"/>
                </a:ext>
                <a:ext uri="{FF2B5EF4-FFF2-40B4-BE49-F238E27FC236}">
                  <a16:creationId xmlns:a16="http://schemas.microsoft.com/office/drawing/2014/main" id="{00000000-0008-0000-0700-000062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229</xdr:row>
          <xdr:rowOff>85725</xdr:rowOff>
        </xdr:from>
        <xdr:to>
          <xdr:col>34</xdr:col>
          <xdr:colOff>304800</xdr:colOff>
          <xdr:row>231</xdr:row>
          <xdr:rowOff>38100</xdr:rowOff>
        </xdr:to>
        <xdr:sp macro="" textlink="">
          <xdr:nvSpPr>
            <xdr:cNvPr id="79459" name="Check Box 611" hidden="1">
              <a:extLst>
                <a:ext uri="{63B3BB69-23CF-44E3-9099-C40C66FF867C}">
                  <a14:compatExt spid="_x0000_s79459"/>
                </a:ext>
                <a:ext uri="{FF2B5EF4-FFF2-40B4-BE49-F238E27FC236}">
                  <a16:creationId xmlns:a16="http://schemas.microsoft.com/office/drawing/2014/main" id="{00000000-0008-0000-0700-000063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230</xdr:row>
          <xdr:rowOff>85725</xdr:rowOff>
        </xdr:from>
        <xdr:to>
          <xdr:col>34</xdr:col>
          <xdr:colOff>304800</xdr:colOff>
          <xdr:row>232</xdr:row>
          <xdr:rowOff>38100</xdr:rowOff>
        </xdr:to>
        <xdr:sp macro="" textlink="">
          <xdr:nvSpPr>
            <xdr:cNvPr id="79460" name="Check Box 612" hidden="1">
              <a:extLst>
                <a:ext uri="{63B3BB69-23CF-44E3-9099-C40C66FF867C}">
                  <a14:compatExt spid="_x0000_s79460"/>
                </a:ext>
                <a:ext uri="{FF2B5EF4-FFF2-40B4-BE49-F238E27FC236}">
                  <a16:creationId xmlns:a16="http://schemas.microsoft.com/office/drawing/2014/main" id="{00000000-0008-0000-0700-000064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231</xdr:row>
          <xdr:rowOff>85725</xdr:rowOff>
        </xdr:from>
        <xdr:to>
          <xdr:col>34</xdr:col>
          <xdr:colOff>304800</xdr:colOff>
          <xdr:row>233</xdr:row>
          <xdr:rowOff>38100</xdr:rowOff>
        </xdr:to>
        <xdr:sp macro="" textlink="">
          <xdr:nvSpPr>
            <xdr:cNvPr id="79461" name="Check Box 613" hidden="1">
              <a:extLst>
                <a:ext uri="{63B3BB69-23CF-44E3-9099-C40C66FF867C}">
                  <a14:compatExt spid="_x0000_s79461"/>
                </a:ext>
                <a:ext uri="{FF2B5EF4-FFF2-40B4-BE49-F238E27FC236}">
                  <a16:creationId xmlns:a16="http://schemas.microsoft.com/office/drawing/2014/main" id="{00000000-0008-0000-0700-000065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232</xdr:row>
          <xdr:rowOff>85725</xdr:rowOff>
        </xdr:from>
        <xdr:to>
          <xdr:col>34</xdr:col>
          <xdr:colOff>304800</xdr:colOff>
          <xdr:row>234</xdr:row>
          <xdr:rowOff>38100</xdr:rowOff>
        </xdr:to>
        <xdr:sp macro="" textlink="">
          <xdr:nvSpPr>
            <xdr:cNvPr id="79462" name="Check Box 614" hidden="1">
              <a:extLst>
                <a:ext uri="{63B3BB69-23CF-44E3-9099-C40C66FF867C}">
                  <a14:compatExt spid="_x0000_s79462"/>
                </a:ext>
                <a:ext uri="{FF2B5EF4-FFF2-40B4-BE49-F238E27FC236}">
                  <a16:creationId xmlns:a16="http://schemas.microsoft.com/office/drawing/2014/main" id="{00000000-0008-0000-0700-000066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233</xdr:row>
          <xdr:rowOff>85725</xdr:rowOff>
        </xdr:from>
        <xdr:to>
          <xdr:col>34</xdr:col>
          <xdr:colOff>304800</xdr:colOff>
          <xdr:row>235</xdr:row>
          <xdr:rowOff>38100</xdr:rowOff>
        </xdr:to>
        <xdr:sp macro="" textlink="">
          <xdr:nvSpPr>
            <xdr:cNvPr id="79463" name="Check Box 615" hidden="1">
              <a:extLst>
                <a:ext uri="{63B3BB69-23CF-44E3-9099-C40C66FF867C}">
                  <a14:compatExt spid="_x0000_s79463"/>
                </a:ext>
                <a:ext uri="{FF2B5EF4-FFF2-40B4-BE49-F238E27FC236}">
                  <a16:creationId xmlns:a16="http://schemas.microsoft.com/office/drawing/2014/main" id="{00000000-0008-0000-0700-000067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234</xdr:row>
          <xdr:rowOff>85725</xdr:rowOff>
        </xdr:from>
        <xdr:to>
          <xdr:col>34</xdr:col>
          <xdr:colOff>304800</xdr:colOff>
          <xdr:row>236</xdr:row>
          <xdr:rowOff>38100</xdr:rowOff>
        </xdr:to>
        <xdr:sp macro="" textlink="">
          <xdr:nvSpPr>
            <xdr:cNvPr id="79464" name="Check Box 616" hidden="1">
              <a:extLst>
                <a:ext uri="{63B3BB69-23CF-44E3-9099-C40C66FF867C}">
                  <a14:compatExt spid="_x0000_s79464"/>
                </a:ext>
                <a:ext uri="{FF2B5EF4-FFF2-40B4-BE49-F238E27FC236}">
                  <a16:creationId xmlns:a16="http://schemas.microsoft.com/office/drawing/2014/main" id="{00000000-0008-0000-0700-000068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235</xdr:row>
          <xdr:rowOff>85725</xdr:rowOff>
        </xdr:from>
        <xdr:to>
          <xdr:col>34</xdr:col>
          <xdr:colOff>304800</xdr:colOff>
          <xdr:row>237</xdr:row>
          <xdr:rowOff>38100</xdr:rowOff>
        </xdr:to>
        <xdr:sp macro="" textlink="">
          <xdr:nvSpPr>
            <xdr:cNvPr id="79465" name="Check Box 617" hidden="1">
              <a:extLst>
                <a:ext uri="{63B3BB69-23CF-44E3-9099-C40C66FF867C}">
                  <a14:compatExt spid="_x0000_s79465"/>
                </a:ext>
                <a:ext uri="{FF2B5EF4-FFF2-40B4-BE49-F238E27FC236}">
                  <a16:creationId xmlns:a16="http://schemas.microsoft.com/office/drawing/2014/main" id="{00000000-0008-0000-0700-000069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236</xdr:row>
          <xdr:rowOff>85725</xdr:rowOff>
        </xdr:from>
        <xdr:to>
          <xdr:col>34</xdr:col>
          <xdr:colOff>304800</xdr:colOff>
          <xdr:row>238</xdr:row>
          <xdr:rowOff>38100</xdr:rowOff>
        </xdr:to>
        <xdr:sp macro="" textlink="">
          <xdr:nvSpPr>
            <xdr:cNvPr id="79466" name="Check Box 618" hidden="1">
              <a:extLst>
                <a:ext uri="{63B3BB69-23CF-44E3-9099-C40C66FF867C}">
                  <a14:compatExt spid="_x0000_s79466"/>
                </a:ext>
                <a:ext uri="{FF2B5EF4-FFF2-40B4-BE49-F238E27FC236}">
                  <a16:creationId xmlns:a16="http://schemas.microsoft.com/office/drawing/2014/main" id="{00000000-0008-0000-0700-00006A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198</xdr:row>
          <xdr:rowOff>85725</xdr:rowOff>
        </xdr:from>
        <xdr:to>
          <xdr:col>34</xdr:col>
          <xdr:colOff>304800</xdr:colOff>
          <xdr:row>200</xdr:row>
          <xdr:rowOff>38100</xdr:rowOff>
        </xdr:to>
        <xdr:sp macro="" textlink="">
          <xdr:nvSpPr>
            <xdr:cNvPr id="79467" name="Check Box 619" hidden="1">
              <a:extLst>
                <a:ext uri="{63B3BB69-23CF-44E3-9099-C40C66FF867C}">
                  <a14:compatExt spid="_x0000_s79467"/>
                </a:ext>
                <a:ext uri="{FF2B5EF4-FFF2-40B4-BE49-F238E27FC236}">
                  <a16:creationId xmlns:a16="http://schemas.microsoft.com/office/drawing/2014/main" id="{00000000-0008-0000-0700-00006B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199</xdr:row>
          <xdr:rowOff>85725</xdr:rowOff>
        </xdr:from>
        <xdr:to>
          <xdr:col>34</xdr:col>
          <xdr:colOff>304800</xdr:colOff>
          <xdr:row>201</xdr:row>
          <xdr:rowOff>38100</xdr:rowOff>
        </xdr:to>
        <xdr:sp macro="" textlink="">
          <xdr:nvSpPr>
            <xdr:cNvPr id="79468" name="Check Box 620" hidden="1">
              <a:extLst>
                <a:ext uri="{63B3BB69-23CF-44E3-9099-C40C66FF867C}">
                  <a14:compatExt spid="_x0000_s79468"/>
                </a:ext>
                <a:ext uri="{FF2B5EF4-FFF2-40B4-BE49-F238E27FC236}">
                  <a16:creationId xmlns:a16="http://schemas.microsoft.com/office/drawing/2014/main" id="{00000000-0008-0000-0700-00006C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236</xdr:row>
          <xdr:rowOff>85725</xdr:rowOff>
        </xdr:from>
        <xdr:to>
          <xdr:col>34</xdr:col>
          <xdr:colOff>304800</xdr:colOff>
          <xdr:row>238</xdr:row>
          <xdr:rowOff>38100</xdr:rowOff>
        </xdr:to>
        <xdr:sp macro="" textlink="">
          <xdr:nvSpPr>
            <xdr:cNvPr id="79469" name="Check Box 621" hidden="1">
              <a:extLst>
                <a:ext uri="{63B3BB69-23CF-44E3-9099-C40C66FF867C}">
                  <a14:compatExt spid="_x0000_s79469"/>
                </a:ext>
                <a:ext uri="{FF2B5EF4-FFF2-40B4-BE49-F238E27FC236}">
                  <a16:creationId xmlns:a16="http://schemas.microsoft.com/office/drawing/2014/main" id="{00000000-0008-0000-0700-00006D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37</xdr:row>
          <xdr:rowOff>85725</xdr:rowOff>
        </xdr:from>
        <xdr:to>
          <xdr:col>34</xdr:col>
          <xdr:colOff>57150</xdr:colOff>
          <xdr:row>39</xdr:row>
          <xdr:rowOff>38100</xdr:rowOff>
        </xdr:to>
        <xdr:sp macro="" textlink="">
          <xdr:nvSpPr>
            <xdr:cNvPr id="79470" name="Check Box 622" hidden="1">
              <a:extLst>
                <a:ext uri="{63B3BB69-23CF-44E3-9099-C40C66FF867C}">
                  <a14:compatExt spid="_x0000_s79470"/>
                </a:ext>
                <a:ext uri="{FF2B5EF4-FFF2-40B4-BE49-F238E27FC236}">
                  <a16:creationId xmlns:a16="http://schemas.microsoft.com/office/drawing/2014/main" id="{00000000-0008-0000-0700-00006E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333333" mc:Ignorable="a14" a14:legacySpreadsheetColorIndex="63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38</xdr:row>
          <xdr:rowOff>85725</xdr:rowOff>
        </xdr:from>
        <xdr:to>
          <xdr:col>34</xdr:col>
          <xdr:colOff>57150</xdr:colOff>
          <xdr:row>40</xdr:row>
          <xdr:rowOff>38100</xdr:rowOff>
        </xdr:to>
        <xdr:sp macro="" textlink="">
          <xdr:nvSpPr>
            <xdr:cNvPr id="79471" name="Check Box 623" hidden="1">
              <a:extLst>
                <a:ext uri="{63B3BB69-23CF-44E3-9099-C40C66FF867C}">
                  <a14:compatExt spid="_x0000_s79471"/>
                </a:ext>
                <a:ext uri="{FF2B5EF4-FFF2-40B4-BE49-F238E27FC236}">
                  <a16:creationId xmlns:a16="http://schemas.microsoft.com/office/drawing/2014/main" id="{00000000-0008-0000-0700-00006F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39</xdr:row>
          <xdr:rowOff>85725</xdr:rowOff>
        </xdr:from>
        <xdr:to>
          <xdr:col>34</xdr:col>
          <xdr:colOff>57150</xdr:colOff>
          <xdr:row>41</xdr:row>
          <xdr:rowOff>38100</xdr:rowOff>
        </xdr:to>
        <xdr:sp macro="" textlink="">
          <xdr:nvSpPr>
            <xdr:cNvPr id="79472" name="Check Box 624" hidden="1">
              <a:extLst>
                <a:ext uri="{63B3BB69-23CF-44E3-9099-C40C66FF867C}">
                  <a14:compatExt spid="_x0000_s79472"/>
                </a:ext>
                <a:ext uri="{FF2B5EF4-FFF2-40B4-BE49-F238E27FC236}">
                  <a16:creationId xmlns:a16="http://schemas.microsoft.com/office/drawing/2014/main" id="{00000000-0008-0000-0700-000070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40</xdr:row>
          <xdr:rowOff>85725</xdr:rowOff>
        </xdr:from>
        <xdr:to>
          <xdr:col>34</xdr:col>
          <xdr:colOff>57150</xdr:colOff>
          <xdr:row>42</xdr:row>
          <xdr:rowOff>38100</xdr:rowOff>
        </xdr:to>
        <xdr:sp macro="" textlink="">
          <xdr:nvSpPr>
            <xdr:cNvPr id="79473" name="Check Box 625" hidden="1">
              <a:extLst>
                <a:ext uri="{63B3BB69-23CF-44E3-9099-C40C66FF867C}">
                  <a14:compatExt spid="_x0000_s79473"/>
                </a:ext>
                <a:ext uri="{FF2B5EF4-FFF2-40B4-BE49-F238E27FC236}">
                  <a16:creationId xmlns:a16="http://schemas.microsoft.com/office/drawing/2014/main" id="{00000000-0008-0000-0700-000071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41</xdr:row>
          <xdr:rowOff>85725</xdr:rowOff>
        </xdr:from>
        <xdr:to>
          <xdr:col>34</xdr:col>
          <xdr:colOff>57150</xdr:colOff>
          <xdr:row>43</xdr:row>
          <xdr:rowOff>38100</xdr:rowOff>
        </xdr:to>
        <xdr:sp macro="" textlink="">
          <xdr:nvSpPr>
            <xdr:cNvPr id="79474" name="Check Box 626" hidden="1">
              <a:extLst>
                <a:ext uri="{63B3BB69-23CF-44E3-9099-C40C66FF867C}">
                  <a14:compatExt spid="_x0000_s79474"/>
                </a:ext>
                <a:ext uri="{FF2B5EF4-FFF2-40B4-BE49-F238E27FC236}">
                  <a16:creationId xmlns:a16="http://schemas.microsoft.com/office/drawing/2014/main" id="{00000000-0008-0000-0700-000072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42</xdr:row>
          <xdr:rowOff>85725</xdr:rowOff>
        </xdr:from>
        <xdr:to>
          <xdr:col>34</xdr:col>
          <xdr:colOff>57150</xdr:colOff>
          <xdr:row>44</xdr:row>
          <xdr:rowOff>38100</xdr:rowOff>
        </xdr:to>
        <xdr:sp macro="" textlink="">
          <xdr:nvSpPr>
            <xdr:cNvPr id="79475" name="Check Box 627" hidden="1">
              <a:extLst>
                <a:ext uri="{63B3BB69-23CF-44E3-9099-C40C66FF867C}">
                  <a14:compatExt spid="_x0000_s79475"/>
                </a:ext>
                <a:ext uri="{FF2B5EF4-FFF2-40B4-BE49-F238E27FC236}">
                  <a16:creationId xmlns:a16="http://schemas.microsoft.com/office/drawing/2014/main" id="{00000000-0008-0000-0700-000073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43</xdr:row>
          <xdr:rowOff>85725</xdr:rowOff>
        </xdr:from>
        <xdr:to>
          <xdr:col>34</xdr:col>
          <xdr:colOff>57150</xdr:colOff>
          <xdr:row>45</xdr:row>
          <xdr:rowOff>38100</xdr:rowOff>
        </xdr:to>
        <xdr:sp macro="" textlink="">
          <xdr:nvSpPr>
            <xdr:cNvPr id="79476" name="Check Box 628" hidden="1">
              <a:extLst>
                <a:ext uri="{63B3BB69-23CF-44E3-9099-C40C66FF867C}">
                  <a14:compatExt spid="_x0000_s79476"/>
                </a:ext>
                <a:ext uri="{FF2B5EF4-FFF2-40B4-BE49-F238E27FC236}">
                  <a16:creationId xmlns:a16="http://schemas.microsoft.com/office/drawing/2014/main" id="{00000000-0008-0000-0700-000074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44</xdr:row>
          <xdr:rowOff>85725</xdr:rowOff>
        </xdr:from>
        <xdr:to>
          <xdr:col>34</xdr:col>
          <xdr:colOff>57150</xdr:colOff>
          <xdr:row>46</xdr:row>
          <xdr:rowOff>38100</xdr:rowOff>
        </xdr:to>
        <xdr:sp macro="" textlink="">
          <xdr:nvSpPr>
            <xdr:cNvPr id="79477" name="Check Box 629" hidden="1">
              <a:extLst>
                <a:ext uri="{63B3BB69-23CF-44E3-9099-C40C66FF867C}">
                  <a14:compatExt spid="_x0000_s79477"/>
                </a:ext>
                <a:ext uri="{FF2B5EF4-FFF2-40B4-BE49-F238E27FC236}">
                  <a16:creationId xmlns:a16="http://schemas.microsoft.com/office/drawing/2014/main" id="{00000000-0008-0000-0700-000075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45</xdr:row>
          <xdr:rowOff>85725</xdr:rowOff>
        </xdr:from>
        <xdr:to>
          <xdr:col>34</xdr:col>
          <xdr:colOff>57150</xdr:colOff>
          <xdr:row>47</xdr:row>
          <xdr:rowOff>38100</xdr:rowOff>
        </xdr:to>
        <xdr:sp macro="" textlink="">
          <xdr:nvSpPr>
            <xdr:cNvPr id="79478" name="Check Box 630" hidden="1">
              <a:extLst>
                <a:ext uri="{63B3BB69-23CF-44E3-9099-C40C66FF867C}">
                  <a14:compatExt spid="_x0000_s79478"/>
                </a:ext>
                <a:ext uri="{FF2B5EF4-FFF2-40B4-BE49-F238E27FC236}">
                  <a16:creationId xmlns:a16="http://schemas.microsoft.com/office/drawing/2014/main" id="{00000000-0008-0000-0700-000076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46</xdr:row>
          <xdr:rowOff>85725</xdr:rowOff>
        </xdr:from>
        <xdr:to>
          <xdr:col>34</xdr:col>
          <xdr:colOff>57150</xdr:colOff>
          <xdr:row>48</xdr:row>
          <xdr:rowOff>38100</xdr:rowOff>
        </xdr:to>
        <xdr:sp macro="" textlink="">
          <xdr:nvSpPr>
            <xdr:cNvPr id="79479" name="Check Box 631" hidden="1">
              <a:extLst>
                <a:ext uri="{63B3BB69-23CF-44E3-9099-C40C66FF867C}">
                  <a14:compatExt spid="_x0000_s79479"/>
                </a:ext>
                <a:ext uri="{FF2B5EF4-FFF2-40B4-BE49-F238E27FC236}">
                  <a16:creationId xmlns:a16="http://schemas.microsoft.com/office/drawing/2014/main" id="{00000000-0008-0000-0700-000077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47</xdr:row>
          <xdr:rowOff>85725</xdr:rowOff>
        </xdr:from>
        <xdr:to>
          <xdr:col>34</xdr:col>
          <xdr:colOff>57150</xdr:colOff>
          <xdr:row>49</xdr:row>
          <xdr:rowOff>38100</xdr:rowOff>
        </xdr:to>
        <xdr:sp macro="" textlink="">
          <xdr:nvSpPr>
            <xdr:cNvPr id="79480" name="Check Box 632" hidden="1">
              <a:extLst>
                <a:ext uri="{63B3BB69-23CF-44E3-9099-C40C66FF867C}">
                  <a14:compatExt spid="_x0000_s79480"/>
                </a:ext>
                <a:ext uri="{FF2B5EF4-FFF2-40B4-BE49-F238E27FC236}">
                  <a16:creationId xmlns:a16="http://schemas.microsoft.com/office/drawing/2014/main" id="{00000000-0008-0000-0700-000078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50</xdr:row>
          <xdr:rowOff>85725</xdr:rowOff>
        </xdr:from>
        <xdr:to>
          <xdr:col>34</xdr:col>
          <xdr:colOff>57150</xdr:colOff>
          <xdr:row>52</xdr:row>
          <xdr:rowOff>38100</xdr:rowOff>
        </xdr:to>
        <xdr:sp macro="" textlink="">
          <xdr:nvSpPr>
            <xdr:cNvPr id="79481" name="Check Box 633" hidden="1">
              <a:extLst>
                <a:ext uri="{63B3BB69-23CF-44E3-9099-C40C66FF867C}">
                  <a14:compatExt spid="_x0000_s79481"/>
                </a:ext>
                <a:ext uri="{FF2B5EF4-FFF2-40B4-BE49-F238E27FC236}">
                  <a16:creationId xmlns:a16="http://schemas.microsoft.com/office/drawing/2014/main" id="{00000000-0008-0000-0700-000079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51</xdr:row>
          <xdr:rowOff>85725</xdr:rowOff>
        </xdr:from>
        <xdr:to>
          <xdr:col>34</xdr:col>
          <xdr:colOff>57150</xdr:colOff>
          <xdr:row>53</xdr:row>
          <xdr:rowOff>38100</xdr:rowOff>
        </xdr:to>
        <xdr:sp macro="" textlink="">
          <xdr:nvSpPr>
            <xdr:cNvPr id="79482" name="Check Box 634" hidden="1">
              <a:extLst>
                <a:ext uri="{63B3BB69-23CF-44E3-9099-C40C66FF867C}">
                  <a14:compatExt spid="_x0000_s79482"/>
                </a:ext>
                <a:ext uri="{FF2B5EF4-FFF2-40B4-BE49-F238E27FC236}">
                  <a16:creationId xmlns:a16="http://schemas.microsoft.com/office/drawing/2014/main" id="{00000000-0008-0000-0700-00007A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52</xdr:row>
          <xdr:rowOff>85725</xdr:rowOff>
        </xdr:from>
        <xdr:to>
          <xdr:col>34</xdr:col>
          <xdr:colOff>57150</xdr:colOff>
          <xdr:row>54</xdr:row>
          <xdr:rowOff>38100</xdr:rowOff>
        </xdr:to>
        <xdr:sp macro="" textlink="">
          <xdr:nvSpPr>
            <xdr:cNvPr id="79483" name="Check Box 635" hidden="1">
              <a:extLst>
                <a:ext uri="{63B3BB69-23CF-44E3-9099-C40C66FF867C}">
                  <a14:compatExt spid="_x0000_s79483"/>
                </a:ext>
                <a:ext uri="{FF2B5EF4-FFF2-40B4-BE49-F238E27FC236}">
                  <a16:creationId xmlns:a16="http://schemas.microsoft.com/office/drawing/2014/main" id="{00000000-0008-0000-0700-00007B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53</xdr:row>
          <xdr:rowOff>85725</xdr:rowOff>
        </xdr:from>
        <xdr:to>
          <xdr:col>34</xdr:col>
          <xdr:colOff>57150</xdr:colOff>
          <xdr:row>55</xdr:row>
          <xdr:rowOff>38100</xdr:rowOff>
        </xdr:to>
        <xdr:sp macro="" textlink="">
          <xdr:nvSpPr>
            <xdr:cNvPr id="79484" name="Check Box 636" hidden="1">
              <a:extLst>
                <a:ext uri="{63B3BB69-23CF-44E3-9099-C40C66FF867C}">
                  <a14:compatExt spid="_x0000_s79484"/>
                </a:ext>
                <a:ext uri="{FF2B5EF4-FFF2-40B4-BE49-F238E27FC236}">
                  <a16:creationId xmlns:a16="http://schemas.microsoft.com/office/drawing/2014/main" id="{00000000-0008-0000-0700-00007C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54</xdr:row>
          <xdr:rowOff>85725</xdr:rowOff>
        </xdr:from>
        <xdr:to>
          <xdr:col>34</xdr:col>
          <xdr:colOff>57150</xdr:colOff>
          <xdr:row>56</xdr:row>
          <xdr:rowOff>38100</xdr:rowOff>
        </xdr:to>
        <xdr:sp macro="" textlink="">
          <xdr:nvSpPr>
            <xdr:cNvPr id="79485" name="Check Box 637" hidden="1">
              <a:extLst>
                <a:ext uri="{63B3BB69-23CF-44E3-9099-C40C66FF867C}">
                  <a14:compatExt spid="_x0000_s79485"/>
                </a:ext>
                <a:ext uri="{FF2B5EF4-FFF2-40B4-BE49-F238E27FC236}">
                  <a16:creationId xmlns:a16="http://schemas.microsoft.com/office/drawing/2014/main" id="{00000000-0008-0000-0700-00007D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55</xdr:row>
          <xdr:rowOff>85725</xdr:rowOff>
        </xdr:from>
        <xdr:to>
          <xdr:col>34</xdr:col>
          <xdr:colOff>57150</xdr:colOff>
          <xdr:row>57</xdr:row>
          <xdr:rowOff>38100</xdr:rowOff>
        </xdr:to>
        <xdr:sp macro="" textlink="">
          <xdr:nvSpPr>
            <xdr:cNvPr id="79486" name="Check Box 638" hidden="1">
              <a:extLst>
                <a:ext uri="{63B3BB69-23CF-44E3-9099-C40C66FF867C}">
                  <a14:compatExt spid="_x0000_s79486"/>
                </a:ext>
                <a:ext uri="{FF2B5EF4-FFF2-40B4-BE49-F238E27FC236}">
                  <a16:creationId xmlns:a16="http://schemas.microsoft.com/office/drawing/2014/main" id="{00000000-0008-0000-0700-00007E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56</xdr:row>
          <xdr:rowOff>85725</xdr:rowOff>
        </xdr:from>
        <xdr:to>
          <xdr:col>34</xdr:col>
          <xdr:colOff>57150</xdr:colOff>
          <xdr:row>58</xdr:row>
          <xdr:rowOff>38100</xdr:rowOff>
        </xdr:to>
        <xdr:sp macro="" textlink="">
          <xdr:nvSpPr>
            <xdr:cNvPr id="79487" name="Check Box 639" hidden="1">
              <a:extLst>
                <a:ext uri="{63B3BB69-23CF-44E3-9099-C40C66FF867C}">
                  <a14:compatExt spid="_x0000_s79487"/>
                </a:ext>
                <a:ext uri="{FF2B5EF4-FFF2-40B4-BE49-F238E27FC236}">
                  <a16:creationId xmlns:a16="http://schemas.microsoft.com/office/drawing/2014/main" id="{00000000-0008-0000-0700-00007F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57</xdr:row>
          <xdr:rowOff>85725</xdr:rowOff>
        </xdr:from>
        <xdr:to>
          <xdr:col>34</xdr:col>
          <xdr:colOff>57150</xdr:colOff>
          <xdr:row>59</xdr:row>
          <xdr:rowOff>38100</xdr:rowOff>
        </xdr:to>
        <xdr:sp macro="" textlink="">
          <xdr:nvSpPr>
            <xdr:cNvPr id="79488" name="Check Box 640" hidden="1">
              <a:extLst>
                <a:ext uri="{63B3BB69-23CF-44E3-9099-C40C66FF867C}">
                  <a14:compatExt spid="_x0000_s79488"/>
                </a:ext>
                <a:ext uri="{FF2B5EF4-FFF2-40B4-BE49-F238E27FC236}">
                  <a16:creationId xmlns:a16="http://schemas.microsoft.com/office/drawing/2014/main" id="{00000000-0008-0000-0700-000080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58</xdr:row>
          <xdr:rowOff>85725</xdr:rowOff>
        </xdr:from>
        <xdr:to>
          <xdr:col>34</xdr:col>
          <xdr:colOff>57150</xdr:colOff>
          <xdr:row>60</xdr:row>
          <xdr:rowOff>38100</xdr:rowOff>
        </xdr:to>
        <xdr:sp macro="" textlink="">
          <xdr:nvSpPr>
            <xdr:cNvPr id="79489" name="Check Box 641" hidden="1">
              <a:extLst>
                <a:ext uri="{63B3BB69-23CF-44E3-9099-C40C66FF867C}">
                  <a14:compatExt spid="_x0000_s79489"/>
                </a:ext>
                <a:ext uri="{FF2B5EF4-FFF2-40B4-BE49-F238E27FC236}">
                  <a16:creationId xmlns:a16="http://schemas.microsoft.com/office/drawing/2014/main" id="{00000000-0008-0000-0700-000081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59</xdr:row>
          <xdr:rowOff>85725</xdr:rowOff>
        </xdr:from>
        <xdr:to>
          <xdr:col>34</xdr:col>
          <xdr:colOff>57150</xdr:colOff>
          <xdr:row>61</xdr:row>
          <xdr:rowOff>38100</xdr:rowOff>
        </xdr:to>
        <xdr:sp macro="" textlink="">
          <xdr:nvSpPr>
            <xdr:cNvPr id="79490" name="Check Box 642" hidden="1">
              <a:extLst>
                <a:ext uri="{63B3BB69-23CF-44E3-9099-C40C66FF867C}">
                  <a14:compatExt spid="_x0000_s79490"/>
                </a:ext>
                <a:ext uri="{FF2B5EF4-FFF2-40B4-BE49-F238E27FC236}">
                  <a16:creationId xmlns:a16="http://schemas.microsoft.com/office/drawing/2014/main" id="{00000000-0008-0000-0700-000082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60</xdr:row>
          <xdr:rowOff>85725</xdr:rowOff>
        </xdr:from>
        <xdr:to>
          <xdr:col>34</xdr:col>
          <xdr:colOff>57150</xdr:colOff>
          <xdr:row>62</xdr:row>
          <xdr:rowOff>38100</xdr:rowOff>
        </xdr:to>
        <xdr:sp macro="" textlink="">
          <xdr:nvSpPr>
            <xdr:cNvPr id="79491" name="Check Box 643" hidden="1">
              <a:extLst>
                <a:ext uri="{63B3BB69-23CF-44E3-9099-C40C66FF867C}">
                  <a14:compatExt spid="_x0000_s79491"/>
                </a:ext>
                <a:ext uri="{FF2B5EF4-FFF2-40B4-BE49-F238E27FC236}">
                  <a16:creationId xmlns:a16="http://schemas.microsoft.com/office/drawing/2014/main" id="{00000000-0008-0000-0700-000083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61</xdr:row>
          <xdr:rowOff>85725</xdr:rowOff>
        </xdr:from>
        <xdr:to>
          <xdr:col>34</xdr:col>
          <xdr:colOff>57150</xdr:colOff>
          <xdr:row>63</xdr:row>
          <xdr:rowOff>38100</xdr:rowOff>
        </xdr:to>
        <xdr:sp macro="" textlink="">
          <xdr:nvSpPr>
            <xdr:cNvPr id="79492" name="Check Box 644" hidden="1">
              <a:extLst>
                <a:ext uri="{63B3BB69-23CF-44E3-9099-C40C66FF867C}">
                  <a14:compatExt spid="_x0000_s79492"/>
                </a:ext>
                <a:ext uri="{FF2B5EF4-FFF2-40B4-BE49-F238E27FC236}">
                  <a16:creationId xmlns:a16="http://schemas.microsoft.com/office/drawing/2014/main" id="{00000000-0008-0000-0700-000084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62</xdr:row>
          <xdr:rowOff>85725</xdr:rowOff>
        </xdr:from>
        <xdr:to>
          <xdr:col>34</xdr:col>
          <xdr:colOff>57150</xdr:colOff>
          <xdr:row>64</xdr:row>
          <xdr:rowOff>38100</xdr:rowOff>
        </xdr:to>
        <xdr:sp macro="" textlink="">
          <xdr:nvSpPr>
            <xdr:cNvPr id="79493" name="Check Box 645" hidden="1">
              <a:extLst>
                <a:ext uri="{63B3BB69-23CF-44E3-9099-C40C66FF867C}">
                  <a14:compatExt spid="_x0000_s79493"/>
                </a:ext>
                <a:ext uri="{FF2B5EF4-FFF2-40B4-BE49-F238E27FC236}">
                  <a16:creationId xmlns:a16="http://schemas.microsoft.com/office/drawing/2014/main" id="{00000000-0008-0000-0700-000085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63</xdr:row>
          <xdr:rowOff>85725</xdr:rowOff>
        </xdr:from>
        <xdr:to>
          <xdr:col>34</xdr:col>
          <xdr:colOff>57150</xdr:colOff>
          <xdr:row>65</xdr:row>
          <xdr:rowOff>38100</xdr:rowOff>
        </xdr:to>
        <xdr:sp macro="" textlink="">
          <xdr:nvSpPr>
            <xdr:cNvPr id="79494" name="Check Box 646" hidden="1">
              <a:extLst>
                <a:ext uri="{63B3BB69-23CF-44E3-9099-C40C66FF867C}">
                  <a14:compatExt spid="_x0000_s79494"/>
                </a:ext>
                <a:ext uri="{FF2B5EF4-FFF2-40B4-BE49-F238E27FC236}">
                  <a16:creationId xmlns:a16="http://schemas.microsoft.com/office/drawing/2014/main" id="{00000000-0008-0000-0700-000086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64</xdr:row>
          <xdr:rowOff>85725</xdr:rowOff>
        </xdr:from>
        <xdr:to>
          <xdr:col>34</xdr:col>
          <xdr:colOff>57150</xdr:colOff>
          <xdr:row>66</xdr:row>
          <xdr:rowOff>38100</xdr:rowOff>
        </xdr:to>
        <xdr:sp macro="" textlink="">
          <xdr:nvSpPr>
            <xdr:cNvPr id="79495" name="Check Box 647" hidden="1">
              <a:extLst>
                <a:ext uri="{63B3BB69-23CF-44E3-9099-C40C66FF867C}">
                  <a14:compatExt spid="_x0000_s79495"/>
                </a:ext>
                <a:ext uri="{FF2B5EF4-FFF2-40B4-BE49-F238E27FC236}">
                  <a16:creationId xmlns:a16="http://schemas.microsoft.com/office/drawing/2014/main" id="{00000000-0008-0000-0700-000087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65</xdr:row>
          <xdr:rowOff>85725</xdr:rowOff>
        </xdr:from>
        <xdr:to>
          <xdr:col>34</xdr:col>
          <xdr:colOff>57150</xdr:colOff>
          <xdr:row>67</xdr:row>
          <xdr:rowOff>38100</xdr:rowOff>
        </xdr:to>
        <xdr:sp macro="" textlink="">
          <xdr:nvSpPr>
            <xdr:cNvPr id="79496" name="Check Box 648" hidden="1">
              <a:extLst>
                <a:ext uri="{63B3BB69-23CF-44E3-9099-C40C66FF867C}">
                  <a14:compatExt spid="_x0000_s79496"/>
                </a:ext>
                <a:ext uri="{FF2B5EF4-FFF2-40B4-BE49-F238E27FC236}">
                  <a16:creationId xmlns:a16="http://schemas.microsoft.com/office/drawing/2014/main" id="{00000000-0008-0000-0700-000088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66</xdr:row>
          <xdr:rowOff>85725</xdr:rowOff>
        </xdr:from>
        <xdr:to>
          <xdr:col>34</xdr:col>
          <xdr:colOff>57150</xdr:colOff>
          <xdr:row>68</xdr:row>
          <xdr:rowOff>38100</xdr:rowOff>
        </xdr:to>
        <xdr:sp macro="" textlink="">
          <xdr:nvSpPr>
            <xdr:cNvPr id="79497" name="Check Box 649" hidden="1">
              <a:extLst>
                <a:ext uri="{63B3BB69-23CF-44E3-9099-C40C66FF867C}">
                  <a14:compatExt spid="_x0000_s79497"/>
                </a:ext>
                <a:ext uri="{FF2B5EF4-FFF2-40B4-BE49-F238E27FC236}">
                  <a16:creationId xmlns:a16="http://schemas.microsoft.com/office/drawing/2014/main" id="{00000000-0008-0000-0700-000089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67</xdr:row>
          <xdr:rowOff>85725</xdr:rowOff>
        </xdr:from>
        <xdr:to>
          <xdr:col>34</xdr:col>
          <xdr:colOff>57150</xdr:colOff>
          <xdr:row>69</xdr:row>
          <xdr:rowOff>38100</xdr:rowOff>
        </xdr:to>
        <xdr:sp macro="" textlink="">
          <xdr:nvSpPr>
            <xdr:cNvPr id="79498" name="Check Box 650" hidden="1">
              <a:extLst>
                <a:ext uri="{63B3BB69-23CF-44E3-9099-C40C66FF867C}">
                  <a14:compatExt spid="_x0000_s79498"/>
                </a:ext>
                <a:ext uri="{FF2B5EF4-FFF2-40B4-BE49-F238E27FC236}">
                  <a16:creationId xmlns:a16="http://schemas.microsoft.com/office/drawing/2014/main" id="{00000000-0008-0000-0700-00008A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68</xdr:row>
          <xdr:rowOff>85725</xdr:rowOff>
        </xdr:from>
        <xdr:to>
          <xdr:col>34</xdr:col>
          <xdr:colOff>57150</xdr:colOff>
          <xdr:row>70</xdr:row>
          <xdr:rowOff>38100</xdr:rowOff>
        </xdr:to>
        <xdr:sp macro="" textlink="">
          <xdr:nvSpPr>
            <xdr:cNvPr id="79499" name="Check Box 651" hidden="1">
              <a:extLst>
                <a:ext uri="{63B3BB69-23CF-44E3-9099-C40C66FF867C}">
                  <a14:compatExt spid="_x0000_s79499"/>
                </a:ext>
                <a:ext uri="{FF2B5EF4-FFF2-40B4-BE49-F238E27FC236}">
                  <a16:creationId xmlns:a16="http://schemas.microsoft.com/office/drawing/2014/main" id="{00000000-0008-0000-0700-00008B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69</xdr:row>
          <xdr:rowOff>85725</xdr:rowOff>
        </xdr:from>
        <xdr:to>
          <xdr:col>34</xdr:col>
          <xdr:colOff>57150</xdr:colOff>
          <xdr:row>71</xdr:row>
          <xdr:rowOff>38100</xdr:rowOff>
        </xdr:to>
        <xdr:sp macro="" textlink="">
          <xdr:nvSpPr>
            <xdr:cNvPr id="79500" name="Check Box 652" hidden="1">
              <a:extLst>
                <a:ext uri="{63B3BB69-23CF-44E3-9099-C40C66FF867C}">
                  <a14:compatExt spid="_x0000_s79500"/>
                </a:ext>
                <a:ext uri="{FF2B5EF4-FFF2-40B4-BE49-F238E27FC236}">
                  <a16:creationId xmlns:a16="http://schemas.microsoft.com/office/drawing/2014/main" id="{00000000-0008-0000-0700-00008C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70</xdr:row>
          <xdr:rowOff>85725</xdr:rowOff>
        </xdr:from>
        <xdr:to>
          <xdr:col>34</xdr:col>
          <xdr:colOff>57150</xdr:colOff>
          <xdr:row>72</xdr:row>
          <xdr:rowOff>38100</xdr:rowOff>
        </xdr:to>
        <xdr:sp macro="" textlink="">
          <xdr:nvSpPr>
            <xdr:cNvPr id="79501" name="Check Box 653" hidden="1">
              <a:extLst>
                <a:ext uri="{63B3BB69-23CF-44E3-9099-C40C66FF867C}">
                  <a14:compatExt spid="_x0000_s79501"/>
                </a:ext>
                <a:ext uri="{FF2B5EF4-FFF2-40B4-BE49-F238E27FC236}">
                  <a16:creationId xmlns:a16="http://schemas.microsoft.com/office/drawing/2014/main" id="{00000000-0008-0000-0700-00008D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71</xdr:row>
          <xdr:rowOff>85725</xdr:rowOff>
        </xdr:from>
        <xdr:to>
          <xdr:col>34</xdr:col>
          <xdr:colOff>57150</xdr:colOff>
          <xdr:row>73</xdr:row>
          <xdr:rowOff>38100</xdr:rowOff>
        </xdr:to>
        <xdr:sp macro="" textlink="">
          <xdr:nvSpPr>
            <xdr:cNvPr id="79502" name="Check Box 654" hidden="1">
              <a:extLst>
                <a:ext uri="{63B3BB69-23CF-44E3-9099-C40C66FF867C}">
                  <a14:compatExt spid="_x0000_s79502"/>
                </a:ext>
                <a:ext uri="{FF2B5EF4-FFF2-40B4-BE49-F238E27FC236}">
                  <a16:creationId xmlns:a16="http://schemas.microsoft.com/office/drawing/2014/main" id="{00000000-0008-0000-0700-00008E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72</xdr:row>
          <xdr:rowOff>85725</xdr:rowOff>
        </xdr:from>
        <xdr:to>
          <xdr:col>34</xdr:col>
          <xdr:colOff>57150</xdr:colOff>
          <xdr:row>74</xdr:row>
          <xdr:rowOff>38100</xdr:rowOff>
        </xdr:to>
        <xdr:sp macro="" textlink="">
          <xdr:nvSpPr>
            <xdr:cNvPr id="79503" name="Check Box 655" hidden="1">
              <a:extLst>
                <a:ext uri="{63B3BB69-23CF-44E3-9099-C40C66FF867C}">
                  <a14:compatExt spid="_x0000_s79503"/>
                </a:ext>
                <a:ext uri="{FF2B5EF4-FFF2-40B4-BE49-F238E27FC236}">
                  <a16:creationId xmlns:a16="http://schemas.microsoft.com/office/drawing/2014/main" id="{00000000-0008-0000-0700-00008F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73</xdr:row>
          <xdr:rowOff>85725</xdr:rowOff>
        </xdr:from>
        <xdr:to>
          <xdr:col>34</xdr:col>
          <xdr:colOff>57150</xdr:colOff>
          <xdr:row>75</xdr:row>
          <xdr:rowOff>38100</xdr:rowOff>
        </xdr:to>
        <xdr:sp macro="" textlink="">
          <xdr:nvSpPr>
            <xdr:cNvPr id="79504" name="Check Box 656" hidden="1">
              <a:extLst>
                <a:ext uri="{63B3BB69-23CF-44E3-9099-C40C66FF867C}">
                  <a14:compatExt spid="_x0000_s79504"/>
                </a:ext>
                <a:ext uri="{FF2B5EF4-FFF2-40B4-BE49-F238E27FC236}">
                  <a16:creationId xmlns:a16="http://schemas.microsoft.com/office/drawing/2014/main" id="{00000000-0008-0000-0700-000090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74</xdr:row>
          <xdr:rowOff>85725</xdr:rowOff>
        </xdr:from>
        <xdr:to>
          <xdr:col>34</xdr:col>
          <xdr:colOff>57150</xdr:colOff>
          <xdr:row>76</xdr:row>
          <xdr:rowOff>38100</xdr:rowOff>
        </xdr:to>
        <xdr:sp macro="" textlink="">
          <xdr:nvSpPr>
            <xdr:cNvPr id="79505" name="Check Box 657" hidden="1">
              <a:extLst>
                <a:ext uri="{63B3BB69-23CF-44E3-9099-C40C66FF867C}">
                  <a14:compatExt spid="_x0000_s79505"/>
                </a:ext>
                <a:ext uri="{FF2B5EF4-FFF2-40B4-BE49-F238E27FC236}">
                  <a16:creationId xmlns:a16="http://schemas.microsoft.com/office/drawing/2014/main" id="{00000000-0008-0000-0700-000091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75</xdr:row>
          <xdr:rowOff>85725</xdr:rowOff>
        </xdr:from>
        <xdr:to>
          <xdr:col>34</xdr:col>
          <xdr:colOff>57150</xdr:colOff>
          <xdr:row>77</xdr:row>
          <xdr:rowOff>38100</xdr:rowOff>
        </xdr:to>
        <xdr:sp macro="" textlink="">
          <xdr:nvSpPr>
            <xdr:cNvPr id="79506" name="Check Box 658" hidden="1">
              <a:extLst>
                <a:ext uri="{63B3BB69-23CF-44E3-9099-C40C66FF867C}">
                  <a14:compatExt spid="_x0000_s79506"/>
                </a:ext>
                <a:ext uri="{FF2B5EF4-FFF2-40B4-BE49-F238E27FC236}">
                  <a16:creationId xmlns:a16="http://schemas.microsoft.com/office/drawing/2014/main" id="{00000000-0008-0000-0700-000092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76</xdr:row>
          <xdr:rowOff>85725</xdr:rowOff>
        </xdr:from>
        <xdr:to>
          <xdr:col>34</xdr:col>
          <xdr:colOff>57150</xdr:colOff>
          <xdr:row>78</xdr:row>
          <xdr:rowOff>38100</xdr:rowOff>
        </xdr:to>
        <xdr:sp macro="" textlink="">
          <xdr:nvSpPr>
            <xdr:cNvPr id="79507" name="Check Box 659" hidden="1">
              <a:extLst>
                <a:ext uri="{63B3BB69-23CF-44E3-9099-C40C66FF867C}">
                  <a14:compatExt spid="_x0000_s79507"/>
                </a:ext>
                <a:ext uri="{FF2B5EF4-FFF2-40B4-BE49-F238E27FC236}">
                  <a16:creationId xmlns:a16="http://schemas.microsoft.com/office/drawing/2014/main" id="{00000000-0008-0000-0700-000093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77</xdr:row>
          <xdr:rowOff>85725</xdr:rowOff>
        </xdr:from>
        <xdr:to>
          <xdr:col>34</xdr:col>
          <xdr:colOff>57150</xdr:colOff>
          <xdr:row>79</xdr:row>
          <xdr:rowOff>38100</xdr:rowOff>
        </xdr:to>
        <xdr:sp macro="" textlink="">
          <xdr:nvSpPr>
            <xdr:cNvPr id="79508" name="Check Box 660" hidden="1">
              <a:extLst>
                <a:ext uri="{63B3BB69-23CF-44E3-9099-C40C66FF867C}">
                  <a14:compatExt spid="_x0000_s79508"/>
                </a:ext>
                <a:ext uri="{FF2B5EF4-FFF2-40B4-BE49-F238E27FC236}">
                  <a16:creationId xmlns:a16="http://schemas.microsoft.com/office/drawing/2014/main" id="{00000000-0008-0000-0700-000094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78</xdr:row>
          <xdr:rowOff>85725</xdr:rowOff>
        </xdr:from>
        <xdr:to>
          <xdr:col>34</xdr:col>
          <xdr:colOff>57150</xdr:colOff>
          <xdr:row>80</xdr:row>
          <xdr:rowOff>38100</xdr:rowOff>
        </xdr:to>
        <xdr:sp macro="" textlink="">
          <xdr:nvSpPr>
            <xdr:cNvPr id="79509" name="Check Box 661" hidden="1">
              <a:extLst>
                <a:ext uri="{63B3BB69-23CF-44E3-9099-C40C66FF867C}">
                  <a14:compatExt spid="_x0000_s79509"/>
                </a:ext>
                <a:ext uri="{FF2B5EF4-FFF2-40B4-BE49-F238E27FC236}">
                  <a16:creationId xmlns:a16="http://schemas.microsoft.com/office/drawing/2014/main" id="{00000000-0008-0000-0700-000095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79</xdr:row>
          <xdr:rowOff>85725</xdr:rowOff>
        </xdr:from>
        <xdr:to>
          <xdr:col>34</xdr:col>
          <xdr:colOff>57150</xdr:colOff>
          <xdr:row>81</xdr:row>
          <xdr:rowOff>38100</xdr:rowOff>
        </xdr:to>
        <xdr:sp macro="" textlink="">
          <xdr:nvSpPr>
            <xdr:cNvPr id="79510" name="Check Box 662" hidden="1">
              <a:extLst>
                <a:ext uri="{63B3BB69-23CF-44E3-9099-C40C66FF867C}">
                  <a14:compatExt spid="_x0000_s79510"/>
                </a:ext>
                <a:ext uri="{FF2B5EF4-FFF2-40B4-BE49-F238E27FC236}">
                  <a16:creationId xmlns:a16="http://schemas.microsoft.com/office/drawing/2014/main" id="{00000000-0008-0000-0700-000096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80</xdr:row>
          <xdr:rowOff>85725</xdr:rowOff>
        </xdr:from>
        <xdr:to>
          <xdr:col>34</xdr:col>
          <xdr:colOff>57150</xdr:colOff>
          <xdr:row>82</xdr:row>
          <xdr:rowOff>38100</xdr:rowOff>
        </xdr:to>
        <xdr:sp macro="" textlink="">
          <xdr:nvSpPr>
            <xdr:cNvPr id="79511" name="Check Box 663" hidden="1">
              <a:extLst>
                <a:ext uri="{63B3BB69-23CF-44E3-9099-C40C66FF867C}">
                  <a14:compatExt spid="_x0000_s79511"/>
                </a:ext>
                <a:ext uri="{FF2B5EF4-FFF2-40B4-BE49-F238E27FC236}">
                  <a16:creationId xmlns:a16="http://schemas.microsoft.com/office/drawing/2014/main" id="{00000000-0008-0000-0700-000097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81</xdr:row>
          <xdr:rowOff>85725</xdr:rowOff>
        </xdr:from>
        <xdr:to>
          <xdr:col>34</xdr:col>
          <xdr:colOff>57150</xdr:colOff>
          <xdr:row>83</xdr:row>
          <xdr:rowOff>38100</xdr:rowOff>
        </xdr:to>
        <xdr:sp macro="" textlink="">
          <xdr:nvSpPr>
            <xdr:cNvPr id="79512" name="Check Box 664" hidden="1">
              <a:extLst>
                <a:ext uri="{63B3BB69-23CF-44E3-9099-C40C66FF867C}">
                  <a14:compatExt spid="_x0000_s79512"/>
                </a:ext>
                <a:ext uri="{FF2B5EF4-FFF2-40B4-BE49-F238E27FC236}">
                  <a16:creationId xmlns:a16="http://schemas.microsoft.com/office/drawing/2014/main" id="{00000000-0008-0000-0700-000098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82</xdr:row>
          <xdr:rowOff>85725</xdr:rowOff>
        </xdr:from>
        <xdr:to>
          <xdr:col>34</xdr:col>
          <xdr:colOff>57150</xdr:colOff>
          <xdr:row>84</xdr:row>
          <xdr:rowOff>38100</xdr:rowOff>
        </xdr:to>
        <xdr:sp macro="" textlink="">
          <xdr:nvSpPr>
            <xdr:cNvPr id="79513" name="Check Box 665" hidden="1">
              <a:extLst>
                <a:ext uri="{63B3BB69-23CF-44E3-9099-C40C66FF867C}">
                  <a14:compatExt spid="_x0000_s79513"/>
                </a:ext>
                <a:ext uri="{FF2B5EF4-FFF2-40B4-BE49-F238E27FC236}">
                  <a16:creationId xmlns:a16="http://schemas.microsoft.com/office/drawing/2014/main" id="{00000000-0008-0000-0700-000099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83</xdr:row>
          <xdr:rowOff>85725</xdr:rowOff>
        </xdr:from>
        <xdr:to>
          <xdr:col>34</xdr:col>
          <xdr:colOff>57150</xdr:colOff>
          <xdr:row>85</xdr:row>
          <xdr:rowOff>38100</xdr:rowOff>
        </xdr:to>
        <xdr:sp macro="" textlink="">
          <xdr:nvSpPr>
            <xdr:cNvPr id="79514" name="Check Box 666" hidden="1">
              <a:extLst>
                <a:ext uri="{63B3BB69-23CF-44E3-9099-C40C66FF867C}">
                  <a14:compatExt spid="_x0000_s79514"/>
                </a:ext>
                <a:ext uri="{FF2B5EF4-FFF2-40B4-BE49-F238E27FC236}">
                  <a16:creationId xmlns:a16="http://schemas.microsoft.com/office/drawing/2014/main" id="{00000000-0008-0000-0700-00009A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84</xdr:row>
          <xdr:rowOff>85725</xdr:rowOff>
        </xdr:from>
        <xdr:to>
          <xdr:col>34</xdr:col>
          <xdr:colOff>57150</xdr:colOff>
          <xdr:row>86</xdr:row>
          <xdr:rowOff>38100</xdr:rowOff>
        </xdr:to>
        <xdr:sp macro="" textlink="">
          <xdr:nvSpPr>
            <xdr:cNvPr id="79515" name="Check Box 667" hidden="1">
              <a:extLst>
                <a:ext uri="{63B3BB69-23CF-44E3-9099-C40C66FF867C}">
                  <a14:compatExt spid="_x0000_s79515"/>
                </a:ext>
                <a:ext uri="{FF2B5EF4-FFF2-40B4-BE49-F238E27FC236}">
                  <a16:creationId xmlns:a16="http://schemas.microsoft.com/office/drawing/2014/main" id="{00000000-0008-0000-0700-00009B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85</xdr:row>
          <xdr:rowOff>85725</xdr:rowOff>
        </xdr:from>
        <xdr:to>
          <xdr:col>34</xdr:col>
          <xdr:colOff>57150</xdr:colOff>
          <xdr:row>87</xdr:row>
          <xdr:rowOff>38100</xdr:rowOff>
        </xdr:to>
        <xdr:sp macro="" textlink="">
          <xdr:nvSpPr>
            <xdr:cNvPr id="79516" name="Check Box 668" hidden="1">
              <a:extLst>
                <a:ext uri="{63B3BB69-23CF-44E3-9099-C40C66FF867C}">
                  <a14:compatExt spid="_x0000_s79516"/>
                </a:ext>
                <a:ext uri="{FF2B5EF4-FFF2-40B4-BE49-F238E27FC236}">
                  <a16:creationId xmlns:a16="http://schemas.microsoft.com/office/drawing/2014/main" id="{00000000-0008-0000-0700-00009C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86</xdr:row>
          <xdr:rowOff>85725</xdr:rowOff>
        </xdr:from>
        <xdr:to>
          <xdr:col>34</xdr:col>
          <xdr:colOff>57150</xdr:colOff>
          <xdr:row>88</xdr:row>
          <xdr:rowOff>38100</xdr:rowOff>
        </xdr:to>
        <xdr:sp macro="" textlink="">
          <xdr:nvSpPr>
            <xdr:cNvPr id="79517" name="Check Box 669" hidden="1">
              <a:extLst>
                <a:ext uri="{63B3BB69-23CF-44E3-9099-C40C66FF867C}">
                  <a14:compatExt spid="_x0000_s79517"/>
                </a:ext>
                <a:ext uri="{FF2B5EF4-FFF2-40B4-BE49-F238E27FC236}">
                  <a16:creationId xmlns:a16="http://schemas.microsoft.com/office/drawing/2014/main" id="{00000000-0008-0000-0700-00009D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48</xdr:row>
          <xdr:rowOff>85725</xdr:rowOff>
        </xdr:from>
        <xdr:to>
          <xdr:col>34</xdr:col>
          <xdr:colOff>57150</xdr:colOff>
          <xdr:row>50</xdr:row>
          <xdr:rowOff>38100</xdr:rowOff>
        </xdr:to>
        <xdr:sp macro="" textlink="">
          <xdr:nvSpPr>
            <xdr:cNvPr id="79518" name="Check Box 670" hidden="1">
              <a:extLst>
                <a:ext uri="{63B3BB69-23CF-44E3-9099-C40C66FF867C}">
                  <a14:compatExt spid="_x0000_s79518"/>
                </a:ext>
                <a:ext uri="{FF2B5EF4-FFF2-40B4-BE49-F238E27FC236}">
                  <a16:creationId xmlns:a16="http://schemas.microsoft.com/office/drawing/2014/main" id="{00000000-0008-0000-0700-00009E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49</xdr:row>
          <xdr:rowOff>85725</xdr:rowOff>
        </xdr:from>
        <xdr:to>
          <xdr:col>34</xdr:col>
          <xdr:colOff>57150</xdr:colOff>
          <xdr:row>51</xdr:row>
          <xdr:rowOff>38100</xdr:rowOff>
        </xdr:to>
        <xdr:sp macro="" textlink="">
          <xdr:nvSpPr>
            <xdr:cNvPr id="79519" name="Check Box 671" hidden="1">
              <a:extLst>
                <a:ext uri="{63B3BB69-23CF-44E3-9099-C40C66FF867C}">
                  <a14:compatExt spid="_x0000_s79519"/>
                </a:ext>
                <a:ext uri="{FF2B5EF4-FFF2-40B4-BE49-F238E27FC236}">
                  <a16:creationId xmlns:a16="http://schemas.microsoft.com/office/drawing/2014/main" id="{00000000-0008-0000-0700-00009F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87</xdr:row>
          <xdr:rowOff>85725</xdr:rowOff>
        </xdr:from>
        <xdr:to>
          <xdr:col>34</xdr:col>
          <xdr:colOff>57150</xdr:colOff>
          <xdr:row>89</xdr:row>
          <xdr:rowOff>38100</xdr:rowOff>
        </xdr:to>
        <xdr:sp macro="" textlink="">
          <xdr:nvSpPr>
            <xdr:cNvPr id="79520" name="Check Box 672" hidden="1">
              <a:extLst>
                <a:ext uri="{63B3BB69-23CF-44E3-9099-C40C66FF867C}">
                  <a14:compatExt spid="_x0000_s79520"/>
                </a:ext>
                <a:ext uri="{FF2B5EF4-FFF2-40B4-BE49-F238E27FC236}">
                  <a16:creationId xmlns:a16="http://schemas.microsoft.com/office/drawing/2014/main" id="{00000000-0008-0000-0700-0000A0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88</xdr:row>
          <xdr:rowOff>85725</xdr:rowOff>
        </xdr:from>
        <xdr:to>
          <xdr:col>34</xdr:col>
          <xdr:colOff>57150</xdr:colOff>
          <xdr:row>90</xdr:row>
          <xdr:rowOff>38100</xdr:rowOff>
        </xdr:to>
        <xdr:sp macro="" textlink="">
          <xdr:nvSpPr>
            <xdr:cNvPr id="79521" name="Check Box 673" hidden="1">
              <a:extLst>
                <a:ext uri="{63B3BB69-23CF-44E3-9099-C40C66FF867C}">
                  <a14:compatExt spid="_x0000_s79521"/>
                </a:ext>
                <a:ext uri="{FF2B5EF4-FFF2-40B4-BE49-F238E27FC236}">
                  <a16:creationId xmlns:a16="http://schemas.microsoft.com/office/drawing/2014/main" id="{00000000-0008-0000-0700-0000A1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89</xdr:row>
          <xdr:rowOff>85725</xdr:rowOff>
        </xdr:from>
        <xdr:to>
          <xdr:col>34</xdr:col>
          <xdr:colOff>57150</xdr:colOff>
          <xdr:row>91</xdr:row>
          <xdr:rowOff>38100</xdr:rowOff>
        </xdr:to>
        <xdr:sp macro="" textlink="">
          <xdr:nvSpPr>
            <xdr:cNvPr id="79522" name="Check Box 674" hidden="1">
              <a:extLst>
                <a:ext uri="{63B3BB69-23CF-44E3-9099-C40C66FF867C}">
                  <a14:compatExt spid="_x0000_s79522"/>
                </a:ext>
                <a:ext uri="{FF2B5EF4-FFF2-40B4-BE49-F238E27FC236}">
                  <a16:creationId xmlns:a16="http://schemas.microsoft.com/office/drawing/2014/main" id="{00000000-0008-0000-0700-0000A2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90</xdr:row>
          <xdr:rowOff>85725</xdr:rowOff>
        </xdr:from>
        <xdr:to>
          <xdr:col>34</xdr:col>
          <xdr:colOff>57150</xdr:colOff>
          <xdr:row>92</xdr:row>
          <xdr:rowOff>38100</xdr:rowOff>
        </xdr:to>
        <xdr:sp macro="" textlink="">
          <xdr:nvSpPr>
            <xdr:cNvPr id="79523" name="Check Box 675" hidden="1">
              <a:extLst>
                <a:ext uri="{63B3BB69-23CF-44E3-9099-C40C66FF867C}">
                  <a14:compatExt spid="_x0000_s79523"/>
                </a:ext>
                <a:ext uri="{FF2B5EF4-FFF2-40B4-BE49-F238E27FC236}">
                  <a16:creationId xmlns:a16="http://schemas.microsoft.com/office/drawing/2014/main" id="{00000000-0008-0000-0700-0000A3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91</xdr:row>
          <xdr:rowOff>85725</xdr:rowOff>
        </xdr:from>
        <xdr:to>
          <xdr:col>34</xdr:col>
          <xdr:colOff>57150</xdr:colOff>
          <xdr:row>93</xdr:row>
          <xdr:rowOff>38100</xdr:rowOff>
        </xdr:to>
        <xdr:sp macro="" textlink="">
          <xdr:nvSpPr>
            <xdr:cNvPr id="79524" name="Check Box 676" hidden="1">
              <a:extLst>
                <a:ext uri="{63B3BB69-23CF-44E3-9099-C40C66FF867C}">
                  <a14:compatExt spid="_x0000_s79524"/>
                </a:ext>
                <a:ext uri="{FF2B5EF4-FFF2-40B4-BE49-F238E27FC236}">
                  <a16:creationId xmlns:a16="http://schemas.microsoft.com/office/drawing/2014/main" id="{00000000-0008-0000-0700-0000A4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92</xdr:row>
          <xdr:rowOff>85725</xdr:rowOff>
        </xdr:from>
        <xdr:to>
          <xdr:col>34</xdr:col>
          <xdr:colOff>57150</xdr:colOff>
          <xdr:row>94</xdr:row>
          <xdr:rowOff>38100</xdr:rowOff>
        </xdr:to>
        <xdr:sp macro="" textlink="">
          <xdr:nvSpPr>
            <xdr:cNvPr id="79525" name="Check Box 677" hidden="1">
              <a:extLst>
                <a:ext uri="{63B3BB69-23CF-44E3-9099-C40C66FF867C}">
                  <a14:compatExt spid="_x0000_s79525"/>
                </a:ext>
                <a:ext uri="{FF2B5EF4-FFF2-40B4-BE49-F238E27FC236}">
                  <a16:creationId xmlns:a16="http://schemas.microsoft.com/office/drawing/2014/main" id="{00000000-0008-0000-0700-0000A5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93</xdr:row>
          <xdr:rowOff>85725</xdr:rowOff>
        </xdr:from>
        <xdr:to>
          <xdr:col>34</xdr:col>
          <xdr:colOff>57150</xdr:colOff>
          <xdr:row>95</xdr:row>
          <xdr:rowOff>38100</xdr:rowOff>
        </xdr:to>
        <xdr:sp macro="" textlink="">
          <xdr:nvSpPr>
            <xdr:cNvPr id="79526" name="Check Box 678" hidden="1">
              <a:extLst>
                <a:ext uri="{63B3BB69-23CF-44E3-9099-C40C66FF867C}">
                  <a14:compatExt spid="_x0000_s79526"/>
                </a:ext>
                <a:ext uri="{FF2B5EF4-FFF2-40B4-BE49-F238E27FC236}">
                  <a16:creationId xmlns:a16="http://schemas.microsoft.com/office/drawing/2014/main" id="{00000000-0008-0000-0700-0000A6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94</xdr:row>
          <xdr:rowOff>85725</xdr:rowOff>
        </xdr:from>
        <xdr:to>
          <xdr:col>34</xdr:col>
          <xdr:colOff>57150</xdr:colOff>
          <xdr:row>96</xdr:row>
          <xdr:rowOff>38100</xdr:rowOff>
        </xdr:to>
        <xdr:sp macro="" textlink="">
          <xdr:nvSpPr>
            <xdr:cNvPr id="79527" name="Check Box 679" hidden="1">
              <a:extLst>
                <a:ext uri="{63B3BB69-23CF-44E3-9099-C40C66FF867C}">
                  <a14:compatExt spid="_x0000_s79527"/>
                </a:ext>
                <a:ext uri="{FF2B5EF4-FFF2-40B4-BE49-F238E27FC236}">
                  <a16:creationId xmlns:a16="http://schemas.microsoft.com/office/drawing/2014/main" id="{00000000-0008-0000-0700-0000A7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95</xdr:row>
          <xdr:rowOff>85725</xdr:rowOff>
        </xdr:from>
        <xdr:to>
          <xdr:col>34</xdr:col>
          <xdr:colOff>57150</xdr:colOff>
          <xdr:row>97</xdr:row>
          <xdr:rowOff>38100</xdr:rowOff>
        </xdr:to>
        <xdr:sp macro="" textlink="">
          <xdr:nvSpPr>
            <xdr:cNvPr id="79528" name="Check Box 680" hidden="1">
              <a:extLst>
                <a:ext uri="{63B3BB69-23CF-44E3-9099-C40C66FF867C}">
                  <a14:compatExt spid="_x0000_s79528"/>
                </a:ext>
                <a:ext uri="{FF2B5EF4-FFF2-40B4-BE49-F238E27FC236}">
                  <a16:creationId xmlns:a16="http://schemas.microsoft.com/office/drawing/2014/main" id="{00000000-0008-0000-0700-0000A8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96</xdr:row>
          <xdr:rowOff>85725</xdr:rowOff>
        </xdr:from>
        <xdr:to>
          <xdr:col>34</xdr:col>
          <xdr:colOff>57150</xdr:colOff>
          <xdr:row>98</xdr:row>
          <xdr:rowOff>38100</xdr:rowOff>
        </xdr:to>
        <xdr:sp macro="" textlink="">
          <xdr:nvSpPr>
            <xdr:cNvPr id="79529" name="Check Box 681" hidden="1">
              <a:extLst>
                <a:ext uri="{63B3BB69-23CF-44E3-9099-C40C66FF867C}">
                  <a14:compatExt spid="_x0000_s79529"/>
                </a:ext>
                <a:ext uri="{FF2B5EF4-FFF2-40B4-BE49-F238E27FC236}">
                  <a16:creationId xmlns:a16="http://schemas.microsoft.com/office/drawing/2014/main" id="{00000000-0008-0000-0700-0000A9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97</xdr:row>
          <xdr:rowOff>85725</xdr:rowOff>
        </xdr:from>
        <xdr:to>
          <xdr:col>34</xdr:col>
          <xdr:colOff>57150</xdr:colOff>
          <xdr:row>99</xdr:row>
          <xdr:rowOff>38100</xdr:rowOff>
        </xdr:to>
        <xdr:sp macro="" textlink="">
          <xdr:nvSpPr>
            <xdr:cNvPr id="79530" name="Check Box 682" hidden="1">
              <a:extLst>
                <a:ext uri="{63B3BB69-23CF-44E3-9099-C40C66FF867C}">
                  <a14:compatExt spid="_x0000_s79530"/>
                </a:ext>
                <a:ext uri="{FF2B5EF4-FFF2-40B4-BE49-F238E27FC236}">
                  <a16:creationId xmlns:a16="http://schemas.microsoft.com/office/drawing/2014/main" id="{00000000-0008-0000-0700-0000AA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100</xdr:row>
          <xdr:rowOff>85725</xdr:rowOff>
        </xdr:from>
        <xdr:to>
          <xdr:col>34</xdr:col>
          <xdr:colOff>57150</xdr:colOff>
          <xdr:row>102</xdr:row>
          <xdr:rowOff>38100</xdr:rowOff>
        </xdr:to>
        <xdr:sp macro="" textlink="">
          <xdr:nvSpPr>
            <xdr:cNvPr id="79531" name="Check Box 683" hidden="1">
              <a:extLst>
                <a:ext uri="{63B3BB69-23CF-44E3-9099-C40C66FF867C}">
                  <a14:compatExt spid="_x0000_s79531"/>
                </a:ext>
                <a:ext uri="{FF2B5EF4-FFF2-40B4-BE49-F238E27FC236}">
                  <a16:creationId xmlns:a16="http://schemas.microsoft.com/office/drawing/2014/main" id="{00000000-0008-0000-0700-0000AB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101</xdr:row>
          <xdr:rowOff>85725</xdr:rowOff>
        </xdr:from>
        <xdr:to>
          <xdr:col>34</xdr:col>
          <xdr:colOff>57150</xdr:colOff>
          <xdr:row>103</xdr:row>
          <xdr:rowOff>38100</xdr:rowOff>
        </xdr:to>
        <xdr:sp macro="" textlink="">
          <xdr:nvSpPr>
            <xdr:cNvPr id="79532" name="Check Box 684" hidden="1">
              <a:extLst>
                <a:ext uri="{63B3BB69-23CF-44E3-9099-C40C66FF867C}">
                  <a14:compatExt spid="_x0000_s79532"/>
                </a:ext>
                <a:ext uri="{FF2B5EF4-FFF2-40B4-BE49-F238E27FC236}">
                  <a16:creationId xmlns:a16="http://schemas.microsoft.com/office/drawing/2014/main" id="{00000000-0008-0000-0700-0000AC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102</xdr:row>
          <xdr:rowOff>85725</xdr:rowOff>
        </xdr:from>
        <xdr:to>
          <xdr:col>34</xdr:col>
          <xdr:colOff>57150</xdr:colOff>
          <xdr:row>104</xdr:row>
          <xdr:rowOff>38100</xdr:rowOff>
        </xdr:to>
        <xdr:sp macro="" textlink="">
          <xdr:nvSpPr>
            <xdr:cNvPr id="79533" name="Check Box 685" hidden="1">
              <a:extLst>
                <a:ext uri="{63B3BB69-23CF-44E3-9099-C40C66FF867C}">
                  <a14:compatExt spid="_x0000_s79533"/>
                </a:ext>
                <a:ext uri="{FF2B5EF4-FFF2-40B4-BE49-F238E27FC236}">
                  <a16:creationId xmlns:a16="http://schemas.microsoft.com/office/drawing/2014/main" id="{00000000-0008-0000-0700-0000AD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103</xdr:row>
          <xdr:rowOff>85725</xdr:rowOff>
        </xdr:from>
        <xdr:to>
          <xdr:col>34</xdr:col>
          <xdr:colOff>57150</xdr:colOff>
          <xdr:row>105</xdr:row>
          <xdr:rowOff>38100</xdr:rowOff>
        </xdr:to>
        <xdr:sp macro="" textlink="">
          <xdr:nvSpPr>
            <xdr:cNvPr id="79534" name="Check Box 686" hidden="1">
              <a:extLst>
                <a:ext uri="{63B3BB69-23CF-44E3-9099-C40C66FF867C}">
                  <a14:compatExt spid="_x0000_s79534"/>
                </a:ext>
                <a:ext uri="{FF2B5EF4-FFF2-40B4-BE49-F238E27FC236}">
                  <a16:creationId xmlns:a16="http://schemas.microsoft.com/office/drawing/2014/main" id="{00000000-0008-0000-0700-0000AE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104</xdr:row>
          <xdr:rowOff>85725</xdr:rowOff>
        </xdr:from>
        <xdr:to>
          <xdr:col>34</xdr:col>
          <xdr:colOff>57150</xdr:colOff>
          <xdr:row>106</xdr:row>
          <xdr:rowOff>38100</xdr:rowOff>
        </xdr:to>
        <xdr:sp macro="" textlink="">
          <xdr:nvSpPr>
            <xdr:cNvPr id="79535" name="Check Box 687" hidden="1">
              <a:extLst>
                <a:ext uri="{63B3BB69-23CF-44E3-9099-C40C66FF867C}">
                  <a14:compatExt spid="_x0000_s79535"/>
                </a:ext>
                <a:ext uri="{FF2B5EF4-FFF2-40B4-BE49-F238E27FC236}">
                  <a16:creationId xmlns:a16="http://schemas.microsoft.com/office/drawing/2014/main" id="{00000000-0008-0000-0700-0000AF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105</xdr:row>
          <xdr:rowOff>85725</xdr:rowOff>
        </xdr:from>
        <xdr:to>
          <xdr:col>34</xdr:col>
          <xdr:colOff>57150</xdr:colOff>
          <xdr:row>107</xdr:row>
          <xdr:rowOff>38100</xdr:rowOff>
        </xdr:to>
        <xdr:sp macro="" textlink="">
          <xdr:nvSpPr>
            <xdr:cNvPr id="79536" name="Check Box 688" hidden="1">
              <a:extLst>
                <a:ext uri="{63B3BB69-23CF-44E3-9099-C40C66FF867C}">
                  <a14:compatExt spid="_x0000_s79536"/>
                </a:ext>
                <a:ext uri="{FF2B5EF4-FFF2-40B4-BE49-F238E27FC236}">
                  <a16:creationId xmlns:a16="http://schemas.microsoft.com/office/drawing/2014/main" id="{00000000-0008-0000-0700-0000B0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106</xdr:row>
          <xdr:rowOff>85725</xdr:rowOff>
        </xdr:from>
        <xdr:to>
          <xdr:col>34</xdr:col>
          <xdr:colOff>57150</xdr:colOff>
          <xdr:row>108</xdr:row>
          <xdr:rowOff>38100</xdr:rowOff>
        </xdr:to>
        <xdr:sp macro="" textlink="">
          <xdr:nvSpPr>
            <xdr:cNvPr id="79537" name="Check Box 689" hidden="1">
              <a:extLst>
                <a:ext uri="{63B3BB69-23CF-44E3-9099-C40C66FF867C}">
                  <a14:compatExt spid="_x0000_s79537"/>
                </a:ext>
                <a:ext uri="{FF2B5EF4-FFF2-40B4-BE49-F238E27FC236}">
                  <a16:creationId xmlns:a16="http://schemas.microsoft.com/office/drawing/2014/main" id="{00000000-0008-0000-0700-0000B1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107</xdr:row>
          <xdr:rowOff>85725</xdr:rowOff>
        </xdr:from>
        <xdr:to>
          <xdr:col>34</xdr:col>
          <xdr:colOff>57150</xdr:colOff>
          <xdr:row>109</xdr:row>
          <xdr:rowOff>38100</xdr:rowOff>
        </xdr:to>
        <xdr:sp macro="" textlink="">
          <xdr:nvSpPr>
            <xdr:cNvPr id="79538" name="Check Box 690" hidden="1">
              <a:extLst>
                <a:ext uri="{63B3BB69-23CF-44E3-9099-C40C66FF867C}">
                  <a14:compatExt spid="_x0000_s79538"/>
                </a:ext>
                <a:ext uri="{FF2B5EF4-FFF2-40B4-BE49-F238E27FC236}">
                  <a16:creationId xmlns:a16="http://schemas.microsoft.com/office/drawing/2014/main" id="{00000000-0008-0000-0700-0000B2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108</xdr:row>
          <xdr:rowOff>85725</xdr:rowOff>
        </xdr:from>
        <xdr:to>
          <xdr:col>34</xdr:col>
          <xdr:colOff>57150</xdr:colOff>
          <xdr:row>110</xdr:row>
          <xdr:rowOff>38100</xdr:rowOff>
        </xdr:to>
        <xdr:sp macro="" textlink="">
          <xdr:nvSpPr>
            <xdr:cNvPr id="79539" name="Check Box 691" hidden="1">
              <a:extLst>
                <a:ext uri="{63B3BB69-23CF-44E3-9099-C40C66FF867C}">
                  <a14:compatExt spid="_x0000_s79539"/>
                </a:ext>
                <a:ext uri="{FF2B5EF4-FFF2-40B4-BE49-F238E27FC236}">
                  <a16:creationId xmlns:a16="http://schemas.microsoft.com/office/drawing/2014/main" id="{00000000-0008-0000-0700-0000B3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109</xdr:row>
          <xdr:rowOff>85725</xdr:rowOff>
        </xdr:from>
        <xdr:to>
          <xdr:col>34</xdr:col>
          <xdr:colOff>57150</xdr:colOff>
          <xdr:row>111</xdr:row>
          <xdr:rowOff>38100</xdr:rowOff>
        </xdr:to>
        <xdr:sp macro="" textlink="">
          <xdr:nvSpPr>
            <xdr:cNvPr id="79540" name="Check Box 692" hidden="1">
              <a:extLst>
                <a:ext uri="{63B3BB69-23CF-44E3-9099-C40C66FF867C}">
                  <a14:compatExt spid="_x0000_s79540"/>
                </a:ext>
                <a:ext uri="{FF2B5EF4-FFF2-40B4-BE49-F238E27FC236}">
                  <a16:creationId xmlns:a16="http://schemas.microsoft.com/office/drawing/2014/main" id="{00000000-0008-0000-0700-0000B4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110</xdr:row>
          <xdr:rowOff>85725</xdr:rowOff>
        </xdr:from>
        <xdr:to>
          <xdr:col>34</xdr:col>
          <xdr:colOff>57150</xdr:colOff>
          <xdr:row>112</xdr:row>
          <xdr:rowOff>38100</xdr:rowOff>
        </xdr:to>
        <xdr:sp macro="" textlink="">
          <xdr:nvSpPr>
            <xdr:cNvPr id="79541" name="Check Box 693" hidden="1">
              <a:extLst>
                <a:ext uri="{63B3BB69-23CF-44E3-9099-C40C66FF867C}">
                  <a14:compatExt spid="_x0000_s79541"/>
                </a:ext>
                <a:ext uri="{FF2B5EF4-FFF2-40B4-BE49-F238E27FC236}">
                  <a16:creationId xmlns:a16="http://schemas.microsoft.com/office/drawing/2014/main" id="{00000000-0008-0000-0700-0000B5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111</xdr:row>
          <xdr:rowOff>85725</xdr:rowOff>
        </xdr:from>
        <xdr:to>
          <xdr:col>34</xdr:col>
          <xdr:colOff>57150</xdr:colOff>
          <xdr:row>113</xdr:row>
          <xdr:rowOff>38100</xdr:rowOff>
        </xdr:to>
        <xdr:sp macro="" textlink="">
          <xdr:nvSpPr>
            <xdr:cNvPr id="79542" name="Check Box 694" hidden="1">
              <a:extLst>
                <a:ext uri="{63B3BB69-23CF-44E3-9099-C40C66FF867C}">
                  <a14:compatExt spid="_x0000_s79542"/>
                </a:ext>
                <a:ext uri="{FF2B5EF4-FFF2-40B4-BE49-F238E27FC236}">
                  <a16:creationId xmlns:a16="http://schemas.microsoft.com/office/drawing/2014/main" id="{00000000-0008-0000-0700-0000B6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112</xdr:row>
          <xdr:rowOff>85725</xdr:rowOff>
        </xdr:from>
        <xdr:to>
          <xdr:col>34</xdr:col>
          <xdr:colOff>57150</xdr:colOff>
          <xdr:row>114</xdr:row>
          <xdr:rowOff>38100</xdr:rowOff>
        </xdr:to>
        <xdr:sp macro="" textlink="">
          <xdr:nvSpPr>
            <xdr:cNvPr id="79543" name="Check Box 695" hidden="1">
              <a:extLst>
                <a:ext uri="{63B3BB69-23CF-44E3-9099-C40C66FF867C}">
                  <a14:compatExt spid="_x0000_s79543"/>
                </a:ext>
                <a:ext uri="{FF2B5EF4-FFF2-40B4-BE49-F238E27FC236}">
                  <a16:creationId xmlns:a16="http://schemas.microsoft.com/office/drawing/2014/main" id="{00000000-0008-0000-0700-0000B7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113</xdr:row>
          <xdr:rowOff>85725</xdr:rowOff>
        </xdr:from>
        <xdr:to>
          <xdr:col>34</xdr:col>
          <xdr:colOff>57150</xdr:colOff>
          <xdr:row>115</xdr:row>
          <xdr:rowOff>38100</xdr:rowOff>
        </xdr:to>
        <xdr:sp macro="" textlink="">
          <xdr:nvSpPr>
            <xdr:cNvPr id="79544" name="Check Box 696" hidden="1">
              <a:extLst>
                <a:ext uri="{63B3BB69-23CF-44E3-9099-C40C66FF867C}">
                  <a14:compatExt spid="_x0000_s79544"/>
                </a:ext>
                <a:ext uri="{FF2B5EF4-FFF2-40B4-BE49-F238E27FC236}">
                  <a16:creationId xmlns:a16="http://schemas.microsoft.com/office/drawing/2014/main" id="{00000000-0008-0000-0700-0000B8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114</xdr:row>
          <xdr:rowOff>85725</xdr:rowOff>
        </xdr:from>
        <xdr:to>
          <xdr:col>34</xdr:col>
          <xdr:colOff>57150</xdr:colOff>
          <xdr:row>116</xdr:row>
          <xdr:rowOff>38100</xdr:rowOff>
        </xdr:to>
        <xdr:sp macro="" textlink="">
          <xdr:nvSpPr>
            <xdr:cNvPr id="79545" name="Check Box 697" hidden="1">
              <a:extLst>
                <a:ext uri="{63B3BB69-23CF-44E3-9099-C40C66FF867C}">
                  <a14:compatExt spid="_x0000_s79545"/>
                </a:ext>
                <a:ext uri="{FF2B5EF4-FFF2-40B4-BE49-F238E27FC236}">
                  <a16:creationId xmlns:a16="http://schemas.microsoft.com/office/drawing/2014/main" id="{00000000-0008-0000-0700-0000B9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115</xdr:row>
          <xdr:rowOff>85725</xdr:rowOff>
        </xdr:from>
        <xdr:to>
          <xdr:col>34</xdr:col>
          <xdr:colOff>57150</xdr:colOff>
          <xdr:row>117</xdr:row>
          <xdr:rowOff>38100</xdr:rowOff>
        </xdr:to>
        <xdr:sp macro="" textlink="">
          <xdr:nvSpPr>
            <xdr:cNvPr id="79546" name="Check Box 698" hidden="1">
              <a:extLst>
                <a:ext uri="{63B3BB69-23CF-44E3-9099-C40C66FF867C}">
                  <a14:compatExt spid="_x0000_s79546"/>
                </a:ext>
                <a:ext uri="{FF2B5EF4-FFF2-40B4-BE49-F238E27FC236}">
                  <a16:creationId xmlns:a16="http://schemas.microsoft.com/office/drawing/2014/main" id="{00000000-0008-0000-0700-0000BA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116</xdr:row>
          <xdr:rowOff>85725</xdr:rowOff>
        </xdr:from>
        <xdr:to>
          <xdr:col>34</xdr:col>
          <xdr:colOff>57150</xdr:colOff>
          <xdr:row>118</xdr:row>
          <xdr:rowOff>38100</xdr:rowOff>
        </xdr:to>
        <xdr:sp macro="" textlink="">
          <xdr:nvSpPr>
            <xdr:cNvPr id="79547" name="Check Box 699" hidden="1">
              <a:extLst>
                <a:ext uri="{63B3BB69-23CF-44E3-9099-C40C66FF867C}">
                  <a14:compatExt spid="_x0000_s79547"/>
                </a:ext>
                <a:ext uri="{FF2B5EF4-FFF2-40B4-BE49-F238E27FC236}">
                  <a16:creationId xmlns:a16="http://schemas.microsoft.com/office/drawing/2014/main" id="{00000000-0008-0000-0700-0000BB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117</xdr:row>
          <xdr:rowOff>85725</xdr:rowOff>
        </xdr:from>
        <xdr:to>
          <xdr:col>34</xdr:col>
          <xdr:colOff>57150</xdr:colOff>
          <xdr:row>119</xdr:row>
          <xdr:rowOff>38100</xdr:rowOff>
        </xdr:to>
        <xdr:sp macro="" textlink="">
          <xdr:nvSpPr>
            <xdr:cNvPr id="79548" name="Check Box 700" hidden="1">
              <a:extLst>
                <a:ext uri="{63B3BB69-23CF-44E3-9099-C40C66FF867C}">
                  <a14:compatExt spid="_x0000_s79548"/>
                </a:ext>
                <a:ext uri="{FF2B5EF4-FFF2-40B4-BE49-F238E27FC236}">
                  <a16:creationId xmlns:a16="http://schemas.microsoft.com/office/drawing/2014/main" id="{00000000-0008-0000-0700-0000BC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118</xdr:row>
          <xdr:rowOff>85725</xdr:rowOff>
        </xdr:from>
        <xdr:to>
          <xdr:col>34</xdr:col>
          <xdr:colOff>57150</xdr:colOff>
          <xdr:row>120</xdr:row>
          <xdr:rowOff>38100</xdr:rowOff>
        </xdr:to>
        <xdr:sp macro="" textlink="">
          <xdr:nvSpPr>
            <xdr:cNvPr id="79549" name="Check Box 701" hidden="1">
              <a:extLst>
                <a:ext uri="{63B3BB69-23CF-44E3-9099-C40C66FF867C}">
                  <a14:compatExt spid="_x0000_s79549"/>
                </a:ext>
                <a:ext uri="{FF2B5EF4-FFF2-40B4-BE49-F238E27FC236}">
                  <a16:creationId xmlns:a16="http://schemas.microsoft.com/office/drawing/2014/main" id="{00000000-0008-0000-0700-0000BD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119</xdr:row>
          <xdr:rowOff>85725</xdr:rowOff>
        </xdr:from>
        <xdr:to>
          <xdr:col>34</xdr:col>
          <xdr:colOff>57150</xdr:colOff>
          <xdr:row>121</xdr:row>
          <xdr:rowOff>38100</xdr:rowOff>
        </xdr:to>
        <xdr:sp macro="" textlink="">
          <xdr:nvSpPr>
            <xdr:cNvPr id="79550" name="Check Box 702" hidden="1">
              <a:extLst>
                <a:ext uri="{63B3BB69-23CF-44E3-9099-C40C66FF867C}">
                  <a14:compatExt spid="_x0000_s79550"/>
                </a:ext>
                <a:ext uri="{FF2B5EF4-FFF2-40B4-BE49-F238E27FC236}">
                  <a16:creationId xmlns:a16="http://schemas.microsoft.com/office/drawing/2014/main" id="{00000000-0008-0000-0700-0000BE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120</xdr:row>
          <xdr:rowOff>85725</xdr:rowOff>
        </xdr:from>
        <xdr:to>
          <xdr:col>34</xdr:col>
          <xdr:colOff>57150</xdr:colOff>
          <xdr:row>122</xdr:row>
          <xdr:rowOff>38100</xdr:rowOff>
        </xdr:to>
        <xdr:sp macro="" textlink="">
          <xdr:nvSpPr>
            <xdr:cNvPr id="79551" name="Check Box 703" hidden="1">
              <a:extLst>
                <a:ext uri="{63B3BB69-23CF-44E3-9099-C40C66FF867C}">
                  <a14:compatExt spid="_x0000_s79551"/>
                </a:ext>
                <a:ext uri="{FF2B5EF4-FFF2-40B4-BE49-F238E27FC236}">
                  <a16:creationId xmlns:a16="http://schemas.microsoft.com/office/drawing/2014/main" id="{00000000-0008-0000-0700-0000BF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121</xdr:row>
          <xdr:rowOff>85725</xdr:rowOff>
        </xdr:from>
        <xdr:to>
          <xdr:col>34</xdr:col>
          <xdr:colOff>57150</xdr:colOff>
          <xdr:row>123</xdr:row>
          <xdr:rowOff>38100</xdr:rowOff>
        </xdr:to>
        <xdr:sp macro="" textlink="">
          <xdr:nvSpPr>
            <xdr:cNvPr id="79552" name="Check Box 704" hidden="1">
              <a:extLst>
                <a:ext uri="{63B3BB69-23CF-44E3-9099-C40C66FF867C}">
                  <a14:compatExt spid="_x0000_s79552"/>
                </a:ext>
                <a:ext uri="{FF2B5EF4-FFF2-40B4-BE49-F238E27FC236}">
                  <a16:creationId xmlns:a16="http://schemas.microsoft.com/office/drawing/2014/main" id="{00000000-0008-0000-0700-0000C0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122</xdr:row>
          <xdr:rowOff>85725</xdr:rowOff>
        </xdr:from>
        <xdr:to>
          <xdr:col>34</xdr:col>
          <xdr:colOff>57150</xdr:colOff>
          <xdr:row>124</xdr:row>
          <xdr:rowOff>38100</xdr:rowOff>
        </xdr:to>
        <xdr:sp macro="" textlink="">
          <xdr:nvSpPr>
            <xdr:cNvPr id="79553" name="Check Box 705" hidden="1">
              <a:extLst>
                <a:ext uri="{63B3BB69-23CF-44E3-9099-C40C66FF867C}">
                  <a14:compatExt spid="_x0000_s79553"/>
                </a:ext>
                <a:ext uri="{FF2B5EF4-FFF2-40B4-BE49-F238E27FC236}">
                  <a16:creationId xmlns:a16="http://schemas.microsoft.com/office/drawing/2014/main" id="{00000000-0008-0000-0700-0000C1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123</xdr:row>
          <xdr:rowOff>85725</xdr:rowOff>
        </xdr:from>
        <xdr:to>
          <xdr:col>34</xdr:col>
          <xdr:colOff>57150</xdr:colOff>
          <xdr:row>125</xdr:row>
          <xdr:rowOff>38100</xdr:rowOff>
        </xdr:to>
        <xdr:sp macro="" textlink="">
          <xdr:nvSpPr>
            <xdr:cNvPr id="79554" name="Check Box 706" hidden="1">
              <a:extLst>
                <a:ext uri="{63B3BB69-23CF-44E3-9099-C40C66FF867C}">
                  <a14:compatExt spid="_x0000_s79554"/>
                </a:ext>
                <a:ext uri="{FF2B5EF4-FFF2-40B4-BE49-F238E27FC236}">
                  <a16:creationId xmlns:a16="http://schemas.microsoft.com/office/drawing/2014/main" id="{00000000-0008-0000-0700-0000C2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124</xdr:row>
          <xdr:rowOff>85725</xdr:rowOff>
        </xdr:from>
        <xdr:to>
          <xdr:col>34</xdr:col>
          <xdr:colOff>57150</xdr:colOff>
          <xdr:row>126</xdr:row>
          <xdr:rowOff>38100</xdr:rowOff>
        </xdr:to>
        <xdr:sp macro="" textlink="">
          <xdr:nvSpPr>
            <xdr:cNvPr id="79555" name="Check Box 707" hidden="1">
              <a:extLst>
                <a:ext uri="{63B3BB69-23CF-44E3-9099-C40C66FF867C}">
                  <a14:compatExt spid="_x0000_s79555"/>
                </a:ext>
                <a:ext uri="{FF2B5EF4-FFF2-40B4-BE49-F238E27FC236}">
                  <a16:creationId xmlns:a16="http://schemas.microsoft.com/office/drawing/2014/main" id="{00000000-0008-0000-0700-0000C3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125</xdr:row>
          <xdr:rowOff>85725</xdr:rowOff>
        </xdr:from>
        <xdr:to>
          <xdr:col>34</xdr:col>
          <xdr:colOff>57150</xdr:colOff>
          <xdr:row>127</xdr:row>
          <xdr:rowOff>38100</xdr:rowOff>
        </xdr:to>
        <xdr:sp macro="" textlink="">
          <xdr:nvSpPr>
            <xdr:cNvPr id="79556" name="Check Box 708" hidden="1">
              <a:extLst>
                <a:ext uri="{63B3BB69-23CF-44E3-9099-C40C66FF867C}">
                  <a14:compatExt spid="_x0000_s79556"/>
                </a:ext>
                <a:ext uri="{FF2B5EF4-FFF2-40B4-BE49-F238E27FC236}">
                  <a16:creationId xmlns:a16="http://schemas.microsoft.com/office/drawing/2014/main" id="{00000000-0008-0000-0700-0000C4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126</xdr:row>
          <xdr:rowOff>85725</xdr:rowOff>
        </xdr:from>
        <xdr:to>
          <xdr:col>34</xdr:col>
          <xdr:colOff>57150</xdr:colOff>
          <xdr:row>128</xdr:row>
          <xdr:rowOff>38100</xdr:rowOff>
        </xdr:to>
        <xdr:sp macro="" textlink="">
          <xdr:nvSpPr>
            <xdr:cNvPr id="79557" name="Check Box 709" hidden="1">
              <a:extLst>
                <a:ext uri="{63B3BB69-23CF-44E3-9099-C40C66FF867C}">
                  <a14:compatExt spid="_x0000_s79557"/>
                </a:ext>
                <a:ext uri="{FF2B5EF4-FFF2-40B4-BE49-F238E27FC236}">
                  <a16:creationId xmlns:a16="http://schemas.microsoft.com/office/drawing/2014/main" id="{00000000-0008-0000-0700-0000C5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127</xdr:row>
          <xdr:rowOff>85725</xdr:rowOff>
        </xdr:from>
        <xdr:to>
          <xdr:col>34</xdr:col>
          <xdr:colOff>57150</xdr:colOff>
          <xdr:row>129</xdr:row>
          <xdr:rowOff>38100</xdr:rowOff>
        </xdr:to>
        <xdr:sp macro="" textlink="">
          <xdr:nvSpPr>
            <xdr:cNvPr id="79558" name="Check Box 710" hidden="1">
              <a:extLst>
                <a:ext uri="{63B3BB69-23CF-44E3-9099-C40C66FF867C}">
                  <a14:compatExt spid="_x0000_s79558"/>
                </a:ext>
                <a:ext uri="{FF2B5EF4-FFF2-40B4-BE49-F238E27FC236}">
                  <a16:creationId xmlns:a16="http://schemas.microsoft.com/office/drawing/2014/main" id="{00000000-0008-0000-0700-0000C6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128</xdr:row>
          <xdr:rowOff>85725</xdr:rowOff>
        </xdr:from>
        <xdr:to>
          <xdr:col>34</xdr:col>
          <xdr:colOff>57150</xdr:colOff>
          <xdr:row>130</xdr:row>
          <xdr:rowOff>38100</xdr:rowOff>
        </xdr:to>
        <xdr:sp macro="" textlink="">
          <xdr:nvSpPr>
            <xdr:cNvPr id="79559" name="Check Box 711" hidden="1">
              <a:extLst>
                <a:ext uri="{63B3BB69-23CF-44E3-9099-C40C66FF867C}">
                  <a14:compatExt spid="_x0000_s79559"/>
                </a:ext>
                <a:ext uri="{FF2B5EF4-FFF2-40B4-BE49-F238E27FC236}">
                  <a16:creationId xmlns:a16="http://schemas.microsoft.com/office/drawing/2014/main" id="{00000000-0008-0000-0700-0000C7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129</xdr:row>
          <xdr:rowOff>85725</xdr:rowOff>
        </xdr:from>
        <xdr:to>
          <xdr:col>34</xdr:col>
          <xdr:colOff>57150</xdr:colOff>
          <xdr:row>131</xdr:row>
          <xdr:rowOff>38100</xdr:rowOff>
        </xdr:to>
        <xdr:sp macro="" textlink="">
          <xdr:nvSpPr>
            <xdr:cNvPr id="79560" name="Check Box 712" hidden="1">
              <a:extLst>
                <a:ext uri="{63B3BB69-23CF-44E3-9099-C40C66FF867C}">
                  <a14:compatExt spid="_x0000_s79560"/>
                </a:ext>
                <a:ext uri="{FF2B5EF4-FFF2-40B4-BE49-F238E27FC236}">
                  <a16:creationId xmlns:a16="http://schemas.microsoft.com/office/drawing/2014/main" id="{00000000-0008-0000-0700-0000C8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130</xdr:row>
          <xdr:rowOff>85725</xdr:rowOff>
        </xdr:from>
        <xdr:to>
          <xdr:col>34</xdr:col>
          <xdr:colOff>57150</xdr:colOff>
          <xdr:row>132</xdr:row>
          <xdr:rowOff>38100</xdr:rowOff>
        </xdr:to>
        <xdr:sp macro="" textlink="">
          <xdr:nvSpPr>
            <xdr:cNvPr id="79561" name="Check Box 713" hidden="1">
              <a:extLst>
                <a:ext uri="{63B3BB69-23CF-44E3-9099-C40C66FF867C}">
                  <a14:compatExt spid="_x0000_s79561"/>
                </a:ext>
                <a:ext uri="{FF2B5EF4-FFF2-40B4-BE49-F238E27FC236}">
                  <a16:creationId xmlns:a16="http://schemas.microsoft.com/office/drawing/2014/main" id="{00000000-0008-0000-0700-0000C9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131</xdr:row>
          <xdr:rowOff>85725</xdr:rowOff>
        </xdr:from>
        <xdr:to>
          <xdr:col>34</xdr:col>
          <xdr:colOff>57150</xdr:colOff>
          <xdr:row>133</xdr:row>
          <xdr:rowOff>38100</xdr:rowOff>
        </xdr:to>
        <xdr:sp macro="" textlink="">
          <xdr:nvSpPr>
            <xdr:cNvPr id="79562" name="Check Box 714" hidden="1">
              <a:extLst>
                <a:ext uri="{63B3BB69-23CF-44E3-9099-C40C66FF867C}">
                  <a14:compatExt spid="_x0000_s79562"/>
                </a:ext>
                <a:ext uri="{FF2B5EF4-FFF2-40B4-BE49-F238E27FC236}">
                  <a16:creationId xmlns:a16="http://schemas.microsoft.com/office/drawing/2014/main" id="{00000000-0008-0000-0700-0000CA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132</xdr:row>
          <xdr:rowOff>85725</xdr:rowOff>
        </xdr:from>
        <xdr:to>
          <xdr:col>34</xdr:col>
          <xdr:colOff>57150</xdr:colOff>
          <xdr:row>134</xdr:row>
          <xdr:rowOff>38100</xdr:rowOff>
        </xdr:to>
        <xdr:sp macro="" textlink="">
          <xdr:nvSpPr>
            <xdr:cNvPr id="79563" name="Check Box 715" hidden="1">
              <a:extLst>
                <a:ext uri="{63B3BB69-23CF-44E3-9099-C40C66FF867C}">
                  <a14:compatExt spid="_x0000_s79563"/>
                </a:ext>
                <a:ext uri="{FF2B5EF4-FFF2-40B4-BE49-F238E27FC236}">
                  <a16:creationId xmlns:a16="http://schemas.microsoft.com/office/drawing/2014/main" id="{00000000-0008-0000-0700-0000CB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133</xdr:row>
          <xdr:rowOff>85725</xdr:rowOff>
        </xdr:from>
        <xdr:to>
          <xdr:col>34</xdr:col>
          <xdr:colOff>57150</xdr:colOff>
          <xdr:row>135</xdr:row>
          <xdr:rowOff>38100</xdr:rowOff>
        </xdr:to>
        <xdr:sp macro="" textlink="">
          <xdr:nvSpPr>
            <xdr:cNvPr id="79564" name="Check Box 716" hidden="1">
              <a:extLst>
                <a:ext uri="{63B3BB69-23CF-44E3-9099-C40C66FF867C}">
                  <a14:compatExt spid="_x0000_s79564"/>
                </a:ext>
                <a:ext uri="{FF2B5EF4-FFF2-40B4-BE49-F238E27FC236}">
                  <a16:creationId xmlns:a16="http://schemas.microsoft.com/office/drawing/2014/main" id="{00000000-0008-0000-0700-0000CC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134</xdr:row>
          <xdr:rowOff>85725</xdr:rowOff>
        </xdr:from>
        <xdr:to>
          <xdr:col>34</xdr:col>
          <xdr:colOff>57150</xdr:colOff>
          <xdr:row>136</xdr:row>
          <xdr:rowOff>38100</xdr:rowOff>
        </xdr:to>
        <xdr:sp macro="" textlink="">
          <xdr:nvSpPr>
            <xdr:cNvPr id="79565" name="Check Box 717" hidden="1">
              <a:extLst>
                <a:ext uri="{63B3BB69-23CF-44E3-9099-C40C66FF867C}">
                  <a14:compatExt spid="_x0000_s79565"/>
                </a:ext>
                <a:ext uri="{FF2B5EF4-FFF2-40B4-BE49-F238E27FC236}">
                  <a16:creationId xmlns:a16="http://schemas.microsoft.com/office/drawing/2014/main" id="{00000000-0008-0000-0700-0000CD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135</xdr:row>
          <xdr:rowOff>85725</xdr:rowOff>
        </xdr:from>
        <xdr:to>
          <xdr:col>34</xdr:col>
          <xdr:colOff>57150</xdr:colOff>
          <xdr:row>137</xdr:row>
          <xdr:rowOff>38100</xdr:rowOff>
        </xdr:to>
        <xdr:sp macro="" textlink="">
          <xdr:nvSpPr>
            <xdr:cNvPr id="79566" name="Check Box 718" hidden="1">
              <a:extLst>
                <a:ext uri="{63B3BB69-23CF-44E3-9099-C40C66FF867C}">
                  <a14:compatExt spid="_x0000_s79566"/>
                </a:ext>
                <a:ext uri="{FF2B5EF4-FFF2-40B4-BE49-F238E27FC236}">
                  <a16:creationId xmlns:a16="http://schemas.microsoft.com/office/drawing/2014/main" id="{00000000-0008-0000-0700-0000CE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136</xdr:row>
          <xdr:rowOff>85725</xdr:rowOff>
        </xdr:from>
        <xdr:to>
          <xdr:col>34</xdr:col>
          <xdr:colOff>57150</xdr:colOff>
          <xdr:row>138</xdr:row>
          <xdr:rowOff>38100</xdr:rowOff>
        </xdr:to>
        <xdr:sp macro="" textlink="">
          <xdr:nvSpPr>
            <xdr:cNvPr id="79567" name="Check Box 719" hidden="1">
              <a:extLst>
                <a:ext uri="{63B3BB69-23CF-44E3-9099-C40C66FF867C}">
                  <a14:compatExt spid="_x0000_s79567"/>
                </a:ext>
                <a:ext uri="{FF2B5EF4-FFF2-40B4-BE49-F238E27FC236}">
                  <a16:creationId xmlns:a16="http://schemas.microsoft.com/office/drawing/2014/main" id="{00000000-0008-0000-0700-0000CF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98</xdr:row>
          <xdr:rowOff>85725</xdr:rowOff>
        </xdr:from>
        <xdr:to>
          <xdr:col>34</xdr:col>
          <xdr:colOff>57150</xdr:colOff>
          <xdr:row>100</xdr:row>
          <xdr:rowOff>38100</xdr:rowOff>
        </xdr:to>
        <xdr:sp macro="" textlink="">
          <xdr:nvSpPr>
            <xdr:cNvPr id="79568" name="Check Box 720" hidden="1">
              <a:extLst>
                <a:ext uri="{63B3BB69-23CF-44E3-9099-C40C66FF867C}">
                  <a14:compatExt spid="_x0000_s79568"/>
                </a:ext>
                <a:ext uri="{FF2B5EF4-FFF2-40B4-BE49-F238E27FC236}">
                  <a16:creationId xmlns:a16="http://schemas.microsoft.com/office/drawing/2014/main" id="{00000000-0008-0000-0700-0000D0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99</xdr:row>
          <xdr:rowOff>85725</xdr:rowOff>
        </xdr:from>
        <xdr:to>
          <xdr:col>34</xdr:col>
          <xdr:colOff>57150</xdr:colOff>
          <xdr:row>101</xdr:row>
          <xdr:rowOff>38100</xdr:rowOff>
        </xdr:to>
        <xdr:sp macro="" textlink="">
          <xdr:nvSpPr>
            <xdr:cNvPr id="79569" name="Check Box 721" hidden="1">
              <a:extLst>
                <a:ext uri="{63B3BB69-23CF-44E3-9099-C40C66FF867C}">
                  <a14:compatExt spid="_x0000_s79569"/>
                </a:ext>
                <a:ext uri="{FF2B5EF4-FFF2-40B4-BE49-F238E27FC236}">
                  <a16:creationId xmlns:a16="http://schemas.microsoft.com/office/drawing/2014/main" id="{00000000-0008-0000-0700-0000D1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137</xdr:row>
          <xdr:rowOff>85725</xdr:rowOff>
        </xdr:from>
        <xdr:to>
          <xdr:col>34</xdr:col>
          <xdr:colOff>57150</xdr:colOff>
          <xdr:row>139</xdr:row>
          <xdr:rowOff>38100</xdr:rowOff>
        </xdr:to>
        <xdr:sp macro="" textlink="">
          <xdr:nvSpPr>
            <xdr:cNvPr id="79570" name="Check Box 722" hidden="1">
              <a:extLst>
                <a:ext uri="{63B3BB69-23CF-44E3-9099-C40C66FF867C}">
                  <a14:compatExt spid="_x0000_s79570"/>
                </a:ext>
                <a:ext uri="{FF2B5EF4-FFF2-40B4-BE49-F238E27FC236}">
                  <a16:creationId xmlns:a16="http://schemas.microsoft.com/office/drawing/2014/main" id="{00000000-0008-0000-0700-0000D2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138</xdr:row>
          <xdr:rowOff>85725</xdr:rowOff>
        </xdr:from>
        <xdr:to>
          <xdr:col>34</xdr:col>
          <xdr:colOff>57150</xdr:colOff>
          <xdr:row>140</xdr:row>
          <xdr:rowOff>38100</xdr:rowOff>
        </xdr:to>
        <xdr:sp macro="" textlink="">
          <xdr:nvSpPr>
            <xdr:cNvPr id="79571" name="Check Box 723" hidden="1">
              <a:extLst>
                <a:ext uri="{63B3BB69-23CF-44E3-9099-C40C66FF867C}">
                  <a14:compatExt spid="_x0000_s79571"/>
                </a:ext>
                <a:ext uri="{FF2B5EF4-FFF2-40B4-BE49-F238E27FC236}">
                  <a16:creationId xmlns:a16="http://schemas.microsoft.com/office/drawing/2014/main" id="{00000000-0008-0000-0700-0000D3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139</xdr:row>
          <xdr:rowOff>85725</xdr:rowOff>
        </xdr:from>
        <xdr:to>
          <xdr:col>34</xdr:col>
          <xdr:colOff>57150</xdr:colOff>
          <xdr:row>141</xdr:row>
          <xdr:rowOff>38100</xdr:rowOff>
        </xdr:to>
        <xdr:sp macro="" textlink="">
          <xdr:nvSpPr>
            <xdr:cNvPr id="79572" name="Check Box 724" hidden="1">
              <a:extLst>
                <a:ext uri="{63B3BB69-23CF-44E3-9099-C40C66FF867C}">
                  <a14:compatExt spid="_x0000_s79572"/>
                </a:ext>
                <a:ext uri="{FF2B5EF4-FFF2-40B4-BE49-F238E27FC236}">
                  <a16:creationId xmlns:a16="http://schemas.microsoft.com/office/drawing/2014/main" id="{00000000-0008-0000-0700-0000D4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140</xdr:row>
          <xdr:rowOff>85725</xdr:rowOff>
        </xdr:from>
        <xdr:to>
          <xdr:col>34</xdr:col>
          <xdr:colOff>57150</xdr:colOff>
          <xdr:row>142</xdr:row>
          <xdr:rowOff>38100</xdr:rowOff>
        </xdr:to>
        <xdr:sp macro="" textlink="">
          <xdr:nvSpPr>
            <xdr:cNvPr id="79573" name="Check Box 725" hidden="1">
              <a:extLst>
                <a:ext uri="{63B3BB69-23CF-44E3-9099-C40C66FF867C}">
                  <a14:compatExt spid="_x0000_s79573"/>
                </a:ext>
                <a:ext uri="{FF2B5EF4-FFF2-40B4-BE49-F238E27FC236}">
                  <a16:creationId xmlns:a16="http://schemas.microsoft.com/office/drawing/2014/main" id="{00000000-0008-0000-0700-0000D5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141</xdr:row>
          <xdr:rowOff>85725</xdr:rowOff>
        </xdr:from>
        <xdr:to>
          <xdr:col>34</xdr:col>
          <xdr:colOff>57150</xdr:colOff>
          <xdr:row>143</xdr:row>
          <xdr:rowOff>38100</xdr:rowOff>
        </xdr:to>
        <xdr:sp macro="" textlink="">
          <xdr:nvSpPr>
            <xdr:cNvPr id="79574" name="Check Box 726" hidden="1">
              <a:extLst>
                <a:ext uri="{63B3BB69-23CF-44E3-9099-C40C66FF867C}">
                  <a14:compatExt spid="_x0000_s79574"/>
                </a:ext>
                <a:ext uri="{FF2B5EF4-FFF2-40B4-BE49-F238E27FC236}">
                  <a16:creationId xmlns:a16="http://schemas.microsoft.com/office/drawing/2014/main" id="{00000000-0008-0000-0700-0000D6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142</xdr:row>
          <xdr:rowOff>85725</xdr:rowOff>
        </xdr:from>
        <xdr:to>
          <xdr:col>34</xdr:col>
          <xdr:colOff>57150</xdr:colOff>
          <xdr:row>144</xdr:row>
          <xdr:rowOff>38100</xdr:rowOff>
        </xdr:to>
        <xdr:sp macro="" textlink="">
          <xdr:nvSpPr>
            <xdr:cNvPr id="79575" name="Check Box 727" hidden="1">
              <a:extLst>
                <a:ext uri="{63B3BB69-23CF-44E3-9099-C40C66FF867C}">
                  <a14:compatExt spid="_x0000_s79575"/>
                </a:ext>
                <a:ext uri="{FF2B5EF4-FFF2-40B4-BE49-F238E27FC236}">
                  <a16:creationId xmlns:a16="http://schemas.microsoft.com/office/drawing/2014/main" id="{00000000-0008-0000-0700-0000D7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143</xdr:row>
          <xdr:rowOff>85725</xdr:rowOff>
        </xdr:from>
        <xdr:to>
          <xdr:col>34</xdr:col>
          <xdr:colOff>57150</xdr:colOff>
          <xdr:row>145</xdr:row>
          <xdr:rowOff>38100</xdr:rowOff>
        </xdr:to>
        <xdr:sp macro="" textlink="">
          <xdr:nvSpPr>
            <xdr:cNvPr id="79576" name="Check Box 728" hidden="1">
              <a:extLst>
                <a:ext uri="{63B3BB69-23CF-44E3-9099-C40C66FF867C}">
                  <a14:compatExt spid="_x0000_s79576"/>
                </a:ext>
                <a:ext uri="{FF2B5EF4-FFF2-40B4-BE49-F238E27FC236}">
                  <a16:creationId xmlns:a16="http://schemas.microsoft.com/office/drawing/2014/main" id="{00000000-0008-0000-0700-0000D8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144</xdr:row>
          <xdr:rowOff>85725</xdr:rowOff>
        </xdr:from>
        <xdr:to>
          <xdr:col>34</xdr:col>
          <xdr:colOff>57150</xdr:colOff>
          <xdr:row>146</xdr:row>
          <xdr:rowOff>38100</xdr:rowOff>
        </xdr:to>
        <xdr:sp macro="" textlink="">
          <xdr:nvSpPr>
            <xdr:cNvPr id="79577" name="Check Box 729" hidden="1">
              <a:extLst>
                <a:ext uri="{63B3BB69-23CF-44E3-9099-C40C66FF867C}">
                  <a14:compatExt spid="_x0000_s79577"/>
                </a:ext>
                <a:ext uri="{FF2B5EF4-FFF2-40B4-BE49-F238E27FC236}">
                  <a16:creationId xmlns:a16="http://schemas.microsoft.com/office/drawing/2014/main" id="{00000000-0008-0000-0700-0000D9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145</xdr:row>
          <xdr:rowOff>85725</xdr:rowOff>
        </xdr:from>
        <xdr:to>
          <xdr:col>34</xdr:col>
          <xdr:colOff>57150</xdr:colOff>
          <xdr:row>147</xdr:row>
          <xdr:rowOff>38100</xdr:rowOff>
        </xdr:to>
        <xdr:sp macro="" textlink="">
          <xdr:nvSpPr>
            <xdr:cNvPr id="79578" name="Check Box 730" hidden="1">
              <a:extLst>
                <a:ext uri="{63B3BB69-23CF-44E3-9099-C40C66FF867C}">
                  <a14:compatExt spid="_x0000_s79578"/>
                </a:ext>
                <a:ext uri="{FF2B5EF4-FFF2-40B4-BE49-F238E27FC236}">
                  <a16:creationId xmlns:a16="http://schemas.microsoft.com/office/drawing/2014/main" id="{00000000-0008-0000-0700-0000DA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146</xdr:row>
          <xdr:rowOff>85725</xdr:rowOff>
        </xdr:from>
        <xdr:to>
          <xdr:col>34</xdr:col>
          <xdr:colOff>57150</xdr:colOff>
          <xdr:row>148</xdr:row>
          <xdr:rowOff>38100</xdr:rowOff>
        </xdr:to>
        <xdr:sp macro="" textlink="">
          <xdr:nvSpPr>
            <xdr:cNvPr id="79579" name="Check Box 731" hidden="1">
              <a:extLst>
                <a:ext uri="{63B3BB69-23CF-44E3-9099-C40C66FF867C}">
                  <a14:compatExt spid="_x0000_s79579"/>
                </a:ext>
                <a:ext uri="{FF2B5EF4-FFF2-40B4-BE49-F238E27FC236}">
                  <a16:creationId xmlns:a16="http://schemas.microsoft.com/office/drawing/2014/main" id="{00000000-0008-0000-0700-0000DB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147</xdr:row>
          <xdr:rowOff>85725</xdr:rowOff>
        </xdr:from>
        <xdr:to>
          <xdr:col>34</xdr:col>
          <xdr:colOff>57150</xdr:colOff>
          <xdr:row>149</xdr:row>
          <xdr:rowOff>38100</xdr:rowOff>
        </xdr:to>
        <xdr:sp macro="" textlink="">
          <xdr:nvSpPr>
            <xdr:cNvPr id="79580" name="Check Box 732" hidden="1">
              <a:extLst>
                <a:ext uri="{63B3BB69-23CF-44E3-9099-C40C66FF867C}">
                  <a14:compatExt spid="_x0000_s79580"/>
                </a:ext>
                <a:ext uri="{FF2B5EF4-FFF2-40B4-BE49-F238E27FC236}">
                  <a16:creationId xmlns:a16="http://schemas.microsoft.com/office/drawing/2014/main" id="{00000000-0008-0000-0700-0000DC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150</xdr:row>
          <xdr:rowOff>85725</xdr:rowOff>
        </xdr:from>
        <xdr:to>
          <xdr:col>34</xdr:col>
          <xdr:colOff>57150</xdr:colOff>
          <xdr:row>152</xdr:row>
          <xdr:rowOff>38100</xdr:rowOff>
        </xdr:to>
        <xdr:sp macro="" textlink="">
          <xdr:nvSpPr>
            <xdr:cNvPr id="79581" name="Check Box 733" hidden="1">
              <a:extLst>
                <a:ext uri="{63B3BB69-23CF-44E3-9099-C40C66FF867C}">
                  <a14:compatExt spid="_x0000_s79581"/>
                </a:ext>
                <a:ext uri="{FF2B5EF4-FFF2-40B4-BE49-F238E27FC236}">
                  <a16:creationId xmlns:a16="http://schemas.microsoft.com/office/drawing/2014/main" id="{00000000-0008-0000-0700-0000DD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151</xdr:row>
          <xdr:rowOff>85725</xdr:rowOff>
        </xdr:from>
        <xdr:to>
          <xdr:col>34</xdr:col>
          <xdr:colOff>57150</xdr:colOff>
          <xdr:row>153</xdr:row>
          <xdr:rowOff>38100</xdr:rowOff>
        </xdr:to>
        <xdr:sp macro="" textlink="">
          <xdr:nvSpPr>
            <xdr:cNvPr id="79582" name="Check Box 734" hidden="1">
              <a:extLst>
                <a:ext uri="{63B3BB69-23CF-44E3-9099-C40C66FF867C}">
                  <a14:compatExt spid="_x0000_s79582"/>
                </a:ext>
                <a:ext uri="{FF2B5EF4-FFF2-40B4-BE49-F238E27FC236}">
                  <a16:creationId xmlns:a16="http://schemas.microsoft.com/office/drawing/2014/main" id="{00000000-0008-0000-0700-0000DE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152</xdr:row>
          <xdr:rowOff>85725</xdr:rowOff>
        </xdr:from>
        <xdr:to>
          <xdr:col>34</xdr:col>
          <xdr:colOff>57150</xdr:colOff>
          <xdr:row>154</xdr:row>
          <xdr:rowOff>38100</xdr:rowOff>
        </xdr:to>
        <xdr:sp macro="" textlink="">
          <xdr:nvSpPr>
            <xdr:cNvPr id="79583" name="Check Box 735" hidden="1">
              <a:extLst>
                <a:ext uri="{63B3BB69-23CF-44E3-9099-C40C66FF867C}">
                  <a14:compatExt spid="_x0000_s79583"/>
                </a:ext>
                <a:ext uri="{FF2B5EF4-FFF2-40B4-BE49-F238E27FC236}">
                  <a16:creationId xmlns:a16="http://schemas.microsoft.com/office/drawing/2014/main" id="{00000000-0008-0000-0700-0000DF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153</xdr:row>
          <xdr:rowOff>85725</xdr:rowOff>
        </xdr:from>
        <xdr:to>
          <xdr:col>34</xdr:col>
          <xdr:colOff>57150</xdr:colOff>
          <xdr:row>155</xdr:row>
          <xdr:rowOff>38100</xdr:rowOff>
        </xdr:to>
        <xdr:sp macro="" textlink="">
          <xdr:nvSpPr>
            <xdr:cNvPr id="79584" name="Check Box 736" hidden="1">
              <a:extLst>
                <a:ext uri="{63B3BB69-23CF-44E3-9099-C40C66FF867C}">
                  <a14:compatExt spid="_x0000_s79584"/>
                </a:ext>
                <a:ext uri="{FF2B5EF4-FFF2-40B4-BE49-F238E27FC236}">
                  <a16:creationId xmlns:a16="http://schemas.microsoft.com/office/drawing/2014/main" id="{00000000-0008-0000-0700-0000E0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154</xdr:row>
          <xdr:rowOff>85725</xdr:rowOff>
        </xdr:from>
        <xdr:to>
          <xdr:col>34</xdr:col>
          <xdr:colOff>57150</xdr:colOff>
          <xdr:row>156</xdr:row>
          <xdr:rowOff>38100</xdr:rowOff>
        </xdr:to>
        <xdr:sp macro="" textlink="">
          <xdr:nvSpPr>
            <xdr:cNvPr id="79585" name="Check Box 737" hidden="1">
              <a:extLst>
                <a:ext uri="{63B3BB69-23CF-44E3-9099-C40C66FF867C}">
                  <a14:compatExt spid="_x0000_s79585"/>
                </a:ext>
                <a:ext uri="{FF2B5EF4-FFF2-40B4-BE49-F238E27FC236}">
                  <a16:creationId xmlns:a16="http://schemas.microsoft.com/office/drawing/2014/main" id="{00000000-0008-0000-0700-0000E1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155</xdr:row>
          <xdr:rowOff>85725</xdr:rowOff>
        </xdr:from>
        <xdr:to>
          <xdr:col>34</xdr:col>
          <xdr:colOff>57150</xdr:colOff>
          <xdr:row>157</xdr:row>
          <xdr:rowOff>38100</xdr:rowOff>
        </xdr:to>
        <xdr:sp macro="" textlink="">
          <xdr:nvSpPr>
            <xdr:cNvPr id="79586" name="Check Box 738" hidden="1">
              <a:extLst>
                <a:ext uri="{63B3BB69-23CF-44E3-9099-C40C66FF867C}">
                  <a14:compatExt spid="_x0000_s79586"/>
                </a:ext>
                <a:ext uri="{FF2B5EF4-FFF2-40B4-BE49-F238E27FC236}">
                  <a16:creationId xmlns:a16="http://schemas.microsoft.com/office/drawing/2014/main" id="{00000000-0008-0000-0700-0000E2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156</xdr:row>
          <xdr:rowOff>85725</xdr:rowOff>
        </xdr:from>
        <xdr:to>
          <xdr:col>34</xdr:col>
          <xdr:colOff>57150</xdr:colOff>
          <xdr:row>158</xdr:row>
          <xdr:rowOff>38100</xdr:rowOff>
        </xdr:to>
        <xdr:sp macro="" textlink="">
          <xdr:nvSpPr>
            <xdr:cNvPr id="79587" name="Check Box 739" hidden="1">
              <a:extLst>
                <a:ext uri="{63B3BB69-23CF-44E3-9099-C40C66FF867C}">
                  <a14:compatExt spid="_x0000_s79587"/>
                </a:ext>
                <a:ext uri="{FF2B5EF4-FFF2-40B4-BE49-F238E27FC236}">
                  <a16:creationId xmlns:a16="http://schemas.microsoft.com/office/drawing/2014/main" id="{00000000-0008-0000-0700-0000E3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157</xdr:row>
          <xdr:rowOff>85725</xdr:rowOff>
        </xdr:from>
        <xdr:to>
          <xdr:col>34</xdr:col>
          <xdr:colOff>57150</xdr:colOff>
          <xdr:row>159</xdr:row>
          <xdr:rowOff>38100</xdr:rowOff>
        </xdr:to>
        <xdr:sp macro="" textlink="">
          <xdr:nvSpPr>
            <xdr:cNvPr id="79588" name="Check Box 740" hidden="1">
              <a:extLst>
                <a:ext uri="{63B3BB69-23CF-44E3-9099-C40C66FF867C}">
                  <a14:compatExt spid="_x0000_s79588"/>
                </a:ext>
                <a:ext uri="{FF2B5EF4-FFF2-40B4-BE49-F238E27FC236}">
                  <a16:creationId xmlns:a16="http://schemas.microsoft.com/office/drawing/2014/main" id="{00000000-0008-0000-0700-0000E4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158</xdr:row>
          <xdr:rowOff>85725</xdr:rowOff>
        </xdr:from>
        <xdr:to>
          <xdr:col>34</xdr:col>
          <xdr:colOff>57150</xdr:colOff>
          <xdr:row>160</xdr:row>
          <xdr:rowOff>38100</xdr:rowOff>
        </xdr:to>
        <xdr:sp macro="" textlink="">
          <xdr:nvSpPr>
            <xdr:cNvPr id="79589" name="Check Box 741" hidden="1">
              <a:extLst>
                <a:ext uri="{63B3BB69-23CF-44E3-9099-C40C66FF867C}">
                  <a14:compatExt spid="_x0000_s79589"/>
                </a:ext>
                <a:ext uri="{FF2B5EF4-FFF2-40B4-BE49-F238E27FC236}">
                  <a16:creationId xmlns:a16="http://schemas.microsoft.com/office/drawing/2014/main" id="{00000000-0008-0000-0700-0000E5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159</xdr:row>
          <xdr:rowOff>85725</xdr:rowOff>
        </xdr:from>
        <xdr:to>
          <xdr:col>34</xdr:col>
          <xdr:colOff>57150</xdr:colOff>
          <xdr:row>161</xdr:row>
          <xdr:rowOff>38100</xdr:rowOff>
        </xdr:to>
        <xdr:sp macro="" textlink="">
          <xdr:nvSpPr>
            <xdr:cNvPr id="79590" name="Check Box 742" hidden="1">
              <a:extLst>
                <a:ext uri="{63B3BB69-23CF-44E3-9099-C40C66FF867C}">
                  <a14:compatExt spid="_x0000_s79590"/>
                </a:ext>
                <a:ext uri="{FF2B5EF4-FFF2-40B4-BE49-F238E27FC236}">
                  <a16:creationId xmlns:a16="http://schemas.microsoft.com/office/drawing/2014/main" id="{00000000-0008-0000-0700-0000E6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160</xdr:row>
          <xdr:rowOff>85725</xdr:rowOff>
        </xdr:from>
        <xdr:to>
          <xdr:col>34</xdr:col>
          <xdr:colOff>57150</xdr:colOff>
          <xdr:row>162</xdr:row>
          <xdr:rowOff>38100</xdr:rowOff>
        </xdr:to>
        <xdr:sp macro="" textlink="">
          <xdr:nvSpPr>
            <xdr:cNvPr id="79591" name="Check Box 743" hidden="1">
              <a:extLst>
                <a:ext uri="{63B3BB69-23CF-44E3-9099-C40C66FF867C}">
                  <a14:compatExt spid="_x0000_s79591"/>
                </a:ext>
                <a:ext uri="{FF2B5EF4-FFF2-40B4-BE49-F238E27FC236}">
                  <a16:creationId xmlns:a16="http://schemas.microsoft.com/office/drawing/2014/main" id="{00000000-0008-0000-0700-0000E7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161</xdr:row>
          <xdr:rowOff>85725</xdr:rowOff>
        </xdr:from>
        <xdr:to>
          <xdr:col>34</xdr:col>
          <xdr:colOff>57150</xdr:colOff>
          <xdr:row>163</xdr:row>
          <xdr:rowOff>38100</xdr:rowOff>
        </xdr:to>
        <xdr:sp macro="" textlink="">
          <xdr:nvSpPr>
            <xdr:cNvPr id="79592" name="Check Box 744" hidden="1">
              <a:extLst>
                <a:ext uri="{63B3BB69-23CF-44E3-9099-C40C66FF867C}">
                  <a14:compatExt spid="_x0000_s79592"/>
                </a:ext>
                <a:ext uri="{FF2B5EF4-FFF2-40B4-BE49-F238E27FC236}">
                  <a16:creationId xmlns:a16="http://schemas.microsoft.com/office/drawing/2014/main" id="{00000000-0008-0000-0700-0000E8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162</xdr:row>
          <xdr:rowOff>85725</xdr:rowOff>
        </xdr:from>
        <xdr:to>
          <xdr:col>34</xdr:col>
          <xdr:colOff>57150</xdr:colOff>
          <xdr:row>164</xdr:row>
          <xdr:rowOff>38100</xdr:rowOff>
        </xdr:to>
        <xdr:sp macro="" textlink="">
          <xdr:nvSpPr>
            <xdr:cNvPr id="79593" name="Check Box 745" hidden="1">
              <a:extLst>
                <a:ext uri="{63B3BB69-23CF-44E3-9099-C40C66FF867C}">
                  <a14:compatExt spid="_x0000_s79593"/>
                </a:ext>
                <a:ext uri="{FF2B5EF4-FFF2-40B4-BE49-F238E27FC236}">
                  <a16:creationId xmlns:a16="http://schemas.microsoft.com/office/drawing/2014/main" id="{00000000-0008-0000-0700-0000E9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163</xdr:row>
          <xdr:rowOff>85725</xdr:rowOff>
        </xdr:from>
        <xdr:to>
          <xdr:col>34</xdr:col>
          <xdr:colOff>57150</xdr:colOff>
          <xdr:row>165</xdr:row>
          <xdr:rowOff>38100</xdr:rowOff>
        </xdr:to>
        <xdr:sp macro="" textlink="">
          <xdr:nvSpPr>
            <xdr:cNvPr id="79594" name="Check Box 746" hidden="1">
              <a:extLst>
                <a:ext uri="{63B3BB69-23CF-44E3-9099-C40C66FF867C}">
                  <a14:compatExt spid="_x0000_s79594"/>
                </a:ext>
                <a:ext uri="{FF2B5EF4-FFF2-40B4-BE49-F238E27FC236}">
                  <a16:creationId xmlns:a16="http://schemas.microsoft.com/office/drawing/2014/main" id="{00000000-0008-0000-0700-0000EA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164</xdr:row>
          <xdr:rowOff>85725</xdr:rowOff>
        </xdr:from>
        <xdr:to>
          <xdr:col>34</xdr:col>
          <xdr:colOff>57150</xdr:colOff>
          <xdr:row>166</xdr:row>
          <xdr:rowOff>38100</xdr:rowOff>
        </xdr:to>
        <xdr:sp macro="" textlink="">
          <xdr:nvSpPr>
            <xdr:cNvPr id="79595" name="Check Box 747" hidden="1">
              <a:extLst>
                <a:ext uri="{63B3BB69-23CF-44E3-9099-C40C66FF867C}">
                  <a14:compatExt spid="_x0000_s79595"/>
                </a:ext>
                <a:ext uri="{FF2B5EF4-FFF2-40B4-BE49-F238E27FC236}">
                  <a16:creationId xmlns:a16="http://schemas.microsoft.com/office/drawing/2014/main" id="{00000000-0008-0000-0700-0000EB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165</xdr:row>
          <xdr:rowOff>85725</xdr:rowOff>
        </xdr:from>
        <xdr:to>
          <xdr:col>34</xdr:col>
          <xdr:colOff>57150</xdr:colOff>
          <xdr:row>167</xdr:row>
          <xdr:rowOff>38100</xdr:rowOff>
        </xdr:to>
        <xdr:sp macro="" textlink="">
          <xdr:nvSpPr>
            <xdr:cNvPr id="79596" name="Check Box 748" hidden="1">
              <a:extLst>
                <a:ext uri="{63B3BB69-23CF-44E3-9099-C40C66FF867C}">
                  <a14:compatExt spid="_x0000_s79596"/>
                </a:ext>
                <a:ext uri="{FF2B5EF4-FFF2-40B4-BE49-F238E27FC236}">
                  <a16:creationId xmlns:a16="http://schemas.microsoft.com/office/drawing/2014/main" id="{00000000-0008-0000-0700-0000EC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166</xdr:row>
          <xdr:rowOff>85725</xdr:rowOff>
        </xdr:from>
        <xdr:to>
          <xdr:col>34</xdr:col>
          <xdr:colOff>57150</xdr:colOff>
          <xdr:row>168</xdr:row>
          <xdr:rowOff>38100</xdr:rowOff>
        </xdr:to>
        <xdr:sp macro="" textlink="">
          <xdr:nvSpPr>
            <xdr:cNvPr id="79597" name="Check Box 749" hidden="1">
              <a:extLst>
                <a:ext uri="{63B3BB69-23CF-44E3-9099-C40C66FF867C}">
                  <a14:compatExt spid="_x0000_s79597"/>
                </a:ext>
                <a:ext uri="{FF2B5EF4-FFF2-40B4-BE49-F238E27FC236}">
                  <a16:creationId xmlns:a16="http://schemas.microsoft.com/office/drawing/2014/main" id="{00000000-0008-0000-0700-0000ED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167</xdr:row>
          <xdr:rowOff>85725</xdr:rowOff>
        </xdr:from>
        <xdr:to>
          <xdr:col>34</xdr:col>
          <xdr:colOff>57150</xdr:colOff>
          <xdr:row>169</xdr:row>
          <xdr:rowOff>38100</xdr:rowOff>
        </xdr:to>
        <xdr:sp macro="" textlink="">
          <xdr:nvSpPr>
            <xdr:cNvPr id="79598" name="Check Box 750" hidden="1">
              <a:extLst>
                <a:ext uri="{63B3BB69-23CF-44E3-9099-C40C66FF867C}">
                  <a14:compatExt spid="_x0000_s79598"/>
                </a:ext>
                <a:ext uri="{FF2B5EF4-FFF2-40B4-BE49-F238E27FC236}">
                  <a16:creationId xmlns:a16="http://schemas.microsoft.com/office/drawing/2014/main" id="{00000000-0008-0000-0700-0000EE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168</xdr:row>
          <xdr:rowOff>85725</xdr:rowOff>
        </xdr:from>
        <xdr:to>
          <xdr:col>34</xdr:col>
          <xdr:colOff>57150</xdr:colOff>
          <xdr:row>170</xdr:row>
          <xdr:rowOff>38100</xdr:rowOff>
        </xdr:to>
        <xdr:sp macro="" textlink="">
          <xdr:nvSpPr>
            <xdr:cNvPr id="79599" name="Check Box 751" hidden="1">
              <a:extLst>
                <a:ext uri="{63B3BB69-23CF-44E3-9099-C40C66FF867C}">
                  <a14:compatExt spid="_x0000_s79599"/>
                </a:ext>
                <a:ext uri="{FF2B5EF4-FFF2-40B4-BE49-F238E27FC236}">
                  <a16:creationId xmlns:a16="http://schemas.microsoft.com/office/drawing/2014/main" id="{00000000-0008-0000-0700-0000EF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169</xdr:row>
          <xdr:rowOff>85725</xdr:rowOff>
        </xdr:from>
        <xdr:to>
          <xdr:col>34</xdr:col>
          <xdr:colOff>57150</xdr:colOff>
          <xdr:row>171</xdr:row>
          <xdr:rowOff>38100</xdr:rowOff>
        </xdr:to>
        <xdr:sp macro="" textlink="">
          <xdr:nvSpPr>
            <xdr:cNvPr id="79600" name="Check Box 752" hidden="1">
              <a:extLst>
                <a:ext uri="{63B3BB69-23CF-44E3-9099-C40C66FF867C}">
                  <a14:compatExt spid="_x0000_s79600"/>
                </a:ext>
                <a:ext uri="{FF2B5EF4-FFF2-40B4-BE49-F238E27FC236}">
                  <a16:creationId xmlns:a16="http://schemas.microsoft.com/office/drawing/2014/main" id="{00000000-0008-0000-0700-0000F0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170</xdr:row>
          <xdr:rowOff>85725</xdr:rowOff>
        </xdr:from>
        <xdr:to>
          <xdr:col>34</xdr:col>
          <xdr:colOff>57150</xdr:colOff>
          <xdr:row>172</xdr:row>
          <xdr:rowOff>38100</xdr:rowOff>
        </xdr:to>
        <xdr:sp macro="" textlink="">
          <xdr:nvSpPr>
            <xdr:cNvPr id="79601" name="Check Box 753" hidden="1">
              <a:extLst>
                <a:ext uri="{63B3BB69-23CF-44E3-9099-C40C66FF867C}">
                  <a14:compatExt spid="_x0000_s79601"/>
                </a:ext>
                <a:ext uri="{FF2B5EF4-FFF2-40B4-BE49-F238E27FC236}">
                  <a16:creationId xmlns:a16="http://schemas.microsoft.com/office/drawing/2014/main" id="{00000000-0008-0000-0700-0000F1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171</xdr:row>
          <xdr:rowOff>85725</xdr:rowOff>
        </xdr:from>
        <xdr:to>
          <xdr:col>34</xdr:col>
          <xdr:colOff>57150</xdr:colOff>
          <xdr:row>173</xdr:row>
          <xdr:rowOff>38100</xdr:rowOff>
        </xdr:to>
        <xdr:sp macro="" textlink="">
          <xdr:nvSpPr>
            <xdr:cNvPr id="79602" name="Check Box 754" hidden="1">
              <a:extLst>
                <a:ext uri="{63B3BB69-23CF-44E3-9099-C40C66FF867C}">
                  <a14:compatExt spid="_x0000_s79602"/>
                </a:ext>
                <a:ext uri="{FF2B5EF4-FFF2-40B4-BE49-F238E27FC236}">
                  <a16:creationId xmlns:a16="http://schemas.microsoft.com/office/drawing/2014/main" id="{00000000-0008-0000-0700-0000F2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172</xdr:row>
          <xdr:rowOff>85725</xdr:rowOff>
        </xdr:from>
        <xdr:to>
          <xdr:col>34</xdr:col>
          <xdr:colOff>57150</xdr:colOff>
          <xdr:row>174</xdr:row>
          <xdr:rowOff>38100</xdr:rowOff>
        </xdr:to>
        <xdr:sp macro="" textlink="">
          <xdr:nvSpPr>
            <xdr:cNvPr id="79603" name="Check Box 755" hidden="1">
              <a:extLst>
                <a:ext uri="{63B3BB69-23CF-44E3-9099-C40C66FF867C}">
                  <a14:compatExt spid="_x0000_s79603"/>
                </a:ext>
                <a:ext uri="{FF2B5EF4-FFF2-40B4-BE49-F238E27FC236}">
                  <a16:creationId xmlns:a16="http://schemas.microsoft.com/office/drawing/2014/main" id="{00000000-0008-0000-0700-0000F3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173</xdr:row>
          <xdr:rowOff>85725</xdr:rowOff>
        </xdr:from>
        <xdr:to>
          <xdr:col>34</xdr:col>
          <xdr:colOff>57150</xdr:colOff>
          <xdr:row>175</xdr:row>
          <xdr:rowOff>38100</xdr:rowOff>
        </xdr:to>
        <xdr:sp macro="" textlink="">
          <xdr:nvSpPr>
            <xdr:cNvPr id="79604" name="Check Box 756" hidden="1">
              <a:extLst>
                <a:ext uri="{63B3BB69-23CF-44E3-9099-C40C66FF867C}">
                  <a14:compatExt spid="_x0000_s79604"/>
                </a:ext>
                <a:ext uri="{FF2B5EF4-FFF2-40B4-BE49-F238E27FC236}">
                  <a16:creationId xmlns:a16="http://schemas.microsoft.com/office/drawing/2014/main" id="{00000000-0008-0000-0700-0000F4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174</xdr:row>
          <xdr:rowOff>85725</xdr:rowOff>
        </xdr:from>
        <xdr:to>
          <xdr:col>34</xdr:col>
          <xdr:colOff>57150</xdr:colOff>
          <xdr:row>176</xdr:row>
          <xdr:rowOff>38100</xdr:rowOff>
        </xdr:to>
        <xdr:sp macro="" textlink="">
          <xdr:nvSpPr>
            <xdr:cNvPr id="79605" name="Check Box 757" hidden="1">
              <a:extLst>
                <a:ext uri="{63B3BB69-23CF-44E3-9099-C40C66FF867C}">
                  <a14:compatExt spid="_x0000_s79605"/>
                </a:ext>
                <a:ext uri="{FF2B5EF4-FFF2-40B4-BE49-F238E27FC236}">
                  <a16:creationId xmlns:a16="http://schemas.microsoft.com/office/drawing/2014/main" id="{00000000-0008-0000-0700-0000F5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175</xdr:row>
          <xdr:rowOff>85725</xdr:rowOff>
        </xdr:from>
        <xdr:to>
          <xdr:col>34</xdr:col>
          <xdr:colOff>57150</xdr:colOff>
          <xdr:row>177</xdr:row>
          <xdr:rowOff>38100</xdr:rowOff>
        </xdr:to>
        <xdr:sp macro="" textlink="">
          <xdr:nvSpPr>
            <xdr:cNvPr id="79606" name="Check Box 758" hidden="1">
              <a:extLst>
                <a:ext uri="{63B3BB69-23CF-44E3-9099-C40C66FF867C}">
                  <a14:compatExt spid="_x0000_s79606"/>
                </a:ext>
                <a:ext uri="{FF2B5EF4-FFF2-40B4-BE49-F238E27FC236}">
                  <a16:creationId xmlns:a16="http://schemas.microsoft.com/office/drawing/2014/main" id="{00000000-0008-0000-0700-0000F6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176</xdr:row>
          <xdr:rowOff>85725</xdr:rowOff>
        </xdr:from>
        <xdr:to>
          <xdr:col>34</xdr:col>
          <xdr:colOff>57150</xdr:colOff>
          <xdr:row>178</xdr:row>
          <xdr:rowOff>38100</xdr:rowOff>
        </xdr:to>
        <xdr:sp macro="" textlink="">
          <xdr:nvSpPr>
            <xdr:cNvPr id="79607" name="Check Box 759" hidden="1">
              <a:extLst>
                <a:ext uri="{63B3BB69-23CF-44E3-9099-C40C66FF867C}">
                  <a14:compatExt spid="_x0000_s79607"/>
                </a:ext>
                <a:ext uri="{FF2B5EF4-FFF2-40B4-BE49-F238E27FC236}">
                  <a16:creationId xmlns:a16="http://schemas.microsoft.com/office/drawing/2014/main" id="{00000000-0008-0000-0700-0000F7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177</xdr:row>
          <xdr:rowOff>85725</xdr:rowOff>
        </xdr:from>
        <xdr:to>
          <xdr:col>34</xdr:col>
          <xdr:colOff>57150</xdr:colOff>
          <xdr:row>179</xdr:row>
          <xdr:rowOff>38100</xdr:rowOff>
        </xdr:to>
        <xdr:sp macro="" textlink="">
          <xdr:nvSpPr>
            <xdr:cNvPr id="79608" name="Check Box 760" hidden="1">
              <a:extLst>
                <a:ext uri="{63B3BB69-23CF-44E3-9099-C40C66FF867C}">
                  <a14:compatExt spid="_x0000_s79608"/>
                </a:ext>
                <a:ext uri="{FF2B5EF4-FFF2-40B4-BE49-F238E27FC236}">
                  <a16:creationId xmlns:a16="http://schemas.microsoft.com/office/drawing/2014/main" id="{00000000-0008-0000-0700-0000F8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178</xdr:row>
          <xdr:rowOff>85725</xdr:rowOff>
        </xdr:from>
        <xdr:to>
          <xdr:col>34</xdr:col>
          <xdr:colOff>57150</xdr:colOff>
          <xdr:row>180</xdr:row>
          <xdr:rowOff>38100</xdr:rowOff>
        </xdr:to>
        <xdr:sp macro="" textlink="">
          <xdr:nvSpPr>
            <xdr:cNvPr id="79609" name="Check Box 761" hidden="1">
              <a:extLst>
                <a:ext uri="{63B3BB69-23CF-44E3-9099-C40C66FF867C}">
                  <a14:compatExt spid="_x0000_s79609"/>
                </a:ext>
                <a:ext uri="{FF2B5EF4-FFF2-40B4-BE49-F238E27FC236}">
                  <a16:creationId xmlns:a16="http://schemas.microsoft.com/office/drawing/2014/main" id="{00000000-0008-0000-0700-0000F9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179</xdr:row>
          <xdr:rowOff>85725</xdr:rowOff>
        </xdr:from>
        <xdr:to>
          <xdr:col>34</xdr:col>
          <xdr:colOff>57150</xdr:colOff>
          <xdr:row>181</xdr:row>
          <xdr:rowOff>38100</xdr:rowOff>
        </xdr:to>
        <xdr:sp macro="" textlink="">
          <xdr:nvSpPr>
            <xdr:cNvPr id="79610" name="Check Box 762" hidden="1">
              <a:extLst>
                <a:ext uri="{63B3BB69-23CF-44E3-9099-C40C66FF867C}">
                  <a14:compatExt spid="_x0000_s79610"/>
                </a:ext>
                <a:ext uri="{FF2B5EF4-FFF2-40B4-BE49-F238E27FC236}">
                  <a16:creationId xmlns:a16="http://schemas.microsoft.com/office/drawing/2014/main" id="{00000000-0008-0000-0700-0000FA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180</xdr:row>
          <xdr:rowOff>85725</xdr:rowOff>
        </xdr:from>
        <xdr:to>
          <xdr:col>34</xdr:col>
          <xdr:colOff>57150</xdr:colOff>
          <xdr:row>182</xdr:row>
          <xdr:rowOff>38100</xdr:rowOff>
        </xdr:to>
        <xdr:sp macro="" textlink="">
          <xdr:nvSpPr>
            <xdr:cNvPr id="79611" name="Check Box 763" hidden="1">
              <a:extLst>
                <a:ext uri="{63B3BB69-23CF-44E3-9099-C40C66FF867C}">
                  <a14:compatExt spid="_x0000_s79611"/>
                </a:ext>
                <a:ext uri="{FF2B5EF4-FFF2-40B4-BE49-F238E27FC236}">
                  <a16:creationId xmlns:a16="http://schemas.microsoft.com/office/drawing/2014/main" id="{00000000-0008-0000-0700-0000FB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181</xdr:row>
          <xdr:rowOff>85725</xdr:rowOff>
        </xdr:from>
        <xdr:to>
          <xdr:col>34</xdr:col>
          <xdr:colOff>57150</xdr:colOff>
          <xdr:row>183</xdr:row>
          <xdr:rowOff>38100</xdr:rowOff>
        </xdr:to>
        <xdr:sp macro="" textlink="">
          <xdr:nvSpPr>
            <xdr:cNvPr id="79612" name="Check Box 764" hidden="1">
              <a:extLst>
                <a:ext uri="{63B3BB69-23CF-44E3-9099-C40C66FF867C}">
                  <a14:compatExt spid="_x0000_s79612"/>
                </a:ext>
                <a:ext uri="{FF2B5EF4-FFF2-40B4-BE49-F238E27FC236}">
                  <a16:creationId xmlns:a16="http://schemas.microsoft.com/office/drawing/2014/main" id="{00000000-0008-0000-0700-0000FC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182</xdr:row>
          <xdr:rowOff>85725</xdr:rowOff>
        </xdr:from>
        <xdr:to>
          <xdr:col>34</xdr:col>
          <xdr:colOff>57150</xdr:colOff>
          <xdr:row>184</xdr:row>
          <xdr:rowOff>38100</xdr:rowOff>
        </xdr:to>
        <xdr:sp macro="" textlink="">
          <xdr:nvSpPr>
            <xdr:cNvPr id="79613" name="Check Box 765" hidden="1">
              <a:extLst>
                <a:ext uri="{63B3BB69-23CF-44E3-9099-C40C66FF867C}">
                  <a14:compatExt spid="_x0000_s79613"/>
                </a:ext>
                <a:ext uri="{FF2B5EF4-FFF2-40B4-BE49-F238E27FC236}">
                  <a16:creationId xmlns:a16="http://schemas.microsoft.com/office/drawing/2014/main" id="{00000000-0008-0000-0700-0000FD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183</xdr:row>
          <xdr:rowOff>85725</xdr:rowOff>
        </xdr:from>
        <xdr:to>
          <xdr:col>34</xdr:col>
          <xdr:colOff>57150</xdr:colOff>
          <xdr:row>185</xdr:row>
          <xdr:rowOff>38100</xdr:rowOff>
        </xdr:to>
        <xdr:sp macro="" textlink="">
          <xdr:nvSpPr>
            <xdr:cNvPr id="79614" name="Check Box 766" hidden="1">
              <a:extLst>
                <a:ext uri="{63B3BB69-23CF-44E3-9099-C40C66FF867C}">
                  <a14:compatExt spid="_x0000_s79614"/>
                </a:ext>
                <a:ext uri="{FF2B5EF4-FFF2-40B4-BE49-F238E27FC236}">
                  <a16:creationId xmlns:a16="http://schemas.microsoft.com/office/drawing/2014/main" id="{00000000-0008-0000-0700-0000FE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184</xdr:row>
          <xdr:rowOff>85725</xdr:rowOff>
        </xdr:from>
        <xdr:to>
          <xdr:col>34</xdr:col>
          <xdr:colOff>57150</xdr:colOff>
          <xdr:row>186</xdr:row>
          <xdr:rowOff>38100</xdr:rowOff>
        </xdr:to>
        <xdr:sp macro="" textlink="">
          <xdr:nvSpPr>
            <xdr:cNvPr id="79615" name="Check Box 767" hidden="1">
              <a:extLst>
                <a:ext uri="{63B3BB69-23CF-44E3-9099-C40C66FF867C}">
                  <a14:compatExt spid="_x0000_s79615"/>
                </a:ext>
                <a:ext uri="{FF2B5EF4-FFF2-40B4-BE49-F238E27FC236}">
                  <a16:creationId xmlns:a16="http://schemas.microsoft.com/office/drawing/2014/main" id="{00000000-0008-0000-0700-0000FF36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185</xdr:row>
          <xdr:rowOff>85725</xdr:rowOff>
        </xdr:from>
        <xdr:to>
          <xdr:col>34</xdr:col>
          <xdr:colOff>57150</xdr:colOff>
          <xdr:row>187</xdr:row>
          <xdr:rowOff>38100</xdr:rowOff>
        </xdr:to>
        <xdr:sp macro="" textlink="">
          <xdr:nvSpPr>
            <xdr:cNvPr id="79616" name="Check Box 768" hidden="1">
              <a:extLst>
                <a:ext uri="{63B3BB69-23CF-44E3-9099-C40C66FF867C}">
                  <a14:compatExt spid="_x0000_s79616"/>
                </a:ext>
                <a:ext uri="{FF2B5EF4-FFF2-40B4-BE49-F238E27FC236}">
                  <a16:creationId xmlns:a16="http://schemas.microsoft.com/office/drawing/2014/main" id="{00000000-0008-0000-0700-000000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186</xdr:row>
          <xdr:rowOff>85725</xdr:rowOff>
        </xdr:from>
        <xdr:to>
          <xdr:col>34</xdr:col>
          <xdr:colOff>57150</xdr:colOff>
          <xdr:row>188</xdr:row>
          <xdr:rowOff>38100</xdr:rowOff>
        </xdr:to>
        <xdr:sp macro="" textlink="">
          <xdr:nvSpPr>
            <xdr:cNvPr id="79617" name="Check Box 769" hidden="1">
              <a:extLst>
                <a:ext uri="{63B3BB69-23CF-44E3-9099-C40C66FF867C}">
                  <a14:compatExt spid="_x0000_s79617"/>
                </a:ext>
                <a:ext uri="{FF2B5EF4-FFF2-40B4-BE49-F238E27FC236}">
                  <a16:creationId xmlns:a16="http://schemas.microsoft.com/office/drawing/2014/main" id="{00000000-0008-0000-0700-000001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148</xdr:row>
          <xdr:rowOff>85725</xdr:rowOff>
        </xdr:from>
        <xdr:to>
          <xdr:col>34</xdr:col>
          <xdr:colOff>57150</xdr:colOff>
          <xdr:row>150</xdr:row>
          <xdr:rowOff>38100</xdr:rowOff>
        </xdr:to>
        <xdr:sp macro="" textlink="">
          <xdr:nvSpPr>
            <xdr:cNvPr id="79618" name="Check Box 770" hidden="1">
              <a:extLst>
                <a:ext uri="{63B3BB69-23CF-44E3-9099-C40C66FF867C}">
                  <a14:compatExt spid="_x0000_s79618"/>
                </a:ext>
                <a:ext uri="{FF2B5EF4-FFF2-40B4-BE49-F238E27FC236}">
                  <a16:creationId xmlns:a16="http://schemas.microsoft.com/office/drawing/2014/main" id="{00000000-0008-0000-0700-000002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149</xdr:row>
          <xdr:rowOff>85725</xdr:rowOff>
        </xdr:from>
        <xdr:to>
          <xdr:col>34</xdr:col>
          <xdr:colOff>57150</xdr:colOff>
          <xdr:row>151</xdr:row>
          <xdr:rowOff>38100</xdr:rowOff>
        </xdr:to>
        <xdr:sp macro="" textlink="">
          <xdr:nvSpPr>
            <xdr:cNvPr id="79619" name="Check Box 771" hidden="1">
              <a:extLst>
                <a:ext uri="{63B3BB69-23CF-44E3-9099-C40C66FF867C}">
                  <a14:compatExt spid="_x0000_s79619"/>
                </a:ext>
                <a:ext uri="{FF2B5EF4-FFF2-40B4-BE49-F238E27FC236}">
                  <a16:creationId xmlns:a16="http://schemas.microsoft.com/office/drawing/2014/main" id="{00000000-0008-0000-0700-000003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187</xdr:row>
          <xdr:rowOff>85725</xdr:rowOff>
        </xdr:from>
        <xdr:to>
          <xdr:col>34</xdr:col>
          <xdr:colOff>57150</xdr:colOff>
          <xdr:row>189</xdr:row>
          <xdr:rowOff>38100</xdr:rowOff>
        </xdr:to>
        <xdr:sp macro="" textlink="">
          <xdr:nvSpPr>
            <xdr:cNvPr id="79620" name="Check Box 772" hidden="1">
              <a:extLst>
                <a:ext uri="{63B3BB69-23CF-44E3-9099-C40C66FF867C}">
                  <a14:compatExt spid="_x0000_s79620"/>
                </a:ext>
                <a:ext uri="{FF2B5EF4-FFF2-40B4-BE49-F238E27FC236}">
                  <a16:creationId xmlns:a16="http://schemas.microsoft.com/office/drawing/2014/main" id="{00000000-0008-0000-0700-000004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188</xdr:row>
          <xdr:rowOff>85725</xdr:rowOff>
        </xdr:from>
        <xdr:to>
          <xdr:col>34</xdr:col>
          <xdr:colOff>57150</xdr:colOff>
          <xdr:row>190</xdr:row>
          <xdr:rowOff>38100</xdr:rowOff>
        </xdr:to>
        <xdr:sp macro="" textlink="">
          <xdr:nvSpPr>
            <xdr:cNvPr id="79621" name="Check Box 773" hidden="1">
              <a:extLst>
                <a:ext uri="{63B3BB69-23CF-44E3-9099-C40C66FF867C}">
                  <a14:compatExt spid="_x0000_s79621"/>
                </a:ext>
                <a:ext uri="{FF2B5EF4-FFF2-40B4-BE49-F238E27FC236}">
                  <a16:creationId xmlns:a16="http://schemas.microsoft.com/office/drawing/2014/main" id="{00000000-0008-0000-0700-000005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189</xdr:row>
          <xdr:rowOff>85725</xdr:rowOff>
        </xdr:from>
        <xdr:to>
          <xdr:col>34</xdr:col>
          <xdr:colOff>57150</xdr:colOff>
          <xdr:row>191</xdr:row>
          <xdr:rowOff>38100</xdr:rowOff>
        </xdr:to>
        <xdr:sp macro="" textlink="">
          <xdr:nvSpPr>
            <xdr:cNvPr id="79622" name="Check Box 774" hidden="1">
              <a:extLst>
                <a:ext uri="{63B3BB69-23CF-44E3-9099-C40C66FF867C}">
                  <a14:compatExt spid="_x0000_s79622"/>
                </a:ext>
                <a:ext uri="{FF2B5EF4-FFF2-40B4-BE49-F238E27FC236}">
                  <a16:creationId xmlns:a16="http://schemas.microsoft.com/office/drawing/2014/main" id="{00000000-0008-0000-0700-000006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190</xdr:row>
          <xdr:rowOff>85725</xdr:rowOff>
        </xdr:from>
        <xdr:to>
          <xdr:col>34</xdr:col>
          <xdr:colOff>57150</xdr:colOff>
          <xdr:row>192</xdr:row>
          <xdr:rowOff>38100</xdr:rowOff>
        </xdr:to>
        <xdr:sp macro="" textlink="">
          <xdr:nvSpPr>
            <xdr:cNvPr id="79623" name="Check Box 775" hidden="1">
              <a:extLst>
                <a:ext uri="{63B3BB69-23CF-44E3-9099-C40C66FF867C}">
                  <a14:compatExt spid="_x0000_s79623"/>
                </a:ext>
                <a:ext uri="{FF2B5EF4-FFF2-40B4-BE49-F238E27FC236}">
                  <a16:creationId xmlns:a16="http://schemas.microsoft.com/office/drawing/2014/main" id="{00000000-0008-0000-0700-000007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191</xdr:row>
          <xdr:rowOff>85725</xdr:rowOff>
        </xdr:from>
        <xdr:to>
          <xdr:col>34</xdr:col>
          <xdr:colOff>57150</xdr:colOff>
          <xdr:row>193</xdr:row>
          <xdr:rowOff>38100</xdr:rowOff>
        </xdr:to>
        <xdr:sp macro="" textlink="">
          <xdr:nvSpPr>
            <xdr:cNvPr id="79624" name="Check Box 776" hidden="1">
              <a:extLst>
                <a:ext uri="{63B3BB69-23CF-44E3-9099-C40C66FF867C}">
                  <a14:compatExt spid="_x0000_s79624"/>
                </a:ext>
                <a:ext uri="{FF2B5EF4-FFF2-40B4-BE49-F238E27FC236}">
                  <a16:creationId xmlns:a16="http://schemas.microsoft.com/office/drawing/2014/main" id="{00000000-0008-0000-0700-000008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192</xdr:row>
          <xdr:rowOff>85725</xdr:rowOff>
        </xdr:from>
        <xdr:to>
          <xdr:col>34</xdr:col>
          <xdr:colOff>57150</xdr:colOff>
          <xdr:row>194</xdr:row>
          <xdr:rowOff>38100</xdr:rowOff>
        </xdr:to>
        <xdr:sp macro="" textlink="">
          <xdr:nvSpPr>
            <xdr:cNvPr id="79625" name="Check Box 777" hidden="1">
              <a:extLst>
                <a:ext uri="{63B3BB69-23CF-44E3-9099-C40C66FF867C}">
                  <a14:compatExt spid="_x0000_s79625"/>
                </a:ext>
                <a:ext uri="{FF2B5EF4-FFF2-40B4-BE49-F238E27FC236}">
                  <a16:creationId xmlns:a16="http://schemas.microsoft.com/office/drawing/2014/main" id="{00000000-0008-0000-0700-000009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193</xdr:row>
          <xdr:rowOff>85725</xdr:rowOff>
        </xdr:from>
        <xdr:to>
          <xdr:col>34</xdr:col>
          <xdr:colOff>57150</xdr:colOff>
          <xdr:row>195</xdr:row>
          <xdr:rowOff>38100</xdr:rowOff>
        </xdr:to>
        <xdr:sp macro="" textlink="">
          <xdr:nvSpPr>
            <xdr:cNvPr id="79626" name="Check Box 778" hidden="1">
              <a:extLst>
                <a:ext uri="{63B3BB69-23CF-44E3-9099-C40C66FF867C}">
                  <a14:compatExt spid="_x0000_s79626"/>
                </a:ext>
                <a:ext uri="{FF2B5EF4-FFF2-40B4-BE49-F238E27FC236}">
                  <a16:creationId xmlns:a16="http://schemas.microsoft.com/office/drawing/2014/main" id="{00000000-0008-0000-0700-00000A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194</xdr:row>
          <xdr:rowOff>85725</xdr:rowOff>
        </xdr:from>
        <xdr:to>
          <xdr:col>34</xdr:col>
          <xdr:colOff>57150</xdr:colOff>
          <xdr:row>196</xdr:row>
          <xdr:rowOff>38100</xdr:rowOff>
        </xdr:to>
        <xdr:sp macro="" textlink="">
          <xdr:nvSpPr>
            <xdr:cNvPr id="79627" name="Check Box 779" hidden="1">
              <a:extLst>
                <a:ext uri="{63B3BB69-23CF-44E3-9099-C40C66FF867C}">
                  <a14:compatExt spid="_x0000_s79627"/>
                </a:ext>
                <a:ext uri="{FF2B5EF4-FFF2-40B4-BE49-F238E27FC236}">
                  <a16:creationId xmlns:a16="http://schemas.microsoft.com/office/drawing/2014/main" id="{00000000-0008-0000-0700-00000B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195</xdr:row>
          <xdr:rowOff>85725</xdr:rowOff>
        </xdr:from>
        <xdr:to>
          <xdr:col>34</xdr:col>
          <xdr:colOff>57150</xdr:colOff>
          <xdr:row>197</xdr:row>
          <xdr:rowOff>38100</xdr:rowOff>
        </xdr:to>
        <xdr:sp macro="" textlink="">
          <xdr:nvSpPr>
            <xdr:cNvPr id="79628" name="Check Box 780" hidden="1">
              <a:extLst>
                <a:ext uri="{63B3BB69-23CF-44E3-9099-C40C66FF867C}">
                  <a14:compatExt spid="_x0000_s79628"/>
                </a:ext>
                <a:ext uri="{FF2B5EF4-FFF2-40B4-BE49-F238E27FC236}">
                  <a16:creationId xmlns:a16="http://schemas.microsoft.com/office/drawing/2014/main" id="{00000000-0008-0000-0700-00000C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196</xdr:row>
          <xdr:rowOff>85725</xdr:rowOff>
        </xdr:from>
        <xdr:to>
          <xdr:col>34</xdr:col>
          <xdr:colOff>57150</xdr:colOff>
          <xdr:row>198</xdr:row>
          <xdr:rowOff>38100</xdr:rowOff>
        </xdr:to>
        <xdr:sp macro="" textlink="">
          <xdr:nvSpPr>
            <xdr:cNvPr id="79629" name="Check Box 781" hidden="1">
              <a:extLst>
                <a:ext uri="{63B3BB69-23CF-44E3-9099-C40C66FF867C}">
                  <a14:compatExt spid="_x0000_s79629"/>
                </a:ext>
                <a:ext uri="{FF2B5EF4-FFF2-40B4-BE49-F238E27FC236}">
                  <a16:creationId xmlns:a16="http://schemas.microsoft.com/office/drawing/2014/main" id="{00000000-0008-0000-0700-00000D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197</xdr:row>
          <xdr:rowOff>85725</xdr:rowOff>
        </xdr:from>
        <xdr:to>
          <xdr:col>34</xdr:col>
          <xdr:colOff>57150</xdr:colOff>
          <xdr:row>199</xdr:row>
          <xdr:rowOff>38100</xdr:rowOff>
        </xdr:to>
        <xdr:sp macro="" textlink="">
          <xdr:nvSpPr>
            <xdr:cNvPr id="79630" name="Check Box 782" hidden="1">
              <a:extLst>
                <a:ext uri="{63B3BB69-23CF-44E3-9099-C40C66FF867C}">
                  <a14:compatExt spid="_x0000_s79630"/>
                </a:ext>
                <a:ext uri="{FF2B5EF4-FFF2-40B4-BE49-F238E27FC236}">
                  <a16:creationId xmlns:a16="http://schemas.microsoft.com/office/drawing/2014/main" id="{00000000-0008-0000-0700-00000E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200</xdr:row>
          <xdr:rowOff>85725</xdr:rowOff>
        </xdr:from>
        <xdr:to>
          <xdr:col>34</xdr:col>
          <xdr:colOff>57150</xdr:colOff>
          <xdr:row>202</xdr:row>
          <xdr:rowOff>38100</xdr:rowOff>
        </xdr:to>
        <xdr:sp macro="" textlink="">
          <xdr:nvSpPr>
            <xdr:cNvPr id="79631" name="Check Box 783" hidden="1">
              <a:extLst>
                <a:ext uri="{63B3BB69-23CF-44E3-9099-C40C66FF867C}">
                  <a14:compatExt spid="_x0000_s79631"/>
                </a:ext>
                <a:ext uri="{FF2B5EF4-FFF2-40B4-BE49-F238E27FC236}">
                  <a16:creationId xmlns:a16="http://schemas.microsoft.com/office/drawing/2014/main" id="{00000000-0008-0000-0700-00000F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201</xdr:row>
          <xdr:rowOff>85725</xdr:rowOff>
        </xdr:from>
        <xdr:to>
          <xdr:col>34</xdr:col>
          <xdr:colOff>57150</xdr:colOff>
          <xdr:row>203</xdr:row>
          <xdr:rowOff>38100</xdr:rowOff>
        </xdr:to>
        <xdr:sp macro="" textlink="">
          <xdr:nvSpPr>
            <xdr:cNvPr id="79632" name="Check Box 784" hidden="1">
              <a:extLst>
                <a:ext uri="{63B3BB69-23CF-44E3-9099-C40C66FF867C}">
                  <a14:compatExt spid="_x0000_s79632"/>
                </a:ext>
                <a:ext uri="{FF2B5EF4-FFF2-40B4-BE49-F238E27FC236}">
                  <a16:creationId xmlns:a16="http://schemas.microsoft.com/office/drawing/2014/main" id="{00000000-0008-0000-0700-000010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202</xdr:row>
          <xdr:rowOff>85725</xdr:rowOff>
        </xdr:from>
        <xdr:to>
          <xdr:col>34</xdr:col>
          <xdr:colOff>57150</xdr:colOff>
          <xdr:row>204</xdr:row>
          <xdr:rowOff>38100</xdr:rowOff>
        </xdr:to>
        <xdr:sp macro="" textlink="">
          <xdr:nvSpPr>
            <xdr:cNvPr id="79633" name="Check Box 785" hidden="1">
              <a:extLst>
                <a:ext uri="{63B3BB69-23CF-44E3-9099-C40C66FF867C}">
                  <a14:compatExt spid="_x0000_s79633"/>
                </a:ext>
                <a:ext uri="{FF2B5EF4-FFF2-40B4-BE49-F238E27FC236}">
                  <a16:creationId xmlns:a16="http://schemas.microsoft.com/office/drawing/2014/main" id="{00000000-0008-0000-0700-000011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203</xdr:row>
          <xdr:rowOff>85725</xdr:rowOff>
        </xdr:from>
        <xdr:to>
          <xdr:col>34</xdr:col>
          <xdr:colOff>57150</xdr:colOff>
          <xdr:row>205</xdr:row>
          <xdr:rowOff>38100</xdr:rowOff>
        </xdr:to>
        <xdr:sp macro="" textlink="">
          <xdr:nvSpPr>
            <xdr:cNvPr id="79634" name="Check Box 786" hidden="1">
              <a:extLst>
                <a:ext uri="{63B3BB69-23CF-44E3-9099-C40C66FF867C}">
                  <a14:compatExt spid="_x0000_s79634"/>
                </a:ext>
                <a:ext uri="{FF2B5EF4-FFF2-40B4-BE49-F238E27FC236}">
                  <a16:creationId xmlns:a16="http://schemas.microsoft.com/office/drawing/2014/main" id="{00000000-0008-0000-0700-000012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204</xdr:row>
          <xdr:rowOff>85725</xdr:rowOff>
        </xdr:from>
        <xdr:to>
          <xdr:col>34</xdr:col>
          <xdr:colOff>57150</xdr:colOff>
          <xdr:row>206</xdr:row>
          <xdr:rowOff>38100</xdr:rowOff>
        </xdr:to>
        <xdr:sp macro="" textlink="">
          <xdr:nvSpPr>
            <xdr:cNvPr id="79635" name="Check Box 787" hidden="1">
              <a:extLst>
                <a:ext uri="{63B3BB69-23CF-44E3-9099-C40C66FF867C}">
                  <a14:compatExt spid="_x0000_s79635"/>
                </a:ext>
                <a:ext uri="{FF2B5EF4-FFF2-40B4-BE49-F238E27FC236}">
                  <a16:creationId xmlns:a16="http://schemas.microsoft.com/office/drawing/2014/main" id="{00000000-0008-0000-0700-000013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205</xdr:row>
          <xdr:rowOff>85725</xdr:rowOff>
        </xdr:from>
        <xdr:to>
          <xdr:col>34</xdr:col>
          <xdr:colOff>57150</xdr:colOff>
          <xdr:row>207</xdr:row>
          <xdr:rowOff>38100</xdr:rowOff>
        </xdr:to>
        <xdr:sp macro="" textlink="">
          <xdr:nvSpPr>
            <xdr:cNvPr id="79636" name="Check Box 788" hidden="1">
              <a:extLst>
                <a:ext uri="{63B3BB69-23CF-44E3-9099-C40C66FF867C}">
                  <a14:compatExt spid="_x0000_s79636"/>
                </a:ext>
                <a:ext uri="{FF2B5EF4-FFF2-40B4-BE49-F238E27FC236}">
                  <a16:creationId xmlns:a16="http://schemas.microsoft.com/office/drawing/2014/main" id="{00000000-0008-0000-0700-000014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206</xdr:row>
          <xdr:rowOff>85725</xdr:rowOff>
        </xdr:from>
        <xdr:to>
          <xdr:col>34</xdr:col>
          <xdr:colOff>57150</xdr:colOff>
          <xdr:row>208</xdr:row>
          <xdr:rowOff>38100</xdr:rowOff>
        </xdr:to>
        <xdr:sp macro="" textlink="">
          <xdr:nvSpPr>
            <xdr:cNvPr id="79637" name="Check Box 789" hidden="1">
              <a:extLst>
                <a:ext uri="{63B3BB69-23CF-44E3-9099-C40C66FF867C}">
                  <a14:compatExt spid="_x0000_s79637"/>
                </a:ext>
                <a:ext uri="{FF2B5EF4-FFF2-40B4-BE49-F238E27FC236}">
                  <a16:creationId xmlns:a16="http://schemas.microsoft.com/office/drawing/2014/main" id="{00000000-0008-0000-0700-000015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207</xdr:row>
          <xdr:rowOff>85725</xdr:rowOff>
        </xdr:from>
        <xdr:to>
          <xdr:col>34</xdr:col>
          <xdr:colOff>57150</xdr:colOff>
          <xdr:row>209</xdr:row>
          <xdr:rowOff>38100</xdr:rowOff>
        </xdr:to>
        <xdr:sp macro="" textlink="">
          <xdr:nvSpPr>
            <xdr:cNvPr id="79638" name="Check Box 790" hidden="1">
              <a:extLst>
                <a:ext uri="{63B3BB69-23CF-44E3-9099-C40C66FF867C}">
                  <a14:compatExt spid="_x0000_s79638"/>
                </a:ext>
                <a:ext uri="{FF2B5EF4-FFF2-40B4-BE49-F238E27FC236}">
                  <a16:creationId xmlns:a16="http://schemas.microsoft.com/office/drawing/2014/main" id="{00000000-0008-0000-0700-000016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208</xdr:row>
          <xdr:rowOff>85725</xdr:rowOff>
        </xdr:from>
        <xdr:to>
          <xdr:col>34</xdr:col>
          <xdr:colOff>57150</xdr:colOff>
          <xdr:row>210</xdr:row>
          <xdr:rowOff>38100</xdr:rowOff>
        </xdr:to>
        <xdr:sp macro="" textlink="">
          <xdr:nvSpPr>
            <xdr:cNvPr id="79639" name="Check Box 791" hidden="1">
              <a:extLst>
                <a:ext uri="{63B3BB69-23CF-44E3-9099-C40C66FF867C}">
                  <a14:compatExt spid="_x0000_s79639"/>
                </a:ext>
                <a:ext uri="{FF2B5EF4-FFF2-40B4-BE49-F238E27FC236}">
                  <a16:creationId xmlns:a16="http://schemas.microsoft.com/office/drawing/2014/main" id="{00000000-0008-0000-0700-000017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209</xdr:row>
          <xdr:rowOff>85725</xdr:rowOff>
        </xdr:from>
        <xdr:to>
          <xdr:col>34</xdr:col>
          <xdr:colOff>57150</xdr:colOff>
          <xdr:row>211</xdr:row>
          <xdr:rowOff>38100</xdr:rowOff>
        </xdr:to>
        <xdr:sp macro="" textlink="">
          <xdr:nvSpPr>
            <xdr:cNvPr id="79640" name="Check Box 792" hidden="1">
              <a:extLst>
                <a:ext uri="{63B3BB69-23CF-44E3-9099-C40C66FF867C}">
                  <a14:compatExt spid="_x0000_s79640"/>
                </a:ext>
                <a:ext uri="{FF2B5EF4-FFF2-40B4-BE49-F238E27FC236}">
                  <a16:creationId xmlns:a16="http://schemas.microsoft.com/office/drawing/2014/main" id="{00000000-0008-0000-0700-000018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210</xdr:row>
          <xdr:rowOff>85725</xdr:rowOff>
        </xdr:from>
        <xdr:to>
          <xdr:col>34</xdr:col>
          <xdr:colOff>57150</xdr:colOff>
          <xdr:row>212</xdr:row>
          <xdr:rowOff>38100</xdr:rowOff>
        </xdr:to>
        <xdr:sp macro="" textlink="">
          <xdr:nvSpPr>
            <xdr:cNvPr id="79641" name="Check Box 793" hidden="1">
              <a:extLst>
                <a:ext uri="{63B3BB69-23CF-44E3-9099-C40C66FF867C}">
                  <a14:compatExt spid="_x0000_s79641"/>
                </a:ext>
                <a:ext uri="{FF2B5EF4-FFF2-40B4-BE49-F238E27FC236}">
                  <a16:creationId xmlns:a16="http://schemas.microsoft.com/office/drawing/2014/main" id="{00000000-0008-0000-0700-000019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211</xdr:row>
          <xdr:rowOff>85725</xdr:rowOff>
        </xdr:from>
        <xdr:to>
          <xdr:col>34</xdr:col>
          <xdr:colOff>57150</xdr:colOff>
          <xdr:row>213</xdr:row>
          <xdr:rowOff>38100</xdr:rowOff>
        </xdr:to>
        <xdr:sp macro="" textlink="">
          <xdr:nvSpPr>
            <xdr:cNvPr id="79642" name="Check Box 794" hidden="1">
              <a:extLst>
                <a:ext uri="{63B3BB69-23CF-44E3-9099-C40C66FF867C}">
                  <a14:compatExt spid="_x0000_s79642"/>
                </a:ext>
                <a:ext uri="{FF2B5EF4-FFF2-40B4-BE49-F238E27FC236}">
                  <a16:creationId xmlns:a16="http://schemas.microsoft.com/office/drawing/2014/main" id="{00000000-0008-0000-0700-00001A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212</xdr:row>
          <xdr:rowOff>85725</xdr:rowOff>
        </xdr:from>
        <xdr:to>
          <xdr:col>34</xdr:col>
          <xdr:colOff>57150</xdr:colOff>
          <xdr:row>214</xdr:row>
          <xdr:rowOff>38100</xdr:rowOff>
        </xdr:to>
        <xdr:sp macro="" textlink="">
          <xdr:nvSpPr>
            <xdr:cNvPr id="79643" name="Check Box 795" hidden="1">
              <a:extLst>
                <a:ext uri="{63B3BB69-23CF-44E3-9099-C40C66FF867C}">
                  <a14:compatExt spid="_x0000_s79643"/>
                </a:ext>
                <a:ext uri="{FF2B5EF4-FFF2-40B4-BE49-F238E27FC236}">
                  <a16:creationId xmlns:a16="http://schemas.microsoft.com/office/drawing/2014/main" id="{00000000-0008-0000-0700-00001B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213</xdr:row>
          <xdr:rowOff>85725</xdr:rowOff>
        </xdr:from>
        <xdr:to>
          <xdr:col>34</xdr:col>
          <xdr:colOff>57150</xdr:colOff>
          <xdr:row>215</xdr:row>
          <xdr:rowOff>38100</xdr:rowOff>
        </xdr:to>
        <xdr:sp macro="" textlink="">
          <xdr:nvSpPr>
            <xdr:cNvPr id="79644" name="Check Box 796" hidden="1">
              <a:extLst>
                <a:ext uri="{63B3BB69-23CF-44E3-9099-C40C66FF867C}">
                  <a14:compatExt spid="_x0000_s79644"/>
                </a:ext>
                <a:ext uri="{FF2B5EF4-FFF2-40B4-BE49-F238E27FC236}">
                  <a16:creationId xmlns:a16="http://schemas.microsoft.com/office/drawing/2014/main" id="{00000000-0008-0000-0700-00001C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214</xdr:row>
          <xdr:rowOff>85725</xdr:rowOff>
        </xdr:from>
        <xdr:to>
          <xdr:col>34</xdr:col>
          <xdr:colOff>57150</xdr:colOff>
          <xdr:row>216</xdr:row>
          <xdr:rowOff>38100</xdr:rowOff>
        </xdr:to>
        <xdr:sp macro="" textlink="">
          <xdr:nvSpPr>
            <xdr:cNvPr id="79645" name="Check Box 797" hidden="1">
              <a:extLst>
                <a:ext uri="{63B3BB69-23CF-44E3-9099-C40C66FF867C}">
                  <a14:compatExt spid="_x0000_s79645"/>
                </a:ext>
                <a:ext uri="{FF2B5EF4-FFF2-40B4-BE49-F238E27FC236}">
                  <a16:creationId xmlns:a16="http://schemas.microsoft.com/office/drawing/2014/main" id="{00000000-0008-0000-0700-00001D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215</xdr:row>
          <xdr:rowOff>85725</xdr:rowOff>
        </xdr:from>
        <xdr:to>
          <xdr:col>34</xdr:col>
          <xdr:colOff>57150</xdr:colOff>
          <xdr:row>217</xdr:row>
          <xdr:rowOff>38100</xdr:rowOff>
        </xdr:to>
        <xdr:sp macro="" textlink="">
          <xdr:nvSpPr>
            <xdr:cNvPr id="79646" name="Check Box 798" hidden="1">
              <a:extLst>
                <a:ext uri="{63B3BB69-23CF-44E3-9099-C40C66FF867C}">
                  <a14:compatExt spid="_x0000_s79646"/>
                </a:ext>
                <a:ext uri="{FF2B5EF4-FFF2-40B4-BE49-F238E27FC236}">
                  <a16:creationId xmlns:a16="http://schemas.microsoft.com/office/drawing/2014/main" id="{00000000-0008-0000-0700-00001E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216</xdr:row>
          <xdr:rowOff>85725</xdr:rowOff>
        </xdr:from>
        <xdr:to>
          <xdr:col>34</xdr:col>
          <xdr:colOff>57150</xdr:colOff>
          <xdr:row>218</xdr:row>
          <xdr:rowOff>38100</xdr:rowOff>
        </xdr:to>
        <xdr:sp macro="" textlink="">
          <xdr:nvSpPr>
            <xdr:cNvPr id="79647" name="Check Box 799" hidden="1">
              <a:extLst>
                <a:ext uri="{63B3BB69-23CF-44E3-9099-C40C66FF867C}">
                  <a14:compatExt spid="_x0000_s79647"/>
                </a:ext>
                <a:ext uri="{FF2B5EF4-FFF2-40B4-BE49-F238E27FC236}">
                  <a16:creationId xmlns:a16="http://schemas.microsoft.com/office/drawing/2014/main" id="{00000000-0008-0000-0700-00001F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217</xdr:row>
          <xdr:rowOff>85725</xdr:rowOff>
        </xdr:from>
        <xdr:to>
          <xdr:col>34</xdr:col>
          <xdr:colOff>57150</xdr:colOff>
          <xdr:row>219</xdr:row>
          <xdr:rowOff>38100</xdr:rowOff>
        </xdr:to>
        <xdr:sp macro="" textlink="">
          <xdr:nvSpPr>
            <xdr:cNvPr id="79648" name="Check Box 800" hidden="1">
              <a:extLst>
                <a:ext uri="{63B3BB69-23CF-44E3-9099-C40C66FF867C}">
                  <a14:compatExt spid="_x0000_s79648"/>
                </a:ext>
                <a:ext uri="{FF2B5EF4-FFF2-40B4-BE49-F238E27FC236}">
                  <a16:creationId xmlns:a16="http://schemas.microsoft.com/office/drawing/2014/main" id="{00000000-0008-0000-0700-000020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218</xdr:row>
          <xdr:rowOff>85725</xdr:rowOff>
        </xdr:from>
        <xdr:to>
          <xdr:col>34</xdr:col>
          <xdr:colOff>57150</xdr:colOff>
          <xdr:row>220</xdr:row>
          <xdr:rowOff>38100</xdr:rowOff>
        </xdr:to>
        <xdr:sp macro="" textlink="">
          <xdr:nvSpPr>
            <xdr:cNvPr id="79649" name="Check Box 801" hidden="1">
              <a:extLst>
                <a:ext uri="{63B3BB69-23CF-44E3-9099-C40C66FF867C}">
                  <a14:compatExt spid="_x0000_s79649"/>
                </a:ext>
                <a:ext uri="{FF2B5EF4-FFF2-40B4-BE49-F238E27FC236}">
                  <a16:creationId xmlns:a16="http://schemas.microsoft.com/office/drawing/2014/main" id="{00000000-0008-0000-0700-000021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219</xdr:row>
          <xdr:rowOff>85725</xdr:rowOff>
        </xdr:from>
        <xdr:to>
          <xdr:col>34</xdr:col>
          <xdr:colOff>57150</xdr:colOff>
          <xdr:row>221</xdr:row>
          <xdr:rowOff>38100</xdr:rowOff>
        </xdr:to>
        <xdr:sp macro="" textlink="">
          <xdr:nvSpPr>
            <xdr:cNvPr id="79650" name="Check Box 802" hidden="1">
              <a:extLst>
                <a:ext uri="{63B3BB69-23CF-44E3-9099-C40C66FF867C}">
                  <a14:compatExt spid="_x0000_s79650"/>
                </a:ext>
                <a:ext uri="{FF2B5EF4-FFF2-40B4-BE49-F238E27FC236}">
                  <a16:creationId xmlns:a16="http://schemas.microsoft.com/office/drawing/2014/main" id="{00000000-0008-0000-0700-000022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220</xdr:row>
          <xdr:rowOff>85725</xdr:rowOff>
        </xdr:from>
        <xdr:to>
          <xdr:col>34</xdr:col>
          <xdr:colOff>57150</xdr:colOff>
          <xdr:row>222</xdr:row>
          <xdr:rowOff>38100</xdr:rowOff>
        </xdr:to>
        <xdr:sp macro="" textlink="">
          <xdr:nvSpPr>
            <xdr:cNvPr id="79651" name="Check Box 803" hidden="1">
              <a:extLst>
                <a:ext uri="{63B3BB69-23CF-44E3-9099-C40C66FF867C}">
                  <a14:compatExt spid="_x0000_s79651"/>
                </a:ext>
                <a:ext uri="{FF2B5EF4-FFF2-40B4-BE49-F238E27FC236}">
                  <a16:creationId xmlns:a16="http://schemas.microsoft.com/office/drawing/2014/main" id="{00000000-0008-0000-0700-000023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221</xdr:row>
          <xdr:rowOff>85725</xdr:rowOff>
        </xdr:from>
        <xdr:to>
          <xdr:col>34</xdr:col>
          <xdr:colOff>57150</xdr:colOff>
          <xdr:row>223</xdr:row>
          <xdr:rowOff>38100</xdr:rowOff>
        </xdr:to>
        <xdr:sp macro="" textlink="">
          <xdr:nvSpPr>
            <xdr:cNvPr id="79652" name="Check Box 804" hidden="1">
              <a:extLst>
                <a:ext uri="{63B3BB69-23CF-44E3-9099-C40C66FF867C}">
                  <a14:compatExt spid="_x0000_s79652"/>
                </a:ext>
                <a:ext uri="{FF2B5EF4-FFF2-40B4-BE49-F238E27FC236}">
                  <a16:creationId xmlns:a16="http://schemas.microsoft.com/office/drawing/2014/main" id="{00000000-0008-0000-0700-000024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222</xdr:row>
          <xdr:rowOff>85725</xdr:rowOff>
        </xdr:from>
        <xdr:to>
          <xdr:col>34</xdr:col>
          <xdr:colOff>57150</xdr:colOff>
          <xdr:row>224</xdr:row>
          <xdr:rowOff>38100</xdr:rowOff>
        </xdr:to>
        <xdr:sp macro="" textlink="">
          <xdr:nvSpPr>
            <xdr:cNvPr id="79653" name="Check Box 805" hidden="1">
              <a:extLst>
                <a:ext uri="{63B3BB69-23CF-44E3-9099-C40C66FF867C}">
                  <a14:compatExt spid="_x0000_s79653"/>
                </a:ext>
                <a:ext uri="{FF2B5EF4-FFF2-40B4-BE49-F238E27FC236}">
                  <a16:creationId xmlns:a16="http://schemas.microsoft.com/office/drawing/2014/main" id="{00000000-0008-0000-0700-000025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223</xdr:row>
          <xdr:rowOff>85725</xdr:rowOff>
        </xdr:from>
        <xdr:to>
          <xdr:col>34</xdr:col>
          <xdr:colOff>57150</xdr:colOff>
          <xdr:row>225</xdr:row>
          <xdr:rowOff>38100</xdr:rowOff>
        </xdr:to>
        <xdr:sp macro="" textlink="">
          <xdr:nvSpPr>
            <xdr:cNvPr id="79654" name="Check Box 806" hidden="1">
              <a:extLst>
                <a:ext uri="{63B3BB69-23CF-44E3-9099-C40C66FF867C}">
                  <a14:compatExt spid="_x0000_s79654"/>
                </a:ext>
                <a:ext uri="{FF2B5EF4-FFF2-40B4-BE49-F238E27FC236}">
                  <a16:creationId xmlns:a16="http://schemas.microsoft.com/office/drawing/2014/main" id="{00000000-0008-0000-0700-000026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224</xdr:row>
          <xdr:rowOff>85725</xdr:rowOff>
        </xdr:from>
        <xdr:to>
          <xdr:col>34</xdr:col>
          <xdr:colOff>57150</xdr:colOff>
          <xdr:row>226</xdr:row>
          <xdr:rowOff>38100</xdr:rowOff>
        </xdr:to>
        <xdr:sp macro="" textlink="">
          <xdr:nvSpPr>
            <xdr:cNvPr id="79655" name="Check Box 807" hidden="1">
              <a:extLst>
                <a:ext uri="{63B3BB69-23CF-44E3-9099-C40C66FF867C}">
                  <a14:compatExt spid="_x0000_s79655"/>
                </a:ext>
                <a:ext uri="{FF2B5EF4-FFF2-40B4-BE49-F238E27FC236}">
                  <a16:creationId xmlns:a16="http://schemas.microsoft.com/office/drawing/2014/main" id="{00000000-0008-0000-0700-000027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225</xdr:row>
          <xdr:rowOff>85725</xdr:rowOff>
        </xdr:from>
        <xdr:to>
          <xdr:col>34</xdr:col>
          <xdr:colOff>57150</xdr:colOff>
          <xdr:row>227</xdr:row>
          <xdr:rowOff>38100</xdr:rowOff>
        </xdr:to>
        <xdr:sp macro="" textlink="">
          <xdr:nvSpPr>
            <xdr:cNvPr id="79656" name="Check Box 808" hidden="1">
              <a:extLst>
                <a:ext uri="{63B3BB69-23CF-44E3-9099-C40C66FF867C}">
                  <a14:compatExt spid="_x0000_s79656"/>
                </a:ext>
                <a:ext uri="{FF2B5EF4-FFF2-40B4-BE49-F238E27FC236}">
                  <a16:creationId xmlns:a16="http://schemas.microsoft.com/office/drawing/2014/main" id="{00000000-0008-0000-0700-000028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226</xdr:row>
          <xdr:rowOff>85725</xdr:rowOff>
        </xdr:from>
        <xdr:to>
          <xdr:col>34</xdr:col>
          <xdr:colOff>57150</xdr:colOff>
          <xdr:row>228</xdr:row>
          <xdr:rowOff>38100</xdr:rowOff>
        </xdr:to>
        <xdr:sp macro="" textlink="">
          <xdr:nvSpPr>
            <xdr:cNvPr id="79657" name="Check Box 809" hidden="1">
              <a:extLst>
                <a:ext uri="{63B3BB69-23CF-44E3-9099-C40C66FF867C}">
                  <a14:compatExt spid="_x0000_s79657"/>
                </a:ext>
                <a:ext uri="{FF2B5EF4-FFF2-40B4-BE49-F238E27FC236}">
                  <a16:creationId xmlns:a16="http://schemas.microsoft.com/office/drawing/2014/main" id="{00000000-0008-0000-0700-000029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227</xdr:row>
          <xdr:rowOff>85725</xdr:rowOff>
        </xdr:from>
        <xdr:to>
          <xdr:col>34</xdr:col>
          <xdr:colOff>57150</xdr:colOff>
          <xdr:row>229</xdr:row>
          <xdr:rowOff>38100</xdr:rowOff>
        </xdr:to>
        <xdr:sp macro="" textlink="">
          <xdr:nvSpPr>
            <xdr:cNvPr id="79658" name="Check Box 810" hidden="1">
              <a:extLst>
                <a:ext uri="{63B3BB69-23CF-44E3-9099-C40C66FF867C}">
                  <a14:compatExt spid="_x0000_s79658"/>
                </a:ext>
                <a:ext uri="{FF2B5EF4-FFF2-40B4-BE49-F238E27FC236}">
                  <a16:creationId xmlns:a16="http://schemas.microsoft.com/office/drawing/2014/main" id="{00000000-0008-0000-0700-00002A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228</xdr:row>
          <xdr:rowOff>85725</xdr:rowOff>
        </xdr:from>
        <xdr:to>
          <xdr:col>34</xdr:col>
          <xdr:colOff>57150</xdr:colOff>
          <xdr:row>230</xdr:row>
          <xdr:rowOff>38100</xdr:rowOff>
        </xdr:to>
        <xdr:sp macro="" textlink="">
          <xdr:nvSpPr>
            <xdr:cNvPr id="79659" name="Check Box 811" hidden="1">
              <a:extLst>
                <a:ext uri="{63B3BB69-23CF-44E3-9099-C40C66FF867C}">
                  <a14:compatExt spid="_x0000_s79659"/>
                </a:ext>
                <a:ext uri="{FF2B5EF4-FFF2-40B4-BE49-F238E27FC236}">
                  <a16:creationId xmlns:a16="http://schemas.microsoft.com/office/drawing/2014/main" id="{00000000-0008-0000-0700-00002B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229</xdr:row>
          <xdr:rowOff>85725</xdr:rowOff>
        </xdr:from>
        <xdr:to>
          <xdr:col>34</xdr:col>
          <xdr:colOff>57150</xdr:colOff>
          <xdr:row>231</xdr:row>
          <xdr:rowOff>38100</xdr:rowOff>
        </xdr:to>
        <xdr:sp macro="" textlink="">
          <xdr:nvSpPr>
            <xdr:cNvPr id="79660" name="Check Box 812" hidden="1">
              <a:extLst>
                <a:ext uri="{63B3BB69-23CF-44E3-9099-C40C66FF867C}">
                  <a14:compatExt spid="_x0000_s79660"/>
                </a:ext>
                <a:ext uri="{FF2B5EF4-FFF2-40B4-BE49-F238E27FC236}">
                  <a16:creationId xmlns:a16="http://schemas.microsoft.com/office/drawing/2014/main" id="{00000000-0008-0000-0700-00002C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230</xdr:row>
          <xdr:rowOff>85725</xdr:rowOff>
        </xdr:from>
        <xdr:to>
          <xdr:col>34</xdr:col>
          <xdr:colOff>57150</xdr:colOff>
          <xdr:row>232</xdr:row>
          <xdr:rowOff>38100</xdr:rowOff>
        </xdr:to>
        <xdr:sp macro="" textlink="">
          <xdr:nvSpPr>
            <xdr:cNvPr id="79661" name="Check Box 813" hidden="1">
              <a:extLst>
                <a:ext uri="{63B3BB69-23CF-44E3-9099-C40C66FF867C}">
                  <a14:compatExt spid="_x0000_s79661"/>
                </a:ext>
                <a:ext uri="{FF2B5EF4-FFF2-40B4-BE49-F238E27FC236}">
                  <a16:creationId xmlns:a16="http://schemas.microsoft.com/office/drawing/2014/main" id="{00000000-0008-0000-0700-00002D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231</xdr:row>
          <xdr:rowOff>85725</xdr:rowOff>
        </xdr:from>
        <xdr:to>
          <xdr:col>34</xdr:col>
          <xdr:colOff>57150</xdr:colOff>
          <xdr:row>233</xdr:row>
          <xdr:rowOff>38100</xdr:rowOff>
        </xdr:to>
        <xdr:sp macro="" textlink="">
          <xdr:nvSpPr>
            <xdr:cNvPr id="79662" name="Check Box 814" hidden="1">
              <a:extLst>
                <a:ext uri="{63B3BB69-23CF-44E3-9099-C40C66FF867C}">
                  <a14:compatExt spid="_x0000_s79662"/>
                </a:ext>
                <a:ext uri="{FF2B5EF4-FFF2-40B4-BE49-F238E27FC236}">
                  <a16:creationId xmlns:a16="http://schemas.microsoft.com/office/drawing/2014/main" id="{00000000-0008-0000-0700-00002E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232</xdr:row>
          <xdr:rowOff>85725</xdr:rowOff>
        </xdr:from>
        <xdr:to>
          <xdr:col>34</xdr:col>
          <xdr:colOff>57150</xdr:colOff>
          <xdr:row>234</xdr:row>
          <xdr:rowOff>38100</xdr:rowOff>
        </xdr:to>
        <xdr:sp macro="" textlink="">
          <xdr:nvSpPr>
            <xdr:cNvPr id="79663" name="Check Box 815" hidden="1">
              <a:extLst>
                <a:ext uri="{63B3BB69-23CF-44E3-9099-C40C66FF867C}">
                  <a14:compatExt spid="_x0000_s79663"/>
                </a:ext>
                <a:ext uri="{FF2B5EF4-FFF2-40B4-BE49-F238E27FC236}">
                  <a16:creationId xmlns:a16="http://schemas.microsoft.com/office/drawing/2014/main" id="{00000000-0008-0000-0700-00002F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233</xdr:row>
          <xdr:rowOff>85725</xdr:rowOff>
        </xdr:from>
        <xdr:to>
          <xdr:col>34</xdr:col>
          <xdr:colOff>57150</xdr:colOff>
          <xdr:row>235</xdr:row>
          <xdr:rowOff>38100</xdr:rowOff>
        </xdr:to>
        <xdr:sp macro="" textlink="">
          <xdr:nvSpPr>
            <xdr:cNvPr id="79664" name="Check Box 816" hidden="1">
              <a:extLst>
                <a:ext uri="{63B3BB69-23CF-44E3-9099-C40C66FF867C}">
                  <a14:compatExt spid="_x0000_s79664"/>
                </a:ext>
                <a:ext uri="{FF2B5EF4-FFF2-40B4-BE49-F238E27FC236}">
                  <a16:creationId xmlns:a16="http://schemas.microsoft.com/office/drawing/2014/main" id="{00000000-0008-0000-0700-000030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234</xdr:row>
          <xdr:rowOff>85725</xdr:rowOff>
        </xdr:from>
        <xdr:to>
          <xdr:col>34</xdr:col>
          <xdr:colOff>57150</xdr:colOff>
          <xdr:row>236</xdr:row>
          <xdr:rowOff>38100</xdr:rowOff>
        </xdr:to>
        <xdr:sp macro="" textlink="">
          <xdr:nvSpPr>
            <xdr:cNvPr id="79665" name="Check Box 817" hidden="1">
              <a:extLst>
                <a:ext uri="{63B3BB69-23CF-44E3-9099-C40C66FF867C}">
                  <a14:compatExt spid="_x0000_s79665"/>
                </a:ext>
                <a:ext uri="{FF2B5EF4-FFF2-40B4-BE49-F238E27FC236}">
                  <a16:creationId xmlns:a16="http://schemas.microsoft.com/office/drawing/2014/main" id="{00000000-0008-0000-0700-000031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235</xdr:row>
          <xdr:rowOff>85725</xdr:rowOff>
        </xdr:from>
        <xdr:to>
          <xdr:col>34</xdr:col>
          <xdr:colOff>57150</xdr:colOff>
          <xdr:row>237</xdr:row>
          <xdr:rowOff>38100</xdr:rowOff>
        </xdr:to>
        <xdr:sp macro="" textlink="">
          <xdr:nvSpPr>
            <xdr:cNvPr id="79666" name="Check Box 818" hidden="1">
              <a:extLst>
                <a:ext uri="{63B3BB69-23CF-44E3-9099-C40C66FF867C}">
                  <a14:compatExt spid="_x0000_s79666"/>
                </a:ext>
                <a:ext uri="{FF2B5EF4-FFF2-40B4-BE49-F238E27FC236}">
                  <a16:creationId xmlns:a16="http://schemas.microsoft.com/office/drawing/2014/main" id="{00000000-0008-0000-0700-000032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236</xdr:row>
          <xdr:rowOff>85725</xdr:rowOff>
        </xdr:from>
        <xdr:to>
          <xdr:col>34</xdr:col>
          <xdr:colOff>57150</xdr:colOff>
          <xdr:row>238</xdr:row>
          <xdr:rowOff>38100</xdr:rowOff>
        </xdr:to>
        <xdr:sp macro="" textlink="">
          <xdr:nvSpPr>
            <xdr:cNvPr id="79667" name="Check Box 819" hidden="1">
              <a:extLst>
                <a:ext uri="{63B3BB69-23CF-44E3-9099-C40C66FF867C}">
                  <a14:compatExt spid="_x0000_s79667"/>
                </a:ext>
                <a:ext uri="{FF2B5EF4-FFF2-40B4-BE49-F238E27FC236}">
                  <a16:creationId xmlns:a16="http://schemas.microsoft.com/office/drawing/2014/main" id="{00000000-0008-0000-0700-000033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198</xdr:row>
          <xdr:rowOff>85725</xdr:rowOff>
        </xdr:from>
        <xdr:to>
          <xdr:col>34</xdr:col>
          <xdr:colOff>57150</xdr:colOff>
          <xdr:row>200</xdr:row>
          <xdr:rowOff>38100</xdr:rowOff>
        </xdr:to>
        <xdr:sp macro="" textlink="">
          <xdr:nvSpPr>
            <xdr:cNvPr id="79668" name="Check Box 820" hidden="1">
              <a:extLst>
                <a:ext uri="{63B3BB69-23CF-44E3-9099-C40C66FF867C}">
                  <a14:compatExt spid="_x0000_s79668"/>
                </a:ext>
                <a:ext uri="{FF2B5EF4-FFF2-40B4-BE49-F238E27FC236}">
                  <a16:creationId xmlns:a16="http://schemas.microsoft.com/office/drawing/2014/main" id="{00000000-0008-0000-0700-000034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199</xdr:row>
          <xdr:rowOff>85725</xdr:rowOff>
        </xdr:from>
        <xdr:to>
          <xdr:col>34</xdr:col>
          <xdr:colOff>57150</xdr:colOff>
          <xdr:row>201</xdr:row>
          <xdr:rowOff>38100</xdr:rowOff>
        </xdr:to>
        <xdr:sp macro="" textlink="">
          <xdr:nvSpPr>
            <xdr:cNvPr id="79669" name="Check Box 821" hidden="1">
              <a:extLst>
                <a:ext uri="{63B3BB69-23CF-44E3-9099-C40C66FF867C}">
                  <a14:compatExt spid="_x0000_s79669"/>
                </a:ext>
                <a:ext uri="{FF2B5EF4-FFF2-40B4-BE49-F238E27FC236}">
                  <a16:creationId xmlns:a16="http://schemas.microsoft.com/office/drawing/2014/main" id="{00000000-0008-0000-0700-000035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236</xdr:row>
          <xdr:rowOff>85725</xdr:rowOff>
        </xdr:from>
        <xdr:to>
          <xdr:col>34</xdr:col>
          <xdr:colOff>57150</xdr:colOff>
          <xdr:row>238</xdr:row>
          <xdr:rowOff>38100</xdr:rowOff>
        </xdr:to>
        <xdr:sp macro="" textlink="">
          <xdr:nvSpPr>
            <xdr:cNvPr id="79670" name="Check Box 822" hidden="1">
              <a:extLst>
                <a:ext uri="{63B3BB69-23CF-44E3-9099-C40C66FF867C}">
                  <a14:compatExt spid="_x0000_s79670"/>
                </a:ext>
                <a:ext uri="{FF2B5EF4-FFF2-40B4-BE49-F238E27FC236}">
                  <a16:creationId xmlns:a16="http://schemas.microsoft.com/office/drawing/2014/main" id="{00000000-0008-0000-0700-000036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30</xdr:row>
          <xdr:rowOff>133350</xdr:rowOff>
        </xdr:from>
        <xdr:to>
          <xdr:col>14</xdr:col>
          <xdr:colOff>304800</xdr:colOff>
          <xdr:row>32</xdr:row>
          <xdr:rowOff>28575</xdr:rowOff>
        </xdr:to>
        <xdr:sp macro="" textlink="">
          <xdr:nvSpPr>
            <xdr:cNvPr id="79671" name="Check Box 823" hidden="1">
              <a:extLst>
                <a:ext uri="{63B3BB69-23CF-44E3-9099-C40C66FF867C}">
                  <a14:compatExt spid="_x0000_s79671"/>
                </a:ext>
                <a:ext uri="{FF2B5EF4-FFF2-40B4-BE49-F238E27FC236}">
                  <a16:creationId xmlns:a16="http://schemas.microsoft.com/office/drawing/2014/main" id="{00000000-0008-0000-0700-000037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333333" mc:Ignorable="a14" a14:legacySpreadsheetColorIndex="63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29</xdr:row>
          <xdr:rowOff>114300</xdr:rowOff>
        </xdr:from>
        <xdr:to>
          <xdr:col>14</xdr:col>
          <xdr:colOff>304800</xdr:colOff>
          <xdr:row>31</xdr:row>
          <xdr:rowOff>9525</xdr:rowOff>
        </xdr:to>
        <xdr:sp macro="" textlink="">
          <xdr:nvSpPr>
            <xdr:cNvPr id="79674" name="Check Box 826" hidden="1">
              <a:extLst>
                <a:ext uri="{63B3BB69-23CF-44E3-9099-C40C66FF867C}">
                  <a14:compatExt spid="_x0000_s79674"/>
                </a:ext>
                <a:ext uri="{FF2B5EF4-FFF2-40B4-BE49-F238E27FC236}">
                  <a16:creationId xmlns:a16="http://schemas.microsoft.com/office/drawing/2014/main" id="{00000000-0008-0000-0700-00003A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333333" mc:Ignorable="a14" a14:legacySpreadsheetColorIndex="63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28</xdr:row>
          <xdr:rowOff>114300</xdr:rowOff>
        </xdr:from>
        <xdr:to>
          <xdr:col>14</xdr:col>
          <xdr:colOff>304800</xdr:colOff>
          <xdr:row>30</xdr:row>
          <xdr:rowOff>9525</xdr:rowOff>
        </xdr:to>
        <xdr:sp macro="" textlink="">
          <xdr:nvSpPr>
            <xdr:cNvPr id="79675" name="Check Box 827" hidden="1">
              <a:extLst>
                <a:ext uri="{63B3BB69-23CF-44E3-9099-C40C66FF867C}">
                  <a14:compatExt spid="_x0000_s79675"/>
                </a:ext>
                <a:ext uri="{FF2B5EF4-FFF2-40B4-BE49-F238E27FC236}">
                  <a16:creationId xmlns:a16="http://schemas.microsoft.com/office/drawing/2014/main" id="{00000000-0008-0000-0700-00003B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333333" mc:Ignorable="a14" a14:legacySpreadsheetColorIndex="63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27</xdr:row>
          <xdr:rowOff>114300</xdr:rowOff>
        </xdr:from>
        <xdr:to>
          <xdr:col>14</xdr:col>
          <xdr:colOff>304800</xdr:colOff>
          <xdr:row>29</xdr:row>
          <xdr:rowOff>9525</xdr:rowOff>
        </xdr:to>
        <xdr:sp macro="" textlink="">
          <xdr:nvSpPr>
            <xdr:cNvPr id="79676" name="Check Box 828" hidden="1">
              <a:extLst>
                <a:ext uri="{63B3BB69-23CF-44E3-9099-C40C66FF867C}">
                  <a14:compatExt spid="_x0000_s79676"/>
                </a:ext>
                <a:ext uri="{FF2B5EF4-FFF2-40B4-BE49-F238E27FC236}">
                  <a16:creationId xmlns:a16="http://schemas.microsoft.com/office/drawing/2014/main" id="{00000000-0008-0000-0700-00003C37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333333" mc:Ignorable="a14" a14:legacySpreadsheetColorIndex="63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Автор" refreshedDate="44197.840930439816" createdVersion="6" refreshedVersion="6" minRefreshableVersion="3" recordCount="22" xr:uid="{4E126693-87F2-4FC8-BC45-7E4312E1DFF1}">
  <cacheSource type="worksheet">
    <worksheetSource name="Baza"/>
  </cacheSource>
  <cacheFields count="24">
    <cacheField name="№" numFmtId="0">
      <sharedItems containsSemiMixedTypes="0" containsString="0" containsNumber="1" containsInteger="1" minValue="1" maxValue="765" count="765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582" u="1"/>
        <n v="517" u="1"/>
        <n v="482" u="1"/>
        <n v="417" u="1"/>
        <n v="25" u="1"/>
        <n v="94" u="1"/>
        <n v="352" u="1"/>
        <n v="287" u="1"/>
        <n v="239" u="1"/>
        <n v="713" u="1"/>
        <n v="174" u="1"/>
        <n v="648" u="1"/>
        <n v="583" u="1"/>
        <n v="518" u="1"/>
        <n v="450" u="1"/>
        <n v="385" u="1"/>
        <n v="23" u="1"/>
        <n v="86" u="1"/>
        <n v="320" u="1"/>
        <n v="223" u="1"/>
        <n v="714" u="1"/>
        <n v="649" u="1"/>
        <n v="158" u="1"/>
        <n v="584" u="1"/>
        <n v="519" u="1"/>
        <n v="483" u="1"/>
        <n v="418" u="1"/>
        <n v="353" u="1"/>
        <n v="78" u="1"/>
        <n v="288" u="1"/>
        <n v="207" u="1"/>
        <n v="715" u="1"/>
        <n v="650" u="1"/>
        <n v="585" u="1"/>
        <n v="142" u="1"/>
        <n v="520" u="1"/>
        <n v="451" u="1"/>
        <n v="386" u="1"/>
        <n v="321" u="1"/>
        <n v="70" u="1"/>
        <n v="256" u="1"/>
        <n v="191" u="1"/>
        <n v="716" u="1"/>
        <n v="651" u="1"/>
        <n v="586" u="1"/>
        <n v="521" u="1"/>
        <n v="127" u="1"/>
        <n v="484" u="1"/>
        <n v="419" u="1"/>
        <n v="354" u="1"/>
        <n v="289" u="1"/>
        <n v="63" u="1"/>
        <n v="240" u="1"/>
        <n v="717" u="1"/>
        <n v="175" u="1"/>
        <n v="652" u="1"/>
        <n v="587" u="1"/>
        <n v="522" u="1"/>
        <n v="119" u="1"/>
        <n v="452" u="1"/>
        <n v="387" u="1"/>
        <n v="322" u="1"/>
        <n v="257" u="1"/>
        <n v="59" u="1"/>
        <n v="224" u="1"/>
        <n v="718" u="1"/>
        <n v="653" u="1"/>
        <n v="159" u="1"/>
        <n v="588" u="1"/>
        <n v="523" u="1"/>
        <n v="485" u="1"/>
        <n v="111" u="1"/>
        <n v="420" u="1"/>
        <n v="355" u="1"/>
        <n v="290" u="1"/>
        <n v="55" u="1"/>
        <n v="208" u="1"/>
        <n v="719" u="1"/>
        <n v="654" u="1"/>
        <n v="589" u="1"/>
        <n v="143" u="1"/>
        <n v="524" u="1"/>
        <n v="453" u="1"/>
        <n v="103" u="1"/>
        <n v="388" u="1"/>
        <n v="323" u="1"/>
        <n v="258" u="1"/>
        <n v="51" u="1"/>
        <n v="192" u="1"/>
        <n v="720" u="1"/>
        <n v="655" u="1"/>
        <n v="590" u="1"/>
        <n v="525" u="1"/>
        <n v="486" u="1"/>
        <n v="421" u="1"/>
        <n v="95" u="1"/>
        <n v="356" u="1"/>
        <n v="291" u="1"/>
        <n v="241" u="1"/>
        <n v="47" u="1"/>
        <n v="721" u="1"/>
        <n v="176" u="1"/>
        <n v="656" u="1"/>
        <n v="591" u="1"/>
        <n v="526" u="1"/>
        <n v="454" u="1"/>
        <n v="389" u="1"/>
        <n v="87" u="1"/>
        <n v="324" u="1"/>
        <n v="259" u="1"/>
        <n v="225" u="1"/>
        <n v="722" u="1"/>
        <n v="43" u="1"/>
        <n v="657" u="1"/>
        <n v="160" u="1"/>
        <n v="592" u="1"/>
        <n v="527" u="1"/>
        <n v="487" u="1"/>
        <n v="422" u="1"/>
        <n v="357" u="1"/>
        <n v="79" u="1"/>
        <n v="292" u="1"/>
        <n v="209" u="1"/>
        <n v="723" u="1"/>
        <n v="658" u="1"/>
        <n v="39" u="1"/>
        <n v="593" u="1"/>
        <n v="144" u="1"/>
        <n v="528" u="1"/>
        <n v="455" u="1"/>
        <n v="390" u="1"/>
        <n v="325" u="1"/>
        <n v="71" u="1"/>
        <n v="260" u="1"/>
        <n v="193" u="1"/>
        <n v="724" u="1"/>
        <n v="659" u="1"/>
        <n v="594" u="1"/>
        <n v="35" u="1"/>
        <n v="529" u="1"/>
        <n v="128" u="1"/>
        <n v="488" u="1"/>
        <n v="423" u="1"/>
        <n v="358" u="1"/>
        <n v="293" u="1"/>
        <n v="242" u="1"/>
        <n v="725" u="1"/>
        <n v="177" u="1"/>
        <n v="660" u="1"/>
        <n v="595" u="1"/>
        <n v="530" u="1"/>
        <n v="120" u="1"/>
        <n v="456" u="1"/>
        <n v="391" u="1"/>
        <n v="326" u="1"/>
        <n v="261" u="1"/>
        <n v="226" u="1"/>
        <n v="726" u="1"/>
        <n v="661" u="1"/>
        <n v="161" u="1"/>
        <n v="596" u="1"/>
        <n v="531" u="1"/>
        <n v="489" u="1"/>
        <n v="112" u="1"/>
        <n v="424" u="1"/>
        <n v="359" u="1"/>
        <n v="294" u="1"/>
        <n v="210" u="1"/>
        <n v="727" u="1"/>
        <n v="662" u="1"/>
        <n v="597" u="1"/>
        <n v="145" u="1"/>
        <n v="532" u="1"/>
        <n v="457" u="1"/>
        <n v="104" u="1"/>
        <n v="392" u="1"/>
        <n v="327" u="1"/>
        <n v="262" u="1"/>
        <n v="194" u="1"/>
        <n v="728" u="1"/>
        <n v="663" u="1"/>
        <n v="598" u="1"/>
        <n v="533" u="1"/>
        <n v="129" u="1"/>
        <n v="490" u="1"/>
        <n v="425" u="1"/>
        <n v="96" u="1"/>
        <n v="360" u="1"/>
        <n v="295" u="1"/>
        <n v="243" u="1"/>
        <n v="729" u="1"/>
        <n v="178" u="1"/>
        <n v="664" u="1"/>
        <n v="599" u="1"/>
        <n v="534" u="1"/>
        <n v="458" u="1"/>
        <n v="393" u="1"/>
        <n v="88" u="1"/>
        <n v="328" u="1"/>
        <n v="263" u="1"/>
        <n v="227" u="1"/>
        <n v="730" u="1"/>
        <n v="665" u="1"/>
        <n v="162" u="1"/>
        <n v="600" u="1"/>
        <n v="535" u="1"/>
        <n v="491" u="1"/>
        <n v="426" u="1"/>
        <n v="361" u="1"/>
        <n v="80" u="1"/>
        <n v="296" u="1"/>
        <n v="211" u="1"/>
        <n v="731" u="1"/>
        <n v="666" u="1"/>
        <n v="601" u="1"/>
        <n v="146" u="1"/>
        <n v="536" u="1"/>
        <n v="459" u="1"/>
        <n v="394" u="1"/>
        <n v="329" u="1"/>
        <n v="72" u="1"/>
        <n v="264" u="1"/>
        <n v="195" u="1"/>
        <n v="732" u="1"/>
        <n v="667" u="1"/>
        <n v="602" u="1"/>
        <n v="537" u="1"/>
        <n v="130" u="1"/>
        <n v="492" u="1"/>
        <n v="427" u="1"/>
        <n v="362" u="1"/>
        <n v="297" u="1"/>
        <n v="64" u="1"/>
        <n v="244" u="1"/>
        <n v="733" u="1"/>
        <n v="179" u="1"/>
        <n v="668" u="1"/>
        <n v="603" u="1"/>
        <n v="538" u="1"/>
        <n v="121" u="1"/>
        <n v="460" u="1"/>
        <n v="395" u="1"/>
        <n v="330" u="1"/>
        <n v="265" u="1"/>
        <n v="60" u="1"/>
        <n v="228" u="1"/>
        <n v="734" u="1"/>
        <n v="669" u="1"/>
        <n v="163" u="1"/>
        <n v="604" u="1"/>
        <n v="539" u="1"/>
        <n v="493" u="1"/>
        <n v="113" u="1"/>
        <n v="428" u="1"/>
        <n v="363" u="1"/>
        <n v="298" u="1"/>
        <n v="56" u="1"/>
        <n v="212" u="1"/>
        <n v="735" u="1"/>
        <n v="670" u="1"/>
        <n v="605" u="1"/>
        <n v="147" u="1"/>
        <n v="540" u="1"/>
        <n v="461" u="1"/>
        <n v="105" u="1"/>
        <n v="396" u="1"/>
        <n v="331" u="1"/>
        <n v="266" u="1"/>
        <n v="52" u="1"/>
        <n v="196" u="1"/>
        <n v="736" u="1"/>
        <n v="671" u="1"/>
        <n v="606" u="1"/>
        <n v="541" u="1"/>
        <n v="131" u="1"/>
        <n v="494" u="1"/>
        <n v="429" u="1"/>
        <n v="97" u="1"/>
        <n v="364" u="1"/>
        <n v="299" u="1"/>
        <n v="245" u="1"/>
        <n v="48" u="1"/>
        <n v="737" u="1"/>
        <n v="180" u="1"/>
        <n v="672" u="1"/>
        <n v="607" u="1"/>
        <n v="542" u="1"/>
        <n v="462" u="1"/>
        <n v="397" u="1"/>
        <n v="89" u="1"/>
        <n v="332" u="1"/>
        <n v="267" u="1"/>
        <n v="229" u="1"/>
        <n v="738" u="1"/>
        <n v="44" u="1"/>
        <n v="673" u="1"/>
        <n v="164" u="1"/>
        <n v="608" u="1"/>
        <n v="543" u="1"/>
        <n v="495" u="1"/>
        <n v="430" u="1"/>
        <n v="365" u="1"/>
        <n v="81" u="1"/>
        <n v="300" u="1"/>
        <n v="213" u="1"/>
        <n v="739" u="1"/>
        <n v="674" u="1"/>
        <n v="40" u="1"/>
        <n v="609" u="1"/>
        <n v="148" u="1"/>
        <n v="544" u="1"/>
        <n v="463" u="1"/>
        <n v="398" u="1"/>
        <n v="333" u="1"/>
        <n v="73" u="1"/>
        <n v="268" u="1"/>
        <n v="197" u="1"/>
        <n v="740" u="1"/>
        <n v="675" u="1"/>
        <n v="610" u="1"/>
        <n v="36" u="1"/>
        <n v="545" u="1"/>
        <n v="132" u="1"/>
        <n v="496" u="1"/>
        <n v="431" u="1"/>
        <n v="366" u="1"/>
        <n v="301" u="1"/>
        <n v="65" u="1"/>
        <n v="246" u="1"/>
        <n v="741" u="1"/>
        <n v="181" u="1"/>
        <n v="676" u="1"/>
        <n v="611" u="1"/>
        <n v="546" u="1"/>
        <n v="32" u="1"/>
        <n v="122" u="1"/>
        <n v="464" u="1"/>
        <n v="399" u="1"/>
        <n v="334" u="1"/>
        <n v="269" u="1"/>
        <n v="230" u="1"/>
        <n v="742" u="1"/>
        <n v="677" u="1"/>
        <n v="165" u="1"/>
        <n v="612" u="1"/>
        <n v="547" u="1"/>
        <n v="497" u="1"/>
        <n v="30" u="1"/>
        <n v="114" u="1"/>
        <n v="432" u="1"/>
        <n v="367" u="1"/>
        <n v="302" u="1"/>
        <n v="214" u="1"/>
        <n v="743" u="1"/>
        <n v="678" u="1"/>
        <n v="613" u="1"/>
        <n v="149" u="1"/>
        <n v="548" u="1"/>
        <n v="465" u="1"/>
        <n v="28" u="1"/>
        <n v="106" u="1"/>
        <n v="400" u="1"/>
        <n v="335" u="1"/>
        <n v="270" u="1"/>
        <n v="198" u="1"/>
        <n v="744" u="1"/>
        <n v="679" u="1"/>
        <n v="614" u="1"/>
        <n v="549" u="1"/>
        <n v="133" u="1"/>
        <n v="498" u="1"/>
        <n v="433" u="1"/>
        <n v="26" u="1"/>
        <n v="98" u="1"/>
        <n v="368" u="1"/>
        <n v="303" u="1"/>
        <n v="247" u="1"/>
        <n v="745" u="1"/>
        <n v="182" u="1"/>
        <n v="680" u="1"/>
        <n v="615" u="1"/>
        <n v="550" u="1"/>
        <n v="466" u="1"/>
        <n v="401" u="1"/>
        <n v="24" u="1"/>
        <n v="90" u="1"/>
        <n v="336" u="1"/>
        <n v="271" u="1"/>
        <n v="231" u="1"/>
        <n v="746" u="1"/>
        <n v="681" u="1"/>
        <n v="166" u="1"/>
        <n v="616" u="1"/>
        <n v="551" u="1"/>
        <n v="499" u="1"/>
        <n v="434" u="1"/>
        <n v="369" u="1"/>
        <n v="82" u="1"/>
        <n v="304" u="1"/>
        <n v="215" u="1"/>
        <n v="747" u="1"/>
        <n v="682" u="1"/>
        <n v="617" u="1"/>
        <n v="150" u="1"/>
        <n v="552" u="1"/>
        <n v="467" u="1"/>
        <n v="402" u="1"/>
        <n v="337" u="1"/>
        <n v="74" u="1"/>
        <n v="272" u="1"/>
        <n v="199" u="1"/>
        <n v="748" u="1"/>
        <n v="683" u="1"/>
        <n v="618" u="1"/>
        <n v="553" u="1"/>
        <n v="134" u="1"/>
        <n v="500" u="1"/>
        <n v="435" u="1"/>
        <n v="370" u="1"/>
        <n v="305" u="1"/>
        <n v="66" u="1"/>
        <n v="248" u="1"/>
        <n v="749" u="1"/>
        <n v="183" u="1"/>
        <n v="684" u="1"/>
        <n v="619" u="1"/>
        <n v="554" u="1"/>
        <n v="123" u="1"/>
        <n v="468" u="1"/>
        <n v="403" u="1"/>
        <n v="338" u="1"/>
        <n v="273" u="1"/>
        <n v="61" u="1"/>
        <n v="232" u="1"/>
        <n v="750" u="1"/>
        <n v="685" u="1"/>
        <n v="167" u="1"/>
        <n v="620" u="1"/>
        <n v="555" u="1"/>
        <n v="501" u="1"/>
        <n v="115" u="1"/>
        <n v="436" u="1"/>
        <n v="371" u="1"/>
        <n v="306" u="1"/>
        <n v="57" u="1"/>
        <n v="216" u="1"/>
        <n v="751" u="1"/>
        <n v="686" u="1"/>
        <n v="621" u="1"/>
        <n v="151" u="1"/>
        <n v="556" u="1"/>
        <n v="469" u="1"/>
        <n v="107" u="1"/>
        <n v="404" u="1"/>
        <n v="339" u="1"/>
        <n v="274" u="1"/>
        <n v="53" u="1"/>
        <n v="200" u="1"/>
        <n v="752" u="1"/>
        <n v="687" u="1"/>
        <n v="622" u="1"/>
        <n v="557" u="1"/>
        <n v="135" u="1"/>
        <n v="502" u="1"/>
        <n v="437" u="1"/>
        <n v="99" u="1"/>
        <n v="372" u="1"/>
        <n v="307" u="1"/>
        <n v="249" u="1"/>
        <n v="49" u="1"/>
        <n v="753" u="1"/>
        <n v="184" u="1"/>
        <n v="688" u="1"/>
        <n v="623" u="1"/>
        <n v="558" u="1"/>
        <n v="470" u="1"/>
        <n v="405" u="1"/>
        <n v="91" u="1"/>
        <n v="340" u="1"/>
        <n v="275" u="1"/>
        <n v="233" u="1"/>
        <n v="754" u="1"/>
        <n v="45" u="1"/>
        <n v="689" u="1"/>
        <n v="168" u="1"/>
        <n v="624" u="1"/>
        <n v="559" u="1"/>
        <n v="503" u="1"/>
        <n v="438" u="1"/>
        <n v="373" u="1"/>
        <n v="83" u="1"/>
        <n v="308" u="1"/>
        <n v="217" u="1"/>
        <n v="755" u="1"/>
        <n v="690" u="1"/>
        <n v="41" u="1"/>
        <n v="625" u="1"/>
        <n v="152" u="1"/>
        <n v="560" u="1"/>
        <n v="471" u="1"/>
        <n v="406" u="1"/>
        <n v="341" u="1"/>
        <n v="75" u="1"/>
        <n v="276" u="1"/>
        <n v="201" u="1"/>
        <n v="756" u="1"/>
        <n v="691" u="1"/>
        <n v="626" u="1"/>
        <n v="37" u="1"/>
        <n v="561" u="1"/>
        <n v="136" u="1"/>
        <n v="504" u="1"/>
        <n v="439" u="1"/>
        <n v="374" u="1"/>
        <n v="309" u="1"/>
        <n v="67" u="1"/>
        <n v="250" u="1"/>
        <n v="757" u="1"/>
        <n v="185" u="1"/>
        <n v="692" u="1"/>
        <n v="627" u="1"/>
        <n v="562" u="1"/>
        <n v="33" u="1"/>
        <n v="124" u="1"/>
        <n v="472" u="1"/>
        <n v="407" u="1"/>
        <n v="342" u="1"/>
        <n v="277" u="1"/>
        <n v="234" u="1"/>
        <n v="758" u="1"/>
        <n v="693" u="1"/>
        <n v="169" u="1"/>
        <n v="628" u="1"/>
        <n v="563" u="1"/>
        <n v="505" u="1"/>
        <n v="116" u="1"/>
        <n v="440" u="1"/>
        <n v="375" u="1"/>
        <n v="310" u="1"/>
        <n v="218" u="1"/>
        <n v="759" u="1"/>
        <n v="694" u="1"/>
        <n v="629" u="1"/>
        <n v="153" u="1"/>
        <n v="564" u="1"/>
        <n v="473" u="1"/>
        <n v="108" u="1"/>
        <n v="408" u="1"/>
        <n v="343" u="1"/>
        <n v="278" u="1"/>
        <n v="202" u="1"/>
        <n v="760" u="1"/>
        <n v="695" u="1"/>
        <n v="630" u="1"/>
        <n v="565" u="1"/>
        <n v="137" u="1"/>
        <n v="506" u="1"/>
        <n v="441" u="1"/>
        <n v="100" u="1"/>
        <n v="376" u="1"/>
        <n v="311" u="1"/>
        <n v="251" u="1"/>
        <n v="761" u="1"/>
        <n v="186" u="1"/>
        <n v="696" u="1"/>
        <n v="631" u="1"/>
        <n v="566" u="1"/>
        <n v="474" u="1"/>
        <n v="409" u="1"/>
        <n v="92" u="1"/>
        <n v="344" u="1"/>
        <n v="279" u="1"/>
        <n v="235" u="1"/>
        <n v="762" u="1"/>
        <n v="697" u="1"/>
        <n v="170" u="1"/>
        <n v="632" u="1"/>
        <n v="567" u="1"/>
        <n v="507" u="1"/>
        <n v="442" u="1"/>
        <n v="377" u="1"/>
        <n v="84" u="1"/>
        <n v="312" u="1"/>
        <n v="219" u="1"/>
        <n v="763" u="1"/>
        <n v="698" u="1"/>
        <n v="633" u="1"/>
        <n v="154" u="1"/>
        <n v="568" u="1"/>
        <n v="475" u="1"/>
        <n v="410" u="1"/>
        <n v="345" u="1"/>
        <n v="76" u="1"/>
        <n v="280" u="1"/>
        <n v="203" u="1"/>
        <n v="764" u="1"/>
        <n v="699" u="1"/>
        <n v="634" u="1"/>
        <n v="569" u="1"/>
        <n v="138" u="1"/>
        <n v="508" u="1"/>
        <n v="443" u="1"/>
        <n v="378" u="1"/>
        <n v="313" u="1"/>
        <n v="68" u="1"/>
        <n v="252" u="1"/>
        <n v="765" u="1"/>
        <n v="187" u="1"/>
        <n v="700" u="1"/>
        <n v="635" u="1"/>
        <n v="570" u="1"/>
        <n v="125" u="1"/>
        <n v="476" u="1"/>
        <n v="411" u="1"/>
        <n v="346" u="1"/>
        <n v="281" u="1"/>
        <n v="62" u="1"/>
        <n v="236" u="1"/>
        <n v="701" u="1"/>
        <n v="171" u="1"/>
        <n v="636" u="1"/>
        <n v="571" u="1"/>
        <n v="509" u="1"/>
        <n v="117" u="1"/>
        <n v="444" u="1"/>
        <n v="379" u="1"/>
        <n v="314" u="1"/>
        <n v="58" u="1"/>
        <n v="220" u="1"/>
        <n v="702" u="1"/>
        <n v="637" u="1"/>
        <n v="155" u="1"/>
        <n v="572" u="1"/>
        <n v="477" u="1"/>
        <n v="109" u="1"/>
        <n v="412" u="1"/>
        <n v="347" u="1"/>
        <n v="282" u="1"/>
        <n v="54" u="1"/>
        <n v="204" u="1"/>
        <n v="703" u="1"/>
        <n v="638" u="1"/>
        <n v="573" u="1"/>
        <n v="139" u="1"/>
        <n v="510" u="1"/>
        <n v="445" u="1"/>
        <n v="101" u="1"/>
        <n v="380" u="1"/>
        <n v="315" u="1"/>
        <n v="253" u="1"/>
        <n v="50" u="1"/>
        <n v="188" u="1"/>
        <n v="704" u="1"/>
        <n v="639" u="1"/>
        <n v="574" u="1"/>
        <n v="478" u="1"/>
        <n v="413" u="1"/>
        <n v="93" u="1"/>
        <n v="348" u="1"/>
        <n v="283" u="1"/>
        <n v="237" u="1"/>
        <n v="46" u="1"/>
        <n v="705" u="1"/>
        <n v="172" u="1"/>
        <n v="640" u="1"/>
        <n v="575" u="1"/>
        <n v="511" u="1"/>
        <n v="446" u="1"/>
        <n v="381" u="1"/>
        <n v="85" u="1"/>
        <n v="316" u="1"/>
        <n v="221" u="1"/>
        <n v="706" u="1"/>
        <n v="42" u="1"/>
        <n v="641" u="1"/>
        <n v="156" u="1"/>
        <n v="576" u="1"/>
        <n v="479" u="1"/>
        <n v="414" u="1"/>
        <n v="349" u="1"/>
        <n v="77" u="1"/>
        <n v="284" u="1"/>
        <n v="205" u="1"/>
        <n v="707" u="1"/>
        <n v="642" u="1"/>
        <n v="38" u="1"/>
        <n v="577" u="1"/>
        <n v="140" u="1"/>
        <n v="512" u="1"/>
        <n v="447" u="1"/>
        <n v="382" u="1"/>
        <n v="317" u="1"/>
        <n v="69" u="1"/>
        <n v="254" u="1"/>
        <n v="189" u="1"/>
        <n v="708" u="1"/>
        <n v="643" u="1"/>
        <n v="578" u="1"/>
        <n v="34" u="1"/>
        <n v="513" u="1"/>
        <n v="126" u="1"/>
        <n v="480" u="1"/>
        <n v="415" u="1"/>
        <n v="350" u="1"/>
        <n v="285" u="1"/>
        <n v="238" u="1"/>
        <n v="709" u="1"/>
        <n v="173" u="1"/>
        <n v="644" u="1"/>
        <n v="579" u="1"/>
        <n v="514" u="1"/>
        <n v="31" u="1"/>
        <n v="118" u="1"/>
        <n v="448" u="1"/>
        <n v="383" u="1"/>
        <n v="318" u="1"/>
        <n v="222" u="1"/>
        <n v="710" u="1"/>
        <n v="645" u="1"/>
        <n v="157" u="1"/>
        <n v="580" u="1"/>
        <n v="515" u="1"/>
        <n v="481" u="1"/>
        <n v="29" u="1"/>
        <n v="110" u="1"/>
        <n v="416" u="1"/>
        <n v="351" u="1"/>
        <n v="286" u="1"/>
        <n v="206" u="1"/>
        <n v="711" u="1"/>
        <n v="646" u="1"/>
        <n v="581" u="1"/>
        <n v="141" u="1"/>
        <n v="516" u="1"/>
        <n v="449" u="1"/>
        <n v="27" u="1"/>
        <n v="102" u="1"/>
        <n v="384" u="1"/>
        <n v="319" u="1"/>
        <n v="255" u="1"/>
        <n v="190" u="1"/>
        <n v="712" u="1"/>
        <n v="647" u="1"/>
      </sharedItems>
    </cacheField>
    <cacheField name="G" numFmtId="0">
      <sharedItems containsSemiMixedTypes="0" containsString="0" containsNumber="1" containsInteger="1" minValue="2020" maxValue="2025" count="6">
        <n v="2021"/>
        <n v="2022" u="1"/>
        <n v="2020" u="1"/>
        <n v="2025" u="1"/>
        <n v="2023" u="1"/>
        <n v="2024" u="1"/>
      </sharedItems>
    </cacheField>
    <cacheField name="NN" numFmtId="0">
      <sharedItems containsSemiMixedTypes="0" containsString="0" containsNumber="1" containsInteger="1" minValue="1" maxValue="53" count="7">
        <n v="1"/>
        <n v="48" u="1"/>
        <n v="50" u="1"/>
        <n v="52" u="1"/>
        <n v="49" u="1"/>
        <n v="51" u="1"/>
        <n v="53" u="1"/>
      </sharedItems>
    </cacheField>
    <cacheField name="DN" numFmtId="0">
      <sharedItems count="7">
        <s v="пятница"/>
        <s v="суббота" u="1"/>
        <s v="среда" u="1"/>
        <s v="четверг" u="1"/>
        <s v="понедельник" u="1"/>
        <s v="вторник" u="1"/>
        <s v="воскресенье" u="1"/>
      </sharedItems>
    </cacheField>
    <cacheField name="M" numFmtId="0">
      <sharedItems count="12">
        <s v="январь"/>
        <s v="май" u="1"/>
        <s v="февраль" u="1"/>
        <s v="апрель" u="1"/>
        <s v="ноябрь" u="1"/>
        <s v="декабрь" u="1"/>
        <s v="октябрь" u="1"/>
        <s v="август" u="1"/>
        <s v="сентябрь" u="1"/>
        <s v="июль" u="1"/>
        <s v="июнь" u="1"/>
        <s v="март" u="1"/>
      </sharedItems>
    </cacheField>
    <cacheField name="Date" numFmtId="164">
      <sharedItems containsSemiMixedTypes="0" containsNonDate="0" containsDate="1" containsString="0" minDate="2020-11-24T00:00:00" maxDate="2021-01-02T00:00:00" count="36">
        <d v="2021-01-01T00:00:00"/>
        <d v="2020-12-16T00:00:00" u="1"/>
        <d v="2020-11-30T00:00:00" u="1"/>
        <d v="2020-12-09T00:00:00" u="1"/>
        <d v="2020-12-28T00:00:00" u="1"/>
        <d v="2020-12-02T00:00:00" u="1"/>
        <d v="2020-12-21T00:00:00" u="1"/>
        <d v="2020-12-14T00:00:00" u="1"/>
        <d v="2020-11-28T00:00:00" u="1"/>
        <d v="2020-12-07T00:00:00" u="1"/>
        <d v="2020-12-26T00:00:00" u="1"/>
        <d v="2020-12-19T00:00:00" u="1"/>
        <d v="2020-12-12T00:00:00" u="1"/>
        <d v="2020-11-26T00:00:00" u="1"/>
        <d v="2020-12-05T00:00:00" u="1"/>
        <d v="2020-12-24T00:00:00" u="1"/>
        <d v="2020-12-17T00:00:00" u="1"/>
        <d v="2020-12-10T00:00:00" u="1"/>
        <d v="2020-11-24T00:00:00" u="1"/>
        <d v="2020-12-03T00:00:00" u="1"/>
        <d v="2020-12-22T00:00:00" u="1"/>
        <d v="2020-12-15T00:00:00" u="1"/>
        <d v="2020-11-29T00:00:00" u="1"/>
        <d v="2020-12-08T00:00:00" u="1"/>
        <d v="2020-12-27T00:00:00" u="1"/>
        <d v="2020-12-01T00:00:00" u="1"/>
        <d v="2020-12-20T00:00:00" u="1"/>
        <d v="2020-12-13T00:00:00" u="1"/>
        <d v="2020-11-27T00:00:00" u="1"/>
        <d v="2020-12-06T00:00:00" u="1"/>
        <d v="2020-12-25T00:00:00" u="1"/>
        <d v="2020-12-18T00:00:00" u="1"/>
        <d v="2020-12-11T00:00:00" u="1"/>
        <d v="2020-11-25T00:00:00" u="1"/>
        <d v="2020-12-04T00:00:00" u="1"/>
        <d v="2020-12-23T00:00:00" u="1"/>
      </sharedItems>
    </cacheField>
    <cacheField name="Start" numFmtId="20">
      <sharedItems containsSemiMixedTypes="0" containsNonDate="0" containsDate="1" containsString="0" minDate="1899-12-30T02:00:00" maxDate="1899-12-30T22:30:00" count="87">
        <d v="1899-12-30T11:00:00"/>
        <d v="1899-12-30T11:15:00"/>
        <d v="1899-12-30T11:30:00"/>
        <d v="1899-12-30T12:00:00"/>
        <d v="1899-12-30T12:30:00"/>
        <d v="1899-12-30T13:00:00"/>
        <d v="1899-12-30T14:00:00"/>
        <d v="1899-12-30T14:20:00"/>
        <d v="1899-12-30T14:30:00"/>
        <d v="1899-12-30T15:00:00"/>
        <d v="1899-12-30T16:00:00"/>
        <d v="1899-12-30T16:15:00"/>
        <d v="1899-12-30T16:30:00"/>
        <d v="1899-12-30T16:20:00" u="1"/>
        <d v="1899-12-30T20:10:00" u="1"/>
        <d v="1899-12-30T13:30:00" u="1"/>
        <d v="1899-12-30T17:20:00" u="1"/>
        <d v="1899-12-30T08:45:00" u="1"/>
        <d v="1899-12-30T16:25:00" u="1"/>
        <d v="1899-12-30T11:40:00" u="1"/>
        <d v="1899-12-30T15:30:00" u="1"/>
        <d v="1899-12-30T10:45:00" u="1"/>
        <d v="1899-12-30T22:15:00" u="1"/>
        <d v="1899-12-30T17:30:00" u="1"/>
        <d v="1899-12-30T12:45:00" u="1"/>
        <d v="1899-12-30T18:30:00" u="1"/>
        <d v="1899-12-30T13:45:00" u="1"/>
        <d v="1899-12-30T15:40:00" u="1"/>
        <d v="1899-12-30T19:30:00" u="1"/>
        <d v="1899-12-30T14:45:00" u="1"/>
        <d v="1899-12-30T20:30:00" u="1"/>
        <d v="1899-12-30T17:40:00" u="1"/>
        <d v="1899-12-30T21:30:00" u="1"/>
        <d v="1899-12-30T16:45:00" u="1"/>
        <d v="1899-12-30T22:30:00" u="1"/>
        <d v="1899-12-30T19:40:00" u="1"/>
        <d v="1899-12-30T18:45:00" u="1"/>
        <d v="1899-12-30T21:37:00" u="1"/>
        <d v="1899-12-30T02:00:00" u="1"/>
        <d v="1899-12-30T03:00:00" u="1"/>
        <d v="1899-12-30T04:00:00" u="1"/>
        <d v="1899-12-30T05:00:00" u="1"/>
        <d v="1899-12-30T06:00:00" u="1"/>
        <d v="1899-12-30T07:00:00" u="1"/>
        <d v="1899-12-30T02:15:00" u="1"/>
        <d v="1899-12-30T04:10:00" u="1"/>
        <d v="1899-12-30T06:05:00" u="1"/>
        <d v="1899-12-30T08:00:00" u="1"/>
        <d v="1899-12-30T09:00:00" u="1"/>
        <d v="1899-12-30T04:15:00" u="1"/>
        <d v="1899-12-30T10:00:00" u="1"/>
        <d v="1899-12-30T05:15:00" u="1"/>
        <d v="1899-12-30T08:10:00" u="1"/>
        <d v="1899-12-30T03:25:00" u="1"/>
        <d v="1899-12-30T07:15:00" u="1"/>
        <d v="1899-12-30T02:30:00" u="1"/>
        <d v="1899-12-30T08:15:00" u="1"/>
        <d v="1899-12-30T03:30:00" u="1"/>
        <d v="1899-12-30T05:25:00" u="1"/>
        <d v="1899-12-30T04:30:00" u="1"/>
        <d v="1899-12-30T10:15:00" u="1"/>
        <d v="1899-12-30T14:05:00" u="1"/>
        <d v="1899-12-30T05:30:00" u="1"/>
        <d v="1899-12-30T09:20:00" u="1"/>
        <d v="1899-12-30T13:10:00" u="1"/>
        <d v="1899-12-30T17:00:00" u="1"/>
        <d v="1899-12-30T06:30:00" u="1"/>
        <d v="1899-12-30T10:20:00" u="1"/>
        <d v="1899-12-30T12:15:00" u="1"/>
        <d v="1899-12-30T18:00:00" u="1"/>
        <d v="1899-12-30T07:30:00" u="1"/>
        <d v="1899-12-30T13:15:00" u="1"/>
        <d v="1899-12-30T08:30:00" u="1"/>
        <d v="1899-12-30T12:20:00" u="1"/>
        <d v="1899-12-30T18:05:00" u="1"/>
        <d v="1899-12-30T20:00:00" u="1"/>
        <d v="1899-12-30T03:45:00" u="1"/>
        <d v="1899-12-30T09:30:00" u="1"/>
        <d v="1899-12-30T17:10:00" u="1"/>
        <d v="1899-12-30T21:00:00" u="1"/>
        <d v="1899-12-30T04:45:00" u="1"/>
        <d v="1899-12-30T10:30:00" u="1"/>
        <d v="1899-12-30T20:05:00" u="1"/>
        <d v="1899-12-30T22:00:00" u="1"/>
        <d v="1899-12-30T05:45:00" u="1"/>
        <d v="1899-12-30T17:15:00" u="1"/>
        <d v="1899-12-30T21:05:00" u="1"/>
      </sharedItems>
    </cacheField>
    <cacheField name="B" numFmtId="0">
      <sharedItems containsSemiMixedTypes="0" containsString="0" containsNumber="1" minValue="1" maxValue="39" count="53">
        <n v="1.1000000000000001"/>
        <n v="1"/>
        <n v="2.2000000000000002"/>
        <n v="2.1"/>
        <n v="2"/>
        <n v="1.05"/>
        <n v="34" u="1"/>
        <n v="12.6" u="1"/>
        <n v="13" u="1"/>
        <n v="36" u="1"/>
        <n v="1.65" u="1"/>
        <n v="4.4000000000000004" u="1"/>
        <n v="38" u="1"/>
        <n v="5" u="1"/>
        <n v="14" u="1"/>
        <n v="5.25" u="1"/>
        <n v="5.5" u="1"/>
        <n v="15" u="1"/>
        <n v="16" u="1"/>
        <n v="17" u="1"/>
        <n v="18" u="1"/>
        <n v="6.6" u="1"/>
        <n v="19" u="1"/>
        <n v="20" u="1"/>
        <n v="33" u="1"/>
        <n v="21" u="1"/>
        <n v="7.5" u="1"/>
        <n v="7.7" u="1"/>
        <n v="35" u="1"/>
        <n v="22" u="1"/>
        <n v="37" u="1"/>
        <n v="7.6" u="1"/>
        <n v="23" u="1"/>
        <n v="3" u="1"/>
        <n v="8.4" u="1"/>
        <n v="39" u="1"/>
        <n v="24" u="1"/>
        <n v="25" u="1"/>
        <n v="26" u="1"/>
        <n v="3.3" u="1"/>
        <n v="8.8000000000000007" u="1"/>
        <n v="27" u="1"/>
        <n v="10" u="1"/>
        <n v="28" u="1"/>
        <n v="16.5" u="1"/>
        <n v="10.5" u="1"/>
        <n v="29" u="1"/>
        <n v="11" u="1"/>
        <n v="30" u="1"/>
        <n v="31" u="1"/>
        <n v="4" u="1"/>
        <n v="12" u="1"/>
        <n v="32" u="1"/>
      </sharedItems>
    </cacheField>
    <cacheField name="Room" numFmtId="20">
      <sharedItems containsBlank="1" count="7">
        <s v="PP"/>
        <s v="WN"/>
        <s v="GG"/>
        <s v="PS"/>
        <s v="PAC"/>
        <m u="1"/>
        <s v="PK" u="1"/>
      </sharedItems>
    </cacheField>
    <cacheField name="Name" numFmtId="0">
      <sharedItems containsBlank="1" count="76">
        <s v="Bounty Hunter"/>
        <s v="Monster Stack"/>
        <s v="Deepstack"/>
        <s v="Bounty Hunters"/>
        <s v="Big"/>
        <s v="Guaranteed"/>
        <s v="Progressive KO"/>
        <s v="GTD"/>
        <s v="6-Max Think Fast"/>
        <s v="Guaranteed PKO"/>
        <s v="SAMOURAI" u="1"/>
        <s v="POUR LA DARONNE" u="1"/>
        <m u="1"/>
        <s v="LA FIEVRE" u="1"/>
        <s v="MicroMillions 111" u="1"/>
        <s v="Zodiac Bounty ¥105" u="1"/>
        <s v="DIGESTIF" u="1"/>
        <s v="The GTD 5+5 Knockout" u="1"/>
        <s v="BOWLING" u="1"/>
        <s v="Mini Marathon" u="1"/>
        <s v="GTD 8-Max" u="1"/>
        <s v="PKO" u="1"/>
        <s v="Sunday PKO" u="1"/>
        <s v="Bounty Builder" u="1"/>
        <s v="WAKE UP" u="1"/>
        <s v="The Spartan" u="1"/>
        <s v="The Superstack" u="1"/>
        <s v="PISTOLERO" u="1"/>
        <s v="XL Winter #11 Mini Tune Up" u="1"/>
        <s v="MORNING LIVE" u="1"/>
        <s v="The Flash" u="1"/>
        <s v="Deep Stacks" u="1"/>
        <s v="The Pacific Catfish" u="1"/>
        <s v="Mini Starter" u="1"/>
        <s v="Saturday Micro" u="1"/>
        <s v="Sunday Six Shooter" u="1"/>
        <s v="Bounty Hunters Six Shooter" u="1"/>
        <s v="Progressive KO, Deep Stacks" u="1"/>
        <s v="PISTALERO" u="1"/>
        <s v="The Terminator" u="1"/>
        <s v="SALOON" u="1"/>
        <s v="Mini Pacific Rim" u="1"/>
        <s v="GTD 6-Max" u="1"/>
        <s v="PRIME TIME FUNDAY" u="1"/>
        <s v="Kill The Fish" u="1"/>
        <s v="MAVERICK" u="1"/>
        <s v="MOSS #164" u="1"/>
        <s v="Mini Battle Royale" u="1"/>
        <s v="Hot [Progressive KO]" u="1"/>
        <s v="UPPERCUT" u="1"/>
        <s v="Zodiac Opening Event ¥50" u="1"/>
        <s v="PKO 8-Max" u="1"/>
        <s v="Mini Kickoff" u="1"/>
        <s v="The Ninja" u="1"/>
        <s v="Player Cap" u="1"/>
        <s v="BIG Fish" u="1"/>
        <s v="TORNADO" u="1"/>
        <s v="GUERILLA" u="1"/>
        <s v="MOSS #151" u="1"/>
        <s v="The Headhunter" u="1"/>
        <s v="Classic" u="1"/>
        <s v="Sunday Storm" u="1"/>
        <s v="GTD 6-Max PKO" u="1"/>
        <s v="DERBY" u="1"/>
        <s v="BIG BANG" u="1"/>
        <s v="SUNDAY SURPRISE" u="1"/>
        <s v="DESPERADO" u="1"/>
        <s v="MOSS #163" u="1"/>
        <s v="COFFEE TIME" u="1"/>
        <s v="PKO 6-Max" u="1"/>
        <s v="BREAKFAST" u="1"/>
        <s v="The Magnificent" u="1"/>
        <s v="Special" u="1"/>
        <s v="Guaranteed 8-Max" u="1"/>
        <s v="30% Progressive KO" u="1"/>
        <s v="Deep Stack" u="1"/>
      </sharedItems>
    </cacheField>
    <cacheField name="Y" numFmtId="0">
      <sharedItems containsSemiMixedTypes="0" containsString="0" containsNumber="1" containsInteger="1" minValue="6" maxValue="9" count="4">
        <n v="8"/>
        <n v="6"/>
        <n v="9"/>
        <n v="7" u="1"/>
      </sharedItems>
    </cacheField>
    <cacheField name="T" numFmtId="0">
      <sharedItems containsBlank="1" count="3">
        <s v="-"/>
        <m u="1"/>
        <s v="T" u="1"/>
      </sharedItems>
    </cacheField>
    <cacheField name="K" numFmtId="0">
      <sharedItems containsBlank="1" count="3">
        <s v="K"/>
        <s v="-"/>
        <m u="1"/>
      </sharedItems>
    </cacheField>
    <cacheField name="A" numFmtId="1">
      <sharedItems containsBlank="1" count="3">
        <s v="-"/>
        <m u="1"/>
        <s v="S" u="1"/>
      </sharedItems>
    </cacheField>
    <cacheField name="GTD" numFmtId="1">
      <sharedItems containsSemiMixedTypes="0" containsString="0" containsNumber="1" containsInteger="1" minValue="50" maxValue="2000"/>
    </cacheField>
    <cacheField name="KO" numFmtId="2">
      <sharedItems containsString="0" containsBlank="1" containsNumber="1" minValue="0.25" maxValue="5.04"/>
    </cacheField>
    <cacheField name="Win" numFmtId="0">
      <sharedItems containsString="0" containsBlank="1" containsNumber="1" minValue="1.25" maxValue="6.47"/>
    </cacheField>
    <cacheField name="R" numFmtId="0">
      <sharedItems containsNonDate="0" containsString="0" containsBlank="1" containsNumber="1" containsInteger="1" minValue="1" maxValue="1" count="2">
        <m/>
        <n v="1" u="1"/>
      </sharedItems>
    </cacheField>
    <cacheField name="F" numFmtId="0">
      <sharedItems containsMixedTypes="1" containsNumber="1" containsInteger="1" minValue="1" maxValue="5611" count="92">
        <s v="-"/>
        <n v="42"/>
        <n v="20"/>
        <n v="18"/>
        <n v="19"/>
        <n v="145"/>
        <n v="96" u="1"/>
        <n v="469" u="1"/>
        <n v="34" u="1"/>
        <n v="75" u="1"/>
        <n v="36" u="1"/>
        <n v="79" u="1"/>
        <n v="243" u="1"/>
        <n v="330" u="1"/>
        <n v="38" u="1"/>
        <n v="5" u="1"/>
        <n v="108" u="1"/>
        <n v="14" u="1"/>
        <n v="209" u="1"/>
        <n v="40" u="1"/>
        <n v="333" u="1"/>
        <n v="15" u="1"/>
        <n v="70" u="1"/>
        <n v="44" u="1"/>
        <n v="133" u="1"/>
        <n v="1045" u="1"/>
        <n v="183" u="1"/>
        <n v="254" u="1"/>
        <n v="5611" u="1"/>
        <n v="162" u="1"/>
        <n v="2" u="1"/>
        <n v="46" u="1"/>
        <n v="6" u="1"/>
        <n v="339" u="1"/>
        <n v="16" u="1"/>
        <n v="17" u="1"/>
        <n v="107" u="1"/>
        <n v="65" u="1"/>
        <n v="54" u="1"/>
        <n v="7" u="1"/>
        <n v="69" u="1"/>
        <n v="33" u="1"/>
        <n v="231" u="1"/>
        <n v="21" u="1"/>
        <n v="98" u="1"/>
        <n v="58" u="1"/>
        <n v="102" u="1"/>
        <n v="247" u="1"/>
        <n v="1" u="1"/>
        <n v="23" u="1"/>
        <n v="106" u="1"/>
        <n v="3" u="1"/>
        <n v="8" u="1"/>
        <n v="39" u="1"/>
        <n v="24" u="1"/>
        <n v="110" u="1"/>
        <n v="163" u="1"/>
        <n v="551" u="1"/>
        <n v="64" u="1"/>
        <n v="213" u="1"/>
        <n v="41" u="1"/>
        <n v="89" u="1"/>
        <n v="25" u="1"/>
        <n v="221" u="1"/>
        <n v="1394" u="1"/>
        <n v="9" u="1"/>
        <n v="43" u="1"/>
        <n v="118" u="1"/>
        <n v="179" u="1"/>
        <n v="10" u="1"/>
        <n v="47" u="1"/>
        <n v="49" u="1"/>
        <n v="105" u="1"/>
        <n v="153" u="1"/>
        <n v="29" u="1"/>
        <n v="84" u="1"/>
        <n v="11" u="1"/>
        <n v="51" u="1"/>
        <n v="279" u="1"/>
        <n v="350" u="1"/>
        <n v="88" u="1"/>
        <n v="266" u="1"/>
        <n v="31" u="1"/>
        <n v="4" u="1"/>
        <n v="92" u="1"/>
        <n v="198" u="1"/>
        <n v="353" u="1"/>
        <n v="12" u="1"/>
        <n v="55" u="1"/>
        <n v="248" u="1"/>
        <n v="382" u="1"/>
        <n v="32" u="1"/>
      </sharedItems>
    </cacheField>
    <cacheField name="B$" numFmtId="0">
      <sharedItems containsSemiMixedTypes="0" containsString="0" containsNumber="1" minValue="1" maxValue="2.2400000000000002"/>
    </cacheField>
    <cacheField name="KO$" numFmtId="2">
      <sharedItems containsSemiMixedTypes="0" containsString="0" containsNumber="1" minValue="0" maxValue="5.04"/>
    </cacheField>
    <cacheField name="WIN$" numFmtId="2">
      <sharedItems containsSemiMixedTypes="0" containsString="0" containsNumber="1" minValue="0" maxValue="6.47"/>
    </cacheField>
    <cacheField name="Profit" numFmtId="2">
      <sharedItems containsSemiMixedTypes="0" containsString="0" containsNumber="1" minValue="-2.2400000000000002" maxValue="7.97"/>
    </cacheField>
    <cacheField name="AFS" numFmtId="1">
      <sharedItems containsSemiMixedTypes="0" containsString="0" containsNumber="1" minValue="0" maxValue="45454.545454545456" count="122">
        <n v="45.454545454545453"/>
        <n v="150"/>
        <n v="90.909090909090907"/>
        <n v="571.42857142857144"/>
        <n v="136.36363636363635"/>
        <n v="454.5454545454545"/>
        <n v="100"/>
        <n v="714.28571428571422"/>
        <n v="200"/>
        <n v="375"/>
        <n v="227.27272727272725"/>
        <n v="1818.181818181818"/>
        <n v="181.81818181818181"/>
        <n v="681.81818181818176"/>
        <n v="250"/>
        <n v="300"/>
        <n v="272.72727272727269"/>
        <n v="1363.6363636363635"/>
        <n v="0" u="1"/>
        <n v="3636.3636363636365" u="1"/>
        <n v="75" u="1"/>
        <n v="125" u="1"/>
        <n v="600" u="1"/>
        <n v="800" u="1"/>
        <n v="272.72727272727275" u="1"/>
        <n v="303.030303030303" u="1"/>
        <n v="333.33333333333331" u="1"/>
        <n v="363.63636363636363" u="1"/>
        <n v="1000" u="1"/>
        <n v="303.03030303030306" u="1"/>
        <n v="363.63636363636368" u="1"/>
        <n v="761.90476190476193" u="1"/>
        <n v="13636.363636363636" u="1"/>
        <n v="27.272727272727273" u="1"/>
        <n v="2181.818181818182" u="1"/>
        <n v="2424.242424242424" u="1"/>
        <n v="8000" u="1"/>
        <n v="2424.2424242424245" u="1"/>
        <n v="4242.424242424242" u="1"/>
        <n v="3000" u="1"/>
        <n v="396.82539682539681" u="1"/>
        <n v="175" u="1"/>
        <n v="757.57575757575762" u="1"/>
        <n v="1363.6363636363637" u="1"/>
        <n v="1948.0519480519481" u="1"/>
        <n v="45454.545454545456" u="1"/>
        <n v="476.1904761904762" u="1"/>
        <n v="1400" u="1"/>
        <n v="120" u="1"/>
        <n v="2272.7272727272725" u="1"/>
        <n v="227.27272727272728" u="1"/>
        <n v="2857.1428571428573" u="1"/>
        <n v="1818.1818181818182" u="1"/>
        <n v="3333.3333333333335" u="1"/>
        <n v="2380.9523809523807" u="1"/>
        <n v="50" u="1"/>
        <n v="400" u="1"/>
        <n v="136.36363636363637" u="1"/>
        <n v="500" u="1"/>
        <n v="2400" u="1"/>
        <n v="151.51515151515153" u="1"/>
        <n v="380.95238095238096" u="1"/>
        <n v="66.666666666666671" u="1"/>
        <n v="1090.909090909091" u="1"/>
        <n v="1333.3333333333333" u="1"/>
        <n v="1454.5454545454545" u="1"/>
        <n v="4000" u="1"/>
        <n v="1212.1212121212122" u="1"/>
        <n v="2121.212121212121" u="1"/>
        <n v="533.33333333333337" u="1"/>
        <n v="1500" u="1"/>
        <n v="238.0952380952381" u="1"/>
        <n v="700" u="1"/>
        <n v="3030.3030303030305" u="1"/>
        <n v="60" u="1"/>
        <n v="143.75" u="1"/>
        <n v="5454.545454545455" u="1"/>
        <n v="1904.7619047619048" u="1"/>
        <n v="1136.3636363636363" u="1"/>
        <n v="909.09090909090901" u="1"/>
        <n v="909.09090909090912" u="1"/>
        <n v="1666.6666666666665" u="1"/>
        <n v="9090.9090909090919" u="1"/>
        <n v="289.47368421052636" u="1"/>
        <n v="1190.4761904761904" u="1"/>
        <n v="1298.7012987012986" u="1"/>
        <n v="68.181818181818187" u="1"/>
        <n v="83.333333333333329" u="1"/>
        <n v="1200" u="1"/>
        <n v="90.909090909090921" u="1"/>
        <n v="190.47619047619048" u="1"/>
        <n v="285.71428571428572" u="1"/>
        <n v="1600" u="1"/>
        <n v="3409.090909090909" u="1"/>
        <n v="4666.666666666667" u="1"/>
        <n v="545.4545454545455" u="1"/>
        <n v="606.06060606060601" u="1"/>
        <n v="666.66666666666663" u="1"/>
        <n v="727.27272727272725" u="1"/>
        <n v="2000" u="1"/>
        <n v="606.06060606060612" u="1"/>
        <n v="266.66666666666669" u="1"/>
        <n v="3571.4285714285711" u="1"/>
        <n v="5333.333333333333" u="1"/>
        <n v="750" u="1"/>
        <n v="3787.878787878788" u="1"/>
        <n v="80" u="1"/>
        <n v="6000" u="1"/>
        <n v="340.90909090909088" u="1"/>
        <n v="1636.3636363636363" u="1"/>
        <n v="11363.636363636364" u="1"/>
        <n v="1515.1515151515152" u="1"/>
        <n v="2727.272727272727" u="1"/>
        <n v="10000" u="1"/>
        <n v="140" u="1"/>
        <n v="2727.2727272727275" u="1"/>
        <n v="952.38095238095241" u="1"/>
        <n v="3600" u="1"/>
        <n v="60.606060606060609" u="1"/>
        <n v="714.28571428571433" u="1"/>
        <n v="4545.454545454545" u="1"/>
        <n v="454.54545454545456" u="1"/>
      </sharedItems>
    </cacheField>
  </cacheFields>
  <extLst>
    <ext xmlns:x14="http://schemas.microsoft.com/office/spreadsheetml/2009/9/main" uri="{725AE2AE-9491-48be-B2B4-4EB974FC3084}">
      <x14:pivotCacheDefinition pivotCacheId="648106455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Автор" refreshedDate="44197.84094224537" createdVersion="6" refreshedVersion="6" minRefreshableVersion="3" recordCount="997" xr:uid="{E6D2D4CE-33EB-428F-8630-6DBD8EBC3343}">
  <cacheSource type="worksheet">
    <worksheetSource name="Таблица2"/>
  </cacheSource>
  <cacheFields count="26">
    <cacheField name="G" numFmtId="0">
      <sharedItems containsMixedTypes="1" containsNumber="1" containsInteger="1" minValue="2021" maxValue="2021"/>
    </cacheField>
    <cacheField name="1" numFmtId="164">
      <sharedItems count="227">
        <s v="11:00 $1,1 [PP] Bounty Hunter"/>
        <s v="11:00 €1 [WN] Monster Stack"/>
        <s v="11:15 $2,2 [PP] Deepstack"/>
        <s v="11:30 $2,1 [GG] Bounty Hunters"/>
        <s v="12:00 $1,1 [PP] Deepstack"/>
        <s v="12:00 $1,1 [PS] Big"/>
        <s v="12:00 €2 [WN] Monster Stack"/>
        <s v="12:30 $1,05 [GG] Bounty Hunters"/>
        <s v="12:30 $1 [PAC] Guaranteed"/>
        <s v="12:30 $2,2 [PP] Bounty Hunter"/>
        <s v="13:00 $2 [GG] Big"/>
        <s v="13:00 $1,1 [PP] Bounty Hunter"/>
        <s v="14:00 $2,2 [PAC] Guaranteed"/>
        <s v="14:20 $1,1 [PS] Progressive KO"/>
        <s v="14:30 $1,05 [GG] Bounty Hunters"/>
        <s v="15:00 $1,1 [PP] Bounty Hunter"/>
        <s v="15:00 $1,1 [PS] GTD"/>
        <s v="15:00 €1 [WN] Monster Stack"/>
        <s v="16:00 $1 [PAC] 6-Max Think Fast"/>
        <s v="16:15 $1,1 [PAC] Guaranteed PKO"/>
        <s v="16:15 $1,1 [PS] GTD"/>
        <s v="16:30 $2,2 [PAC] Guaranteed"/>
        <s v=""/>
        <s v="21:00 $11 [PS] Big" u="1"/>
        <s v="10:00 €5 [WN] BREAKFAST" u="1"/>
        <s v="13:15 $3,3 [PP] Deep Stack" u="1"/>
        <s v="21:37 $7,7 [PP] The Magnificent" u="1"/>
        <s v="18:00 $5,5 [PP] Bounty Hunter" u="1"/>
        <s v="17:00 $5,5 [PAC] BIG Fish" u="1"/>
        <s v="9:30 €5 [WN] WAKE UP" u="1"/>
        <s v="8:00 €5 [WN] Kill The Fish" u="1"/>
        <s v="9:30 $10,5 [GG] Bounty Hunters" u="1"/>
        <s v="11:30 $10,5 [GG] Bounty Hunters" u="1"/>
        <s v="17:00 $5,5 [GG] Special" u="1"/>
        <s v="19:30 €10 [WN] Monster Stack" u="1"/>
        <s v="5:30 $10,5 [GG] Bounty Hunters" u="1"/>
        <s v="11:00 €10 [WN] COFFEE TIME" u="1"/>
        <s v="5:00 $5 [GG] Deep Stacks" u="1"/>
        <s v="15:00 $2 [GG] Monster Stack" u="1"/>
        <s v="15:40 $10,5 [GG] Sunday Six Shooter" u="1"/>
        <s v="15:30 $10,5 [GG] Bounty Hunters Six Shooter" u="1"/>
        <s v="17:30 $2,2 [PK] GTD" u="1"/>
        <s v="17:30 $2,1 [GG] Bounty Hunters" u="1"/>
        <s v="14:45 $2,2 [PS] GTD" u="1"/>
        <s v="3:00 $11 [PK] GTD" u="1"/>
        <s v="21:30 €5 [WN] POUR LA DARONNE" u="1"/>
        <s v="4:00 $4 [PK] MOSS #151" u="1"/>
        <s v="17:10 $2,2 [PS] GTD" u="1"/>
        <s v="15:00 $5,5 [PAC] PKO 8-Max" u="1"/>
        <s v="12:20 $5,5 [PS] 30% Progressive KO" u="1"/>
        <s v="21:00 €10 [WN] TORNADO" u="1"/>
        <s v="14:30 $2,2 [PP] Bounty Hunter" u="1"/>
        <s v="8:45 $16,5 [PK] GTD" u="1"/>
        <s v="6:05 $4,4 [PS] Progressive KO" u="1"/>
        <s v="10:00 €20 [WN] MORNING LIVE" u="1"/>
        <s v="13:00 $1,1 [PK] GTD" u="1"/>
        <s v="4:30 $4,4 [PS] Bounty Builder" u="1"/>
        <s v="10:15 €10 [WN] Kill The Fish" u="1"/>
        <s v="5:00 $3,3 [PK] GTD" u="1"/>
        <s v="7:30 $6,6 [PK] GTD 6-Max" u="1"/>
        <s v="16:30 $16,5 [PS] Bounty Builder" u="1"/>
        <s v="16:15 $1,65 [PK] GTD" u="1"/>
        <s v="6:00 $5,5 [PP] Bounty Hunter" u="1"/>
        <s v="10:30 $5,25 [GG] Bounty Hunters" u="1"/>
        <s v="17:30 €5 [WN] SAMOURAI" u="1"/>
        <s v="17:30 $16,5 [PP] The Spartan" u="1"/>
        <s v="13:00 $11 [PS] Mini Battle Royale" u="1"/>
        <s v="10:00 $5,5 [PP] Bounty Hunter" u="1"/>
        <s v="9:20 $7,5 [PS] Progressive KO, Deep Stacks" u="1"/>
        <s v="17:10 $5,5 [GG] Special" u="1"/>
        <s v="16:30 $8,4 [GG] Bounty Hunters" u="1"/>
        <s v="8:30 $22 [PP] Bounty Hunter" u="1"/>
        <s v="5:00 €10 [WN] Monster Stack" u="1"/>
        <s v="5:45 $11 [PS] Progressive KO" u="1"/>
        <s v="19:30 €5 [WN] GUERILLA" u="1"/>
        <s v="22:30 $12,6 [GG] Bounty Hunters Six Shooter" u="1"/>
        <s v="15:00 $2,2 [PK] GTD 8-Max" u="1"/>
        <s v="16:25 $2,2 [PS] Player Cap" u="1"/>
        <s v="16:00 $16,5 [PAC] PKO" u="1"/>
        <s v="15:00 $11 [PP] Bounty Hunter" u="1"/>
        <s v="8:00 $11 [PAC] The GTD 5+5 Knockout" u="1"/>
        <s v="17:30 €2 [WN] Monster Stack" u="1"/>
        <s v="21:05 $4,4 [PS] Progressive KO, Deep Stacks" u="1"/>
        <s v="9:30 $12 [PAC] The Pacific Catfish" u="1"/>
        <s v="10:00 $3,3 [PP] Deep Stack" u="1"/>
        <s v="12:00 $1,1 [PP] Deep Stacks" u="1"/>
        <s v="8:30 $5,25 [GG] Bounty Hunters" u="1"/>
        <s v="8:00 $5 [GG] Deep Stacks" u="1"/>
        <s v="10:45 $6,6 [PK] GTD" u="1"/>
        <s v="17:20 $5,5 [PS] Progressive KO" u="1"/>
        <s v="4:45 $6,6 [PK] GTD" u="1"/>
        <s v="16:30 $5,5 [PS] Mini Marathon" u="1"/>
        <s v="3:00 $3 [GG] Special" u="1"/>
        <s v="16:00 $7,5 [PP] Bounty Hunter" u="1"/>
        <s v="12:45 $5,5 [PAC] PKO" u="1"/>
        <s v="3:00 $7,5 [PS] Big" u="1"/>
        <s v="16:45 $11 [PAC] PKO 6-Max" u="1"/>
        <s v="10:20 $2,2 [PS] Progressive KO" u="1"/>
        <s v="4:00 $10 [GG] Deep Stacks" u="1"/>
        <s v="20:00 $6,6 [PK] GTD" u="1"/>
        <s v="16:00 $16,5 [PAC] Sunday PKO" u="1"/>
        <s v="2:00 $8,8 [PK] MOSS #163" u="1"/>
        <s v="13:00 €1 [WN] Monster Stack" u="1"/>
        <s v="22:00 $16,5 [PK] GTD" u="1"/>
        <s v="16:15 $6,6 [PK] Special" u="1"/>
        <s v="12:00 $5 [GG] Big" u="1"/>
        <s v="7:15 $5 [PAC] Guaranteed" u="1"/>
        <s v="7:30 $5,5 [PS] Bounty Builder" u="1"/>
        <s v="10:00 $11 [PS] Big" u="1"/>
        <s v="13:30 €5 [WN] Kill The Fish" u="1"/>
        <s v="19:40 $5,5 [PS] 30% Progressive KO" u="1"/>
        <s v="5:25 $3,3 [PS] Progressive KO" u="1"/>
        <s v="5:00 $5 [GG] Big" u="1"/>
        <s v="15:30 $7,5 [PS] Bounty Builder" u="1"/>
        <s v="12:00 $11 [PAC] PKO" u="1"/>
        <s v="16:20 $5,5 [PS] Progressive KO" u="1"/>
        <s v="6:30 $22 [PS] Bounty Builder" u="1"/>
        <s v="18:05 $11 [PP] The Superstack" u="1"/>
        <s v="22:00 €10 [WN] UPPERCUT" u="1"/>
        <s v="14:05 $11 [PS] Mini Starter" u="1"/>
        <s v="7:00 $11 [PP] Bounty Hunter" u="1"/>
        <s v="8:00 €10 [WN] Monster Stack" u="1"/>
        <s v="21:00 €10 [WN] LA FIEVRE" u="1"/>
        <s v="3:25 $3,3 [PS] Player Cap" u="1"/>
        <s v="18:45 $7,5 [PS] Progressive KO" u="1"/>
        <s v="3:00 $11 [PP] Bounty Hunter" u="1"/>
        <s v="16:30 €10 [WN] Monster Stack" u="1"/>
        <s v="15:30 €10 [WN] DERBY" u="1"/>
        <s v="12:00 €5 [WN] Monster Stack" u="1"/>
        <s v="21:00 $16,5 [PK] GTD" u="1"/>
        <s v="16:45 $11 [PAC] PKO" u="1"/>
        <s v="10:30 $6,6 [PK] GTD 8-Max" u="1"/>
        <s v="11:40 $3,3 [PS] GTD" u="1"/>
        <s v="11:00 $2,2 [PK] GTD 6-Max PKO" u="1"/>
        <s v="13:00 $2,2 [PS] GTD" u="1"/>
        <s v="5:00 $11 [PAC] PKO" u="1"/>
        <s v="3:30 $5,25 [GG] Bounty Hunters" u="1"/>
        <s v="9:00 $11 [PK] GTD" u="1"/>
        <s v="2:00 $5 [GG] Special" u="1"/>
        <s v="11:30 $3,3 [PP] Bounty Hunter" u="1"/>
        <s v="14:30 $5,25 [GG] Bounty Hunters" u="1"/>
        <s v="2:00 $3,3 [PS] Big" u="1"/>
        <s v="11:15 $7,5 [PS] Deep Stacks" u="1"/>
        <s v="14:00 $5,5 [PP] Bounty Hunter" u="1"/>
        <s v="3:00 $10 [GG] Big" u="1"/>
        <s v="20:00 $7,5 [PAC] PKO 8-Max" u="1"/>
        <s v="4:10 $11 [PS] Progressive KO" u="1"/>
        <s v="19:30 $11 [PS] Bounty Builder" u="1"/>
        <s v="22:30 $7,5 [PS] Bounty Builder" u="1"/>
        <s v="9:00 $7,6 [GG] Zodiac Opening Event ¥50" u="1"/>
        <s v="17:40 $1,1 [PS] GTD" u="1"/>
        <s v="7:00 $3,3 [PK] GTD 8-Max" u="1"/>
        <s v="20:10 $16,5 [PS] Progressive KO, Deep Stacks" u="1"/>
        <s v="21:00 $11 [PS] Sunday Storm" u="1"/>
        <s v="12:20 $5,5 [PK] GTD" u="1"/>
        <s v="10:00 $3,3 [PAC] Guaranteed" u="1"/>
        <s v="22:15 €5 [WN] BIG BANG" u="1"/>
        <s v="3:00 $4,4 [PK] GTD" u="1"/>
        <s v="16:15 €5 [WN] PISTALERO" u="1"/>
        <s v="13:30 $2,1 [GG] Bounty Hunters" u="1"/>
        <s v="20:30 $11 [PP] The Terminator" u="1"/>
        <s v="17:30 $2,2 [PP] Bounty Hunter" u="1"/>
        <s v="10:00 $10 [GG] Big" u="1"/>
        <s v="8:00 $5,5 [PP] Bounty Hunter" u="1"/>
        <s v="22:30 $5,5 [PP] The Flash" u="1"/>
        <s v="16:00 $4,4 [PS] Big" u="1"/>
        <s v="4:00 $5,5 [PP] Bounty Hunter" u="1"/>
        <s v="17:15 $1,1 [PP] Deep Stacks" u="1"/>
        <s v="20:00 $16,5 [PAC] XL Winter #11 Mini Tune Up" u="1"/>
        <s v="2:15 $6,6 [PK] MOSS #164" u="1"/>
        <s v="11:30 €5 [WN] Kill The Fish" u="1"/>
        <s v="11:00 $7,5 [PP] Classic" u="1"/>
        <s v="12:00 $11 [PP] Bounty Hunter" u="1"/>
        <s v="12:15 €10 [WN] SALOON" u="1"/>
        <s v="7:00 €10 [WN] Monster Stack" u="1"/>
        <s v="7:30 $21 [GG] Bounty Hunters" u="1"/>
        <s v="13:30 €5 [WN] BOWLING" u="1"/>
        <s v="7:00 $5 [GG] Monster Stack" u="1"/>
        <s v="8:15 $5,5 [PP] Deep Stacks" u="1"/>
        <s v="8:15 $5,5 [PS] Deep Stacks" u="1"/>
        <s v="13:30 $4,4 [PS] Bounty Builder" u="1"/>
        <s v="20:05 $22 [PS] MicroMillions 111" u="1"/>
        <s v="18:30 $7,5 [PP] The Ninja" u="1"/>
        <s v="6:30 $22 [PP] Bounty Hunter" u="1"/>
        <s v="4:15 $5,5 [PP] Deep Stacks" u="1"/>
        <s v="15:00 $11 [PS] Mini Kickoff" u="1"/>
        <s v="13:00 $5,5 [PP] Bounty Hunter" u="1"/>
        <s v="21:30 €25 [WN] PRIME TIME FUNDAY" u="1"/>
        <s v="6:00 $16,5 [PS] Big" u="1"/>
        <s v="8:00 $3,3 [PS] Progressive KO" u="1"/>
        <s v="19:30 $5,5 [PP] The Headhunter" u="1"/>
        <s v="21:30 $10,5 [GG] Bounty Hunters" u="1"/>
        <s v="5:30 $5 [PAC] Guaranteed 8-Max" u="1"/>
        <s v="6:30 $5,25 [GG] Bounty Hunters" u="1"/>
        <s v="4:00 $12,6 [GG] Bounty Hunters Six Shooter" u="1"/>
        <s v="21:30 €10 [WN] SUNDAY SURPRISE" u="1"/>
        <s v="14:45 €5 [WN] DESPERADO" u="1"/>
        <s v="2:30 $10,5 [GG] Bounty Hunters" u="1"/>
        <s v="13:45 $2,2 [PS] Deep Stacks" u="1"/>
        <s v="14:30 €10 [WN] DIGESTIF" u="1"/>
        <s v="11:30 $11 [PS] Bounty Builder" u="1"/>
        <s v="15:00 $3,3 [PS] Saturday Micro" u="1"/>
        <s v="5:00 $4,4 [PS] Big" u="1"/>
        <s v="6:00 $10 [GG] Deep Stacks" u="1"/>
        <s v="13:10 $11 [PS] Progressive KO" u="1"/>
        <s v="11:00 $4,4 [PS] Progressive KO" u="1"/>
        <s v="8:00 $16,5 [PS] Mini Pacific Rim" u="1"/>
        <s v="11:00 $4,4 [PK] GTD 8-Max" u="1"/>
        <s v="11:00 $11 [PP] Bounty Hunter" u="1"/>
        <s v="16:15 €5 [WN] PISTOLERO" u="1"/>
        <s v="8:10 $5,5 [PS] Deep Stacks" u="1"/>
        <s v="9:30 $3,3 [PS] Bounty Builder" u="1"/>
        <s v="12:30 $5,25 [GG] Bounty Hunters" u="1"/>
        <s v="10:00 $16 [GG] Zodiac Bounty ¥105" u="1"/>
        <s v="6:00 $6,6 [PK] GTD" u="1"/>
        <s v="2:00 $3,3 [PK] GTD 8-Max" u="1"/>
        <s v="7:15 $11 [PS] Progressive KO, Deep Stacks" u="1"/>
        <s v="9:00 €10 [WN] MAVERICK" u="1"/>
        <s v="20:30 $3,3 [PS] Bounty Builder" u="1"/>
        <s v="8:30 $22 [PS] Bounty Builder" u="1"/>
        <s v="3:45 $3,3 [PS] Progressive KO" u="1"/>
        <s v="5:15 $11 [PP] Deep Stacks" u="1"/>
        <s v="10:15 $7,5 [PS] Hot [Progressive KO]" u="1"/>
        <s v="9:00 $11 [PP] Bounty Hunter" u="1"/>
        <s v="14:00 $2,2 [PP] Deep Stacks" u="1"/>
        <s v="5:00 $11 [PP] Bounty Hunter" u="1"/>
        <s v="18:30 $5,25 [GG] Bounty Hunters" u="1"/>
      </sharedItems>
    </cacheField>
    <cacheField name="2" numFmtId="164">
      <sharedItems count="150">
        <s v="$1,1 [PP] Bounty Hunter"/>
        <s v="€1 [WN] Monster Stack"/>
        <s v="$2,2 [PP] Deepstack"/>
        <s v="$2,1 [GG] Bounty Hunters"/>
        <s v="$1,1 [PP] Deepstack"/>
        <s v="$1,1 [PS] Big"/>
        <s v="€2 [WN] Monster Stack"/>
        <s v="$1,05 [GG] Bounty Hunters"/>
        <s v="$1 [PAC] Guaranteed"/>
        <s v="$2,2 [PP] Bounty Hunter"/>
        <s v="$2 [GG] Big"/>
        <s v="$2,2 [PAC] Guaranteed"/>
        <s v="$1,1 [PS] Progressive KO"/>
        <s v="$1,1 [PS] GTD"/>
        <s v="$1 [PAC] 6-Max Think Fast"/>
        <s v="$1,1 [PAC] Guaranteed PKO"/>
        <s v=""/>
        <s v="$11 [PS] Progressive KO, Deep Stacks" u="1"/>
        <s v="$2,2 [PK] GTD 6-Max PKO" u="1"/>
        <s v="$16,5 [PS] Progressive KO, Deep Stacks" u="1"/>
        <s v="$3,3 [PP] Bounty Hunter" u="1"/>
        <s v="$16 [GG] Zodiac Bounty ¥105" u="1"/>
        <s v="€20 [WN] MORNING LIVE" u="1"/>
        <s v="€5 [WN] PISTOLERO" u="1"/>
        <s v="€10 [WN] SALOON" u="1"/>
        <s v="$11 [PS] Mini Battle Royale" u="1"/>
        <s v="$5,5 [PP] Bounty Hunter" u="1"/>
        <s v="$11 [PAC] PKO 6-Max" u="1"/>
        <s v="$11 [PS] Progressive KO" u="1"/>
        <s v="$11 [PS] Mini Kickoff" u="1"/>
        <s v="$16,5 [PS] Bounty Builder" u="1"/>
        <s v="€10 [WN] MAVERICK" u="1"/>
        <s v="$1,65 [PK] GTD" u="1"/>
        <s v="$10,5 [GG] Bounty Hunters" u="1"/>
        <s v="$7,5 [PP] Classic" u="1"/>
        <s v="$22 [PP] Bounty Hunter" u="1"/>
        <s v="€25 [WN] PRIME TIME FUNDAY" u="1"/>
        <s v="€5 [WN] SAMOURAI" u="1"/>
        <s v="$3,3 [PAC] Guaranteed" u="1"/>
        <s v="$16,5 [PS] Mini Pacific Rim" u="1"/>
        <s v="$11 [PP] The Terminator" u="1"/>
        <s v="$7,6 [GG] Zodiac Opening Event ¥50" u="1"/>
        <s v="$16,5 [PP] The Spartan" u="1"/>
        <s v="€5 [WN] BIG BANG" u="1"/>
        <s v="$3,3 [PS] Saturday Micro" u="1"/>
        <s v="$5,5 [PS] 30% Progressive KO" u="1"/>
        <s v="$5,5 [PP] The Flash" u="1"/>
        <s v="$22 [PS] Bounty Builder" u="1"/>
        <s v="$10,5 [GG] Sunday Six Shooter" u="1"/>
        <s v="€5 [WN] WAKE UP" u="1"/>
        <s v="€5 [WN] Monster Stack" u="1"/>
        <s v="$10 [GG] Big" u="1"/>
        <s v="$5 [GG] Deep Stacks" u="1"/>
        <s v="$21 [GG] Bounty Hunters" u="1"/>
        <s v="€10 [WN] DIGESTIF" u="1"/>
        <s v="$10,5 [GG] Bounty Hunters Six Shooter" u="1"/>
        <s v="€10 [WN] UPPERCUT" u="1"/>
        <s v="$11 [PP] Bounty Hunter" u="1"/>
        <s v="$12,6 [GG] Bounty Hunters Six Shooter" u="1"/>
        <s v="$5 [GG] Monster Stack" u="1"/>
        <s v="€10 [WN] TORNADO" u="1"/>
        <s v="$7,5 [PAC] PKO 8-Max" u="1"/>
        <s v="€10 [WN] DERBY" u="1"/>
        <s v="$11 [PS] Bounty Builder" u="1"/>
        <s v="$16,5 [PAC] XL Winter #11 Mini Tune Up" u="1"/>
        <s v="€5 [WN] GUERILLA" u="1"/>
        <s v="€5 [WN] Kill The Fish" u="1"/>
        <s v="€10 [WN] Kill The Fish" u="1"/>
        <s v="$7,5 [PS] Progressive KO" u="1"/>
        <s v="$5 [PAC] Guaranteed" u="1"/>
        <s v="$2,2 [PK] GTD 8-Max" u="1"/>
        <s v="$6,6 [PK] GTD 6-Max" u="1"/>
        <s v="$16,5 [PK] GTD" u="1"/>
        <s v="$5 [GG] Special" u="1"/>
        <s v="$3,3 [PK] GTD 8-Max" u="1"/>
        <s v="$2,2 [PS] Player Cap" u="1"/>
        <s v="$7,5 [PS] Hot [Progressive KO]" u="1"/>
        <s v="$4,4 [PK] GTD 8-Max" u="1"/>
        <s v="$3,3 [PS] Player Cap" u="1"/>
        <s v="$7,5 [PS] Big" u="1"/>
        <s v="$2,2 [PS] GTD" u="1"/>
        <s v="€10 [WN] COFFEE TIME" u="1"/>
        <s v="$5,5 [GG] Special" u="1"/>
        <s v="$5,5 [PAC] PKO" u="1"/>
        <s v="$3,3 [PS] GTD" u="1"/>
        <s v="$5,25 [GG] Bounty Hunters" u="1"/>
        <s v="$22 [PS] MicroMillions 111" u="1"/>
        <s v="$6,6 [PK] GTD 8-Max" u="1"/>
        <s v="$8,4 [GG] Bounty Hunters" u="1"/>
        <s v="$6,6 [PK] Special" u="1"/>
        <s v="$7,5 [PS] Progressive KO, Deep Stacks" u="1"/>
        <s v="€5 [WN] PISTALERO" u="1"/>
        <s v="$12 [PAC] The Pacific Catfish" u="1"/>
        <s v="$5,5 [PAC] BIG Fish" u="1"/>
        <s v="$7,5 [PP] The Ninja" u="1"/>
        <s v="$5,5 [PP] The Headhunter" u="1"/>
        <s v="$11 [PAC] The GTD 5+5 Knockout" u="1"/>
        <s v="$5 [GG] Big" u="1"/>
        <s v="$7,5 [PS] Bounty Builder" u="1"/>
        <s v="$11 [PS] Mini Starter" u="1"/>
        <s v="$7,5 [PS] Deep Stacks" u="1"/>
        <s v="$8,8 [PK] MOSS #163" u="1"/>
        <s v="€10 [WN] LA FIEVRE" u="1"/>
        <s v="$4 [PK] MOSS #151" u="1"/>
        <s v="€10 [WN] Monster Stack" u="1"/>
        <s v="$10 [GG] Deep Stacks" u="1"/>
        <s v="$11 [PP] Deep Stacks" u="1"/>
        <s v="$6,6 [PK] MOSS #164" u="1"/>
        <s v="$5,5 [PAC] PKO 8-Max" u="1"/>
        <s v="$2,2 [PS] Progressive KO" u="1"/>
        <s v="$3,3 [PP] Deep Stack" u="1"/>
        <s v="€5 [WN] DESPERADO" u="1"/>
        <s v="$3,3 [PS] Progressive KO" u="1"/>
        <s v="$11 [PS] Sunday Storm" u="1"/>
        <s v="$16,5 [PS] Big" u="1"/>
        <s v="$11 [PS] Big" u="1"/>
        <s v="$4,4 [PS] Progressive KO" u="1"/>
        <s v="€5 [WN] BREAKFAST" u="1"/>
        <s v="$5,5 [PS] Progressive KO" u="1"/>
        <s v="$7,5 [PP] Bounty Hunter" u="1"/>
        <s v="$1,1 [PK] GTD" u="1"/>
        <s v="$3,3 [PS] Big" u="1"/>
        <s v="$2,2 [PK] GTD" u="1"/>
        <s v="$3 [GG] Special" u="1"/>
        <s v="$4,4 [PS] Big" u="1"/>
        <s v="$3,3 [PK] GTD" u="1"/>
        <s v="$2 [GG] Monster Stack" u="1"/>
        <s v="$11 [PK] GTD" u="1"/>
        <s v="€5 [WN] BOWLING" u="1"/>
        <s v="$11 [PAC] PKO" u="1"/>
        <s v="$4,4 [PK] GTD" u="1"/>
        <s v="$5,5 [PS] Mini Marathon" u="1"/>
        <s v="$1,1 [PP] Deep Stacks" u="1"/>
        <s v="$16,5 [PAC] Sunday PKO" u="1"/>
        <s v="$4,4 [PS] Progressive KO, Deep Stacks" u="1"/>
        <s v="$5,5 [PK] GTD" u="1"/>
        <s v="$2,2 [PP] Deep Stacks" u="1"/>
        <s v="$2,2 [PS] Deep Stacks" u="1"/>
        <s v="$6,6 [PK] GTD" u="1"/>
        <s v="$3,3 [PS] Bounty Builder" u="1"/>
        <s v="€5 [WN] POUR LA DARONNE" u="1"/>
        <s v="$4,4 [PS] Bounty Builder" u="1"/>
        <s v="$7,7 [PP] The Magnificent" u="1"/>
        <s v="$5 [PAC] Guaranteed 8-Max" u="1"/>
        <s v="$5,5 [PS] Bounty Builder" u="1"/>
        <s v="$5,5 [PP] Deep Stacks" u="1"/>
        <s v="$5,5 [PS] Deep Stacks" u="1"/>
        <s v="€10 [WN] SUNDAY SURPRISE" u="1"/>
        <s v="$16,5 [PAC] PKO" u="1"/>
        <s v="$11 [PP] The Superstack" u="1"/>
      </sharedItems>
    </cacheField>
    <cacheField name="NN" numFmtId="0">
      <sharedItems containsMixedTypes="1" containsNumber="1" containsInteger="1" minValue="1" maxValue="1"/>
    </cacheField>
    <cacheField name="DN" numFmtId="0">
      <sharedItems/>
    </cacheField>
    <cacheField name="M" numFmtId="0">
      <sharedItems/>
    </cacheField>
    <cacheField name="Date" numFmtId="164">
      <sharedItems containsDate="1" containsMixedTypes="1" minDate="2020-11-24T00:00:00" maxDate="2021-01-02T00:00:00" count="35">
        <d v="2021-01-01T00:00:00"/>
        <s v=""/>
        <d v="2020-12-16T00:00:00" u="1"/>
        <d v="2020-11-30T00:00:00" u="1"/>
        <d v="2020-12-09T00:00:00" u="1"/>
        <d v="2020-12-28T00:00:00" u="1"/>
        <d v="2020-12-02T00:00:00" u="1"/>
        <d v="2020-12-21T00:00:00" u="1"/>
        <d v="2020-12-14T00:00:00" u="1"/>
        <d v="2020-11-28T00:00:00" u="1"/>
        <d v="2020-12-07T00:00:00" u="1"/>
        <d v="2020-12-26T00:00:00" u="1"/>
        <d v="2020-12-19T00:00:00" u="1"/>
        <d v="2020-11-26T00:00:00" u="1"/>
        <d v="2020-12-05T00:00:00" u="1"/>
        <d v="2020-12-24T00:00:00" u="1"/>
        <d v="2020-12-17T00:00:00" u="1"/>
        <d v="2020-12-10T00:00:00" u="1"/>
        <d v="2020-11-24T00:00:00" u="1"/>
        <d v="2020-12-03T00:00:00" u="1"/>
        <d v="2020-12-22T00:00:00" u="1"/>
        <d v="2020-12-15T00:00:00" u="1"/>
        <d v="2020-11-29T00:00:00" u="1"/>
        <d v="2020-12-08T00:00:00" u="1"/>
        <d v="2020-12-27T00:00:00" u="1"/>
        <d v="2020-12-01T00:00:00" u="1"/>
        <d v="2020-12-20T00:00:00" u="1"/>
        <d v="2020-12-13T00:00:00" u="1"/>
        <d v="2020-11-27T00:00:00" u="1"/>
        <d v="2020-12-06T00:00:00" u="1"/>
        <d v="2020-12-25T00:00:00" u="1"/>
        <d v="2020-12-18T00:00:00" u="1"/>
        <d v="2020-12-11T00:00:00" u="1"/>
        <d v="2020-11-25T00:00:00" u="1"/>
        <d v="2020-12-23T00:00:00" u="1"/>
      </sharedItems>
    </cacheField>
    <cacheField name="Start" numFmtId="165">
      <sharedItems containsDate="1" containsMixedTypes="1" minDate="1899-12-30T11:00:00" maxDate="1899-12-30T16:30:00"/>
    </cacheField>
    <cacheField name="B" numFmtId="0">
      <sharedItems containsMixedTypes="1" containsNumber="1" minValue="1" maxValue="2.2000000000000002"/>
    </cacheField>
    <cacheField name="Room" numFmtId="0">
      <sharedItems/>
    </cacheField>
    <cacheField name="Name" numFmtId="0">
      <sharedItems/>
    </cacheField>
    <cacheField name="Max" numFmtId="0">
      <sharedItems containsMixedTypes="1" containsNumber="1" containsInteger="1" minValue="6" maxValue="9"/>
    </cacheField>
    <cacheField name="T" numFmtId="0">
      <sharedItems/>
    </cacheField>
    <cacheField name="K" numFmtId="0">
      <sharedItems/>
    </cacheField>
    <cacheField name="GTD" numFmtId="0">
      <sharedItems containsMixedTypes="1" containsNumber="1" containsInteger="1" minValue="50" maxValue="2000"/>
    </cacheField>
    <cacheField name="Bounty" numFmtId="0">
      <sharedItems containsMixedTypes="1" containsNumber="1" minValue="0.25" maxValue="5.04"/>
    </cacheField>
    <cacheField name="Win" numFmtId="0">
      <sharedItems containsMixedTypes="1" containsNumber="1" minValue="1.25" maxValue="6.47"/>
    </cacheField>
    <cacheField name="R" numFmtId="0">
      <sharedItems/>
    </cacheField>
    <cacheField name="F" numFmtId="0">
      <sharedItems containsMixedTypes="1" containsNumber="1" containsInteger="1" minValue="18" maxValue="145"/>
    </cacheField>
    <cacheField name="B$" numFmtId="0">
      <sharedItems containsMixedTypes="1" containsNumber="1" minValue="1" maxValue="2.2400000000000002"/>
    </cacheField>
    <cacheField name="KO$" numFmtId="0">
      <sharedItems containsMixedTypes="1" containsNumber="1" minValue="0.25" maxValue="5.04"/>
    </cacheField>
    <cacheField name="WIN$" numFmtId="2">
      <sharedItems containsMixedTypes="1" containsNumber="1" minValue="1.25" maxValue="6.47"/>
    </cacheField>
    <cacheField name="Profit" numFmtId="2">
      <sharedItems containsMixedTypes="1" containsNumber="1" minValue="-2.2400000000000002" maxValue="7.97"/>
    </cacheField>
    <cacheField name="AFS" numFmtId="1">
      <sharedItems containsMixedTypes="1" containsNumber="1" minValue="45.454545454545453" maxValue="1818.181818181818"/>
    </cacheField>
    <cacheField name="Grafik" numFmtId="2">
      <sharedItems containsMixedTypes="1" containsNumber="1" minValue="-7.6199999999999992" maxValue="3.2700000000000005"/>
    </cacheField>
    <cacheField name="Столбец1" numFmtId="2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">
  <r>
    <x v="0"/>
    <x v="0"/>
    <x v="0"/>
    <x v="0"/>
    <x v="0"/>
    <x v="0"/>
    <x v="0"/>
    <x v="0"/>
    <x v="0"/>
    <x v="0"/>
    <x v="0"/>
    <x v="0"/>
    <x v="0"/>
    <x v="0"/>
    <n v="50"/>
    <m/>
    <m/>
    <x v="0"/>
    <x v="0"/>
    <n v="1.1000000000000001"/>
    <n v="0"/>
    <n v="0"/>
    <n v="-1.1000000000000001"/>
    <x v="0"/>
  </r>
  <r>
    <x v="1"/>
    <x v="0"/>
    <x v="0"/>
    <x v="0"/>
    <x v="0"/>
    <x v="0"/>
    <x v="0"/>
    <x v="1"/>
    <x v="1"/>
    <x v="1"/>
    <x v="1"/>
    <x v="0"/>
    <x v="1"/>
    <x v="0"/>
    <n v="150"/>
    <m/>
    <m/>
    <x v="0"/>
    <x v="0"/>
    <n v="1.1200000000000001"/>
    <n v="0"/>
    <n v="0"/>
    <n v="-1.1200000000000001"/>
    <x v="1"/>
  </r>
  <r>
    <x v="2"/>
    <x v="0"/>
    <x v="0"/>
    <x v="0"/>
    <x v="0"/>
    <x v="0"/>
    <x v="1"/>
    <x v="2"/>
    <x v="0"/>
    <x v="2"/>
    <x v="0"/>
    <x v="0"/>
    <x v="1"/>
    <x v="0"/>
    <n v="200"/>
    <m/>
    <m/>
    <x v="0"/>
    <x v="0"/>
    <n v="2.2000000000000002"/>
    <n v="0"/>
    <n v="0"/>
    <n v="-2.2000000000000002"/>
    <x v="2"/>
  </r>
  <r>
    <x v="3"/>
    <x v="0"/>
    <x v="0"/>
    <x v="0"/>
    <x v="0"/>
    <x v="0"/>
    <x v="2"/>
    <x v="3"/>
    <x v="2"/>
    <x v="3"/>
    <x v="0"/>
    <x v="0"/>
    <x v="0"/>
    <x v="0"/>
    <n v="1200"/>
    <m/>
    <m/>
    <x v="0"/>
    <x v="0"/>
    <n v="2.1"/>
    <n v="0"/>
    <n v="0"/>
    <n v="-2.1"/>
    <x v="3"/>
  </r>
  <r>
    <x v="4"/>
    <x v="0"/>
    <x v="0"/>
    <x v="0"/>
    <x v="0"/>
    <x v="0"/>
    <x v="3"/>
    <x v="0"/>
    <x v="0"/>
    <x v="2"/>
    <x v="0"/>
    <x v="0"/>
    <x v="1"/>
    <x v="0"/>
    <n v="150"/>
    <m/>
    <m/>
    <x v="0"/>
    <x v="0"/>
    <n v="1.1000000000000001"/>
    <n v="0"/>
    <n v="0"/>
    <n v="-1.1000000000000001"/>
    <x v="4"/>
  </r>
  <r>
    <x v="5"/>
    <x v="0"/>
    <x v="0"/>
    <x v="0"/>
    <x v="0"/>
    <x v="0"/>
    <x v="3"/>
    <x v="0"/>
    <x v="3"/>
    <x v="4"/>
    <x v="2"/>
    <x v="0"/>
    <x v="1"/>
    <x v="0"/>
    <n v="500"/>
    <m/>
    <n v="6.26"/>
    <x v="0"/>
    <x v="1"/>
    <n v="1.1000000000000001"/>
    <n v="0"/>
    <n v="6.26"/>
    <n v="5.16"/>
    <x v="5"/>
  </r>
  <r>
    <x v="6"/>
    <x v="0"/>
    <x v="0"/>
    <x v="0"/>
    <x v="0"/>
    <x v="0"/>
    <x v="3"/>
    <x v="4"/>
    <x v="1"/>
    <x v="1"/>
    <x v="1"/>
    <x v="0"/>
    <x v="1"/>
    <x v="0"/>
    <n v="200"/>
    <m/>
    <m/>
    <x v="0"/>
    <x v="0"/>
    <n v="2.2400000000000002"/>
    <n v="0"/>
    <n v="0"/>
    <n v="-2.2400000000000002"/>
    <x v="6"/>
  </r>
  <r>
    <x v="7"/>
    <x v="0"/>
    <x v="0"/>
    <x v="0"/>
    <x v="0"/>
    <x v="0"/>
    <x v="4"/>
    <x v="5"/>
    <x v="2"/>
    <x v="3"/>
    <x v="0"/>
    <x v="0"/>
    <x v="0"/>
    <x v="0"/>
    <n v="750"/>
    <n v="5.04"/>
    <n v="3.98"/>
    <x v="0"/>
    <x v="2"/>
    <n v="1.05"/>
    <n v="5.04"/>
    <n v="3.98"/>
    <n v="7.97"/>
    <x v="7"/>
  </r>
  <r>
    <x v="8"/>
    <x v="0"/>
    <x v="0"/>
    <x v="0"/>
    <x v="0"/>
    <x v="0"/>
    <x v="4"/>
    <x v="1"/>
    <x v="4"/>
    <x v="5"/>
    <x v="2"/>
    <x v="0"/>
    <x v="1"/>
    <x v="0"/>
    <n v="200"/>
    <m/>
    <m/>
    <x v="0"/>
    <x v="0"/>
    <n v="1"/>
    <n v="0"/>
    <n v="0"/>
    <n v="-1"/>
    <x v="8"/>
  </r>
  <r>
    <x v="9"/>
    <x v="0"/>
    <x v="0"/>
    <x v="0"/>
    <x v="0"/>
    <x v="0"/>
    <x v="4"/>
    <x v="2"/>
    <x v="0"/>
    <x v="0"/>
    <x v="0"/>
    <x v="0"/>
    <x v="0"/>
    <x v="0"/>
    <n v="200"/>
    <m/>
    <m/>
    <x v="0"/>
    <x v="0"/>
    <n v="2.2000000000000002"/>
    <n v="0"/>
    <n v="0"/>
    <n v="-2.2000000000000002"/>
    <x v="2"/>
  </r>
  <r>
    <x v="10"/>
    <x v="0"/>
    <x v="0"/>
    <x v="0"/>
    <x v="0"/>
    <x v="0"/>
    <x v="5"/>
    <x v="4"/>
    <x v="2"/>
    <x v="4"/>
    <x v="0"/>
    <x v="0"/>
    <x v="1"/>
    <x v="0"/>
    <n v="750"/>
    <m/>
    <m/>
    <x v="0"/>
    <x v="0"/>
    <n v="2"/>
    <n v="0"/>
    <n v="0"/>
    <n v="-2"/>
    <x v="9"/>
  </r>
  <r>
    <x v="11"/>
    <x v="0"/>
    <x v="0"/>
    <x v="0"/>
    <x v="0"/>
    <x v="0"/>
    <x v="5"/>
    <x v="0"/>
    <x v="0"/>
    <x v="0"/>
    <x v="0"/>
    <x v="0"/>
    <x v="0"/>
    <x v="0"/>
    <n v="100"/>
    <n v="1.37"/>
    <n v="1.25"/>
    <x v="0"/>
    <x v="3"/>
    <n v="1.1000000000000001"/>
    <n v="1.37"/>
    <n v="1.25"/>
    <n v="1.52"/>
    <x v="2"/>
  </r>
  <r>
    <x v="12"/>
    <x v="0"/>
    <x v="0"/>
    <x v="0"/>
    <x v="0"/>
    <x v="0"/>
    <x v="6"/>
    <x v="2"/>
    <x v="4"/>
    <x v="5"/>
    <x v="2"/>
    <x v="0"/>
    <x v="1"/>
    <x v="0"/>
    <n v="500"/>
    <m/>
    <m/>
    <x v="0"/>
    <x v="0"/>
    <n v="2.2000000000000002"/>
    <n v="0"/>
    <n v="0"/>
    <n v="-2.2000000000000002"/>
    <x v="10"/>
  </r>
  <r>
    <x v="13"/>
    <x v="0"/>
    <x v="0"/>
    <x v="0"/>
    <x v="0"/>
    <x v="0"/>
    <x v="7"/>
    <x v="0"/>
    <x v="3"/>
    <x v="6"/>
    <x v="2"/>
    <x v="0"/>
    <x v="0"/>
    <x v="0"/>
    <n v="2000"/>
    <m/>
    <m/>
    <x v="0"/>
    <x v="0"/>
    <n v="1.1000000000000001"/>
    <n v="0"/>
    <n v="0"/>
    <n v="-1.1000000000000001"/>
    <x v="11"/>
  </r>
  <r>
    <x v="14"/>
    <x v="0"/>
    <x v="0"/>
    <x v="0"/>
    <x v="0"/>
    <x v="0"/>
    <x v="8"/>
    <x v="5"/>
    <x v="2"/>
    <x v="3"/>
    <x v="0"/>
    <x v="0"/>
    <x v="0"/>
    <x v="0"/>
    <n v="750"/>
    <m/>
    <m/>
    <x v="0"/>
    <x v="0"/>
    <n v="1.05"/>
    <n v="0"/>
    <n v="0"/>
    <n v="-1.05"/>
    <x v="7"/>
  </r>
  <r>
    <x v="15"/>
    <x v="0"/>
    <x v="0"/>
    <x v="0"/>
    <x v="0"/>
    <x v="0"/>
    <x v="9"/>
    <x v="0"/>
    <x v="0"/>
    <x v="0"/>
    <x v="0"/>
    <x v="0"/>
    <x v="0"/>
    <x v="0"/>
    <n v="200"/>
    <m/>
    <m/>
    <x v="0"/>
    <x v="0"/>
    <n v="1.1000000000000001"/>
    <n v="0"/>
    <n v="0"/>
    <n v="-1.1000000000000001"/>
    <x v="12"/>
  </r>
  <r>
    <x v="16"/>
    <x v="0"/>
    <x v="0"/>
    <x v="0"/>
    <x v="0"/>
    <x v="0"/>
    <x v="9"/>
    <x v="0"/>
    <x v="3"/>
    <x v="7"/>
    <x v="2"/>
    <x v="0"/>
    <x v="1"/>
    <x v="0"/>
    <n v="750"/>
    <m/>
    <n v="6.47"/>
    <x v="0"/>
    <x v="4"/>
    <n v="1.1000000000000001"/>
    <n v="0"/>
    <n v="6.47"/>
    <n v="5.3699999999999992"/>
    <x v="13"/>
  </r>
  <r>
    <x v="17"/>
    <x v="0"/>
    <x v="0"/>
    <x v="0"/>
    <x v="0"/>
    <x v="0"/>
    <x v="9"/>
    <x v="1"/>
    <x v="1"/>
    <x v="1"/>
    <x v="1"/>
    <x v="0"/>
    <x v="1"/>
    <x v="0"/>
    <n v="250"/>
    <m/>
    <m/>
    <x v="0"/>
    <x v="0"/>
    <n v="1.1200000000000001"/>
    <n v="0"/>
    <n v="0"/>
    <n v="-1.1200000000000001"/>
    <x v="14"/>
  </r>
  <r>
    <x v="18"/>
    <x v="0"/>
    <x v="0"/>
    <x v="0"/>
    <x v="0"/>
    <x v="0"/>
    <x v="10"/>
    <x v="1"/>
    <x v="4"/>
    <x v="8"/>
    <x v="1"/>
    <x v="0"/>
    <x v="1"/>
    <x v="0"/>
    <n v="300"/>
    <m/>
    <m/>
    <x v="0"/>
    <x v="0"/>
    <n v="1"/>
    <n v="0"/>
    <n v="0"/>
    <n v="-1"/>
    <x v="15"/>
  </r>
  <r>
    <x v="19"/>
    <x v="0"/>
    <x v="0"/>
    <x v="0"/>
    <x v="0"/>
    <x v="0"/>
    <x v="11"/>
    <x v="0"/>
    <x v="4"/>
    <x v="9"/>
    <x v="2"/>
    <x v="0"/>
    <x v="0"/>
    <x v="0"/>
    <n v="300"/>
    <n v="0.25"/>
    <m/>
    <x v="0"/>
    <x v="0"/>
    <n v="1.1000000000000001"/>
    <n v="0.25"/>
    <n v="0"/>
    <n v="-0.85000000000000009"/>
    <x v="16"/>
  </r>
  <r>
    <x v="20"/>
    <x v="0"/>
    <x v="0"/>
    <x v="0"/>
    <x v="0"/>
    <x v="0"/>
    <x v="11"/>
    <x v="0"/>
    <x v="3"/>
    <x v="7"/>
    <x v="2"/>
    <x v="0"/>
    <x v="1"/>
    <x v="0"/>
    <n v="1500"/>
    <m/>
    <n v="3.97"/>
    <x v="0"/>
    <x v="5"/>
    <n v="1.1000000000000001"/>
    <n v="0"/>
    <n v="3.97"/>
    <n v="2.87"/>
    <x v="17"/>
  </r>
  <r>
    <x v="21"/>
    <x v="0"/>
    <x v="0"/>
    <x v="0"/>
    <x v="0"/>
    <x v="0"/>
    <x v="12"/>
    <x v="2"/>
    <x v="4"/>
    <x v="5"/>
    <x v="2"/>
    <x v="0"/>
    <x v="1"/>
    <x v="0"/>
    <n v="500"/>
    <m/>
    <m/>
    <x v="0"/>
    <x v="0"/>
    <n v="2.2000000000000002"/>
    <n v="0"/>
    <n v="0"/>
    <n v="-2.2000000000000002"/>
    <x v="1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97">
  <r>
    <n v="2021"/>
    <x v="0"/>
    <x v="0"/>
    <n v="1"/>
    <s v="пятница"/>
    <s v="январь"/>
    <x v="0"/>
    <d v="1899-12-30T11:00:00"/>
    <n v="1.1000000000000001"/>
    <s v="PP"/>
    <s v="Bounty Hunter"/>
    <n v="8"/>
    <s v="-"/>
    <s v="K"/>
    <n v="50"/>
    <s v="-"/>
    <s v="-"/>
    <s v="-"/>
    <s v="-"/>
    <n v="1.1000000000000001"/>
    <s v="-"/>
    <s v="-"/>
    <n v="-1.1000000000000001"/>
    <n v="45.454545454545453"/>
    <n v="-1.1000000000000001"/>
    <b v="1"/>
  </r>
  <r>
    <n v="2021"/>
    <x v="1"/>
    <x v="1"/>
    <n v="1"/>
    <s v="пятница"/>
    <s v="январь"/>
    <x v="0"/>
    <d v="1899-12-30T11:00:00"/>
    <n v="1"/>
    <s v="WN"/>
    <s v="Monster Stack"/>
    <n v="6"/>
    <s v="-"/>
    <s v="-"/>
    <n v="150"/>
    <s v="-"/>
    <s v="-"/>
    <s v="-"/>
    <s v="-"/>
    <n v="1.1200000000000001"/>
    <s v="-"/>
    <s v="-"/>
    <n v="-1.1200000000000001"/>
    <n v="150"/>
    <n v="-2.2200000000000002"/>
    <b v="1"/>
  </r>
  <r>
    <n v="2021"/>
    <x v="2"/>
    <x v="2"/>
    <n v="1"/>
    <s v="пятница"/>
    <s v="январь"/>
    <x v="0"/>
    <d v="1899-12-30T11:15:00"/>
    <n v="2.2000000000000002"/>
    <s v="PP"/>
    <s v="Deepstack"/>
    <n v="8"/>
    <s v="-"/>
    <s v="-"/>
    <n v="200"/>
    <s v="-"/>
    <s v="-"/>
    <s v="-"/>
    <s v="-"/>
    <n v="2.2000000000000002"/>
    <s v="-"/>
    <s v="-"/>
    <n v="-2.2000000000000002"/>
    <n v="90.909090909090907"/>
    <n v="-4.42"/>
    <b v="1"/>
  </r>
  <r>
    <n v="2021"/>
    <x v="3"/>
    <x v="3"/>
    <n v="1"/>
    <s v="пятница"/>
    <s v="январь"/>
    <x v="0"/>
    <d v="1899-12-30T11:30:00"/>
    <n v="2.1"/>
    <s v="GG"/>
    <s v="Bounty Hunters"/>
    <n v="8"/>
    <s v="-"/>
    <s v="K"/>
    <n v="1200"/>
    <s v="-"/>
    <s v="-"/>
    <s v="-"/>
    <s v="-"/>
    <n v="2.1"/>
    <s v="-"/>
    <s v="-"/>
    <n v="-2.1"/>
    <n v="571.42857142857144"/>
    <n v="-6.52"/>
    <b v="1"/>
  </r>
  <r>
    <n v="2021"/>
    <x v="4"/>
    <x v="4"/>
    <n v="1"/>
    <s v="пятница"/>
    <s v="январь"/>
    <x v="0"/>
    <d v="1899-12-30T12:00:00"/>
    <n v="1.1000000000000001"/>
    <s v="PP"/>
    <s v="Deepstack"/>
    <n v="8"/>
    <s v="-"/>
    <s v="-"/>
    <n v="150"/>
    <s v="-"/>
    <s v="-"/>
    <s v="-"/>
    <s v="-"/>
    <n v="1.1000000000000001"/>
    <s v="-"/>
    <s v="-"/>
    <n v="-1.1000000000000001"/>
    <n v="136.36363636363635"/>
    <n v="-7.6199999999999992"/>
    <b v="1"/>
  </r>
  <r>
    <n v="2021"/>
    <x v="5"/>
    <x v="5"/>
    <n v="1"/>
    <s v="пятница"/>
    <s v="январь"/>
    <x v="0"/>
    <d v="1899-12-30T12:00:00"/>
    <n v="1.1000000000000001"/>
    <s v="PS"/>
    <s v="Big"/>
    <n v="9"/>
    <s v="-"/>
    <s v="-"/>
    <n v="500"/>
    <s v="-"/>
    <n v="6.26"/>
    <s v="-"/>
    <n v="42"/>
    <n v="1.1000000000000001"/>
    <s v="-"/>
    <n v="6.26"/>
    <n v="5.16"/>
    <n v="454.5454545454545"/>
    <n v="-2.4599999999999991"/>
    <b v="1"/>
  </r>
  <r>
    <n v="2021"/>
    <x v="6"/>
    <x v="6"/>
    <n v="1"/>
    <s v="пятница"/>
    <s v="январь"/>
    <x v="0"/>
    <d v="1899-12-30T12:00:00"/>
    <n v="2"/>
    <s v="WN"/>
    <s v="Monster Stack"/>
    <n v="6"/>
    <s v="-"/>
    <s v="-"/>
    <n v="200"/>
    <s v="-"/>
    <s v="-"/>
    <s v="-"/>
    <s v="-"/>
    <n v="2.2400000000000002"/>
    <s v="-"/>
    <s v="-"/>
    <n v="-2.2400000000000002"/>
    <n v="100"/>
    <n v="-4.6999999999999993"/>
    <b v="1"/>
  </r>
  <r>
    <n v="2021"/>
    <x v="7"/>
    <x v="7"/>
    <n v="1"/>
    <s v="пятница"/>
    <s v="январь"/>
    <x v="0"/>
    <d v="1899-12-30T12:30:00"/>
    <n v="1.05"/>
    <s v="GG"/>
    <s v="Bounty Hunters"/>
    <n v="8"/>
    <s v="-"/>
    <s v="K"/>
    <n v="750"/>
    <n v="5.04"/>
    <n v="3.98"/>
    <s v="-"/>
    <n v="20"/>
    <n v="1.05"/>
    <n v="5.04"/>
    <n v="3.98"/>
    <n v="7.97"/>
    <n v="714.28571428571422"/>
    <n v="3.2700000000000005"/>
    <b v="1"/>
  </r>
  <r>
    <n v="2021"/>
    <x v="8"/>
    <x v="8"/>
    <n v="1"/>
    <s v="пятница"/>
    <s v="январь"/>
    <x v="0"/>
    <d v="1899-12-30T12:30:00"/>
    <n v="1"/>
    <s v="PAC"/>
    <s v="Guaranteed"/>
    <n v="9"/>
    <s v="-"/>
    <s v="-"/>
    <n v="200"/>
    <s v="-"/>
    <s v="-"/>
    <s v="-"/>
    <s v="-"/>
    <n v="1"/>
    <s v="-"/>
    <s v="-"/>
    <n v="-1"/>
    <n v="200"/>
    <n v="2.2700000000000005"/>
    <b v="1"/>
  </r>
  <r>
    <n v="2021"/>
    <x v="9"/>
    <x v="9"/>
    <n v="1"/>
    <s v="пятница"/>
    <s v="январь"/>
    <x v="0"/>
    <d v="1899-12-30T12:30:00"/>
    <n v="2.2000000000000002"/>
    <s v="PP"/>
    <s v="Bounty Hunter"/>
    <n v="8"/>
    <s v="-"/>
    <s v="K"/>
    <n v="200"/>
    <s v="-"/>
    <s v="-"/>
    <s v="-"/>
    <s v="-"/>
    <n v="2.2000000000000002"/>
    <s v="-"/>
    <s v="-"/>
    <n v="-2.2000000000000002"/>
    <n v="90.909090909090907"/>
    <n v="7.0000000000000284E-2"/>
    <b v="1"/>
  </r>
  <r>
    <n v="2021"/>
    <x v="10"/>
    <x v="10"/>
    <n v="1"/>
    <s v="пятница"/>
    <s v="январь"/>
    <x v="0"/>
    <d v="1899-12-30T13:00:00"/>
    <n v="2"/>
    <s v="GG"/>
    <s v="Big"/>
    <n v="8"/>
    <s v="-"/>
    <s v="-"/>
    <n v="750"/>
    <s v="-"/>
    <s v="-"/>
    <s v="-"/>
    <s v="-"/>
    <n v="2"/>
    <s v="-"/>
    <s v="-"/>
    <n v="-2"/>
    <n v="375"/>
    <n v="-1.9299999999999997"/>
    <b v="1"/>
  </r>
  <r>
    <n v="2021"/>
    <x v="11"/>
    <x v="0"/>
    <n v="1"/>
    <s v="пятница"/>
    <s v="январь"/>
    <x v="0"/>
    <d v="1899-12-30T13:00:00"/>
    <n v="1.1000000000000001"/>
    <s v="PP"/>
    <s v="Bounty Hunter"/>
    <n v="8"/>
    <s v="-"/>
    <s v="K"/>
    <n v="100"/>
    <n v="1.37"/>
    <n v="1.25"/>
    <s v="-"/>
    <n v="18"/>
    <n v="1.1000000000000001"/>
    <n v="1.37"/>
    <n v="1.25"/>
    <n v="1.52"/>
    <n v="90.909090909090907"/>
    <n v="-0.4099999999999997"/>
    <b v="1"/>
  </r>
  <r>
    <n v="2021"/>
    <x v="12"/>
    <x v="11"/>
    <n v="1"/>
    <s v="пятница"/>
    <s v="январь"/>
    <x v="0"/>
    <d v="1899-12-30T14:00:00"/>
    <n v="2.2000000000000002"/>
    <s v="PAC"/>
    <s v="Guaranteed"/>
    <n v="9"/>
    <s v="-"/>
    <s v="-"/>
    <n v="500"/>
    <s v="-"/>
    <s v="-"/>
    <s v="-"/>
    <s v="-"/>
    <n v="2.2000000000000002"/>
    <s v="-"/>
    <s v="-"/>
    <n v="-2.2000000000000002"/>
    <n v="227.27272727272725"/>
    <n v="-2.61"/>
    <b v="1"/>
  </r>
  <r>
    <n v="2021"/>
    <x v="13"/>
    <x v="12"/>
    <n v="1"/>
    <s v="пятница"/>
    <s v="январь"/>
    <x v="0"/>
    <d v="1899-12-30T14:20:00"/>
    <n v="1.1000000000000001"/>
    <s v="PS"/>
    <s v="Progressive KO"/>
    <n v="9"/>
    <s v="-"/>
    <s v="K"/>
    <n v="2000"/>
    <s v="-"/>
    <s v="-"/>
    <s v="-"/>
    <s v="-"/>
    <n v="1.1000000000000001"/>
    <s v="-"/>
    <s v="-"/>
    <n v="-1.1000000000000001"/>
    <n v="1818.181818181818"/>
    <n v="-3.71"/>
    <b v="1"/>
  </r>
  <r>
    <n v="2021"/>
    <x v="14"/>
    <x v="7"/>
    <n v="1"/>
    <s v="пятница"/>
    <s v="январь"/>
    <x v="0"/>
    <d v="1899-12-30T14:30:00"/>
    <n v="1.05"/>
    <s v="GG"/>
    <s v="Bounty Hunters"/>
    <n v="8"/>
    <s v="-"/>
    <s v="K"/>
    <n v="750"/>
    <s v="-"/>
    <s v="-"/>
    <s v="-"/>
    <s v="-"/>
    <n v="1.05"/>
    <s v="-"/>
    <s v="-"/>
    <n v="-1.05"/>
    <n v="714.28571428571422"/>
    <n v="-4.76"/>
    <b v="1"/>
  </r>
  <r>
    <n v="2021"/>
    <x v="15"/>
    <x v="0"/>
    <n v="1"/>
    <s v="пятница"/>
    <s v="январь"/>
    <x v="0"/>
    <d v="1899-12-30T15:00:00"/>
    <n v="1.1000000000000001"/>
    <s v="PP"/>
    <s v="Bounty Hunter"/>
    <n v="8"/>
    <s v="-"/>
    <s v="K"/>
    <n v="200"/>
    <s v="-"/>
    <s v="-"/>
    <s v="-"/>
    <s v="-"/>
    <n v="1.1000000000000001"/>
    <s v="-"/>
    <s v="-"/>
    <n v="-1.1000000000000001"/>
    <n v="181.81818181818181"/>
    <n v="-5.8599999999999994"/>
    <b v="1"/>
  </r>
  <r>
    <n v="2021"/>
    <x v="16"/>
    <x v="13"/>
    <n v="1"/>
    <s v="пятница"/>
    <s v="январь"/>
    <x v="0"/>
    <d v="1899-12-30T15:00:00"/>
    <n v="1.1000000000000001"/>
    <s v="PS"/>
    <s v="GTD"/>
    <n v="9"/>
    <s v="-"/>
    <s v="-"/>
    <n v="750"/>
    <s v="-"/>
    <n v="6.47"/>
    <s v="-"/>
    <n v="19"/>
    <n v="1.1000000000000001"/>
    <s v="-"/>
    <n v="6.47"/>
    <n v="5.3699999999999992"/>
    <n v="681.81818181818176"/>
    <n v="-0.49000000000000021"/>
    <b v="1"/>
  </r>
  <r>
    <n v="2021"/>
    <x v="17"/>
    <x v="1"/>
    <n v="1"/>
    <s v="пятница"/>
    <s v="январь"/>
    <x v="0"/>
    <d v="1899-12-30T15:00:00"/>
    <n v="1"/>
    <s v="WN"/>
    <s v="Monster Stack"/>
    <n v="6"/>
    <s v="-"/>
    <s v="-"/>
    <n v="250"/>
    <s v="-"/>
    <s v="-"/>
    <s v="-"/>
    <s v="-"/>
    <n v="1.1200000000000001"/>
    <s v="-"/>
    <s v="-"/>
    <n v="-1.1200000000000001"/>
    <n v="250"/>
    <n v="-1.6100000000000003"/>
    <b v="1"/>
  </r>
  <r>
    <n v="2021"/>
    <x v="18"/>
    <x v="14"/>
    <n v="1"/>
    <s v="пятница"/>
    <s v="январь"/>
    <x v="0"/>
    <d v="1899-12-30T16:00:00"/>
    <n v="1"/>
    <s v="PAC"/>
    <s v="6-Max Think Fast"/>
    <n v="6"/>
    <s v="-"/>
    <s v="-"/>
    <n v="300"/>
    <s v="-"/>
    <s v="-"/>
    <s v="-"/>
    <s v="-"/>
    <n v="1"/>
    <s v="-"/>
    <s v="-"/>
    <n v="-1"/>
    <n v="300"/>
    <n v="-2.6100000000000003"/>
    <b v="1"/>
  </r>
  <r>
    <n v="2021"/>
    <x v="19"/>
    <x v="15"/>
    <n v="1"/>
    <s v="пятница"/>
    <s v="январь"/>
    <x v="0"/>
    <d v="1899-12-30T16:15:00"/>
    <n v="1.1000000000000001"/>
    <s v="PAC"/>
    <s v="Guaranteed PKO"/>
    <n v="9"/>
    <s v="-"/>
    <s v="K"/>
    <n v="300"/>
    <n v="0.25"/>
    <s v="-"/>
    <s v="-"/>
    <s v="-"/>
    <n v="1.1000000000000001"/>
    <n v="0.25"/>
    <s v="-"/>
    <n v="-0.85000000000000009"/>
    <n v="272.72727272727269"/>
    <n v="-3.4600000000000004"/>
    <b v="1"/>
  </r>
  <r>
    <n v="2021"/>
    <x v="20"/>
    <x v="13"/>
    <n v="1"/>
    <s v="пятница"/>
    <s v="январь"/>
    <x v="0"/>
    <d v="1899-12-30T16:15:00"/>
    <n v="1.1000000000000001"/>
    <s v="PS"/>
    <s v="GTD"/>
    <n v="9"/>
    <s v="-"/>
    <s v="-"/>
    <n v="1500"/>
    <s v="-"/>
    <n v="3.97"/>
    <s v="-"/>
    <n v="145"/>
    <n v="1.1000000000000001"/>
    <s v="-"/>
    <n v="3.97"/>
    <n v="2.87"/>
    <n v="1363.6363636363635"/>
    <n v="-0.5900000000000003"/>
    <b v="1"/>
  </r>
  <r>
    <n v="2021"/>
    <x v="21"/>
    <x v="11"/>
    <n v="1"/>
    <s v="пятница"/>
    <s v="январь"/>
    <x v="0"/>
    <d v="1899-12-30T16:30:00"/>
    <n v="2.2000000000000002"/>
    <s v="PAC"/>
    <s v="Guaranteed"/>
    <n v="9"/>
    <s v="-"/>
    <s v="-"/>
    <n v="500"/>
    <s v="-"/>
    <s v="-"/>
    <s v="-"/>
    <s v="-"/>
    <n v="2.2000000000000002"/>
    <s v="-"/>
    <s v="-"/>
    <n v="-2.2000000000000002"/>
    <n v="227.27272727272725"/>
    <n v="-2.7900000000000005"/>
    <b v="1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22"/>
    <x v="16"/>
    <s v=""/>
    <s v=""/>
    <s v=""/>
    <x v="1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2E7E8FB-AB0C-4EA5-A283-44412798EB1B}" name="№" cacheId="0" applyNumberFormats="0" applyBorderFormats="0" applyFontFormats="0" applyPatternFormats="0" applyAlignmentFormats="0" applyWidthHeightFormats="1" dataCaption="Значения" updatedVersion="6" minRefreshableVersion="3" rowGrandTotals="0" colGrandTotals="0" itemPrintTitles="1" createdVersion="6" indent="0" outline="1" outlineData="1" multipleFieldFilters="0" rowHeaderCaption="№">
  <location ref="B39:B61" firstHeaderRow="1" firstDataRow="1" firstDataCol="1"/>
  <pivotFields count="24">
    <pivotField axis="axisRow" showAll="0">
      <items count="7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m="1" x="38"/>
        <item m="1" x="406"/>
        <item m="1" x="26"/>
        <item m="1" x="394"/>
        <item m="1" x="757"/>
        <item m="1" x="381"/>
        <item m="1" x="745"/>
        <item m="1" x="369"/>
        <item m="1" x="733"/>
        <item m="1" x="356"/>
        <item m="1" x="544"/>
        <item m="1" x="720"/>
        <item m="1" x="160"/>
        <item m="1" x="342"/>
        <item m="1" x="530"/>
        <item m="1" x="707"/>
        <item m="1" x="147"/>
        <item m="1" x="329"/>
        <item m="1" x="517"/>
        <item m="1" x="695"/>
        <item m="1" x="134"/>
        <item m="1" x="316"/>
        <item m="1" x="504"/>
        <item m="1" x="683"/>
        <item m="1" x="121"/>
        <item m="1" x="303"/>
        <item m="1" x="491"/>
        <item m="1" x="672"/>
        <item m="1" x="109"/>
        <item m="1" x="290"/>
        <item m="1" x="478"/>
        <item m="1" x="660"/>
        <item m="1" x="97"/>
        <item m="1" x="278"/>
        <item m="1" x="466"/>
        <item m="1" x="649"/>
        <item m="1" x="85"/>
        <item m="1" x="266"/>
        <item m="1" x="454"/>
        <item m="1" x="638"/>
        <item m="1" x="73"/>
        <item m="1" x="254"/>
        <item m="1" x="349"/>
        <item m="1" x="442"/>
        <item m="1" x="537"/>
        <item m="1" x="626"/>
        <item m="1" x="714"/>
        <item m="1" x="61"/>
        <item m="1" x="154"/>
        <item m="1" x="242"/>
        <item m="1" x="336"/>
        <item m="1" x="430"/>
        <item m="1" x="524"/>
        <item m="1" x="614"/>
        <item m="1" x="702"/>
        <item m="1" x="50"/>
        <item m="1" x="142"/>
        <item m="1" x="231"/>
        <item m="1" x="324"/>
        <item m="1" x="419"/>
        <item m="1" x="512"/>
        <item m="1" x="603"/>
        <item m="1" x="691"/>
        <item m="1" x="39"/>
        <item m="1" x="129"/>
        <item m="1" x="219"/>
        <item m="1" x="311"/>
        <item m="1" x="407"/>
        <item m="1" x="499"/>
        <item m="1" x="591"/>
        <item m="1" x="679"/>
        <item m="1" x="27"/>
        <item m="1" x="117"/>
        <item m="1" x="208"/>
        <item m="1" x="299"/>
        <item m="1" x="395"/>
        <item m="1" x="487"/>
        <item m="1" x="580"/>
        <item m="1" x="668"/>
        <item m="1" x="758"/>
        <item m="1" x="105"/>
        <item m="1" x="196"/>
        <item m="1" x="286"/>
        <item m="1" x="382"/>
        <item m="1" x="474"/>
        <item m="1" x="568"/>
        <item m="1" x="656"/>
        <item m="1" x="746"/>
        <item m="1" x="93"/>
        <item m="1" x="185"/>
        <item m="1" x="274"/>
        <item m="1" x="370"/>
        <item m="1" x="462"/>
        <item m="1" x="557"/>
        <item m="1" x="645"/>
        <item m="1" x="734"/>
        <item m="1" x="80"/>
        <item m="1" x="173"/>
        <item m="1" x="261"/>
        <item m="1" x="357"/>
        <item m="1" x="449"/>
        <item m="1" x="545"/>
        <item m="1" x="633"/>
        <item m="1" x="722"/>
        <item m="1" x="68"/>
        <item m="1" x="162"/>
        <item m="1" x="205"/>
        <item m="1" x="249"/>
        <item m="1" x="296"/>
        <item m="1" x="344"/>
        <item m="1" x="391"/>
        <item m="1" x="437"/>
        <item m="1" x="484"/>
        <item m="1" x="532"/>
        <item m="1" x="577"/>
        <item m="1" x="621"/>
        <item m="1" x="665"/>
        <item m="1" x="709"/>
        <item m="1" x="754"/>
        <item m="1" x="56"/>
        <item m="1" x="102"/>
        <item m="1" x="149"/>
        <item m="1" x="193"/>
        <item m="1" x="237"/>
        <item m="1" x="283"/>
        <item m="1" x="331"/>
        <item m="1" x="378"/>
        <item m="1" x="425"/>
        <item m="1" x="471"/>
        <item m="1" x="519"/>
        <item m="1" x="565"/>
        <item m="1" x="609"/>
        <item m="1" x="653"/>
        <item m="1" x="697"/>
        <item m="1" x="741"/>
        <item m="1" x="44"/>
        <item m="1" x="89"/>
        <item m="1" x="136"/>
        <item m="1" x="181"/>
        <item m="1" x="225"/>
        <item m="1" x="270"/>
        <item m="1" x="318"/>
        <item m="1" x="365"/>
        <item m="1" x="413"/>
        <item m="1" x="458"/>
        <item m="1" x="506"/>
        <item m="1" x="553"/>
        <item m="1" x="597"/>
        <item m="1" x="641"/>
        <item m="1" x="685"/>
        <item m="1" x="729"/>
        <item m="1" x="32"/>
        <item m="1" x="76"/>
        <item m="1" x="123"/>
        <item m="1" x="169"/>
        <item m="1" x="213"/>
        <item m="1" x="257"/>
        <item m="1" x="305"/>
        <item m="1" x="352"/>
        <item m="1" x="400"/>
        <item m="1" x="445"/>
        <item m="1" x="493"/>
        <item m="1" x="540"/>
        <item m="1" x="585"/>
        <item m="1" x="629"/>
        <item m="1" x="673"/>
        <item m="1" x="716"/>
        <item m="1" x="762"/>
        <item m="1" x="63"/>
        <item m="1" x="110"/>
        <item m="1" x="156"/>
        <item m="1" x="200"/>
        <item m="1" x="244"/>
        <item m="1" x="291"/>
        <item m="1" x="338"/>
        <item m="1" x="386"/>
        <item m="1" x="432"/>
        <item m="1" x="479"/>
        <item m="1" x="526"/>
        <item m="1" x="572"/>
        <item m="1" x="616"/>
        <item m="1" x="661"/>
        <item m="1" x="704"/>
        <item m="1" x="750"/>
        <item m="1" x="52"/>
        <item m="1" x="98"/>
        <item m="1" x="144"/>
        <item m="1" x="189"/>
        <item m="1" x="233"/>
        <item m="1" x="279"/>
        <item m="1" x="326"/>
        <item m="1" x="374"/>
        <item m="1" x="421"/>
        <item m="1" x="467"/>
        <item m="1" x="514"/>
        <item m="1" x="561"/>
        <item m="1" x="605"/>
        <item m="1" x="650"/>
        <item m="1" x="693"/>
        <item m="1" x="738"/>
        <item m="1" x="41"/>
        <item m="1" x="86"/>
        <item m="1" x="132"/>
        <item m="1" x="178"/>
        <item m="1" x="222"/>
        <item m="1" x="267"/>
        <item m="1" x="314"/>
        <item m="1" x="362"/>
        <item m="1" x="410"/>
        <item m="1" x="455"/>
        <item m="1" x="502"/>
        <item m="1" x="550"/>
        <item m="1" x="594"/>
        <item m="1" x="639"/>
        <item m="1" x="682"/>
        <item m="1" x="727"/>
        <item m="1" x="30"/>
        <item m="1" x="74"/>
        <item m="1" x="120"/>
        <item m="1" x="167"/>
        <item m="1" x="211"/>
        <item m="1" x="255"/>
        <item m="1" x="302"/>
        <item m="1" x="350"/>
        <item m="1" x="398"/>
        <item m="1" x="443"/>
        <item m="1" x="490"/>
        <item m="1" x="538"/>
        <item m="1" x="583"/>
        <item m="1" x="627"/>
        <item m="1" x="671"/>
        <item m="1" x="715"/>
        <item m="1" x="761"/>
        <item m="1" x="62"/>
        <item m="1" x="84"/>
        <item m="1" x="108"/>
        <item m="1" x="131"/>
        <item m="1" x="155"/>
        <item m="1" x="177"/>
        <item m="1" x="199"/>
        <item m="1" x="221"/>
        <item m="1" x="243"/>
        <item m="1" x="265"/>
        <item m="1" x="289"/>
        <item m="1" x="313"/>
        <item m="1" x="337"/>
        <item m="1" x="361"/>
        <item m="1" x="385"/>
        <item m="1" x="409"/>
        <item m="1" x="431"/>
        <item m="1" x="453"/>
        <item m="1" x="477"/>
        <item m="1" x="501"/>
        <item m="1" x="525"/>
        <item m="1" x="549"/>
        <item m="1" x="571"/>
        <item m="1" x="593"/>
        <item m="1" x="615"/>
        <item m="1" x="637"/>
        <item m="1" x="659"/>
        <item m="1" x="681"/>
        <item m="1" x="703"/>
        <item m="1" x="726"/>
        <item m="1" x="749"/>
        <item m="1" x="29"/>
        <item m="1" x="51"/>
        <item m="1" x="72"/>
        <item m="1" x="96"/>
        <item m="1" x="119"/>
        <item m="1" x="143"/>
        <item m="1" x="166"/>
        <item m="1" x="188"/>
        <item m="1" x="210"/>
        <item m="1" x="232"/>
        <item m="1" x="253"/>
        <item m="1" x="277"/>
        <item m="1" x="301"/>
        <item m="1" x="325"/>
        <item m="1" x="348"/>
        <item m="1" x="373"/>
        <item m="1" x="397"/>
        <item m="1" x="420"/>
        <item m="1" x="441"/>
        <item m="1" x="465"/>
        <item m="1" x="489"/>
        <item m="1" x="513"/>
        <item m="1" x="536"/>
        <item m="1" x="560"/>
        <item m="1" x="582"/>
        <item m="1" x="604"/>
        <item m="1" x="625"/>
        <item m="1" x="648"/>
        <item m="1" x="670"/>
        <item m="1" x="692"/>
        <item m="1" x="713"/>
        <item m="1" x="737"/>
        <item m="1" x="760"/>
        <item m="1" x="40"/>
        <item m="1" x="60"/>
        <item m="1" x="83"/>
        <item m="1" x="107"/>
        <item m="1" x="130"/>
        <item m="1" x="153"/>
        <item m="1" x="176"/>
        <item m="1" x="198"/>
        <item m="1" x="220"/>
        <item m="1" x="241"/>
        <item m="1" x="264"/>
        <item m="1" x="288"/>
        <item m="1" x="312"/>
        <item m="1" x="335"/>
        <item m="1" x="360"/>
        <item m="1" x="384"/>
        <item m="1" x="408"/>
        <item m="1" x="429"/>
        <item m="1" x="452"/>
        <item m="1" x="476"/>
        <item m="1" x="500"/>
        <item m="1" x="523"/>
        <item m="1" x="548"/>
        <item m="1" x="570"/>
        <item m="1" x="592"/>
        <item m="1" x="613"/>
        <item m="1" x="636"/>
        <item m="1" x="658"/>
        <item m="1" x="680"/>
        <item m="1" x="701"/>
        <item m="1" x="725"/>
        <item m="1" x="748"/>
        <item m="1" x="28"/>
        <item m="1" x="49"/>
        <item m="1" x="71"/>
        <item m="1" x="95"/>
        <item m="1" x="118"/>
        <item m="1" x="141"/>
        <item m="1" x="165"/>
        <item m="1" x="187"/>
        <item m="1" x="209"/>
        <item m="1" x="230"/>
        <item m="1" x="252"/>
        <item m="1" x="276"/>
        <item m="1" x="300"/>
        <item m="1" x="323"/>
        <item m="1" x="347"/>
        <item m="1" x="372"/>
        <item m="1" x="396"/>
        <item m="1" x="418"/>
        <item m="1" x="440"/>
        <item m="1" x="464"/>
        <item m="1" x="488"/>
        <item m="1" x="511"/>
        <item m="1" x="535"/>
        <item m="1" x="559"/>
        <item m="1" x="581"/>
        <item m="1" x="602"/>
        <item m="1" x="624"/>
        <item m="1" x="647"/>
        <item m="1" x="669"/>
        <item m="1" x="690"/>
        <item m="1" x="712"/>
        <item m="1" x="736"/>
        <item m="1" x="759"/>
        <item m="1" x="37"/>
        <item m="1" x="59"/>
        <item m="1" x="82"/>
        <item m="1" x="106"/>
        <item m="1" x="128"/>
        <item m="1" x="152"/>
        <item m="1" x="175"/>
        <item m="1" x="197"/>
        <item m="1" x="218"/>
        <item m="1" x="240"/>
        <item m="1" x="263"/>
        <item m="1" x="287"/>
        <item m="1" x="310"/>
        <item m="1" x="334"/>
        <item m="1" x="359"/>
        <item m="1" x="383"/>
        <item m="1" x="405"/>
        <item m="1" x="428"/>
        <item m="1" x="451"/>
        <item m="1" x="475"/>
        <item m="1" x="498"/>
        <item m="1" x="522"/>
        <item m="1" x="547"/>
        <item m="1" x="569"/>
        <item m="1" x="590"/>
        <item m="1" x="612"/>
        <item m="1" x="635"/>
        <item m="1" x="657"/>
        <item m="1" x="678"/>
        <item m="1" x="700"/>
        <item m="1" x="724"/>
        <item m="1" x="747"/>
        <item m="1" x="25"/>
        <item m="1" x="48"/>
        <item m="1" x="70"/>
        <item m="1" x="94"/>
        <item m="1" x="116"/>
        <item m="1" x="140"/>
        <item m="1" x="164"/>
        <item m="1" x="186"/>
        <item m="1" x="207"/>
        <item m="1" x="229"/>
        <item m="1" x="251"/>
        <item m="1" x="275"/>
        <item m="1" x="298"/>
        <item m="1" x="322"/>
        <item m="1" x="346"/>
        <item m="1" x="371"/>
        <item m="1" x="393"/>
        <item m="1" x="417"/>
        <item m="1" x="439"/>
        <item m="1" x="463"/>
        <item m="1" x="486"/>
        <item m="1" x="510"/>
        <item m="1" x="534"/>
        <item m="1" x="558"/>
        <item m="1" x="579"/>
        <item m="1" x="601"/>
        <item m="1" x="623"/>
        <item m="1" x="646"/>
        <item m="1" x="667"/>
        <item m="1" x="689"/>
        <item m="1" x="711"/>
        <item m="1" x="735"/>
        <item m="1" x="756"/>
        <item m="1" x="36"/>
        <item m="1" x="58"/>
        <item m="1" x="81"/>
        <item m="1" x="104"/>
        <item m="1" x="127"/>
        <item m="1" x="151"/>
        <item m="1" x="174"/>
        <item m="1" x="195"/>
        <item m="1" x="217"/>
        <item m="1" x="239"/>
        <item m="1" x="262"/>
        <item m="1" x="285"/>
        <item m="1" x="309"/>
        <item m="1" x="333"/>
        <item m="1" x="358"/>
        <item m="1" x="380"/>
        <item m="1" x="404"/>
        <item m="1" x="427"/>
        <item m="1" x="450"/>
        <item m="1" x="473"/>
        <item m="1" x="497"/>
        <item m="1" x="521"/>
        <item m="1" x="546"/>
        <item m="1" x="567"/>
        <item m="1" x="589"/>
        <item m="1" x="611"/>
        <item m="1" x="634"/>
        <item m="1" x="655"/>
        <item m="1" x="677"/>
        <item m="1" x="699"/>
        <item m="1" x="723"/>
        <item m="1" x="744"/>
        <item m="1" x="24"/>
        <item m="1" x="47"/>
        <item m="1" x="69"/>
        <item m="1" x="92"/>
        <item m="1" x="115"/>
        <item m="1" x="139"/>
        <item m="1" x="163"/>
        <item m="1" x="184"/>
        <item m="1" x="206"/>
        <item m="1" x="228"/>
        <item m="1" x="250"/>
        <item m="1" x="273"/>
        <item m="1" x="297"/>
        <item m="1" x="321"/>
        <item m="1" x="345"/>
        <item m="1" x="368"/>
        <item m="1" x="392"/>
        <item m="1" x="416"/>
        <item m="1" x="438"/>
        <item m="1" x="461"/>
        <item m="1" x="485"/>
        <item m="1" x="509"/>
        <item m="1" x="533"/>
        <item m="1" x="556"/>
        <item m="1" x="578"/>
        <item m="1" x="600"/>
        <item m="1" x="622"/>
        <item m="1" x="644"/>
        <item m="1" x="666"/>
        <item m="1" x="688"/>
        <item m="1" x="710"/>
        <item m="1" x="721"/>
        <item m="1" x="732"/>
        <item m="1" x="743"/>
        <item m="1" x="755"/>
        <item m="1" x="23"/>
        <item m="1" x="35"/>
        <item m="1" x="46"/>
        <item m="1" x="57"/>
        <item m="1" x="67"/>
        <item m="1" x="79"/>
        <item m="1" x="91"/>
        <item m="1" x="103"/>
        <item m="1" x="114"/>
        <item m="1" x="126"/>
        <item m="1" x="138"/>
        <item m="1" x="150"/>
        <item m="1" x="161"/>
        <item m="1" x="172"/>
        <item m="1" x="183"/>
        <item m="1" x="194"/>
        <item m="1" x="204"/>
        <item m="1" x="216"/>
        <item m="1" x="227"/>
        <item m="1" x="238"/>
        <item m="1" x="248"/>
        <item m="1" x="260"/>
        <item m="1" x="272"/>
        <item m="1" x="284"/>
        <item m="1" x="295"/>
        <item m="1" x="308"/>
        <item m="1" x="320"/>
        <item m="1" x="332"/>
        <item m="1" x="343"/>
        <item m="1" x="355"/>
        <item m="1" x="367"/>
        <item m="1" x="379"/>
        <item m="1" x="390"/>
        <item m="1" x="403"/>
        <item m="1" x="415"/>
        <item m="1" x="426"/>
        <item m="1" x="436"/>
        <item m="1" x="448"/>
        <item m="1" x="460"/>
        <item m="1" x="472"/>
        <item m="1" x="483"/>
        <item m="1" x="496"/>
        <item m="1" x="508"/>
        <item m="1" x="520"/>
        <item m="1" x="531"/>
        <item m="1" x="543"/>
        <item m="1" x="555"/>
        <item m="1" x="566"/>
        <item m="1" x="576"/>
        <item m="1" x="588"/>
        <item m="1" x="599"/>
        <item m="1" x="610"/>
        <item m="1" x="620"/>
        <item m="1" x="632"/>
        <item m="1" x="643"/>
        <item m="1" x="654"/>
        <item m="1" x="664"/>
        <item m="1" x="676"/>
        <item m="1" x="687"/>
        <item m="1" x="698"/>
        <item m="1" x="708"/>
        <item m="1" x="719"/>
        <item m="1" x="731"/>
        <item m="1" x="742"/>
        <item m="1" x="753"/>
        <item m="1" x="22"/>
        <item m="1" x="34"/>
        <item m="1" x="45"/>
        <item m="1" x="55"/>
        <item m="1" x="66"/>
        <item m="1" x="78"/>
        <item m="1" x="90"/>
        <item m="1" x="101"/>
        <item m="1" x="113"/>
        <item m="1" x="125"/>
        <item m="1" x="137"/>
        <item m="1" x="148"/>
        <item m="1" x="159"/>
        <item m="1" x="171"/>
        <item m="1" x="182"/>
        <item m="1" x="192"/>
        <item m="1" x="203"/>
        <item m="1" x="215"/>
        <item m="1" x="226"/>
        <item m="1" x="236"/>
        <item m="1" x="247"/>
        <item m="1" x="259"/>
        <item m="1" x="271"/>
        <item m="1" x="282"/>
        <item m="1" x="294"/>
        <item m="1" x="307"/>
        <item m="1" x="319"/>
        <item m="1" x="330"/>
        <item m="1" x="341"/>
        <item m="1" x="354"/>
        <item m="1" x="366"/>
        <item m="1" x="377"/>
        <item m="1" x="389"/>
        <item m="1" x="402"/>
        <item m="1" x="414"/>
        <item m="1" x="424"/>
        <item m="1" x="435"/>
        <item m="1" x="447"/>
        <item m="1" x="459"/>
        <item m="1" x="470"/>
        <item m="1" x="482"/>
        <item m="1" x="495"/>
        <item m="1" x="507"/>
        <item m="1" x="518"/>
        <item m="1" x="529"/>
        <item m="1" x="542"/>
        <item m="1" x="554"/>
        <item m="1" x="564"/>
        <item m="1" x="575"/>
        <item m="1" x="587"/>
        <item m="1" x="598"/>
        <item m="1" x="608"/>
        <item m="1" x="619"/>
        <item m="1" x="631"/>
        <item m="1" x="642"/>
        <item m="1" x="652"/>
        <item m="1" x="663"/>
        <item m="1" x="675"/>
        <item m="1" x="686"/>
        <item m="1" x="696"/>
        <item m="1" x="706"/>
        <item m="1" x="718"/>
        <item m="1" x="730"/>
        <item m="1" x="740"/>
        <item m="1" x="752"/>
        <item m="1" x="764"/>
        <item m="1" x="33"/>
        <item m="1" x="43"/>
        <item m="1" x="54"/>
        <item m="1" x="65"/>
        <item m="1" x="77"/>
        <item m="1" x="88"/>
        <item m="1" x="100"/>
        <item m="1" x="112"/>
        <item m="1" x="124"/>
        <item m="1" x="135"/>
        <item m="1" x="146"/>
        <item m="1" x="158"/>
        <item m="1" x="170"/>
        <item m="1" x="180"/>
        <item m="1" x="191"/>
        <item m="1" x="202"/>
        <item m="1" x="214"/>
        <item m="1" x="224"/>
        <item m="1" x="235"/>
        <item m="1" x="246"/>
        <item m="1" x="258"/>
        <item m="1" x="269"/>
        <item m="1" x="281"/>
        <item m="1" x="293"/>
        <item m="1" x="306"/>
        <item m="1" x="317"/>
        <item m="1" x="328"/>
        <item m="1" x="340"/>
        <item m="1" x="353"/>
        <item m="1" x="364"/>
        <item m="1" x="376"/>
        <item m="1" x="388"/>
        <item m="1" x="401"/>
        <item m="1" x="412"/>
        <item m="1" x="423"/>
        <item m="1" x="434"/>
        <item m="1" x="446"/>
        <item m="1" x="457"/>
        <item m="1" x="469"/>
        <item m="1" x="481"/>
        <item m="1" x="494"/>
        <item m="1" x="505"/>
        <item m="1" x="516"/>
        <item m="1" x="528"/>
        <item m="1" x="541"/>
        <item m="1" x="552"/>
        <item m="1" x="563"/>
        <item m="1" x="574"/>
        <item m="1" x="586"/>
        <item m="1" x="596"/>
        <item m="1" x="607"/>
        <item m="1" x="618"/>
        <item m="1" x="630"/>
        <item m="1" x="640"/>
        <item m="1" x="651"/>
        <item m="1" x="662"/>
        <item m="1" x="674"/>
        <item m="1" x="684"/>
        <item m="1" x="694"/>
        <item m="1" x="705"/>
        <item m="1" x="717"/>
        <item m="1" x="728"/>
        <item m="1" x="739"/>
        <item m="1" x="751"/>
        <item m="1" x="763"/>
        <item m="1" x="31"/>
        <item m="1" x="42"/>
        <item m="1" x="53"/>
        <item m="1" x="64"/>
        <item m="1" x="75"/>
        <item m="1" x="87"/>
        <item m="1" x="99"/>
        <item m="1" x="111"/>
        <item m="1" x="122"/>
        <item m="1" x="133"/>
        <item m="1" x="145"/>
        <item m="1" x="157"/>
        <item m="1" x="168"/>
        <item m="1" x="179"/>
        <item m="1" x="190"/>
        <item m="1" x="201"/>
        <item m="1" x="212"/>
        <item m="1" x="223"/>
        <item m="1" x="234"/>
        <item m="1" x="245"/>
        <item m="1" x="256"/>
        <item m="1" x="268"/>
        <item m="1" x="280"/>
        <item m="1" x="292"/>
        <item m="1" x="304"/>
        <item m="1" x="315"/>
        <item m="1" x="327"/>
        <item m="1" x="339"/>
        <item m="1" x="351"/>
        <item m="1" x="363"/>
        <item m="1" x="375"/>
        <item m="1" x="387"/>
        <item m="1" x="399"/>
        <item m="1" x="411"/>
        <item m="1" x="422"/>
        <item m="1" x="433"/>
        <item m="1" x="444"/>
        <item m="1" x="456"/>
        <item m="1" x="468"/>
        <item m="1" x="480"/>
        <item m="1" x="492"/>
        <item m="1" x="503"/>
        <item m="1" x="515"/>
        <item m="1" x="527"/>
        <item m="1" x="539"/>
        <item m="1" x="551"/>
        <item m="1" x="562"/>
        <item m="1" x="573"/>
        <item m="1" x="584"/>
        <item m="1" x="595"/>
        <item m="1" x="606"/>
        <item m="1" x="617"/>
        <item m="1" x="628"/>
        <item t="default"/>
      </items>
    </pivotField>
    <pivotField showAll="0">
      <items count="7">
        <item m="1" x="2"/>
        <item x="0"/>
        <item m="1" x="1"/>
        <item m="1" x="4"/>
        <item m="1" x="5"/>
        <item m="1" x="3"/>
        <item t="default"/>
      </items>
    </pivotField>
    <pivotField showAll="0">
      <items count="8">
        <item x="0"/>
        <item m="1" x="1"/>
        <item m="1" x="4"/>
        <item m="1" x="2"/>
        <item m="1" x="5"/>
        <item m="1" x="3"/>
        <item m="1" x="6"/>
        <item t="default"/>
      </items>
    </pivotField>
    <pivotField showAll="0">
      <items count="8">
        <item m="1" x="4"/>
        <item m="1" x="5"/>
        <item m="1" x="2"/>
        <item m="1" x="3"/>
        <item x="0"/>
        <item m="1" x="1"/>
        <item m="1" x="6"/>
        <item t="default"/>
      </items>
    </pivotField>
    <pivotField showAll="0">
      <items count="13">
        <item x="0"/>
        <item m="1" x="2"/>
        <item m="1" x="11"/>
        <item m="1" x="3"/>
        <item m="1" x="1"/>
        <item m="1" x="10"/>
        <item m="1" x="9"/>
        <item m="1" x="7"/>
        <item m="1" x="8"/>
        <item m="1" x="6"/>
        <item m="1" x="4"/>
        <item m="1" x="5"/>
        <item t="default"/>
      </items>
    </pivotField>
    <pivotField numFmtId="164" showAll="0">
      <items count="37">
        <item m="1" x="18"/>
        <item m="1" x="33"/>
        <item m="1" x="13"/>
        <item m="1" x="28"/>
        <item m="1" x="8"/>
        <item m="1" x="22"/>
        <item m="1" x="2"/>
        <item m="1" x="25"/>
        <item m="1" x="5"/>
        <item m="1" x="19"/>
        <item m="1" x="34"/>
        <item m="1" x="14"/>
        <item m="1" x="29"/>
        <item m="1" x="9"/>
        <item m="1" x="23"/>
        <item m="1" x="3"/>
        <item m="1" x="17"/>
        <item m="1" x="32"/>
        <item m="1" x="12"/>
        <item m="1" x="27"/>
        <item m="1" x="7"/>
        <item m="1" x="21"/>
        <item m="1" x="1"/>
        <item m="1" x="16"/>
        <item m="1" x="31"/>
        <item m="1" x="11"/>
        <item m="1" x="26"/>
        <item m="1" x="6"/>
        <item m="1" x="20"/>
        <item m="1" x="35"/>
        <item m="1" x="15"/>
        <item m="1" x="30"/>
        <item m="1" x="10"/>
        <item m="1" x="24"/>
        <item m="1" x="4"/>
        <item x="0"/>
        <item t="default"/>
      </items>
    </pivotField>
    <pivotField numFmtId="20" showAll="0">
      <items count="88">
        <item m="1" x="38"/>
        <item m="1" x="44"/>
        <item m="1" x="55"/>
        <item m="1" x="39"/>
        <item m="1" x="53"/>
        <item m="1" x="57"/>
        <item m="1" x="76"/>
        <item m="1" x="40"/>
        <item m="1" x="45"/>
        <item m="1" x="49"/>
        <item m="1" x="59"/>
        <item m="1" x="80"/>
        <item m="1" x="41"/>
        <item m="1" x="51"/>
        <item m="1" x="58"/>
        <item m="1" x="62"/>
        <item m="1" x="84"/>
        <item m="1" x="42"/>
        <item m="1" x="46"/>
        <item m="1" x="66"/>
        <item m="1" x="43"/>
        <item m="1" x="54"/>
        <item m="1" x="70"/>
        <item m="1" x="47"/>
        <item m="1" x="52"/>
        <item m="1" x="56"/>
        <item m="1" x="72"/>
        <item m="1" x="17"/>
        <item m="1" x="48"/>
        <item m="1" x="63"/>
        <item m="1" x="77"/>
        <item m="1" x="50"/>
        <item m="1" x="60"/>
        <item m="1" x="67"/>
        <item m="1" x="81"/>
        <item m="1" x="21"/>
        <item x="0"/>
        <item x="1"/>
        <item x="2"/>
        <item m="1" x="19"/>
        <item x="3"/>
        <item m="1" x="68"/>
        <item m="1" x="73"/>
        <item x="4"/>
        <item m="1" x="24"/>
        <item x="5"/>
        <item m="1" x="64"/>
        <item m="1" x="71"/>
        <item m="1" x="15"/>
        <item m="1" x="26"/>
        <item x="6"/>
        <item m="1" x="61"/>
        <item x="7"/>
        <item x="8"/>
        <item m="1" x="29"/>
        <item x="9"/>
        <item m="1" x="20"/>
        <item m="1" x="27"/>
        <item x="10"/>
        <item x="11"/>
        <item m="1" x="13"/>
        <item m="1" x="18"/>
        <item x="12"/>
        <item m="1" x="33"/>
        <item m="1" x="65"/>
        <item m="1" x="78"/>
        <item m="1" x="85"/>
        <item m="1" x="16"/>
        <item m="1" x="23"/>
        <item m="1" x="31"/>
        <item m="1" x="69"/>
        <item m="1" x="74"/>
        <item m="1" x="25"/>
        <item m="1" x="36"/>
        <item m="1" x="28"/>
        <item m="1" x="35"/>
        <item m="1" x="75"/>
        <item m="1" x="82"/>
        <item m="1" x="14"/>
        <item m="1" x="30"/>
        <item m="1" x="79"/>
        <item m="1" x="86"/>
        <item m="1" x="32"/>
        <item m="1" x="37"/>
        <item m="1" x="83"/>
        <item m="1" x="22"/>
        <item m="1" x="34"/>
        <item t="default"/>
      </items>
    </pivotField>
    <pivotField showAll="0">
      <items count="54">
        <item x="1"/>
        <item x="5"/>
        <item x="0"/>
        <item m="1" x="10"/>
        <item x="4"/>
        <item x="3"/>
        <item x="2"/>
        <item m="1" x="33"/>
        <item m="1" x="39"/>
        <item m="1" x="50"/>
        <item m="1" x="11"/>
        <item m="1" x="13"/>
        <item m="1" x="15"/>
        <item m="1" x="16"/>
        <item m="1" x="21"/>
        <item m="1" x="26"/>
        <item m="1" x="31"/>
        <item m="1" x="27"/>
        <item m="1" x="34"/>
        <item m="1" x="40"/>
        <item m="1" x="42"/>
        <item m="1" x="45"/>
        <item m="1" x="47"/>
        <item m="1" x="51"/>
        <item m="1" x="7"/>
        <item m="1" x="8"/>
        <item m="1" x="14"/>
        <item m="1" x="17"/>
        <item m="1" x="18"/>
        <item m="1" x="44"/>
        <item m="1" x="19"/>
        <item m="1" x="20"/>
        <item m="1" x="22"/>
        <item m="1" x="23"/>
        <item m="1" x="25"/>
        <item m="1" x="29"/>
        <item m="1" x="32"/>
        <item m="1" x="36"/>
        <item m="1" x="37"/>
        <item m="1" x="38"/>
        <item m="1" x="41"/>
        <item m="1" x="43"/>
        <item m="1" x="46"/>
        <item m="1" x="48"/>
        <item m="1" x="49"/>
        <item m="1" x="52"/>
        <item m="1" x="24"/>
        <item m="1" x="6"/>
        <item m="1" x="28"/>
        <item m="1" x="9"/>
        <item m="1" x="30"/>
        <item m="1" x="12"/>
        <item m="1" x="35"/>
        <item t="default"/>
      </items>
    </pivotField>
    <pivotField showAll="0">
      <items count="8">
        <item x="2"/>
        <item x="4"/>
        <item m="1" x="6"/>
        <item x="0"/>
        <item x="3"/>
        <item x="1"/>
        <item m="1" x="5"/>
        <item t="default"/>
      </items>
    </pivotField>
    <pivotField showAll="0">
      <items count="77">
        <item m="1" x="74"/>
        <item x="8"/>
        <item x="4"/>
        <item m="1" x="64"/>
        <item m="1" x="55"/>
        <item m="1" x="23"/>
        <item x="0"/>
        <item x="3"/>
        <item m="1" x="36"/>
        <item m="1" x="18"/>
        <item m="1" x="70"/>
        <item m="1" x="60"/>
        <item m="1" x="68"/>
        <item m="1" x="75"/>
        <item m="1" x="31"/>
        <item x="2"/>
        <item m="1" x="63"/>
        <item m="1" x="66"/>
        <item m="1" x="16"/>
        <item x="7"/>
        <item m="1" x="42"/>
        <item m="1" x="62"/>
        <item m="1" x="20"/>
        <item x="5"/>
        <item m="1" x="73"/>
        <item x="9"/>
        <item m="1" x="57"/>
        <item m="1" x="48"/>
        <item m="1" x="44"/>
        <item m="1" x="13"/>
        <item m="1" x="45"/>
        <item m="1" x="14"/>
        <item m="1" x="47"/>
        <item m="1" x="52"/>
        <item m="1" x="19"/>
        <item m="1" x="41"/>
        <item m="1" x="33"/>
        <item x="1"/>
        <item m="1" x="29"/>
        <item m="1" x="58"/>
        <item m="1" x="67"/>
        <item m="1" x="46"/>
        <item m="1" x="38"/>
        <item m="1" x="27"/>
        <item m="1" x="21"/>
        <item m="1" x="69"/>
        <item m="1" x="51"/>
        <item m="1" x="54"/>
        <item m="1" x="11"/>
        <item m="1" x="43"/>
        <item x="6"/>
        <item m="1" x="37"/>
        <item m="1" x="40"/>
        <item m="1" x="10"/>
        <item m="1" x="34"/>
        <item m="1" x="72"/>
        <item m="1" x="22"/>
        <item m="1" x="35"/>
        <item m="1" x="61"/>
        <item m="1" x="65"/>
        <item m="1" x="30"/>
        <item m="1" x="17"/>
        <item m="1" x="59"/>
        <item m="1" x="71"/>
        <item m="1" x="53"/>
        <item m="1" x="32"/>
        <item m="1" x="25"/>
        <item m="1" x="26"/>
        <item m="1" x="39"/>
        <item m="1" x="56"/>
        <item m="1" x="49"/>
        <item m="1" x="24"/>
        <item m="1" x="28"/>
        <item m="1" x="15"/>
        <item m="1" x="50"/>
        <item m="1" x="12"/>
        <item t="default"/>
      </items>
    </pivotField>
    <pivotField showAll="0">
      <items count="5">
        <item x="1"/>
        <item m="1" x="3"/>
        <item x="0"/>
        <item x="2"/>
        <item t="default"/>
      </items>
    </pivotField>
    <pivotField showAll="0">
      <items count="4">
        <item x="0"/>
        <item m="1" x="2"/>
        <item m="1" x="1"/>
        <item t="default"/>
      </items>
    </pivotField>
    <pivotField showAll="0">
      <items count="4">
        <item x="1"/>
        <item x="0"/>
        <item m="1" x="2"/>
        <item t="default"/>
      </items>
    </pivotField>
    <pivotField showAll="0">
      <items count="4">
        <item x="0"/>
        <item m="1" x="2"/>
        <item m="1" x="1"/>
        <item t="default"/>
      </items>
    </pivotField>
    <pivotField numFmtId="1" showAll="0"/>
    <pivotField showAll="0"/>
    <pivotField showAll="0"/>
    <pivotField showAll="0">
      <items count="3">
        <item m="1" x="1"/>
        <item x="0"/>
        <item t="default"/>
      </items>
    </pivotField>
    <pivotField showAll="0">
      <items count="93">
        <item m="1" x="48"/>
        <item m="1" x="30"/>
        <item m="1" x="51"/>
        <item m="1" x="83"/>
        <item m="1" x="15"/>
        <item m="1" x="32"/>
        <item m="1" x="39"/>
        <item m="1" x="52"/>
        <item m="1" x="65"/>
        <item m="1" x="69"/>
        <item m="1" x="76"/>
        <item m="1" x="87"/>
        <item m="1" x="17"/>
        <item m="1" x="21"/>
        <item m="1" x="34"/>
        <item m="1" x="35"/>
        <item x="3"/>
        <item x="4"/>
        <item x="2"/>
        <item m="1" x="43"/>
        <item m="1" x="49"/>
        <item m="1" x="54"/>
        <item m="1" x="62"/>
        <item m="1" x="74"/>
        <item m="1" x="82"/>
        <item m="1" x="91"/>
        <item m="1" x="41"/>
        <item m="1" x="8"/>
        <item m="1" x="10"/>
        <item m="1" x="14"/>
        <item m="1" x="53"/>
        <item m="1" x="19"/>
        <item m="1" x="60"/>
        <item x="1"/>
        <item m="1" x="66"/>
        <item m="1" x="23"/>
        <item m="1" x="31"/>
        <item m="1" x="70"/>
        <item m="1" x="71"/>
        <item m="1" x="77"/>
        <item m="1" x="38"/>
        <item m="1" x="88"/>
        <item m="1" x="45"/>
        <item m="1" x="58"/>
        <item m="1" x="37"/>
        <item m="1" x="40"/>
        <item m="1" x="22"/>
        <item m="1" x="9"/>
        <item m="1" x="11"/>
        <item m="1" x="75"/>
        <item m="1" x="80"/>
        <item m="1" x="61"/>
        <item m="1" x="84"/>
        <item m="1" x="6"/>
        <item m="1" x="44"/>
        <item m="1" x="46"/>
        <item m="1" x="72"/>
        <item m="1" x="50"/>
        <item m="1" x="36"/>
        <item m="1" x="16"/>
        <item m="1" x="55"/>
        <item m="1" x="67"/>
        <item m="1" x="24"/>
        <item x="5"/>
        <item m="1" x="73"/>
        <item m="1" x="29"/>
        <item m="1" x="56"/>
        <item m="1" x="68"/>
        <item m="1" x="26"/>
        <item m="1" x="85"/>
        <item m="1" x="18"/>
        <item m="1" x="59"/>
        <item m="1" x="63"/>
        <item m="1" x="42"/>
        <item m="1" x="12"/>
        <item m="1" x="47"/>
        <item m="1" x="89"/>
        <item m="1" x="27"/>
        <item m="1" x="81"/>
        <item m="1" x="78"/>
        <item m="1" x="13"/>
        <item m="1" x="20"/>
        <item m="1" x="33"/>
        <item m="1" x="79"/>
        <item m="1" x="86"/>
        <item m="1" x="90"/>
        <item m="1" x="7"/>
        <item m="1" x="57"/>
        <item m="1" x="25"/>
        <item m="1" x="64"/>
        <item m="1" x="28"/>
        <item x="0"/>
        <item t="default"/>
      </items>
    </pivotField>
    <pivotField showAll="0"/>
    <pivotField numFmtId="2" showAll="0"/>
    <pivotField numFmtId="2" showAll="0"/>
    <pivotField numFmtId="2" showAll="0"/>
    <pivotField numFmtId="1" showAll="0">
      <items count="123">
        <item m="1" x="18"/>
        <item m="1" x="33"/>
        <item x="0"/>
        <item m="1" x="55"/>
        <item m="1" x="74"/>
        <item m="1" x="118"/>
        <item m="1" x="62"/>
        <item m="1" x="86"/>
        <item m="1" x="20"/>
        <item m="1" x="106"/>
        <item m="1" x="87"/>
        <item x="2"/>
        <item m="1" x="89"/>
        <item x="6"/>
        <item m="1" x="48"/>
        <item m="1" x="21"/>
        <item x="4"/>
        <item m="1" x="57"/>
        <item m="1" x="114"/>
        <item m="1" x="75"/>
        <item x="1"/>
        <item m="1" x="60"/>
        <item m="1" x="41"/>
        <item x="12"/>
        <item m="1" x="90"/>
        <item x="8"/>
        <item x="10"/>
        <item m="1" x="50"/>
        <item m="1" x="71"/>
        <item x="14"/>
        <item m="1" x="101"/>
        <item x="16"/>
        <item m="1" x="24"/>
        <item m="1" x="91"/>
        <item m="1" x="83"/>
        <item x="15"/>
        <item m="1" x="25"/>
        <item m="1" x="29"/>
        <item m="1" x="26"/>
        <item m="1" x="108"/>
        <item m="1" x="27"/>
        <item m="1" x="30"/>
        <item x="9"/>
        <item m="1" x="61"/>
        <item m="1" x="40"/>
        <item m="1" x="56"/>
        <item x="5"/>
        <item m="1" x="121"/>
        <item m="1" x="46"/>
        <item m="1" x="58"/>
        <item m="1" x="69"/>
        <item m="1" x="95"/>
        <item x="3"/>
        <item m="1" x="22"/>
        <item m="1" x="96"/>
        <item m="1" x="100"/>
        <item m="1" x="97"/>
        <item x="13"/>
        <item m="1" x="72"/>
        <item x="7"/>
        <item m="1" x="119"/>
        <item m="1" x="98"/>
        <item m="1" x="104"/>
        <item m="1" x="42"/>
        <item m="1" x="31"/>
        <item m="1" x="23"/>
        <item m="1" x="79"/>
        <item m="1" x="80"/>
        <item m="1" x="116"/>
        <item m="1" x="28"/>
        <item m="1" x="63"/>
        <item m="1" x="78"/>
        <item m="1" x="84"/>
        <item m="1" x="88"/>
        <item m="1" x="67"/>
        <item m="1" x="85"/>
        <item m="1" x="64"/>
        <item x="17"/>
        <item m="1" x="43"/>
        <item m="1" x="47"/>
        <item m="1" x="65"/>
        <item m="1" x="70"/>
        <item m="1" x="111"/>
        <item m="1" x="92"/>
        <item m="1" x="109"/>
        <item m="1" x="81"/>
        <item x="11"/>
        <item m="1" x="52"/>
        <item m="1" x="77"/>
        <item m="1" x="44"/>
        <item m="1" x="99"/>
        <item m="1" x="68"/>
        <item m="1" x="34"/>
        <item m="1" x="49"/>
        <item m="1" x="54"/>
        <item m="1" x="59"/>
        <item m="1" x="35"/>
        <item m="1" x="37"/>
        <item m="1" x="112"/>
        <item m="1" x="115"/>
        <item m="1" x="51"/>
        <item m="1" x="39"/>
        <item m="1" x="73"/>
        <item m="1" x="53"/>
        <item m="1" x="93"/>
        <item m="1" x="102"/>
        <item m="1" x="117"/>
        <item m="1" x="19"/>
        <item m="1" x="105"/>
        <item m="1" x="66"/>
        <item m="1" x="38"/>
        <item m="1" x="120"/>
        <item m="1" x="94"/>
        <item m="1" x="103"/>
        <item m="1" x="76"/>
        <item m="1" x="107"/>
        <item m="1" x="36"/>
        <item m="1" x="82"/>
        <item m="1" x="113"/>
        <item m="1" x="110"/>
        <item m="1" x="32"/>
        <item m="1" x="45"/>
        <item t="default"/>
      </items>
    </pivotField>
  </pivotFields>
  <rowFields count="1">
    <field x="0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</rowItems>
  <colItems count="1">
    <i/>
  </colItems>
  <formats count="20">
    <format dxfId="279">
      <pivotArea type="all" dataOnly="0" outline="0" fieldPosition="0"/>
    </format>
    <format dxfId="278">
      <pivotArea field="0" type="button" dataOnly="0" labelOnly="1" outline="0" axis="axisRow" fieldPosition="0"/>
    </format>
    <format dxfId="277">
      <pivotArea dataOnly="0" labelOnly="1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76">
      <pivotArea dataOnly="0" labelOnly="1" fieldPosition="0">
        <references count="1">
          <reference field="0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75">
      <pivotArea dataOnly="0" labelOnly="1" fieldPosition="0">
        <references count="1">
          <reference field="0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74">
      <pivotArea dataOnly="0" labelOnly="1" fieldPosition="0">
        <references count="1">
          <reference field="0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73">
      <pivotArea dataOnly="0" labelOnly="1" fieldPosition="0">
        <references count="1">
          <reference field="0" count="12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</reference>
        </references>
      </pivotArea>
    </format>
    <format dxfId="272">
      <pivotArea dataOnly="0" labelOnly="1" grandRow="1" outline="0" fieldPosition="0"/>
    </format>
    <format dxfId="271">
      <pivotArea type="all" dataOnly="0" outline="0" fieldPosition="0"/>
    </format>
    <format dxfId="270">
      <pivotArea field="0" type="button" dataOnly="0" labelOnly="1" outline="0" axis="axisRow" fieldPosition="0"/>
    </format>
    <format dxfId="269">
      <pivotArea dataOnly="0" labelOnly="1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68">
      <pivotArea dataOnly="0" labelOnly="1" fieldPosition="0">
        <references count="1">
          <reference field="0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67">
      <pivotArea dataOnly="0" labelOnly="1" fieldPosition="0">
        <references count="1">
          <reference field="0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66">
      <pivotArea dataOnly="0" labelOnly="1" fieldPosition="0">
        <references count="1">
          <reference field="0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65">
      <pivotArea dataOnly="0" labelOnly="1" fieldPosition="0">
        <references count="1">
          <reference field="0" count="12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</reference>
        </references>
      </pivotArea>
    </format>
    <format dxfId="264">
      <pivotArea dataOnly="0" labelOnly="1" grandRow="1" outline="0" fieldPosition="0"/>
    </format>
    <format dxfId="263">
      <pivotArea field="0" type="button" dataOnly="0" labelOnly="1" outline="0" axis="axisRow" fieldPosition="0"/>
    </format>
    <format dxfId="262">
      <pivotArea field="0" type="button" dataOnly="0" labelOnly="1" outline="0" axis="axisRow" fieldPosition="0"/>
    </format>
    <format dxfId="261">
      <pivotArea field="0" type="button" dataOnly="0" labelOnly="1" outline="0" axis="axisRow" fieldPosition="0"/>
    </format>
    <format dxfId="260">
      <pivotArea field="0" type="button" dataOnly="0" labelOnly="1" outline="0" axis="axisRow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0ADA446-0BDC-4B7E-9C6E-089C79EAC6A1}" name="Start" cacheId="1" applyNumberFormats="0" applyBorderFormats="0" applyFontFormats="0" applyPatternFormats="0" applyAlignmentFormats="0" applyWidthHeightFormats="1" dataCaption="Значения" updatedVersion="6" minRefreshableVersion="3" rowGrandTotals="0" colGrandTotals="0" itemPrintTitles="1" createdVersion="6" indent="0" outline="1" outlineData="1" multipleFieldFilters="0" rowHeaderCaption="#">
  <location ref="B86:C109" firstHeaderRow="1" firstDataRow="1" firstDataCol="1"/>
  <pivotFields count="26">
    <pivotField showAll="0"/>
    <pivotField axis="axisRow" showAll="0" sortType="ascending">
      <items count="228">
        <item x="22"/>
        <item m="1" x="162"/>
        <item m="1" x="108"/>
        <item m="1" x="213"/>
        <item m="1" x="67"/>
        <item m="1" x="24"/>
        <item m="1" x="222"/>
        <item m="1" x="63"/>
        <item m="1" x="171"/>
        <item m="1" x="142"/>
        <item m="1" x="105"/>
        <item m="1" x="49"/>
        <item m="1" x="212"/>
        <item m="1" x="94"/>
        <item m="1" x="186"/>
        <item m="1" x="109"/>
        <item m="1" x="113"/>
        <item m="1" x="127"/>
        <item m="1" x="39"/>
        <item m="1" x="78"/>
        <item m="1" x="100"/>
        <item m="1" x="93"/>
        <item m="1" x="209"/>
        <item m="1" x="115"/>
        <item m="1" x="60"/>
        <item m="1" x="91"/>
        <item m="1" x="70"/>
        <item m="1" x="126"/>
        <item m="1" x="96"/>
        <item m="1" x="69"/>
        <item m="1" x="89"/>
        <item m="1" x="64"/>
        <item m="1" x="27"/>
        <item m="1" x="117"/>
        <item m="1" x="182"/>
        <item m="1" x="124"/>
        <item m="1" x="147"/>
        <item m="1" x="190"/>
        <item m="1" x="145"/>
        <item m="1" x="181"/>
        <item m="1" x="152"/>
        <item m="1" x="160"/>
        <item m="1" x="98"/>
        <item m="1" x="194"/>
        <item m="1" x="135"/>
        <item m="1" x="225"/>
        <item m="1" x="112"/>
        <item m="1" x="37"/>
        <item m="1" x="72"/>
        <item m="1" x="221"/>
        <item m="1" x="35"/>
        <item m="1" x="192"/>
        <item m="1" x="73"/>
        <item m="1" x="203"/>
        <item m="1" x="188"/>
        <item m="1" x="62"/>
        <item m="1" x="193"/>
        <item m="1" x="120"/>
        <item m="1" x="177"/>
        <item m="1" x="174"/>
        <item m="1" x="216"/>
        <item m="1" x="106"/>
        <item m="1" x="107"/>
        <item m="1" x="80"/>
        <item m="1" x="206"/>
        <item m="1" x="87"/>
        <item m="1" x="163"/>
        <item m="1" x="121"/>
        <item m="1" x="178"/>
        <item m="1" x="179"/>
        <item m="1" x="86"/>
        <item m="1" x="223"/>
        <item m="1" x="149"/>
        <item m="1" x="217"/>
        <item m="1" x="68"/>
        <item m="1" x="31"/>
        <item m="1" x="83"/>
        <item m="1" x="140"/>
        <item m="1" x="196"/>
        <item m="1" x="48"/>
        <item m="1" x="79"/>
        <item m="1" x="40"/>
        <item m="1" x="158"/>
        <item m="1" x="130"/>
        <item m="1" x="214"/>
        <item m="1" x="137"/>
        <item m="1" x="52"/>
        <item m="1" x="151"/>
        <item m="1" x="59"/>
        <item m="1" x="30"/>
        <item m="1" x="210"/>
        <item m="1" x="211"/>
        <item m="1" x="29"/>
        <item m="1" x="205"/>
        <item m="1" x="131"/>
        <item m="1" x="132"/>
        <item m="1" x="92"/>
        <item m="1" x="157"/>
        <item m="1" x="136"/>
        <item m="1" x="220"/>
        <item m="1" x="166"/>
        <item m="1" x="46"/>
        <item m="1" x="146"/>
        <item m="1" x="184"/>
        <item m="1" x="56"/>
        <item m="1" x="90"/>
        <item m="1" x="202"/>
        <item m="1" x="58"/>
        <item m="1" x="111"/>
        <item m="1" x="53"/>
        <item m="1" x="208"/>
        <item m="1" x="36"/>
        <item m="1" x="200"/>
        <item m="1" x="32"/>
        <item m="1" x="172"/>
        <item m="1" x="114"/>
        <item m="1" x="204"/>
        <item m="1" x="180"/>
        <item m="1" x="143"/>
        <item m="1" x="119"/>
        <item m="1" x="199"/>
        <item m="1" x="185"/>
        <item m="1" x="165"/>
        <item m="1" x="104"/>
        <item m="1" x="138"/>
        <item m="1" x="141"/>
        <item m="1" x="101"/>
        <item m="1" x="215"/>
        <item m="1" x="169"/>
        <item m="1" x="197"/>
        <item m="1" x="125"/>
        <item m="1" x="144"/>
        <item m="1" x="95"/>
        <item m="1" x="44"/>
        <item m="1" x="123"/>
        <item x="3"/>
        <item x="9"/>
        <item x="5"/>
        <item m="1" x="85"/>
        <item x="8"/>
        <item m="1" x="134"/>
        <item x="10"/>
        <item m="1" x="159"/>
        <item m="1" x="198"/>
        <item m="1" x="102"/>
        <item x="12"/>
        <item m="1" x="224"/>
        <item m="1" x="55"/>
        <item x="13"/>
        <item m="1" x="51"/>
        <item m="1" x="43"/>
        <item x="16"/>
        <item m="1" x="38"/>
        <item m="1" x="76"/>
        <item m="1" x="61"/>
        <item x="20"/>
        <item m="1" x="77"/>
        <item x="21"/>
        <item m="1" x="47"/>
        <item m="1" x="167"/>
        <item m="1" x="81"/>
        <item m="1" x="161"/>
        <item m="1" x="42"/>
        <item m="1" x="41"/>
        <item m="1" x="150"/>
        <item m="1" x="155"/>
        <item m="1" x="84"/>
        <item m="1" x="97"/>
        <item m="1" x="88"/>
        <item m="1" x="207"/>
        <item m="1" x="133"/>
        <item m="1" x="139"/>
        <item m="1" x="128"/>
        <item m="1" x="154"/>
        <item m="1" x="25"/>
        <item m="1" x="74"/>
        <item m="1" x="110"/>
        <item m="1" x="173"/>
        <item m="1" x="66"/>
        <item m="1" x="189"/>
        <item m="1" x="57"/>
        <item m="1" x="170"/>
        <item m="1" x="116"/>
        <item m="1" x="183"/>
        <item m="1" x="175"/>
        <item m="1" x="219"/>
        <item m="1" x="71"/>
        <item m="1" x="34"/>
        <item m="1" x="168"/>
        <item m="1" x="99"/>
        <item m="1" x="218"/>
        <item m="1" x="122"/>
        <item m="1" x="129"/>
        <item m="1" x="153"/>
        <item m="1" x="23"/>
        <item m="1" x="191"/>
        <item m="1" x="195"/>
        <item m="1" x="45"/>
        <item m="1" x="187"/>
        <item m="1" x="26"/>
        <item m="1" x="118"/>
        <item m="1" x="103"/>
        <item m="1" x="156"/>
        <item m="1" x="54"/>
        <item m="1" x="65"/>
        <item m="1" x="33"/>
        <item m="1" x="226"/>
        <item m="1" x="201"/>
        <item m="1" x="28"/>
        <item m="1" x="176"/>
        <item m="1" x="50"/>
        <item m="1" x="82"/>
        <item m="1" x="164"/>
        <item m="1" x="148"/>
        <item m="1" x="75"/>
        <item x="0"/>
        <item x="1"/>
        <item x="2"/>
        <item x="4"/>
        <item x="6"/>
        <item x="7"/>
        <item x="11"/>
        <item x="14"/>
        <item x="15"/>
        <item x="17"/>
        <item x="18"/>
        <item x="19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>
      <items count="36">
        <item x="1"/>
        <item m="1" x="33"/>
        <item m="1" x="13"/>
        <item m="1" x="28"/>
        <item m="1" x="9"/>
        <item m="1" x="22"/>
        <item m="1" x="3"/>
        <item m="1" x="25"/>
        <item m="1" x="18"/>
        <item m="1" x="6"/>
        <item m="1" x="19"/>
        <item m="1" x="14"/>
        <item m="1" x="29"/>
        <item m="1" x="10"/>
        <item m="1" x="23"/>
        <item m="1" x="4"/>
        <item m="1" x="17"/>
        <item m="1" x="32"/>
        <item m="1" x="27"/>
        <item m="1" x="8"/>
        <item m="1" x="21"/>
        <item m="1" x="2"/>
        <item m="1" x="16"/>
        <item m="1" x="31"/>
        <item m="1" x="12"/>
        <item m="1" x="26"/>
        <item m="1" x="7"/>
        <item m="1" x="20"/>
        <item m="1" x="34"/>
        <item m="1" x="15"/>
        <item m="1" x="30"/>
        <item m="1" x="11"/>
        <item m="1" x="24"/>
        <item m="1" x="5"/>
        <item x="0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23">
    <i>
      <x v="215"/>
    </i>
    <i>
      <x v="216"/>
    </i>
    <i>
      <x v="217"/>
    </i>
    <i>
      <x v="135"/>
    </i>
    <i>
      <x v="137"/>
    </i>
    <i>
      <x v="219"/>
    </i>
    <i>
      <x v="218"/>
    </i>
    <i>
      <x v="136"/>
    </i>
    <i>
      <x v="139"/>
    </i>
    <i>
      <x v="220"/>
    </i>
    <i>
      <x v="141"/>
    </i>
    <i>
      <x v="221"/>
    </i>
    <i>
      <x v="145"/>
    </i>
    <i>
      <x v="148"/>
    </i>
    <i>
      <x v="222"/>
    </i>
    <i>
      <x v="151"/>
    </i>
    <i>
      <x v="223"/>
    </i>
    <i>
      <x v="224"/>
    </i>
    <i>
      <x v="225"/>
    </i>
    <i>
      <x v="155"/>
    </i>
    <i>
      <x v="226"/>
    </i>
    <i>
      <x v="157"/>
    </i>
    <i>
      <x/>
    </i>
  </rowItems>
  <colItems count="1">
    <i/>
  </colItems>
  <dataFields count="1">
    <dataField name="Среднее по полю Start" fld="7" subtotal="average" baseField="1" baseItem="2"/>
  </dataFields>
  <formats count="14">
    <format dxfId="229">
      <pivotArea field="6" type="button" dataOnly="0" labelOnly="1" outline="0"/>
    </format>
    <format dxfId="228">
      <pivotArea field="6" type="button" dataOnly="0" labelOnly="1" outline="0"/>
    </format>
    <format dxfId="227">
      <pivotArea field="6" type="button" dataOnly="0" labelOnly="1" outline="0"/>
    </format>
    <format dxfId="226">
      <pivotArea field="6" type="button" dataOnly="0" labelOnly="1" outline="0"/>
    </format>
    <format dxfId="225">
      <pivotArea field="6" type="button" dataOnly="0" labelOnly="1" outline="0"/>
    </format>
    <format dxfId="224">
      <pivotArea field="6" type="button" dataOnly="0" labelOnly="1" outline="0"/>
    </format>
    <format dxfId="223">
      <pivotArea field="6" type="button" dataOnly="0" labelOnly="1" outline="0"/>
    </format>
    <format dxfId="222">
      <pivotArea dataOnly="0" labelOnly="1" outline="0" axis="axisValues" fieldPosition="0"/>
    </format>
    <format dxfId="221">
      <pivotArea field="1" type="button" dataOnly="0" labelOnly="1" outline="0" axis="axisRow" fieldPosition="0"/>
    </format>
    <format dxfId="220">
      <pivotArea field="1" type="button" dataOnly="0" labelOnly="1" outline="0" axis="axisRow" fieldPosition="0"/>
    </format>
    <format dxfId="219">
      <pivotArea field="1" type="button" dataOnly="0" labelOnly="1" outline="0" axis="axisRow" fieldPosition="0"/>
    </format>
    <format dxfId="218">
      <pivotArea field="1" type="button" dataOnly="0" labelOnly="1" outline="0" axis="axisRow" fieldPosition="0"/>
    </format>
    <format dxfId="3">
      <pivotArea field="1" type="button" dataOnly="0" labelOnly="1" outline="0" axis="axisRow" fieldPosition="0"/>
    </format>
    <format dxfId="1">
      <pivotArea dataOnly="0" labelOnly="1" fieldPosition="0">
        <references count="1">
          <reference field="1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5675087-867B-4774-8E5E-F95EA54D5B18}" name="Name" cacheId="1" applyNumberFormats="0" applyBorderFormats="0" applyFontFormats="0" applyPatternFormats="0" applyAlignmentFormats="0" applyWidthHeightFormats="1" dataCaption="Значения" updatedVersion="6" minRefreshableVersion="3" rowGrandTotals="0" colGrandTotals="0" itemPrintTitles="1" createdVersion="6" indent="0" outline="1" outlineData="1" multipleFieldFilters="0" rowHeaderCaption="#">
  <location ref="B41:C58" firstHeaderRow="1" firstDataRow="1" firstDataCol="1"/>
  <pivotFields count="26">
    <pivotField showAll="0"/>
    <pivotField showAll="0">
      <items count="228">
        <item x="22"/>
        <item m="1" x="162"/>
        <item m="1" x="108"/>
        <item m="1" x="213"/>
        <item m="1" x="67"/>
        <item m="1" x="24"/>
        <item m="1" x="222"/>
        <item m="1" x="63"/>
        <item m="1" x="171"/>
        <item m="1" x="142"/>
        <item m="1" x="105"/>
        <item m="1" x="49"/>
        <item m="1" x="212"/>
        <item m="1" x="94"/>
        <item m="1" x="186"/>
        <item m="1" x="109"/>
        <item m="1" x="113"/>
        <item m="1" x="127"/>
        <item m="1" x="39"/>
        <item m="1" x="78"/>
        <item m="1" x="100"/>
        <item m="1" x="93"/>
        <item m="1" x="209"/>
        <item m="1" x="115"/>
        <item m="1" x="60"/>
        <item m="1" x="91"/>
        <item m="1" x="70"/>
        <item m="1" x="126"/>
        <item m="1" x="96"/>
        <item m="1" x="69"/>
        <item m="1" x="89"/>
        <item m="1" x="64"/>
        <item m="1" x="27"/>
        <item m="1" x="117"/>
        <item m="1" x="182"/>
        <item m="1" x="124"/>
        <item m="1" x="147"/>
        <item m="1" x="190"/>
        <item m="1" x="145"/>
        <item m="1" x="181"/>
        <item m="1" x="152"/>
        <item m="1" x="160"/>
        <item m="1" x="98"/>
        <item m="1" x="194"/>
        <item m="1" x="135"/>
        <item m="1" x="225"/>
        <item m="1" x="112"/>
        <item m="1" x="37"/>
        <item m="1" x="72"/>
        <item m="1" x="221"/>
        <item m="1" x="35"/>
        <item m="1" x="192"/>
        <item m="1" x="73"/>
        <item m="1" x="203"/>
        <item m="1" x="188"/>
        <item m="1" x="62"/>
        <item m="1" x="193"/>
        <item m="1" x="120"/>
        <item m="1" x="177"/>
        <item m="1" x="174"/>
        <item m="1" x="216"/>
        <item m="1" x="106"/>
        <item m="1" x="107"/>
        <item m="1" x="80"/>
        <item m="1" x="206"/>
        <item m="1" x="87"/>
        <item m="1" x="163"/>
        <item m="1" x="121"/>
        <item m="1" x="178"/>
        <item m="1" x="179"/>
        <item m="1" x="86"/>
        <item m="1" x="223"/>
        <item m="1" x="149"/>
        <item m="1" x="217"/>
        <item m="1" x="68"/>
        <item m="1" x="31"/>
        <item m="1" x="83"/>
        <item m="1" x="140"/>
        <item m="1" x="196"/>
        <item m="1" x="48"/>
        <item m="1" x="79"/>
        <item m="1" x="40"/>
        <item m="1" x="158"/>
        <item m="1" x="130"/>
        <item m="1" x="214"/>
        <item m="1" x="137"/>
        <item m="1" x="52"/>
        <item m="1" x="151"/>
        <item m="1" x="59"/>
        <item m="1" x="30"/>
        <item m="1" x="210"/>
        <item m="1" x="211"/>
        <item m="1" x="29"/>
        <item m="1" x="205"/>
        <item m="1" x="131"/>
        <item m="1" x="132"/>
        <item m="1" x="92"/>
        <item m="1" x="157"/>
        <item m="1" x="136"/>
        <item m="1" x="220"/>
        <item m="1" x="166"/>
        <item m="1" x="46"/>
        <item m="1" x="146"/>
        <item m="1" x="184"/>
        <item m="1" x="56"/>
        <item m="1" x="90"/>
        <item m="1" x="202"/>
        <item m="1" x="58"/>
        <item m="1" x="111"/>
        <item m="1" x="53"/>
        <item m="1" x="208"/>
        <item m="1" x="36"/>
        <item m="1" x="200"/>
        <item m="1" x="32"/>
        <item m="1" x="172"/>
        <item m="1" x="114"/>
        <item m="1" x="204"/>
        <item m="1" x="180"/>
        <item m="1" x="143"/>
        <item m="1" x="119"/>
        <item m="1" x="199"/>
        <item m="1" x="185"/>
        <item m="1" x="165"/>
        <item m="1" x="104"/>
        <item m="1" x="138"/>
        <item m="1" x="141"/>
        <item m="1" x="101"/>
        <item m="1" x="215"/>
        <item m="1" x="169"/>
        <item m="1" x="197"/>
        <item m="1" x="125"/>
        <item m="1" x="144"/>
        <item m="1" x="95"/>
        <item m="1" x="44"/>
        <item m="1" x="123"/>
        <item x="3"/>
        <item x="9"/>
        <item x="5"/>
        <item m="1" x="85"/>
        <item x="8"/>
        <item m="1" x="134"/>
        <item x="10"/>
        <item m="1" x="159"/>
        <item m="1" x="198"/>
        <item m="1" x="102"/>
        <item x="12"/>
        <item m="1" x="224"/>
        <item m="1" x="55"/>
        <item x="13"/>
        <item m="1" x="51"/>
        <item m="1" x="43"/>
        <item x="16"/>
        <item m="1" x="38"/>
        <item m="1" x="76"/>
        <item m="1" x="61"/>
        <item x="20"/>
        <item m="1" x="77"/>
        <item x="21"/>
        <item m="1" x="47"/>
        <item m="1" x="167"/>
        <item m="1" x="81"/>
        <item m="1" x="161"/>
        <item m="1" x="42"/>
        <item m="1" x="41"/>
        <item m="1" x="150"/>
        <item m="1" x="155"/>
        <item m="1" x="84"/>
        <item m="1" x="97"/>
        <item m="1" x="88"/>
        <item m="1" x="207"/>
        <item m="1" x="133"/>
        <item m="1" x="139"/>
        <item m="1" x="128"/>
        <item m="1" x="154"/>
        <item m="1" x="25"/>
        <item m="1" x="74"/>
        <item m="1" x="110"/>
        <item m="1" x="173"/>
        <item m="1" x="66"/>
        <item m="1" x="189"/>
        <item m="1" x="57"/>
        <item m="1" x="170"/>
        <item m="1" x="116"/>
        <item m="1" x="183"/>
        <item m="1" x="175"/>
        <item m="1" x="219"/>
        <item m="1" x="71"/>
        <item m="1" x="34"/>
        <item m="1" x="168"/>
        <item m="1" x="99"/>
        <item m="1" x="218"/>
        <item m="1" x="122"/>
        <item m="1" x="129"/>
        <item m="1" x="153"/>
        <item m="1" x="23"/>
        <item m="1" x="191"/>
        <item m="1" x="195"/>
        <item m="1" x="45"/>
        <item m="1" x="187"/>
        <item m="1" x="26"/>
        <item m="1" x="118"/>
        <item m="1" x="103"/>
        <item m="1" x="156"/>
        <item m="1" x="54"/>
        <item m="1" x="65"/>
        <item m="1" x="33"/>
        <item m="1" x="226"/>
        <item m="1" x="201"/>
        <item m="1" x="28"/>
        <item m="1" x="176"/>
        <item m="1" x="50"/>
        <item m="1" x="82"/>
        <item m="1" x="164"/>
        <item m="1" x="148"/>
        <item m="1" x="75"/>
        <item x="0"/>
        <item x="1"/>
        <item x="2"/>
        <item x="4"/>
        <item x="6"/>
        <item x="7"/>
        <item x="11"/>
        <item x="14"/>
        <item x="15"/>
        <item x="17"/>
        <item x="18"/>
        <item x="19"/>
        <item t="default"/>
      </items>
    </pivotField>
    <pivotField axis="axisRow" showAll="0" sortType="ascending">
      <items count="151">
        <item x="16"/>
        <item m="1" x="51"/>
        <item m="1" x="105"/>
        <item m="1" x="33"/>
        <item m="1" x="48"/>
        <item m="1" x="129"/>
        <item m="1" x="27"/>
        <item m="1" x="96"/>
        <item m="1" x="57"/>
        <item m="1" x="106"/>
        <item m="1" x="149"/>
        <item m="1" x="40"/>
        <item m="1" x="115"/>
        <item m="1" x="63"/>
        <item m="1" x="28"/>
        <item m="1" x="17"/>
        <item m="1" x="92"/>
        <item m="1" x="58"/>
        <item m="1" x="21"/>
        <item m="1" x="148"/>
        <item m="1" x="133"/>
        <item m="1" x="114"/>
        <item m="1" x="30"/>
        <item m="1" x="39"/>
        <item m="1" x="19"/>
        <item m="1" x="86"/>
        <item m="1" x="97"/>
        <item m="1" x="52"/>
        <item m="1" x="59"/>
        <item m="1" x="69"/>
        <item m="1" x="143"/>
        <item m="1" x="85"/>
        <item m="1" x="82"/>
        <item m="1" x="83"/>
        <item m="1" x="26"/>
        <item m="1" x="145"/>
        <item m="1" x="95"/>
        <item m="1" x="45"/>
        <item m="1" x="144"/>
        <item m="1" x="146"/>
        <item m="1" x="131"/>
        <item m="1" x="118"/>
        <item m="1" x="61"/>
        <item m="1" x="119"/>
        <item m="1" x="34"/>
        <item m="1" x="94"/>
        <item m="1" x="98"/>
        <item m="1" x="100"/>
        <item m="1" x="76"/>
        <item m="1" x="68"/>
        <item m="1" x="90"/>
        <item m="1" x="41"/>
        <item m="1" x="88"/>
        <item m="1" x="62"/>
        <item m="1" x="31"/>
        <item m="1" x="104"/>
        <item m="1" x="117"/>
        <item m="1" x="66"/>
        <item m="1" x="23"/>
        <item m="1" x="37"/>
        <item m="1" x="111"/>
        <item m="1" x="108"/>
        <item m="1" x="55"/>
        <item m="1" x="91"/>
        <item m="1" x="138"/>
        <item m="1" x="127"/>
        <item m="1" x="72"/>
        <item m="1" x="74"/>
        <item m="1" x="71"/>
        <item m="1" x="139"/>
        <item m="1" x="49"/>
        <item m="1" x="116"/>
        <item m="1" x="87"/>
        <item m="1" x="84"/>
        <item m="1" x="123"/>
        <item m="1" x="130"/>
        <item m="1" x="112"/>
        <item m="1" x="103"/>
        <item m="1" x="141"/>
        <item m="1" x="124"/>
        <item m="1" x="125"/>
        <item m="1" x="81"/>
        <item m="1" x="99"/>
        <item m="1" x="54"/>
        <item m="1" x="29"/>
        <item m="1" x="89"/>
        <item m="1" x="73"/>
        <item m="1" x="121"/>
        <item m="1" x="101"/>
        <item m="1" x="107"/>
        <item m="1" x="79"/>
        <item m="1" x="78"/>
        <item x="3"/>
        <item x="9"/>
        <item x="5"/>
        <item m="1" x="132"/>
        <item x="8"/>
        <item m="1" x="80"/>
        <item x="10"/>
        <item m="1" x="137"/>
        <item x="1"/>
        <item x="11"/>
        <item m="1" x="136"/>
        <item m="1" x="120"/>
        <item x="12"/>
        <item x="13"/>
        <item m="1" x="126"/>
        <item m="1" x="70"/>
        <item m="1" x="32"/>
        <item m="1" x="75"/>
        <item x="6"/>
        <item m="1" x="122"/>
        <item m="1" x="38"/>
        <item m="1" x="110"/>
        <item m="1" x="109"/>
        <item m="1" x="77"/>
        <item m="1" x="18"/>
        <item m="1" x="20"/>
        <item m="1" x="50"/>
        <item m="1" x="135"/>
        <item m="1" x="65"/>
        <item m="1" x="24"/>
        <item m="1" x="25"/>
        <item m="1" x="67"/>
        <item m="1" x="47"/>
        <item m="1" x="35"/>
        <item m="1" x="53"/>
        <item m="1" x="64"/>
        <item m="1" x="102"/>
        <item m="1" x="113"/>
        <item m="1" x="147"/>
        <item m="1" x="140"/>
        <item m="1" x="36"/>
        <item m="1" x="142"/>
        <item m="1" x="56"/>
        <item m="1" x="43"/>
        <item m="1" x="22"/>
        <item m="1" x="42"/>
        <item m="1" x="44"/>
        <item m="1" x="93"/>
        <item m="1" x="128"/>
        <item m="1" x="60"/>
        <item m="1" x="134"/>
        <item m="1" x="46"/>
        <item x="0"/>
        <item x="2"/>
        <item x="4"/>
        <item x="7"/>
        <item x="14"/>
        <item x="15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>
      <items count="36">
        <item x="1"/>
        <item m="1" x="33"/>
        <item m="1" x="13"/>
        <item m="1" x="28"/>
        <item m="1" x="9"/>
        <item m="1" x="22"/>
        <item m="1" x="3"/>
        <item m="1" x="25"/>
        <item m="1" x="18"/>
        <item m="1" x="6"/>
        <item m="1" x="19"/>
        <item m="1" x="14"/>
        <item m="1" x="29"/>
        <item m="1" x="10"/>
        <item m="1" x="23"/>
        <item m="1" x="4"/>
        <item m="1" x="17"/>
        <item m="1" x="32"/>
        <item m="1" x="27"/>
        <item m="1" x="8"/>
        <item m="1" x="21"/>
        <item m="1" x="2"/>
        <item m="1" x="16"/>
        <item m="1" x="31"/>
        <item m="1" x="12"/>
        <item m="1" x="26"/>
        <item m="1" x="7"/>
        <item m="1" x="20"/>
        <item m="1" x="34"/>
        <item m="1" x="15"/>
        <item m="1" x="30"/>
        <item m="1" x="11"/>
        <item m="1" x="24"/>
        <item m="1" x="5"/>
        <item x="0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17">
    <i>
      <x v="96"/>
    </i>
    <i>
      <x v="100"/>
    </i>
    <i>
      <x v="148"/>
    </i>
    <i>
      <x v="147"/>
    </i>
    <i>
      <x v="104"/>
    </i>
    <i>
      <x v="144"/>
    </i>
    <i>
      <x v="149"/>
    </i>
    <i>
      <x v="146"/>
    </i>
    <i>
      <x v="105"/>
    </i>
    <i>
      <x v="94"/>
    </i>
    <i>
      <x v="110"/>
    </i>
    <i>
      <x v="98"/>
    </i>
    <i>
      <x v="92"/>
    </i>
    <i>
      <x v="101"/>
    </i>
    <i>
      <x v="93"/>
    </i>
    <i>
      <x v="145"/>
    </i>
    <i>
      <x/>
    </i>
  </rowItems>
  <colItems count="1">
    <i/>
  </colItems>
  <dataFields count="1">
    <dataField name="Среднее по полю B" fld="8" subtotal="average" baseField="2" baseItem="0"/>
  </dataFields>
  <formats count="23">
    <format dxfId="201">
      <pivotArea field="6" type="button" dataOnly="0" labelOnly="1" outline="0"/>
    </format>
    <format dxfId="200">
      <pivotArea field="6" type="button" dataOnly="0" labelOnly="1" outline="0"/>
    </format>
    <format dxfId="199">
      <pivotArea field="6" type="button" dataOnly="0" labelOnly="1" outline="0"/>
    </format>
    <format dxfId="198">
      <pivotArea field="6" type="button" dataOnly="0" labelOnly="1" outline="0"/>
    </format>
    <format dxfId="197">
      <pivotArea field="6" type="button" dataOnly="0" labelOnly="1" outline="0"/>
    </format>
    <format dxfId="196">
      <pivotArea field="6" type="button" dataOnly="0" labelOnly="1" outline="0"/>
    </format>
    <format dxfId="195">
      <pivotArea field="6" type="button" dataOnly="0" labelOnly="1" outline="0"/>
    </format>
    <format dxfId="194">
      <pivotArea dataOnly="0" labelOnly="1" outline="0" axis="axisValues" fieldPosition="0"/>
    </format>
    <format dxfId="193">
      <pivotArea field="1" type="button" dataOnly="0" labelOnly="1" outline="0"/>
    </format>
    <format dxfId="192">
      <pivotArea field="1" type="button" dataOnly="0" labelOnly="1" outline="0"/>
    </format>
    <format dxfId="191">
      <pivotArea field="1" type="button" dataOnly="0" labelOnly="1" outline="0"/>
    </format>
    <format dxfId="190">
      <pivotArea field="1" type="button" dataOnly="0" labelOnly="1" outline="0"/>
    </format>
    <format dxfId="189">
      <pivotArea field="2" type="button" dataOnly="0" labelOnly="1" outline="0" axis="axisRow" fieldPosition="0"/>
    </format>
    <format dxfId="188">
      <pivotArea dataOnly="0" labelOnly="1" fieldPosition="0">
        <references count="1">
          <reference field="2" count="50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</reference>
        </references>
      </pivotArea>
    </format>
    <format dxfId="187">
      <pivotArea dataOnly="0" labelOnly="1" fieldPosition="0">
        <references count="1">
          <reference field="2" count="10">
            <x v="0"/>
            <x v="17"/>
            <x v="18"/>
            <x v="19"/>
            <x v="20"/>
            <x v="21"/>
            <x v="22"/>
            <x v="23"/>
            <x v="24"/>
            <x v="25"/>
          </reference>
        </references>
      </pivotArea>
    </format>
    <format dxfId="186">
      <pivotArea field="2" type="button" dataOnly="0" labelOnly="1" outline="0" axis="axisRow" fieldPosition="0"/>
    </format>
    <format dxfId="185">
      <pivotArea dataOnly="0" labelOnly="1" fieldPosition="0">
        <references count="1">
          <reference field="2" count="50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</reference>
        </references>
      </pivotArea>
    </format>
    <format dxfId="184">
      <pivotArea field="2" type="button" dataOnly="0" labelOnly="1" outline="0" axis="axisRow" fieldPosition="0"/>
    </format>
    <format dxfId="183">
      <pivotArea field="2" type="button" dataOnly="0" labelOnly="1" outline="0" axis="axisRow" fieldPosition="0"/>
    </format>
    <format dxfId="182">
      <pivotArea field="2" type="button" dataOnly="0" labelOnly="1" outline="0" axis="axisRow" fieldPosition="0"/>
    </format>
    <format dxfId="181">
      <pivotArea field="2" type="button" dataOnly="0" labelOnly="1" outline="0" axis="axisRow" fieldPosition="0"/>
    </format>
    <format dxfId="180">
      <pivotArea dataOnly="0" labelOnly="1" fieldPosition="0">
        <references count="1">
          <reference field="2" count="50">
            <x v="1"/>
            <x v="2"/>
            <x v="3"/>
            <x v="4"/>
            <x v="9"/>
            <x v="10"/>
            <x v="11"/>
            <x v="13"/>
            <x v="14"/>
            <x v="1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</reference>
        </references>
      </pivotArea>
    </format>
    <format dxfId="179">
      <pivotArea dataOnly="0" labelOnly="1" fieldPosition="0">
        <references count="1">
          <reference field="2" count="17">
            <x v="0"/>
            <x v="5"/>
            <x v="6"/>
            <x v="7"/>
            <x v="8"/>
            <x v="12"/>
            <x v="16"/>
            <x v="17"/>
            <x v="18"/>
            <x v="19"/>
            <x v="20"/>
            <x v="21"/>
            <x v="22"/>
            <x v="23"/>
            <x v="24"/>
            <x v="25"/>
            <x v="6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1E6BF6C-7562-4634-B991-24038C53BB8C}" name="Data" cacheId="1" applyNumberFormats="0" applyBorderFormats="0" applyFontFormats="0" applyPatternFormats="0" applyAlignmentFormats="0" applyWidthHeightFormats="1" dataCaption="Значения" updatedVersion="6" minRefreshableVersion="3" rowGrandTotals="0" colGrandTotals="0" itemPrintTitles="1" createdVersion="6" indent="0" outline="1" outlineData="1" multipleFieldFilters="0" rowHeaderCaption="#">
  <location ref="B86:C88" firstHeaderRow="1" firstDataRow="1" firstDataCol="1"/>
  <pivotFields count="26">
    <pivotField showAll="0"/>
    <pivotField showAll="0">
      <items count="228">
        <item x="22"/>
        <item m="1" x="162"/>
        <item m="1" x="108"/>
        <item m="1" x="213"/>
        <item m="1" x="67"/>
        <item m="1" x="24"/>
        <item m="1" x="222"/>
        <item m="1" x="63"/>
        <item m="1" x="171"/>
        <item m="1" x="142"/>
        <item m="1" x="105"/>
        <item m="1" x="49"/>
        <item m="1" x="212"/>
        <item m="1" x="94"/>
        <item m="1" x="186"/>
        <item m="1" x="109"/>
        <item m="1" x="113"/>
        <item m="1" x="127"/>
        <item m="1" x="39"/>
        <item m="1" x="78"/>
        <item m="1" x="100"/>
        <item m="1" x="93"/>
        <item m="1" x="209"/>
        <item m="1" x="115"/>
        <item m="1" x="60"/>
        <item m="1" x="91"/>
        <item m="1" x="70"/>
        <item m="1" x="126"/>
        <item m="1" x="96"/>
        <item m="1" x="69"/>
        <item m="1" x="89"/>
        <item m="1" x="64"/>
        <item m="1" x="27"/>
        <item m="1" x="117"/>
        <item m="1" x="182"/>
        <item m="1" x="124"/>
        <item m="1" x="147"/>
        <item m="1" x="190"/>
        <item m="1" x="145"/>
        <item m="1" x="181"/>
        <item m="1" x="152"/>
        <item m="1" x="160"/>
        <item m="1" x="98"/>
        <item m="1" x="194"/>
        <item m="1" x="135"/>
        <item m="1" x="225"/>
        <item m="1" x="112"/>
        <item m="1" x="37"/>
        <item m="1" x="72"/>
        <item m="1" x="221"/>
        <item m="1" x="35"/>
        <item m="1" x="192"/>
        <item m="1" x="73"/>
        <item m="1" x="203"/>
        <item m="1" x="188"/>
        <item m="1" x="62"/>
        <item m="1" x="193"/>
        <item m="1" x="120"/>
        <item m="1" x="177"/>
        <item m="1" x="174"/>
        <item m="1" x="216"/>
        <item m="1" x="106"/>
        <item m="1" x="107"/>
        <item m="1" x="80"/>
        <item m="1" x="206"/>
        <item m="1" x="87"/>
        <item m="1" x="163"/>
        <item m="1" x="121"/>
        <item m="1" x="178"/>
        <item m="1" x="179"/>
        <item m="1" x="86"/>
        <item m="1" x="223"/>
        <item m="1" x="149"/>
        <item m="1" x="217"/>
        <item m="1" x="68"/>
        <item m="1" x="31"/>
        <item m="1" x="83"/>
        <item m="1" x="140"/>
        <item m="1" x="196"/>
        <item m="1" x="48"/>
        <item m="1" x="79"/>
        <item m="1" x="40"/>
        <item m="1" x="158"/>
        <item m="1" x="130"/>
        <item m="1" x="214"/>
        <item m="1" x="137"/>
        <item m="1" x="52"/>
        <item m="1" x="151"/>
        <item m="1" x="59"/>
        <item m="1" x="30"/>
        <item m="1" x="210"/>
        <item m="1" x="211"/>
        <item m="1" x="29"/>
        <item m="1" x="205"/>
        <item m="1" x="131"/>
        <item m="1" x="132"/>
        <item m="1" x="92"/>
        <item m="1" x="157"/>
        <item m="1" x="136"/>
        <item m="1" x="220"/>
        <item m="1" x="166"/>
        <item m="1" x="46"/>
        <item m="1" x="146"/>
        <item m="1" x="184"/>
        <item m="1" x="56"/>
        <item m="1" x="90"/>
        <item m="1" x="202"/>
        <item m="1" x="58"/>
        <item m="1" x="111"/>
        <item m="1" x="53"/>
        <item m="1" x="208"/>
        <item m="1" x="36"/>
        <item m="1" x="200"/>
        <item m="1" x="32"/>
        <item m="1" x="172"/>
        <item m="1" x="114"/>
        <item m="1" x="204"/>
        <item m="1" x="180"/>
        <item m="1" x="143"/>
        <item m="1" x="119"/>
        <item m="1" x="199"/>
        <item m="1" x="185"/>
        <item m="1" x="165"/>
        <item m="1" x="104"/>
        <item m="1" x="138"/>
        <item m="1" x="141"/>
        <item m="1" x="101"/>
        <item m="1" x="215"/>
        <item m="1" x="169"/>
        <item m="1" x="197"/>
        <item m="1" x="125"/>
        <item m="1" x="144"/>
        <item m="1" x="95"/>
        <item m="1" x="44"/>
        <item m="1" x="123"/>
        <item x="3"/>
        <item x="9"/>
        <item x="5"/>
        <item m="1" x="85"/>
        <item x="8"/>
        <item m="1" x="134"/>
        <item x="10"/>
        <item m="1" x="159"/>
        <item m="1" x="198"/>
        <item m="1" x="102"/>
        <item x="12"/>
        <item m="1" x="224"/>
        <item m="1" x="55"/>
        <item x="13"/>
        <item m="1" x="51"/>
        <item m="1" x="43"/>
        <item x="16"/>
        <item m="1" x="38"/>
        <item m="1" x="76"/>
        <item m="1" x="61"/>
        <item x="20"/>
        <item m="1" x="77"/>
        <item x="21"/>
        <item m="1" x="47"/>
        <item m="1" x="167"/>
        <item m="1" x="81"/>
        <item m="1" x="161"/>
        <item m="1" x="42"/>
        <item m="1" x="41"/>
        <item m="1" x="150"/>
        <item m="1" x="155"/>
        <item m="1" x="84"/>
        <item m="1" x="97"/>
        <item m="1" x="88"/>
        <item m="1" x="207"/>
        <item m="1" x="133"/>
        <item m="1" x="139"/>
        <item m="1" x="128"/>
        <item m="1" x="154"/>
        <item m="1" x="25"/>
        <item m="1" x="74"/>
        <item m="1" x="110"/>
        <item m="1" x="173"/>
        <item m="1" x="66"/>
        <item m="1" x="189"/>
        <item m="1" x="57"/>
        <item m="1" x="170"/>
        <item m="1" x="116"/>
        <item m="1" x="183"/>
        <item m="1" x="175"/>
        <item m="1" x="219"/>
        <item m="1" x="71"/>
        <item m="1" x="34"/>
        <item m="1" x="168"/>
        <item m="1" x="99"/>
        <item m="1" x="218"/>
        <item m="1" x="122"/>
        <item m="1" x="129"/>
        <item m="1" x="153"/>
        <item m="1" x="23"/>
        <item m="1" x="191"/>
        <item m="1" x="195"/>
        <item m="1" x="45"/>
        <item m="1" x="187"/>
        <item m="1" x="26"/>
        <item m="1" x="118"/>
        <item m="1" x="103"/>
        <item m="1" x="156"/>
        <item m="1" x="54"/>
        <item m="1" x="65"/>
        <item m="1" x="33"/>
        <item m="1" x="226"/>
        <item m="1" x="201"/>
        <item m="1" x="28"/>
        <item m="1" x="176"/>
        <item m="1" x="50"/>
        <item m="1" x="82"/>
        <item m="1" x="164"/>
        <item m="1" x="148"/>
        <item m="1" x="75"/>
        <item x="0"/>
        <item x="1"/>
        <item x="2"/>
        <item x="4"/>
        <item x="6"/>
        <item x="7"/>
        <item x="11"/>
        <item x="14"/>
        <item x="15"/>
        <item x="17"/>
        <item x="18"/>
        <item x="19"/>
        <item t="default"/>
      </items>
    </pivotField>
    <pivotField showAll="0"/>
    <pivotField showAll="0"/>
    <pivotField showAll="0"/>
    <pivotField showAll="0"/>
    <pivotField axis="axisRow" dataField="1" showAll="0" sortType="ascending">
      <items count="36">
        <item x="1"/>
        <item m="1" x="33"/>
        <item m="1" x="13"/>
        <item m="1" x="28"/>
        <item m="1" x="9"/>
        <item m="1" x="22"/>
        <item m="1" x="3"/>
        <item m="1" x="25"/>
        <item m="1" x="18"/>
        <item m="1" x="6"/>
        <item m="1" x="19"/>
        <item m="1" x="14"/>
        <item m="1" x="29"/>
        <item m="1" x="10"/>
        <item m="1" x="23"/>
        <item m="1" x="4"/>
        <item m="1" x="17"/>
        <item m="1" x="32"/>
        <item m="1" x="27"/>
        <item m="1" x="8"/>
        <item m="1" x="21"/>
        <item m="1" x="2"/>
        <item m="1" x="16"/>
        <item m="1" x="31"/>
        <item m="1" x="12"/>
        <item m="1" x="26"/>
        <item m="1" x="7"/>
        <item m="1" x="20"/>
        <item m="1" x="34"/>
        <item m="1" x="15"/>
        <item m="1" x="30"/>
        <item m="1" x="11"/>
        <item m="1" x="24"/>
        <item m="1" x="5"/>
        <item x="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6"/>
  </rowFields>
  <rowItems count="2">
    <i>
      <x v="34"/>
    </i>
    <i>
      <x/>
    </i>
  </rowItems>
  <colItems count="1">
    <i/>
  </colItems>
  <dataFields count="1">
    <dataField name="Среднее по полю Date" fld="6" subtotal="average" baseField="6" baseItem="0"/>
  </dataFields>
  <formats count="17">
    <format dxfId="133">
      <pivotArea field="6" type="button" dataOnly="0" labelOnly="1" outline="0" axis="axisRow" fieldPosition="0"/>
    </format>
    <format dxfId="132">
      <pivotArea field="6" type="button" dataOnly="0" labelOnly="1" outline="0" axis="axisRow" fieldPosition="0"/>
    </format>
    <format dxfId="131">
      <pivotArea field="6" type="button" dataOnly="0" labelOnly="1" outline="0" axis="axisRow" fieldPosition="0"/>
    </format>
    <format dxfId="130">
      <pivotArea field="6" type="button" dataOnly="0" labelOnly="1" outline="0" axis="axisRow" fieldPosition="0"/>
    </format>
    <format dxfId="129">
      <pivotArea field="6" type="button" dataOnly="0" labelOnly="1" outline="0" axis="axisRow" fieldPosition="0"/>
    </format>
    <format dxfId="128">
      <pivotArea field="6" type="button" dataOnly="0" labelOnly="1" outline="0" axis="axisRow" fieldPosition="0"/>
    </format>
    <format dxfId="127">
      <pivotArea field="6" type="button" dataOnly="0" labelOnly="1" outline="0" axis="axisRow" fieldPosition="0"/>
    </format>
    <format dxfId="126">
      <pivotArea dataOnly="0" labelOnly="1" outline="0" axis="axisValues" fieldPosition="0"/>
    </format>
    <format dxfId="125">
      <pivotArea field="1" type="button" dataOnly="0" labelOnly="1" outline="0"/>
    </format>
    <format dxfId="124">
      <pivotArea field="1" type="button" dataOnly="0" labelOnly="1" outline="0"/>
    </format>
    <format dxfId="123">
      <pivotArea field="1" type="button" dataOnly="0" labelOnly="1" outline="0"/>
    </format>
    <format dxfId="122">
      <pivotArea field="1" type="button" dataOnly="0" labelOnly="1" outline="0"/>
    </format>
    <format dxfId="121">
      <pivotArea field="1" type="button" dataOnly="0" labelOnly="1" outline="0"/>
    </format>
    <format dxfId="120">
      <pivotArea field="6" type="button" dataOnly="0" labelOnly="1" outline="0" axis="axisRow" fieldPosition="0"/>
    </format>
    <format dxfId="119">
      <pivotArea dataOnly="0" labelOnly="1" fieldPosition="0">
        <references count="1">
          <reference field="6" count="0"/>
        </references>
      </pivotArea>
    </format>
    <format dxfId="118">
      <pivotArea field="6" type="button" dataOnly="0" labelOnly="1" outline="0" axis="axisRow" fieldPosition="0"/>
    </format>
    <format dxfId="117">
      <pivotArea dataOnly="0" labelOnly="1" fieldPosition="0">
        <references count="1">
          <reference field="6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3E547B4-1A38-4CFD-8E3A-007AA9A3A621}" name="Сводная таблица1" cacheId="0" applyNumberFormats="0" applyBorderFormats="0" applyFontFormats="0" applyPatternFormats="0" applyAlignmentFormats="0" applyWidthHeightFormats="1" dataCaption="Значения" updatedVersion="6" minRefreshableVersion="3" rowGrandTotals="0" colGrandTotals="0" itemPrintTitles="1" createdVersion="6" indent="0" outline="1" outlineData="1" multipleFieldFilters="0" rowHeaderCaption="№">
  <location ref="B4:B26" firstHeaderRow="1" firstDataRow="1" firstDataCol="1" rowPageCount="1" colPageCount="1"/>
  <pivotFields count="24">
    <pivotField axis="axisRow" showAll="0">
      <items count="7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m="1" x="38"/>
        <item m="1" x="406"/>
        <item m="1" x="26"/>
        <item m="1" x="394"/>
        <item m="1" x="757"/>
        <item m="1" x="381"/>
        <item m="1" x="745"/>
        <item m="1" x="369"/>
        <item m="1" x="733"/>
        <item m="1" x="356"/>
        <item m="1" x="544"/>
        <item m="1" x="720"/>
        <item m="1" x="160"/>
        <item m="1" x="342"/>
        <item m="1" x="530"/>
        <item m="1" x="707"/>
        <item m="1" x="147"/>
        <item m="1" x="329"/>
        <item m="1" x="517"/>
        <item m="1" x="695"/>
        <item m="1" x="134"/>
        <item m="1" x="316"/>
        <item m="1" x="504"/>
        <item m="1" x="683"/>
        <item m="1" x="121"/>
        <item m="1" x="303"/>
        <item m="1" x="491"/>
        <item m="1" x="672"/>
        <item m="1" x="109"/>
        <item m="1" x="290"/>
        <item m="1" x="478"/>
        <item m="1" x="660"/>
        <item m="1" x="97"/>
        <item m="1" x="278"/>
        <item m="1" x="466"/>
        <item m="1" x="649"/>
        <item m="1" x="85"/>
        <item m="1" x="266"/>
        <item m="1" x="454"/>
        <item m="1" x="638"/>
        <item m="1" x="73"/>
        <item m="1" x="254"/>
        <item m="1" x="349"/>
        <item m="1" x="442"/>
        <item m="1" x="537"/>
        <item m="1" x="626"/>
        <item m="1" x="714"/>
        <item m="1" x="61"/>
        <item m="1" x="154"/>
        <item m="1" x="242"/>
        <item m="1" x="336"/>
        <item m="1" x="430"/>
        <item m="1" x="524"/>
        <item m="1" x="614"/>
        <item m="1" x="702"/>
        <item m="1" x="50"/>
        <item m="1" x="142"/>
        <item m="1" x="231"/>
        <item m="1" x="324"/>
        <item m="1" x="419"/>
        <item m="1" x="512"/>
        <item m="1" x="603"/>
        <item m="1" x="691"/>
        <item m="1" x="39"/>
        <item m="1" x="129"/>
        <item m="1" x="219"/>
        <item m="1" x="311"/>
        <item m="1" x="407"/>
        <item m="1" x="499"/>
        <item m="1" x="591"/>
        <item m="1" x="679"/>
        <item m="1" x="27"/>
        <item m="1" x="117"/>
        <item m="1" x="208"/>
        <item m="1" x="299"/>
        <item m="1" x="395"/>
        <item m="1" x="487"/>
        <item m="1" x="580"/>
        <item m="1" x="668"/>
        <item m="1" x="758"/>
        <item m="1" x="105"/>
        <item m="1" x="196"/>
        <item m="1" x="286"/>
        <item m="1" x="382"/>
        <item m="1" x="474"/>
        <item m="1" x="568"/>
        <item m="1" x="656"/>
        <item m="1" x="746"/>
        <item m="1" x="93"/>
        <item m="1" x="185"/>
        <item m="1" x="274"/>
        <item m="1" x="370"/>
        <item m="1" x="462"/>
        <item m="1" x="557"/>
        <item m="1" x="645"/>
        <item m="1" x="734"/>
        <item m="1" x="80"/>
        <item m="1" x="173"/>
        <item m="1" x="261"/>
        <item m="1" x="357"/>
        <item m="1" x="449"/>
        <item m="1" x="545"/>
        <item m="1" x="633"/>
        <item m="1" x="722"/>
        <item m="1" x="68"/>
        <item m="1" x="162"/>
        <item m="1" x="205"/>
        <item m="1" x="249"/>
        <item m="1" x="296"/>
        <item m="1" x="344"/>
        <item m="1" x="391"/>
        <item m="1" x="437"/>
        <item m="1" x="484"/>
        <item m="1" x="532"/>
        <item m="1" x="577"/>
        <item m="1" x="621"/>
        <item m="1" x="665"/>
        <item m="1" x="709"/>
        <item m="1" x="754"/>
        <item m="1" x="56"/>
        <item m="1" x="102"/>
        <item m="1" x="149"/>
        <item m="1" x="193"/>
        <item m="1" x="237"/>
        <item m="1" x="283"/>
        <item m="1" x="331"/>
        <item m="1" x="378"/>
        <item m="1" x="425"/>
        <item m="1" x="471"/>
        <item m="1" x="519"/>
        <item m="1" x="565"/>
        <item m="1" x="609"/>
        <item m="1" x="653"/>
        <item m="1" x="697"/>
        <item m="1" x="741"/>
        <item m="1" x="44"/>
        <item m="1" x="89"/>
        <item m="1" x="136"/>
        <item m="1" x="181"/>
        <item m="1" x="225"/>
        <item m="1" x="270"/>
        <item m="1" x="318"/>
        <item m="1" x="365"/>
        <item m="1" x="413"/>
        <item m="1" x="458"/>
        <item m="1" x="506"/>
        <item m="1" x="553"/>
        <item m="1" x="597"/>
        <item m="1" x="641"/>
        <item m="1" x="685"/>
        <item m="1" x="729"/>
        <item m="1" x="32"/>
        <item m="1" x="76"/>
        <item m="1" x="123"/>
        <item m="1" x="169"/>
        <item m="1" x="213"/>
        <item m="1" x="257"/>
        <item m="1" x="305"/>
        <item m="1" x="352"/>
        <item m="1" x="400"/>
        <item m="1" x="445"/>
        <item m="1" x="493"/>
        <item m="1" x="540"/>
        <item m="1" x="585"/>
        <item m="1" x="629"/>
        <item m="1" x="673"/>
        <item m="1" x="716"/>
        <item m="1" x="762"/>
        <item m="1" x="63"/>
        <item m="1" x="110"/>
        <item m="1" x="156"/>
        <item m="1" x="200"/>
        <item m="1" x="244"/>
        <item m="1" x="291"/>
        <item m="1" x="338"/>
        <item m="1" x="386"/>
        <item m="1" x="432"/>
        <item m="1" x="479"/>
        <item m="1" x="526"/>
        <item m="1" x="572"/>
        <item m="1" x="616"/>
        <item m="1" x="661"/>
        <item m="1" x="704"/>
        <item m="1" x="750"/>
        <item m="1" x="52"/>
        <item m="1" x="98"/>
        <item m="1" x="144"/>
        <item m="1" x="189"/>
        <item m="1" x="233"/>
        <item m="1" x="279"/>
        <item m="1" x="326"/>
        <item m="1" x="374"/>
        <item m="1" x="421"/>
        <item m="1" x="467"/>
        <item m="1" x="514"/>
        <item m="1" x="561"/>
        <item m="1" x="605"/>
        <item m="1" x="650"/>
        <item m="1" x="693"/>
        <item m="1" x="738"/>
        <item m="1" x="41"/>
        <item m="1" x="86"/>
        <item m="1" x="132"/>
        <item m="1" x="178"/>
        <item m="1" x="222"/>
        <item m="1" x="267"/>
        <item m="1" x="314"/>
        <item m="1" x="362"/>
        <item m="1" x="410"/>
        <item m="1" x="455"/>
        <item m="1" x="502"/>
        <item m="1" x="550"/>
        <item m="1" x="594"/>
        <item m="1" x="639"/>
        <item m="1" x="682"/>
        <item m="1" x="727"/>
        <item m="1" x="30"/>
        <item m="1" x="74"/>
        <item m="1" x="120"/>
        <item m="1" x="167"/>
        <item m="1" x="211"/>
        <item m="1" x="255"/>
        <item m="1" x="302"/>
        <item m="1" x="350"/>
        <item m="1" x="398"/>
        <item m="1" x="443"/>
        <item m="1" x="490"/>
        <item m="1" x="538"/>
        <item m="1" x="583"/>
        <item m="1" x="627"/>
        <item m="1" x="671"/>
        <item m="1" x="715"/>
        <item m="1" x="761"/>
        <item m="1" x="62"/>
        <item m="1" x="84"/>
        <item m="1" x="108"/>
        <item m="1" x="131"/>
        <item m="1" x="155"/>
        <item m="1" x="177"/>
        <item m="1" x="199"/>
        <item m="1" x="221"/>
        <item m="1" x="243"/>
        <item m="1" x="265"/>
        <item m="1" x="289"/>
        <item m="1" x="313"/>
        <item m="1" x="337"/>
        <item m="1" x="361"/>
        <item m="1" x="385"/>
        <item m="1" x="409"/>
        <item m="1" x="431"/>
        <item m="1" x="453"/>
        <item m="1" x="477"/>
        <item m="1" x="501"/>
        <item m="1" x="525"/>
        <item m="1" x="549"/>
        <item m="1" x="571"/>
        <item m="1" x="593"/>
        <item m="1" x="615"/>
        <item m="1" x="637"/>
        <item m="1" x="659"/>
        <item m="1" x="681"/>
        <item m="1" x="703"/>
        <item m="1" x="726"/>
        <item m="1" x="749"/>
        <item m="1" x="29"/>
        <item m="1" x="51"/>
        <item m="1" x="72"/>
        <item m="1" x="96"/>
        <item m="1" x="119"/>
        <item m="1" x="143"/>
        <item m="1" x="166"/>
        <item m="1" x="188"/>
        <item m="1" x="210"/>
        <item m="1" x="232"/>
        <item m="1" x="253"/>
        <item m="1" x="277"/>
        <item m="1" x="301"/>
        <item m="1" x="325"/>
        <item m="1" x="348"/>
        <item m="1" x="373"/>
        <item m="1" x="397"/>
        <item m="1" x="420"/>
        <item m="1" x="441"/>
        <item m="1" x="465"/>
        <item m="1" x="489"/>
        <item m="1" x="513"/>
        <item m="1" x="536"/>
        <item m="1" x="560"/>
        <item m="1" x="582"/>
        <item m="1" x="604"/>
        <item m="1" x="625"/>
        <item m="1" x="648"/>
        <item m="1" x="670"/>
        <item m="1" x="692"/>
        <item m="1" x="713"/>
        <item m="1" x="737"/>
        <item m="1" x="760"/>
        <item m="1" x="40"/>
        <item m="1" x="60"/>
        <item m="1" x="83"/>
        <item m="1" x="107"/>
        <item m="1" x="130"/>
        <item m="1" x="153"/>
        <item m="1" x="176"/>
        <item m="1" x="198"/>
        <item m="1" x="220"/>
        <item m="1" x="241"/>
        <item m="1" x="264"/>
        <item m="1" x="288"/>
        <item m="1" x="312"/>
        <item m="1" x="335"/>
        <item m="1" x="360"/>
        <item m="1" x="384"/>
        <item m="1" x="408"/>
        <item m="1" x="429"/>
        <item m="1" x="452"/>
        <item m="1" x="476"/>
        <item m="1" x="500"/>
        <item m="1" x="523"/>
        <item m="1" x="548"/>
        <item m="1" x="570"/>
        <item m="1" x="592"/>
        <item m="1" x="613"/>
        <item m="1" x="636"/>
        <item m="1" x="658"/>
        <item m="1" x="680"/>
        <item m="1" x="701"/>
        <item m="1" x="725"/>
        <item m="1" x="748"/>
        <item m="1" x="28"/>
        <item m="1" x="49"/>
        <item m="1" x="71"/>
        <item m="1" x="95"/>
        <item m="1" x="118"/>
        <item m="1" x="141"/>
        <item m="1" x="165"/>
        <item m="1" x="187"/>
        <item m="1" x="209"/>
        <item m="1" x="230"/>
        <item m="1" x="252"/>
        <item m="1" x="276"/>
        <item m="1" x="300"/>
        <item m="1" x="323"/>
        <item m="1" x="347"/>
        <item m="1" x="372"/>
        <item m="1" x="396"/>
        <item m="1" x="418"/>
        <item m="1" x="440"/>
        <item m="1" x="464"/>
        <item m="1" x="488"/>
        <item m="1" x="511"/>
        <item m="1" x="535"/>
        <item m="1" x="559"/>
        <item m="1" x="581"/>
        <item m="1" x="602"/>
        <item m="1" x="624"/>
        <item m="1" x="647"/>
        <item m="1" x="669"/>
        <item m="1" x="690"/>
        <item m="1" x="712"/>
        <item m="1" x="736"/>
        <item m="1" x="759"/>
        <item m="1" x="37"/>
        <item m="1" x="59"/>
        <item m="1" x="82"/>
        <item m="1" x="106"/>
        <item m="1" x="128"/>
        <item m="1" x="152"/>
        <item m="1" x="175"/>
        <item m="1" x="197"/>
        <item m="1" x="218"/>
        <item m="1" x="240"/>
        <item m="1" x="263"/>
        <item m="1" x="287"/>
        <item m="1" x="310"/>
        <item m="1" x="334"/>
        <item m="1" x="359"/>
        <item m="1" x="383"/>
        <item m="1" x="405"/>
        <item m="1" x="428"/>
        <item m="1" x="451"/>
        <item m="1" x="475"/>
        <item m="1" x="498"/>
        <item m="1" x="522"/>
        <item m="1" x="547"/>
        <item m="1" x="569"/>
        <item m="1" x="590"/>
        <item m="1" x="612"/>
        <item m="1" x="635"/>
        <item m="1" x="657"/>
        <item m="1" x="678"/>
        <item m="1" x="700"/>
        <item m="1" x="724"/>
        <item m="1" x="747"/>
        <item m="1" x="25"/>
        <item m="1" x="48"/>
        <item m="1" x="70"/>
        <item m="1" x="94"/>
        <item m="1" x="116"/>
        <item m="1" x="140"/>
        <item m="1" x="164"/>
        <item m="1" x="186"/>
        <item m="1" x="207"/>
        <item m="1" x="229"/>
        <item m="1" x="251"/>
        <item m="1" x="275"/>
        <item m="1" x="298"/>
        <item m="1" x="322"/>
        <item m="1" x="346"/>
        <item m="1" x="371"/>
        <item m="1" x="393"/>
        <item m="1" x="417"/>
        <item m="1" x="439"/>
        <item m="1" x="463"/>
        <item m="1" x="486"/>
        <item m="1" x="510"/>
        <item m="1" x="534"/>
        <item m="1" x="558"/>
        <item m="1" x="579"/>
        <item m="1" x="601"/>
        <item m="1" x="623"/>
        <item m="1" x="646"/>
        <item m="1" x="667"/>
        <item m="1" x="689"/>
        <item m="1" x="711"/>
        <item m="1" x="735"/>
        <item m="1" x="756"/>
        <item m="1" x="36"/>
        <item m="1" x="58"/>
        <item m="1" x="81"/>
        <item m="1" x="104"/>
        <item m="1" x="127"/>
        <item m="1" x="151"/>
        <item m="1" x="174"/>
        <item m="1" x="195"/>
        <item m="1" x="217"/>
        <item m="1" x="239"/>
        <item m="1" x="262"/>
        <item m="1" x="285"/>
        <item m="1" x="309"/>
        <item m="1" x="333"/>
        <item m="1" x="358"/>
        <item m="1" x="380"/>
        <item m="1" x="404"/>
        <item m="1" x="427"/>
        <item m="1" x="450"/>
        <item m="1" x="473"/>
        <item m="1" x="497"/>
        <item m="1" x="521"/>
        <item m="1" x="546"/>
        <item m="1" x="567"/>
        <item m="1" x="589"/>
        <item m="1" x="611"/>
        <item m="1" x="634"/>
        <item m="1" x="655"/>
        <item m="1" x="677"/>
        <item m="1" x="699"/>
        <item m="1" x="723"/>
        <item m="1" x="744"/>
        <item m="1" x="24"/>
        <item m="1" x="47"/>
        <item m="1" x="69"/>
        <item m="1" x="92"/>
        <item m="1" x="115"/>
        <item m="1" x="139"/>
        <item m="1" x="163"/>
        <item m="1" x="184"/>
        <item m="1" x="206"/>
        <item m="1" x="228"/>
        <item m="1" x="250"/>
        <item m="1" x="273"/>
        <item m="1" x="297"/>
        <item m="1" x="321"/>
        <item m="1" x="345"/>
        <item m="1" x="368"/>
        <item m="1" x="392"/>
        <item m="1" x="416"/>
        <item m="1" x="438"/>
        <item m="1" x="461"/>
        <item m="1" x="485"/>
        <item m="1" x="509"/>
        <item m="1" x="533"/>
        <item m="1" x="556"/>
        <item m="1" x="578"/>
        <item m="1" x="600"/>
        <item m="1" x="622"/>
        <item m="1" x="644"/>
        <item m="1" x="666"/>
        <item m="1" x="688"/>
        <item m="1" x="710"/>
        <item m="1" x="721"/>
        <item m="1" x="732"/>
        <item m="1" x="743"/>
        <item m="1" x="755"/>
        <item m="1" x="23"/>
        <item m="1" x="35"/>
        <item m="1" x="46"/>
        <item m="1" x="57"/>
        <item m="1" x="67"/>
        <item m="1" x="79"/>
        <item m="1" x="91"/>
        <item m="1" x="103"/>
        <item m="1" x="114"/>
        <item m="1" x="126"/>
        <item m="1" x="138"/>
        <item m="1" x="150"/>
        <item m="1" x="161"/>
        <item m="1" x="172"/>
        <item m="1" x="183"/>
        <item m="1" x="194"/>
        <item m="1" x="204"/>
        <item m="1" x="216"/>
        <item m="1" x="227"/>
        <item m="1" x="238"/>
        <item m="1" x="248"/>
        <item m="1" x="260"/>
        <item m="1" x="272"/>
        <item m="1" x="284"/>
        <item m="1" x="295"/>
        <item m="1" x="308"/>
        <item m="1" x="320"/>
        <item m="1" x="332"/>
        <item m="1" x="343"/>
        <item m="1" x="355"/>
        <item m="1" x="367"/>
        <item m="1" x="379"/>
        <item m="1" x="390"/>
        <item m="1" x="403"/>
        <item m="1" x="415"/>
        <item m="1" x="426"/>
        <item m="1" x="436"/>
        <item m="1" x="448"/>
        <item m="1" x="460"/>
        <item m="1" x="472"/>
        <item m="1" x="483"/>
        <item m="1" x="496"/>
        <item m="1" x="508"/>
        <item m="1" x="520"/>
        <item m="1" x="531"/>
        <item m="1" x="543"/>
        <item m="1" x="555"/>
        <item m="1" x="566"/>
        <item m="1" x="576"/>
        <item m="1" x="588"/>
        <item m="1" x="599"/>
        <item m="1" x="610"/>
        <item m="1" x="620"/>
        <item m="1" x="632"/>
        <item m="1" x="643"/>
        <item m="1" x="654"/>
        <item m="1" x="664"/>
        <item m="1" x="676"/>
        <item m="1" x="687"/>
        <item m="1" x="698"/>
        <item m="1" x="708"/>
        <item m="1" x="719"/>
        <item m="1" x="731"/>
        <item m="1" x="742"/>
        <item m="1" x="753"/>
        <item m="1" x="22"/>
        <item m="1" x="34"/>
        <item m="1" x="45"/>
        <item m="1" x="55"/>
        <item m="1" x="66"/>
        <item m="1" x="78"/>
        <item m="1" x="90"/>
        <item m="1" x="101"/>
        <item m="1" x="113"/>
        <item m="1" x="125"/>
        <item m="1" x="137"/>
        <item m="1" x="148"/>
        <item m="1" x="159"/>
        <item m="1" x="171"/>
        <item m="1" x="182"/>
        <item m="1" x="192"/>
        <item m="1" x="203"/>
        <item m="1" x="215"/>
        <item m="1" x="226"/>
        <item m="1" x="236"/>
        <item m="1" x="247"/>
        <item m="1" x="259"/>
        <item m="1" x="271"/>
        <item m="1" x="282"/>
        <item m="1" x="294"/>
        <item m="1" x="307"/>
        <item m="1" x="319"/>
        <item m="1" x="330"/>
        <item m="1" x="341"/>
        <item m="1" x="354"/>
        <item m="1" x="366"/>
        <item m="1" x="377"/>
        <item m="1" x="389"/>
        <item m="1" x="402"/>
        <item m="1" x="414"/>
        <item m="1" x="424"/>
        <item m="1" x="435"/>
        <item m="1" x="447"/>
        <item m="1" x="459"/>
        <item m="1" x="470"/>
        <item m="1" x="482"/>
        <item m="1" x="495"/>
        <item m="1" x="507"/>
        <item m="1" x="518"/>
        <item m="1" x="529"/>
        <item m="1" x="542"/>
        <item m="1" x="554"/>
        <item m="1" x="564"/>
        <item m="1" x="575"/>
        <item m="1" x="587"/>
        <item m="1" x="598"/>
        <item m="1" x="608"/>
        <item m="1" x="619"/>
        <item m="1" x="631"/>
        <item m="1" x="642"/>
        <item m="1" x="652"/>
        <item m="1" x="663"/>
        <item m="1" x="675"/>
        <item m="1" x="686"/>
        <item m="1" x="696"/>
        <item m="1" x="706"/>
        <item m="1" x="718"/>
        <item m="1" x="730"/>
        <item m="1" x="740"/>
        <item m="1" x="752"/>
        <item m="1" x="764"/>
        <item m="1" x="33"/>
        <item m="1" x="43"/>
        <item m="1" x="54"/>
        <item m="1" x="65"/>
        <item m="1" x="77"/>
        <item m="1" x="88"/>
        <item m="1" x="100"/>
        <item m="1" x="112"/>
        <item m="1" x="124"/>
        <item m="1" x="135"/>
        <item m="1" x="146"/>
        <item m="1" x="158"/>
        <item m="1" x="170"/>
        <item m="1" x="180"/>
        <item m="1" x="191"/>
        <item m="1" x="202"/>
        <item m="1" x="214"/>
        <item m="1" x="224"/>
        <item m="1" x="235"/>
        <item m="1" x="246"/>
        <item m="1" x="258"/>
        <item m="1" x="269"/>
        <item m="1" x="281"/>
        <item m="1" x="293"/>
        <item m="1" x="306"/>
        <item m="1" x="317"/>
        <item m="1" x="328"/>
        <item m="1" x="340"/>
        <item m="1" x="353"/>
        <item m="1" x="364"/>
        <item m="1" x="376"/>
        <item m="1" x="388"/>
        <item m="1" x="401"/>
        <item m="1" x="412"/>
        <item m="1" x="423"/>
        <item m="1" x="434"/>
        <item m="1" x="446"/>
        <item m="1" x="457"/>
        <item m="1" x="469"/>
        <item m="1" x="481"/>
        <item m="1" x="494"/>
        <item m="1" x="505"/>
        <item m="1" x="516"/>
        <item m="1" x="528"/>
        <item m="1" x="541"/>
        <item m="1" x="552"/>
        <item m="1" x="563"/>
        <item m="1" x="574"/>
        <item m="1" x="586"/>
        <item m="1" x="596"/>
        <item m="1" x="607"/>
        <item m="1" x="618"/>
        <item m="1" x="630"/>
        <item m="1" x="640"/>
        <item m="1" x="651"/>
        <item m="1" x="662"/>
        <item m="1" x="674"/>
        <item m="1" x="684"/>
        <item m="1" x="694"/>
        <item m="1" x="705"/>
        <item m="1" x="717"/>
        <item m="1" x="728"/>
        <item m="1" x="739"/>
        <item m="1" x="751"/>
        <item m="1" x="763"/>
        <item m="1" x="31"/>
        <item m="1" x="42"/>
        <item m="1" x="53"/>
        <item m="1" x="64"/>
        <item m="1" x="75"/>
        <item m="1" x="87"/>
        <item m="1" x="99"/>
        <item m="1" x="111"/>
        <item m="1" x="122"/>
        <item m="1" x="133"/>
        <item m="1" x="145"/>
        <item m="1" x="157"/>
        <item m="1" x="168"/>
        <item m="1" x="179"/>
        <item m="1" x="190"/>
        <item m="1" x="201"/>
        <item m="1" x="212"/>
        <item m="1" x="223"/>
        <item m="1" x="234"/>
        <item m="1" x="245"/>
        <item m="1" x="256"/>
        <item m="1" x="268"/>
        <item m="1" x="280"/>
        <item m="1" x="292"/>
        <item m="1" x="304"/>
        <item m="1" x="315"/>
        <item m="1" x="327"/>
        <item m="1" x="339"/>
        <item m="1" x="351"/>
        <item m="1" x="363"/>
        <item m="1" x="375"/>
        <item m="1" x="387"/>
        <item m="1" x="399"/>
        <item m="1" x="411"/>
        <item m="1" x="422"/>
        <item m="1" x="433"/>
        <item m="1" x="444"/>
        <item m="1" x="456"/>
        <item m="1" x="468"/>
        <item m="1" x="480"/>
        <item m="1" x="492"/>
        <item m="1" x="503"/>
        <item m="1" x="515"/>
        <item m="1" x="527"/>
        <item m="1" x="539"/>
        <item m="1" x="551"/>
        <item m="1" x="562"/>
        <item m="1" x="573"/>
        <item m="1" x="584"/>
        <item m="1" x="595"/>
        <item m="1" x="606"/>
        <item m="1" x="617"/>
        <item m="1" x="628"/>
        <item t="default"/>
      </items>
    </pivotField>
    <pivotField showAll="0"/>
    <pivotField showAll="0"/>
    <pivotField showAll="0"/>
    <pivotField showAll="0"/>
    <pivotField axis="axisPage" numFmtId="164" showAll="0">
      <items count="37">
        <item m="1" x="18"/>
        <item m="1" x="33"/>
        <item m="1" x="13"/>
        <item m="1" x="28"/>
        <item m="1" x="8"/>
        <item m="1" x="22"/>
        <item m="1" x="2"/>
        <item m="1" x="25"/>
        <item m="1" x="5"/>
        <item m="1" x="19"/>
        <item m="1" x="34"/>
        <item m="1" x="14"/>
        <item m="1" x="29"/>
        <item m="1" x="9"/>
        <item m="1" x="23"/>
        <item m="1" x="3"/>
        <item m="1" x="17"/>
        <item m="1" x="32"/>
        <item m="1" x="12"/>
        <item m="1" x="27"/>
        <item m="1" x="7"/>
        <item m="1" x="21"/>
        <item m="1" x="1"/>
        <item m="1" x="16"/>
        <item m="1" x="31"/>
        <item m="1" x="11"/>
        <item m="1" x="26"/>
        <item m="1" x="6"/>
        <item m="1" x="20"/>
        <item m="1" x="35"/>
        <item m="1" x="15"/>
        <item m="1" x="30"/>
        <item m="1" x="10"/>
        <item m="1" x="24"/>
        <item m="1" x="4"/>
        <item x="0"/>
        <item t="default"/>
      </items>
    </pivotField>
    <pivotField numFmtId="20" showAll="0"/>
    <pivotField showAll="0"/>
    <pivotField showAll="0"/>
    <pivotField showAll="0"/>
    <pivotField showAll="0"/>
    <pivotField showAll="0"/>
    <pivotField showAll="0"/>
    <pivotField showAll="0"/>
    <pivotField numFmtId="1" showAll="0"/>
    <pivotField showAll="0"/>
    <pivotField showAll="0"/>
    <pivotField showAll="0"/>
    <pivotField showAll="0"/>
    <pivotField showAll="0"/>
    <pivotField numFmtId="2" showAll="0"/>
    <pivotField numFmtId="2" showAll="0"/>
    <pivotField numFmtId="2" showAll="0"/>
    <pivotField numFmtId="1" showAll="0"/>
  </pivotFields>
  <rowFields count="1">
    <field x="0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</rowItems>
  <colItems count="1">
    <i/>
  </colItems>
  <pageFields count="1">
    <pageField fld="5" item="35" hier="-1"/>
  </pageFields>
  <formats count="6">
    <format dxfId="99">
      <pivotArea type="all" dataOnly="0" outline="0" fieldPosition="0"/>
    </format>
    <format dxfId="98">
      <pivotArea field="0" type="button" dataOnly="0" labelOnly="1" outline="0" axis="axisRow" fieldPosition="0"/>
    </format>
    <format dxfId="97">
      <pivotArea dataOnly="0" labelOnly="1" fieldPosition="0">
        <references count="1">
          <reference field="0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96">
      <pivotArea type="all" dataOnly="0" outline="0" fieldPosition="0"/>
    </format>
    <format dxfId="95">
      <pivotArea field="0" type="button" dataOnly="0" labelOnly="1" outline="0" axis="axisRow" fieldPosition="0"/>
    </format>
    <format dxfId="94">
      <pivotArea dataOnly="0" labelOnly="1" fieldPosition="0">
        <references count="1">
          <reference field="0" count="8">
            <x v="0"/>
            <x v="1"/>
            <x v="2"/>
            <x v="3"/>
            <x v="4"/>
            <x v="5"/>
            <x v="6"/>
            <x v="7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G2" xr10:uid="{4026C7CB-A77B-442A-95A3-9A54FFE95FC9}" sourceName="G">
  <pivotTables>
    <pivotTable tabId="58" name="№"/>
  </pivotTables>
  <data>
    <tabular pivotCacheId="648106455">
      <items count="6">
        <i x="0" s="1"/>
        <i x="2" s="1" nd="1"/>
        <i x="1" s="1" nd="1"/>
        <i x="4" s="1" nd="1"/>
        <i x="5" s="1" nd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T11" xr10:uid="{CCF9A540-9A76-49F4-9E7D-E4C63BC05507}" sourceName="T">
  <pivotTables>
    <pivotTable tabId="58" name="№"/>
  </pivotTables>
  <data>
    <tabular pivotCacheId="648106455">
      <items count="3">
        <i x="0" s="1"/>
        <i x="2" s="1" nd="1"/>
        <i x="1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K2" xr10:uid="{016119D1-2F04-495A-8142-D9B4D5A2BD24}" sourceName="K">
  <pivotTables>
    <pivotTable tabId="58" name="№"/>
  </pivotTables>
  <data>
    <tabular pivotCacheId="648106455">
      <items count="3">
        <i x="1" s="1"/>
        <i x="0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A11" xr10:uid="{BF74CB28-3A62-44B2-A6D7-A4C46C9CD47B}" sourceName="A">
  <pivotTables>
    <pivotTable tabId="58" name="№"/>
  </pivotTables>
  <data>
    <tabular pivotCacheId="648106455">
      <items count="3">
        <i x="0" s="1"/>
        <i x="2" s="1" nd="1"/>
        <i x="1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M2" xr10:uid="{000CC92A-B813-4AAF-B369-860B1BC7AFCF}" sourceName="M">
  <pivotTables>
    <pivotTable tabId="58" name="№"/>
  </pivotTables>
  <data>
    <tabular pivotCacheId="648106455">
      <items count="12">
        <i x="0" s="1"/>
        <i x="2" s="1" nd="1"/>
        <i x="11" s="1" nd="1"/>
        <i x="3" s="1" nd="1"/>
        <i x="1" s="1" nd="1"/>
        <i x="10" s="1" nd="1"/>
        <i x="9" s="1" nd="1"/>
        <i x="7" s="1" nd="1"/>
        <i x="8" s="1" nd="1"/>
        <i x="6" s="1" nd="1"/>
        <i x="4" s="1" nd="1"/>
        <i x="5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AFS2" xr10:uid="{ACD65E23-DD60-4E05-8841-A7F43EC94302}" sourceName="AFS">
  <pivotTables>
    <pivotTable tabId="58" name="№"/>
  </pivotTables>
  <data>
    <tabular pivotCacheId="648106455">
      <items count="122">
        <i x="0" s="1"/>
        <i x="2" s="1"/>
        <i x="6" s="1"/>
        <i x="4" s="1"/>
        <i x="1" s="1"/>
        <i x="12" s="1"/>
        <i x="8" s="1"/>
        <i x="10" s="1"/>
        <i x="14" s="1"/>
        <i x="16" s="1"/>
        <i x="15" s="1"/>
        <i x="9" s="1"/>
        <i x="5" s="1"/>
        <i x="3" s="1"/>
        <i x="13" s="1"/>
        <i x="7" s="1"/>
        <i x="17" s="1"/>
        <i x="11" s="1"/>
        <i x="18" s="1" nd="1"/>
        <i x="33" s="1" nd="1"/>
        <i x="55" s="1" nd="1"/>
        <i x="74" s="1" nd="1"/>
        <i x="118" s="1" nd="1"/>
        <i x="62" s="1" nd="1"/>
        <i x="86" s="1" nd="1"/>
        <i x="20" s="1" nd="1"/>
        <i x="106" s="1" nd="1"/>
        <i x="87" s="1" nd="1"/>
        <i x="89" s="1" nd="1"/>
        <i x="48" s="1" nd="1"/>
        <i x="21" s="1" nd="1"/>
        <i x="57" s="1" nd="1"/>
        <i x="114" s="1" nd="1"/>
        <i x="75" s="1" nd="1"/>
        <i x="60" s="1" nd="1"/>
        <i x="41" s="1" nd="1"/>
        <i x="90" s="1" nd="1"/>
        <i x="50" s="1" nd="1"/>
        <i x="71" s="1" nd="1"/>
        <i x="101" s="1" nd="1"/>
        <i x="24" s="1" nd="1"/>
        <i x="91" s="1" nd="1"/>
        <i x="83" s="1" nd="1"/>
        <i x="25" s="1" nd="1"/>
        <i x="29" s="1" nd="1"/>
        <i x="26" s="1" nd="1"/>
        <i x="108" s="1" nd="1"/>
        <i x="27" s="1" nd="1"/>
        <i x="30" s="1" nd="1"/>
        <i x="61" s="1" nd="1"/>
        <i x="40" s="1" nd="1"/>
        <i x="56" s="1" nd="1"/>
        <i x="121" s="1" nd="1"/>
        <i x="46" s="1" nd="1"/>
        <i x="58" s="1" nd="1"/>
        <i x="69" s="1" nd="1"/>
        <i x="95" s="1" nd="1"/>
        <i x="22" s="1" nd="1"/>
        <i x="96" s="1" nd="1"/>
        <i x="100" s="1" nd="1"/>
        <i x="97" s="1" nd="1"/>
        <i x="72" s="1" nd="1"/>
        <i x="119" s="1" nd="1"/>
        <i x="98" s="1" nd="1"/>
        <i x="104" s="1" nd="1"/>
        <i x="42" s="1" nd="1"/>
        <i x="31" s="1" nd="1"/>
        <i x="23" s="1" nd="1"/>
        <i x="79" s="1" nd="1"/>
        <i x="80" s="1" nd="1"/>
        <i x="116" s="1" nd="1"/>
        <i x="28" s="1" nd="1"/>
        <i x="63" s="1" nd="1"/>
        <i x="78" s="1" nd="1"/>
        <i x="84" s="1" nd="1"/>
        <i x="88" s="1" nd="1"/>
        <i x="67" s="1" nd="1"/>
        <i x="85" s="1" nd="1"/>
        <i x="64" s="1" nd="1"/>
        <i x="43" s="1" nd="1"/>
        <i x="47" s="1" nd="1"/>
        <i x="65" s="1" nd="1"/>
        <i x="70" s="1" nd="1"/>
        <i x="111" s="1" nd="1"/>
        <i x="92" s="1" nd="1"/>
        <i x="109" s="1" nd="1"/>
        <i x="81" s="1" nd="1"/>
        <i x="52" s="1" nd="1"/>
        <i x="77" s="1" nd="1"/>
        <i x="44" s="1" nd="1"/>
        <i x="99" s="1" nd="1"/>
        <i x="68" s="1" nd="1"/>
        <i x="34" s="1" nd="1"/>
        <i x="49" s="1" nd="1"/>
        <i x="54" s="1" nd="1"/>
        <i x="59" s="1" nd="1"/>
        <i x="35" s="1" nd="1"/>
        <i x="37" s="1" nd="1"/>
        <i x="112" s="1" nd="1"/>
        <i x="115" s="1" nd="1"/>
        <i x="51" s="1" nd="1"/>
        <i x="39" s="1" nd="1"/>
        <i x="73" s="1" nd="1"/>
        <i x="53" s="1" nd="1"/>
        <i x="93" s="1" nd="1"/>
        <i x="102" s="1" nd="1"/>
        <i x="117" s="1" nd="1"/>
        <i x="19" s="1" nd="1"/>
        <i x="105" s="1" nd="1"/>
        <i x="66" s="1" nd="1"/>
        <i x="38" s="1" nd="1"/>
        <i x="120" s="1" nd="1"/>
        <i x="94" s="1" nd="1"/>
        <i x="103" s="1" nd="1"/>
        <i x="76" s="1" nd="1"/>
        <i x="107" s="1" nd="1"/>
        <i x="36" s="1" nd="1"/>
        <i x="82" s="1" nd="1"/>
        <i x="113" s="1" nd="1"/>
        <i x="110" s="1" nd="1"/>
        <i x="32" s="1" nd="1"/>
        <i x="45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F11" xr10:uid="{A7DF663E-844B-4054-8E2E-6378CF01BC77}" sourceName="F">
  <pivotTables>
    <pivotTable tabId="58" name="№"/>
  </pivotTables>
  <data>
    <tabular pivotCacheId="648106455">
      <items count="92">
        <i x="3" s="1"/>
        <i x="4" s="1"/>
        <i x="2" s="1"/>
        <i x="1" s="1"/>
        <i x="5" s="1"/>
        <i x="0" s="1"/>
        <i x="48" s="1" nd="1"/>
        <i x="30" s="1" nd="1"/>
        <i x="51" s="1" nd="1"/>
        <i x="83" s="1" nd="1"/>
        <i x="15" s="1" nd="1"/>
        <i x="32" s="1" nd="1"/>
        <i x="39" s="1" nd="1"/>
        <i x="52" s="1" nd="1"/>
        <i x="65" s="1" nd="1"/>
        <i x="69" s="1" nd="1"/>
        <i x="76" s="1" nd="1"/>
        <i x="87" s="1" nd="1"/>
        <i x="17" s="1" nd="1"/>
        <i x="21" s="1" nd="1"/>
        <i x="34" s="1" nd="1"/>
        <i x="35" s="1" nd="1"/>
        <i x="43" s="1" nd="1"/>
        <i x="49" s="1" nd="1"/>
        <i x="54" s="1" nd="1"/>
        <i x="62" s="1" nd="1"/>
        <i x="74" s="1" nd="1"/>
        <i x="82" s="1" nd="1"/>
        <i x="91" s="1" nd="1"/>
        <i x="41" s="1" nd="1"/>
        <i x="8" s="1" nd="1"/>
        <i x="10" s="1" nd="1"/>
        <i x="14" s="1" nd="1"/>
        <i x="53" s="1" nd="1"/>
        <i x="19" s="1" nd="1"/>
        <i x="60" s="1" nd="1"/>
        <i x="66" s="1" nd="1"/>
        <i x="23" s="1" nd="1"/>
        <i x="31" s="1" nd="1"/>
        <i x="70" s="1" nd="1"/>
        <i x="71" s="1" nd="1"/>
        <i x="77" s="1" nd="1"/>
        <i x="38" s="1" nd="1"/>
        <i x="88" s="1" nd="1"/>
        <i x="45" s="1" nd="1"/>
        <i x="58" s="1" nd="1"/>
        <i x="37" s="1" nd="1"/>
        <i x="40" s="1" nd="1"/>
        <i x="22" s="1" nd="1"/>
        <i x="9" s="1" nd="1"/>
        <i x="11" s="1" nd="1"/>
        <i x="75" s="1" nd="1"/>
        <i x="80" s="1" nd="1"/>
        <i x="61" s="1" nd="1"/>
        <i x="84" s="1" nd="1"/>
        <i x="6" s="1" nd="1"/>
        <i x="44" s="1" nd="1"/>
        <i x="46" s="1" nd="1"/>
        <i x="72" s="1" nd="1"/>
        <i x="50" s="1" nd="1"/>
        <i x="36" s="1" nd="1"/>
        <i x="16" s="1" nd="1"/>
        <i x="55" s="1" nd="1"/>
        <i x="67" s="1" nd="1"/>
        <i x="24" s="1" nd="1"/>
        <i x="73" s="1" nd="1"/>
        <i x="29" s="1" nd="1"/>
        <i x="56" s="1" nd="1"/>
        <i x="68" s="1" nd="1"/>
        <i x="26" s="1" nd="1"/>
        <i x="85" s="1" nd="1"/>
        <i x="18" s="1" nd="1"/>
        <i x="59" s="1" nd="1"/>
        <i x="63" s="1" nd="1"/>
        <i x="42" s="1" nd="1"/>
        <i x="12" s="1" nd="1"/>
        <i x="47" s="1" nd="1"/>
        <i x="89" s="1" nd="1"/>
        <i x="27" s="1" nd="1"/>
        <i x="81" s="1" nd="1"/>
        <i x="78" s="1" nd="1"/>
        <i x="13" s="1" nd="1"/>
        <i x="20" s="1" nd="1"/>
        <i x="33" s="1" nd="1"/>
        <i x="79" s="1" nd="1"/>
        <i x="86" s="1" nd="1"/>
        <i x="90" s="1" nd="1"/>
        <i x="7" s="1" nd="1"/>
        <i x="57" s="1" nd="1"/>
        <i x="25" s="1" nd="1"/>
        <i x="64" s="1" nd="1"/>
        <i x="28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R1" xr10:uid="{852E7968-5F06-4970-AA22-189333BA1255}" sourceName="R">
  <pivotTables>
    <pivotTable tabId="58" name="№"/>
  </pivotTables>
  <data>
    <tabular pivotCacheId="648106455">
      <items count="2">
        <i x="0" s="1"/>
        <i x="1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NN1" xr10:uid="{819F4FD7-F021-4C0E-8FEB-CDF8A19CF86B}" sourceName="NN">
  <pivotTables>
    <pivotTable tabId="58" name="№"/>
  </pivotTables>
  <data>
    <tabular pivotCacheId="648106455">
      <items count="7">
        <i x="0" s="1"/>
        <i x="1" s="1" nd="1"/>
        <i x="4" s="1" nd="1"/>
        <i x="2" s="1" nd="1"/>
        <i x="5" s="1" nd="1"/>
        <i x="3" s="1" nd="1"/>
        <i x="6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DN2" xr10:uid="{F070E564-3F0F-4FF0-B34A-25EA0EA4CB55}" sourceName="DN">
  <pivotTables>
    <pivotTable tabId="58" name="№"/>
  </pivotTables>
  <data>
    <tabular pivotCacheId="648106455">
      <items count="7">
        <i x="0" s="1"/>
        <i x="4" s="1" nd="1"/>
        <i x="5" s="1" nd="1"/>
        <i x="2" s="1" nd="1"/>
        <i x="3" s="1" nd="1"/>
        <i x="1" s="1" nd="1"/>
        <i x="6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Date2" xr10:uid="{4BD7CEA1-B177-4660-B0E0-0CF7F4002007}" sourceName="Date">
  <pivotTables>
    <pivotTable tabId="58" name="№"/>
  </pivotTables>
  <data>
    <tabular pivotCacheId="648106455">
      <items count="36">
        <i x="0" s="1"/>
        <i x="18" s="1" nd="1"/>
        <i x="33" s="1" nd="1"/>
        <i x="13" s="1" nd="1"/>
        <i x="28" s="1" nd="1"/>
        <i x="8" s="1" nd="1"/>
        <i x="22" s="1" nd="1"/>
        <i x="2" s="1" nd="1"/>
        <i x="25" s="1" nd="1"/>
        <i x="5" s="1" nd="1"/>
        <i x="19" s="1" nd="1"/>
        <i x="34" s="1" nd="1"/>
        <i x="14" s="1" nd="1"/>
        <i x="29" s="1" nd="1"/>
        <i x="9" s="1" nd="1"/>
        <i x="23" s="1" nd="1"/>
        <i x="3" s="1" nd="1"/>
        <i x="17" s="1" nd="1"/>
        <i x="32" s="1" nd="1"/>
        <i x="12" s="1" nd="1"/>
        <i x="27" s="1" nd="1"/>
        <i x="7" s="1" nd="1"/>
        <i x="21" s="1" nd="1"/>
        <i x="1" s="1" nd="1"/>
        <i x="16" s="1" nd="1"/>
        <i x="31" s="1" nd="1"/>
        <i x="11" s="1" nd="1"/>
        <i x="26" s="1" nd="1"/>
        <i x="6" s="1" nd="1"/>
        <i x="20" s="1" nd="1"/>
        <i x="35" s="1" nd="1"/>
        <i x="15" s="1" nd="1"/>
        <i x="30" s="1" nd="1"/>
        <i x="10" s="1" nd="1"/>
        <i x="24" s="1" nd="1"/>
        <i x="4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Start2" xr10:uid="{CC7D6A38-DAF1-421F-A091-B23EA055397B}" sourceName="Start">
  <pivotTables>
    <pivotTable tabId="58" name="№"/>
  </pivotTables>
  <data>
    <tabular pivotCacheId="648106455">
      <items count="87">
        <i x="0" s="1"/>
        <i x="1" s="1"/>
        <i x="2" s="1"/>
        <i x="3" s="1"/>
        <i x="4" s="1"/>
        <i x="5" s="1"/>
        <i x="6" s="1"/>
        <i x="7" s="1"/>
        <i x="8" s="1"/>
        <i x="9" s="1"/>
        <i x="10" s="1"/>
        <i x="11" s="1"/>
        <i x="12" s="1"/>
        <i x="38" s="1" nd="1"/>
        <i x="44" s="1" nd="1"/>
        <i x="55" s="1" nd="1"/>
        <i x="39" s="1" nd="1"/>
        <i x="53" s="1" nd="1"/>
        <i x="57" s="1" nd="1"/>
        <i x="76" s="1" nd="1"/>
        <i x="40" s="1" nd="1"/>
        <i x="45" s="1" nd="1"/>
        <i x="49" s="1" nd="1"/>
        <i x="59" s="1" nd="1"/>
        <i x="80" s="1" nd="1"/>
        <i x="41" s="1" nd="1"/>
        <i x="51" s="1" nd="1"/>
        <i x="58" s="1" nd="1"/>
        <i x="62" s="1" nd="1"/>
        <i x="84" s="1" nd="1"/>
        <i x="42" s="1" nd="1"/>
        <i x="46" s="1" nd="1"/>
        <i x="66" s="1" nd="1"/>
        <i x="43" s="1" nd="1"/>
        <i x="54" s="1" nd="1"/>
        <i x="70" s="1" nd="1"/>
        <i x="47" s="1" nd="1"/>
        <i x="52" s="1" nd="1"/>
        <i x="56" s="1" nd="1"/>
        <i x="72" s="1" nd="1"/>
        <i x="17" s="1" nd="1"/>
        <i x="48" s="1" nd="1"/>
        <i x="63" s="1" nd="1"/>
        <i x="77" s="1" nd="1"/>
        <i x="50" s="1" nd="1"/>
        <i x="60" s="1" nd="1"/>
        <i x="67" s="1" nd="1"/>
        <i x="81" s="1" nd="1"/>
        <i x="21" s="1" nd="1"/>
        <i x="19" s="1" nd="1"/>
        <i x="68" s="1" nd="1"/>
        <i x="73" s="1" nd="1"/>
        <i x="24" s="1" nd="1"/>
        <i x="64" s="1" nd="1"/>
        <i x="71" s="1" nd="1"/>
        <i x="15" s="1" nd="1"/>
        <i x="26" s="1" nd="1"/>
        <i x="61" s="1" nd="1"/>
        <i x="29" s="1" nd="1"/>
        <i x="20" s="1" nd="1"/>
        <i x="27" s="1" nd="1"/>
        <i x="13" s="1" nd="1"/>
        <i x="18" s="1" nd="1"/>
        <i x="33" s="1" nd="1"/>
        <i x="65" s="1" nd="1"/>
        <i x="78" s="1" nd="1"/>
        <i x="85" s="1" nd="1"/>
        <i x="16" s="1" nd="1"/>
        <i x="23" s="1" nd="1"/>
        <i x="31" s="1" nd="1"/>
        <i x="69" s="1" nd="1"/>
        <i x="74" s="1" nd="1"/>
        <i x="25" s="1" nd="1"/>
        <i x="36" s="1" nd="1"/>
        <i x="28" s="1" nd="1"/>
        <i x="35" s="1" nd="1"/>
        <i x="75" s="1" nd="1"/>
        <i x="82" s="1" nd="1"/>
        <i x="14" s="1" nd="1"/>
        <i x="30" s="1" nd="1"/>
        <i x="79" s="1" nd="1"/>
        <i x="86" s="1" nd="1"/>
        <i x="32" s="1" nd="1"/>
        <i x="37" s="1" nd="1"/>
        <i x="83" s="1" nd="1"/>
        <i x="22" s="1" nd="1"/>
        <i x="34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B2" xr10:uid="{A26AB12A-CC56-4305-BF7E-17537DF2BEB9}" sourceName="B">
  <pivotTables>
    <pivotTable tabId="58" name="№"/>
  </pivotTables>
  <data>
    <tabular pivotCacheId="648106455">
      <items count="53">
        <i x="1" s="1"/>
        <i x="5" s="1"/>
        <i x="0" s="1"/>
        <i x="4" s="1"/>
        <i x="3" s="1"/>
        <i x="2" s="1"/>
        <i x="10" s="1" nd="1"/>
        <i x="33" s="1" nd="1"/>
        <i x="39" s="1" nd="1"/>
        <i x="50" s="1" nd="1"/>
        <i x="11" s="1" nd="1"/>
        <i x="13" s="1" nd="1"/>
        <i x="15" s="1" nd="1"/>
        <i x="16" s="1" nd="1"/>
        <i x="21" s="1" nd="1"/>
        <i x="26" s="1" nd="1"/>
        <i x="31" s="1" nd="1"/>
        <i x="27" s="1" nd="1"/>
        <i x="34" s="1" nd="1"/>
        <i x="40" s="1" nd="1"/>
        <i x="42" s="1" nd="1"/>
        <i x="45" s="1" nd="1"/>
        <i x="47" s="1" nd="1"/>
        <i x="51" s="1" nd="1"/>
        <i x="7" s="1" nd="1"/>
        <i x="8" s="1" nd="1"/>
        <i x="14" s="1" nd="1"/>
        <i x="17" s="1" nd="1"/>
        <i x="18" s="1" nd="1"/>
        <i x="44" s="1" nd="1"/>
        <i x="19" s="1" nd="1"/>
        <i x="20" s="1" nd="1"/>
        <i x="22" s="1" nd="1"/>
        <i x="23" s="1" nd="1"/>
        <i x="25" s="1" nd="1"/>
        <i x="29" s="1" nd="1"/>
        <i x="32" s="1" nd="1"/>
        <i x="36" s="1" nd="1"/>
        <i x="37" s="1" nd="1"/>
        <i x="38" s="1" nd="1"/>
        <i x="41" s="1" nd="1"/>
        <i x="43" s="1" nd="1"/>
        <i x="46" s="1" nd="1"/>
        <i x="48" s="1" nd="1"/>
        <i x="49" s="1" nd="1"/>
        <i x="52" s="1" nd="1"/>
        <i x="24" s="1" nd="1"/>
        <i x="6" s="1" nd="1"/>
        <i x="28" s="1" nd="1"/>
        <i x="9" s="1" nd="1"/>
        <i x="30" s="1" nd="1"/>
        <i x="12" s="1" nd="1"/>
        <i x="35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Room11" xr10:uid="{053F5EAF-58AC-4001-B415-888D5956AE90}" sourceName="Room">
  <pivotTables>
    <pivotTable tabId="58" name="№"/>
  </pivotTables>
  <data>
    <tabular pivotCacheId="648106455">
      <items count="7">
        <i x="2" s="1"/>
        <i x="4" s="1"/>
        <i x="0" s="1"/>
        <i x="3" s="1"/>
        <i x="1" s="1"/>
        <i x="6" s="1" nd="1"/>
        <i x="5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Name2" xr10:uid="{7A0A2D69-F4C4-462D-B009-AB1B267C5DBE}" sourceName="Name">
  <pivotTables>
    <pivotTable tabId="58" name="№"/>
  </pivotTables>
  <data>
    <tabular pivotCacheId="648106455">
      <items count="76">
        <i x="8" s="1"/>
        <i x="4" s="1"/>
        <i x="0" s="1"/>
        <i x="3" s="1"/>
        <i x="2" s="1"/>
        <i x="7" s="1"/>
        <i x="5" s="1"/>
        <i x="9" s="1"/>
        <i x="1" s="1"/>
        <i x="6" s="1"/>
        <i x="74" s="1" nd="1"/>
        <i x="64" s="1" nd="1"/>
        <i x="55" s="1" nd="1"/>
        <i x="23" s="1" nd="1"/>
        <i x="36" s="1" nd="1"/>
        <i x="18" s="1" nd="1"/>
        <i x="70" s="1" nd="1"/>
        <i x="60" s="1" nd="1"/>
        <i x="68" s="1" nd="1"/>
        <i x="75" s="1" nd="1"/>
        <i x="31" s="1" nd="1"/>
        <i x="63" s="1" nd="1"/>
        <i x="66" s="1" nd="1"/>
        <i x="16" s="1" nd="1"/>
        <i x="42" s="1" nd="1"/>
        <i x="62" s="1" nd="1"/>
        <i x="20" s="1" nd="1"/>
        <i x="73" s="1" nd="1"/>
        <i x="57" s="1" nd="1"/>
        <i x="48" s="1" nd="1"/>
        <i x="44" s="1" nd="1"/>
        <i x="13" s="1" nd="1"/>
        <i x="45" s="1" nd="1"/>
        <i x="14" s="1" nd="1"/>
        <i x="47" s="1" nd="1"/>
        <i x="52" s="1" nd="1"/>
        <i x="19" s="1" nd="1"/>
        <i x="41" s="1" nd="1"/>
        <i x="33" s="1" nd="1"/>
        <i x="29" s="1" nd="1"/>
        <i x="58" s="1" nd="1"/>
        <i x="67" s="1" nd="1"/>
        <i x="46" s="1" nd="1"/>
        <i x="38" s="1" nd="1"/>
        <i x="27" s="1" nd="1"/>
        <i x="21" s="1" nd="1"/>
        <i x="69" s="1" nd="1"/>
        <i x="51" s="1" nd="1"/>
        <i x="54" s="1" nd="1"/>
        <i x="11" s="1" nd="1"/>
        <i x="43" s="1" nd="1"/>
        <i x="37" s="1" nd="1"/>
        <i x="40" s="1" nd="1"/>
        <i x="10" s="1" nd="1"/>
        <i x="34" s="1" nd="1"/>
        <i x="72" s="1" nd="1"/>
        <i x="22" s="1" nd="1"/>
        <i x="35" s="1" nd="1"/>
        <i x="61" s="1" nd="1"/>
        <i x="65" s="1" nd="1"/>
        <i x="30" s="1" nd="1"/>
        <i x="17" s="1" nd="1"/>
        <i x="59" s="1" nd="1"/>
        <i x="71" s="1" nd="1"/>
        <i x="53" s="1" nd="1"/>
        <i x="32" s="1" nd="1"/>
        <i x="25" s="1" nd="1"/>
        <i x="26" s="1" nd="1"/>
        <i x="39" s="1" nd="1"/>
        <i x="56" s="1" nd="1"/>
        <i x="49" s="1" nd="1"/>
        <i x="24" s="1" nd="1"/>
        <i x="28" s="1" nd="1"/>
        <i x="15" s="1" nd="1"/>
        <i x="50" s="1" nd="1"/>
        <i x="1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Y11" xr10:uid="{24CA21E9-3C7C-4BC4-8DDF-C354873138E8}" sourceName="Y">
  <pivotTables>
    <pivotTable tabId="58" name="№"/>
  </pivotTables>
  <data>
    <tabular pivotCacheId="648106455">
      <items count="4">
        <i x="1" s="1"/>
        <i x="0" s="1"/>
        <i x="2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G" xr10:uid="{CD261C4F-0293-423A-9F65-E2FFDB37E2E9}" cache="Срез_G2" caption="G" style="SlicerStyleDark6 2" lockedPosition="1" rowHeight="144000"/>
  <slicer name="NN" xr10:uid="{EDA0A893-82F3-4697-812E-1219E045ACBE}" cache="Срез_NN1" caption="NN" columnCount="2" style="SlicerStyleDark6 2" lockedPosition="1" rowHeight="180000"/>
  <slicer name="DN" xr10:uid="{5B4E2038-09A4-4FAD-BCBD-157A4A0507EA}" cache="Срез_DN2" caption="DN" style="SlicerStyleDark6 2" lockedPosition="1" rowHeight="180000"/>
  <slicer name="Date" xr10:uid="{A65A74C2-7AE8-4CCD-B287-51D12BD6F841}" cache="Срез_Date2" caption="Date" style="SlicerStyleDark6 2" rowHeight="180000"/>
  <slicer name="Start" xr10:uid="{EF3F4677-BB22-4361-B3EB-20117E4A2F37}" cache="Срез_Start2" caption="Start" style="SlicerStyleDark6 2" lockedPosition="1" rowHeight="180000"/>
  <slicer name="B" xr10:uid="{165E54EA-0520-4183-9A7C-930D90FFEC0C}" cache="Срез_B2" caption="B" columnCount="12" style="SlicerStyleDark6 2" lockedPosition="1" rowHeight="180000"/>
  <slicer name="Room 1" xr10:uid="{C87BDEC3-B018-4987-BABE-2D469DF2CAD1}" cache="Срез_Room11" caption="Room" columnCount="3" style="SlicerStyleDark6 2" lockedPosition="1" rowHeight="180000"/>
  <slicer name="Name" xr10:uid="{F92A5A6A-B07E-45E8-B83C-A223408A0D4A}" cache="Срез_Name2" caption="Name" style="SlicerStyleDark6 2" lockedPosition="1" rowHeight="180000"/>
  <slicer name="Y 1" xr10:uid="{4521C620-FA4E-4CE6-A4B4-19FBC2620D1E}" cache="Срез_Y11" caption="Y" columnCount="2" style="SlicerStyleDark6 2" lockedPosition="1" rowHeight="180000"/>
  <slicer name="T 1" xr10:uid="{B991327F-E2C4-43D3-A342-699B16D2CC0D}" cache="Срез_T11" caption="T" style="SlicerStyleDark6 2" lockedPosition="1" rowHeight="180000"/>
  <slicer name="K" xr10:uid="{41B4CA99-1AD4-4979-B37E-0B13E0665E96}" cache="Срез_K2" caption="K" style="SlicerStyleDark6 2" lockedPosition="1" rowHeight="180000"/>
  <slicer name="A 1" xr10:uid="{080B4E3E-E789-457A-B89C-E410A8512C06}" cache="Срез_A11" caption="A" columnCount="2" style="SlicerStyleDark6 2" lockedPosition="1" rowHeight="180000"/>
  <slicer name="M" xr10:uid="{355B6E6E-3CB6-4964-A321-A7C7863203BA}" cache="Срез_M2" caption="M" style="SlicerStyleDark6 2" lockedPosition="1" rowHeight="180000"/>
  <slicer name="AFS" xr10:uid="{27771E9C-A181-4494-8AF8-DF43ECDD2B86}" cache="Срез_AFS2" caption="AFS" style="SlicerStyleDark6 2" lockedPosition="1" rowHeight="180000"/>
  <slicer name="F 1" xr10:uid="{9A8B87AA-9E30-4B35-965D-499975054D0D}" cache="Срез_F11" caption="F" columnCount="2" style="SlicerStyleDark6 2" lockedPosition="1" rowHeight="180000"/>
  <slicer name="R" xr10:uid="{B8F545EE-9B6D-458A-B73C-CD715EDF5DE1}" cache="Срез_R1" caption="R" style="SlicerStyleDark6 2" lockedPosition="1" rowHeight="1800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G 3" xr10:uid="{6D7119BF-1948-40C9-BBFC-C33238ECF753}" cache="Срез_G2" caption="G" style="SlicerStyleDark6 2" lockedPosition="1" rowHeight="144000"/>
  <slicer name="NN 2" xr10:uid="{F83E6A50-CDB7-4178-B5F7-186F19BBF11A}" cache="Срез_NN1" caption="NN" columnCount="2" style="SlicerStyleDark6 2" lockedPosition="1" rowHeight="180000"/>
  <slicer name="DN 3" xr10:uid="{39E2A31B-48F9-4A10-94D4-DC2125196015}" cache="Срез_DN2" caption="DN" style="SlicerStyleDark6 2" lockedPosition="1" rowHeight="180000"/>
  <slicer name="Date 3" xr10:uid="{E0060456-EF66-4753-9528-BFD6B0CA5820}" cache="Срез_Date2" caption="Date" style="SlicerStyleDark6 2" lockedPosition="1" rowHeight="180000"/>
  <slicer name="Start 3" xr10:uid="{39FABC46-0267-4531-9341-CFC690A62F6C}" cache="Срез_Start2" caption="Start" style="SlicerStyleDark6 2" lockedPosition="1" rowHeight="180000"/>
  <slicer name="B 3" xr10:uid="{25797EB3-4A3C-4BD6-A642-EDE1BF6E3AEE}" cache="Срез_B2" caption="B" columnCount="11" style="SlicerStyleDark6 2" lockedPosition="1" rowHeight="180000"/>
  <slicer name="Room 3" xr10:uid="{B4D0E57D-2381-4436-9F15-79C6503BA5D7}" cache="Срез_Room11" caption="Room" columnCount="2" style="SlicerStyleDark6 2" lockedPosition="1" rowHeight="180000"/>
  <slicer name="Name 3" xr10:uid="{1B7AFA36-05AE-4797-9455-BDB7F3778FF1}" cache="Срез_Name2" caption="Name" style="SlicerStyleDark6 2" lockedPosition="1" rowHeight="180000"/>
  <slicer name="Y 3" xr10:uid="{A7705C34-9358-484B-A5E4-410F1DB2E7CB}" cache="Срез_Y11" caption="Y" style="SlicerStyleDark6 2" lockedPosition="1" rowHeight="180000"/>
  <slicer name="T 3" xr10:uid="{F612AE38-9A09-46ED-A1CF-11CC393A6A8C}" cache="Срез_T11" caption="T" style="SlicerStyleDark6 2" lockedPosition="1" rowHeight="180000"/>
  <slicer name="K 3" xr10:uid="{4532F80F-A5EB-4A57-9C6E-5BD0D3CA683C}" cache="Срез_K2" caption="K" style="SlicerStyleDark6 2" lockedPosition="1" rowHeight="180000"/>
  <slicer name="A 3" xr10:uid="{BE73AD8D-9653-4D84-BE9D-BD4F2D4D9F4F}" cache="Срез_A11" caption="A" style="SlicerStyleDark6 2" lockedPosition="1" rowHeight="180000"/>
  <slicer name="M 3" xr10:uid="{A50E1A04-49BF-445B-9F61-A82FF8617D87}" cache="Срез_M2" caption="M" style="SlicerStyleDark6 2" lockedPosition="1" rowHeight="180000"/>
  <slicer name="AFS 3" xr10:uid="{FC54E123-5DF8-4CAB-BAF5-324EF13E85D2}" cache="Срез_AFS2" caption="AFS" style="SlicerStyleDark6 2" lockedPosition="1" rowHeight="180000"/>
  <slicer name="F 3" xr10:uid="{0B474732-02DB-473A-BF81-46785F6A3CDF}" cache="Срез_F11" caption="F" columnCount="2" style="SlicerStyleDark6 2" lockedPosition="1" rowHeight="180000"/>
  <slicer name="R 2" xr10:uid="{76930521-EA12-4841-8741-84E67A449AF1}" cache="Срез_R1" caption="R" style="SlicerStyleDark6 2" lockedPosition="1" rowHeight="1800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G 4" xr10:uid="{C945DD77-2F12-40EE-B759-C614717446FB}" cache="Срез_G2" caption="G" style="SlicerStyleDark6 2" lockedPosition="1" rowHeight="144000"/>
  <slicer name="NN 3" xr10:uid="{BABF7F54-1782-427B-A2BC-0D7D6929F3FD}" cache="Срез_NN1" caption="NN" columnCount="2" style="SlicerStyleDark6 2" lockedPosition="1" rowHeight="180000"/>
  <slicer name="DN 4" xr10:uid="{7FF14301-975F-4C50-8135-404B4550CEED}" cache="Срез_DN2" caption="DN" style="SlicerStyleDark6 2" lockedPosition="1" rowHeight="180000"/>
  <slicer name="Date 4" xr10:uid="{A8B2E2B1-F55B-4EF6-BDD1-2C1ABFDEB0C3}" cache="Срез_Date2" caption="Date" style="SlicerStyleDark6 2" rowHeight="180000"/>
  <slicer name="Start 4" xr10:uid="{35A0ABA8-DF7B-4821-89C9-4AEE1E66F809}" cache="Срез_Start2" caption="Start" style="SlicerStyleDark6 2" lockedPosition="1" rowHeight="180000"/>
  <slicer name="B 4" xr10:uid="{E5DF25B7-AE12-47E6-8120-D42B3A8AC891}" cache="Срез_B2" caption="B" columnCount="12" style="SlicerStyleDark6 2" lockedPosition="1" rowHeight="180000"/>
  <slicer name="Room 4" xr10:uid="{B0755F8A-430D-4649-A4F5-C54043C9ADB8}" cache="Срез_Room11" caption="Room" columnCount="3" style="SlicerStyleDark6 2" lockedPosition="1" rowHeight="180000"/>
  <slicer name="Name 4" xr10:uid="{EA31A832-D23B-43CA-A12C-892D53907054}" cache="Срез_Name2" caption="Name" style="SlicerStyleDark6 2" lockedPosition="1" rowHeight="180000"/>
  <slicer name="Y 4" xr10:uid="{CB144173-88DC-422F-BD4D-A6B2885BFAB3}" cache="Срез_Y11" caption="Y" columnCount="2" style="SlicerStyleDark6 2" lockedPosition="1" rowHeight="180000"/>
  <slicer name="T 4" xr10:uid="{7E8933E6-DEB9-4C01-9233-5E45DBC241C6}" cache="Срез_T11" caption="T" style="SlicerStyleDark6 2" lockedPosition="1" rowHeight="180000"/>
  <slicer name="K 4" xr10:uid="{4DB89F02-5F3C-43E8-83EC-A5B645C370AE}" cache="Срез_K2" caption="K" style="SlicerStyleDark6 2" lockedPosition="1" rowHeight="180000"/>
  <slicer name="A 4" xr10:uid="{9349F770-2009-4C62-B02D-4514034CEEFC}" cache="Срез_A11" caption="A" columnCount="2" style="SlicerStyleDark6 2" lockedPosition="1" rowHeight="180000"/>
  <slicer name="M 4" xr10:uid="{DDDE4A76-3344-4FE1-A9D9-03286DD6EF9F}" cache="Срез_M2" caption="M" style="SlicerStyleDark6 2" lockedPosition="1" rowHeight="180000"/>
  <slicer name="AFS 4" xr10:uid="{300C45AC-F545-47AA-8117-D68638BA3AE5}" cache="Срез_AFS2" caption="AFS" style="SlicerStyleDark6 2" lockedPosition="1" rowHeight="180000"/>
  <slicer name="F 4" xr10:uid="{70208F81-CCDD-4592-8884-FA110EBD599A}" cache="Срез_F11" caption="F" columnCount="2" style="SlicerStyleDark6 2" lockedPosition="1" rowHeight="180000"/>
  <slicer name="R 3" xr10:uid="{99B88658-05BD-4C0B-B85C-014EE7953C74}" cache="Срез_R1" caption="R" style="SlicerStyleDark6 2" lockedPosition="1" rowHeight="18000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G 5" xr10:uid="{4287E85E-CA5B-4038-A7A4-D7A3C3E741E1}" cache="Срез_G2" caption="G" style="SlicerStyleDark6 2" lockedPosition="1" rowHeight="144000"/>
  <slicer name="NN 4" xr10:uid="{01BD8D4D-554A-4F73-8426-FBB623AFBEAD}" cache="Срез_NN1" caption="NN" columnCount="2" style="SlicerStyleDark6 2" lockedPosition="1" rowHeight="180000"/>
  <slicer name="DN 5" xr10:uid="{537D7295-5DB6-4EF0-B88F-C160C7B1D3E3}" cache="Срез_DN2" caption="DN" style="SlicerStyleDark6 2" lockedPosition="1" rowHeight="180000"/>
  <slicer name="Date 5" xr10:uid="{4BB96D0E-BE5B-441A-A8CE-6F8B7C86F43A}" cache="Срез_Date2" caption="Date" style="SlicerStyleDark6 2" lockedPosition="1" rowHeight="180000"/>
  <slicer name="Start 5" xr10:uid="{24D288D7-9DDC-46AD-925E-DFBA00930B44}" cache="Срез_Start2" caption="Start" style="SlicerStyleDark6 2" lockedPosition="1" rowHeight="180000"/>
  <slicer name="B 5" xr10:uid="{94EEF2FD-BFBE-4ADF-A258-BC813E4E36E8}" cache="Срез_B2" caption="B" columnCount="11" style="SlicerStyleDark6 2" lockedPosition="1" rowHeight="180000"/>
  <slicer name="Room 5" xr10:uid="{617AE0CF-AD0D-4638-8E07-DA1E9A4BE143}" cache="Срез_Room11" caption="Room" columnCount="2" style="SlicerStyleDark6 2" lockedPosition="1" rowHeight="180000"/>
  <slicer name="Name 5" xr10:uid="{8496DE7A-4A5B-4E94-BDE8-57F143FCF400}" cache="Срез_Name2" caption="Name" style="SlicerStyleDark6 2" lockedPosition="1" rowHeight="180000"/>
  <slicer name="Y 5" xr10:uid="{3053883C-69B5-4827-89E5-B814D84D96FD}" cache="Срез_Y11" caption="Y" style="SlicerStyleDark6 2" lockedPosition="1" rowHeight="180000"/>
  <slicer name="T 5" xr10:uid="{F41A0098-8F1D-4EB8-B9C8-75BC26C2BDCD}" cache="Срез_T11" caption="T" style="SlicerStyleDark6 2" lockedPosition="1" rowHeight="180000"/>
  <slicer name="K 5" xr10:uid="{68038840-8DCC-4617-945D-847C840A3D3B}" cache="Срез_K2" caption="K" style="SlicerStyleDark6 2" lockedPosition="1" rowHeight="180000"/>
  <slicer name="A 5" xr10:uid="{B417BD28-9099-4643-980F-BE4D8971E243}" cache="Срез_A11" caption="A" style="SlicerStyleDark6 2" lockedPosition="1" rowHeight="180000"/>
  <slicer name="M 5" xr10:uid="{B62C4E3E-9CC1-45AC-BBBC-53013FFDAF31}" cache="Срез_M2" caption="M" style="SlicerStyleDark6 2" lockedPosition="1" rowHeight="180000"/>
  <slicer name="AFS 5" xr10:uid="{A1C88DD1-99EC-4CE8-9417-1DC50277AC38}" cache="Срез_AFS2" caption="AFS" style="SlicerStyleDark6 2" lockedPosition="1" rowHeight="180000"/>
  <slicer name="F 5" xr10:uid="{0BB5C77F-F20B-4D62-9678-B42F262FE823}" cache="Срез_F11" caption="F" columnCount="2" style="SlicerStyleDark6 2" lockedPosition="1" rowHeight="180000"/>
  <slicer name="R 4" xr10:uid="{8C1AC8A3-2D16-4F86-BBCE-0389B15AC0B4}" cache="Срез_R1" caption="R" style="SlicerStyleDark6 2" lockedPosition="1" rowHeight="180000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G 6" xr10:uid="{906E6E5D-50F7-4038-944D-ADBB03FBF80C}" cache="Срез_G2" caption="G" style="SlicerStyleDark6 2" lockedPosition="1" rowHeight="144000"/>
  <slicer name="NN 5" xr10:uid="{132BE5A4-35C7-4802-86FC-4765C078D2B7}" cache="Срез_NN1" caption="NN" columnCount="2" style="SlicerStyleDark6 2" lockedPosition="1" rowHeight="180000"/>
  <slicer name="DN 6" xr10:uid="{369AB536-E182-4006-9034-8920D3DBAF20}" cache="Срез_DN2" caption="DN" style="SlicerStyleDark6 2" lockedPosition="1" rowHeight="180000"/>
  <slicer name="Date 6" xr10:uid="{7DF11E8C-9205-49EE-A2DF-AE8C6C529C7B}" cache="Срез_Date2" caption="Date" style="SlicerStyleDark6 2" lockedPosition="1" rowHeight="180000"/>
  <slicer name="Start 6" xr10:uid="{FD674388-3583-4C50-A601-327A30987DFF}" cache="Срез_Start2" caption="Start" style="SlicerStyleDark6 2" lockedPosition="1" rowHeight="180000"/>
  <slicer name="B 6" xr10:uid="{55201871-3281-4BAD-89C1-E903B7D59403}" cache="Срез_B2" caption="B" columnCount="11" style="SlicerStyleDark6 2" lockedPosition="1" rowHeight="180000"/>
  <slicer name="Room 6" xr10:uid="{4CFB3470-E029-4EC3-A312-0BD7FB640FE6}" cache="Срез_Room11" caption="Room" columnCount="2" style="SlicerStyleDark6 2" lockedPosition="1" rowHeight="180000"/>
  <slicer name="Name 6" xr10:uid="{7185D951-739D-416B-828B-49D8F7FF62B6}" cache="Срез_Name2" caption="Name" style="SlicerStyleDark6 2" lockedPosition="1" rowHeight="180000"/>
  <slicer name="Y 6" xr10:uid="{2791C8B9-F91D-47FC-8935-05EC1EEF98B0}" cache="Срез_Y11" caption="Y" style="SlicerStyleDark6 2" lockedPosition="1" rowHeight="180000"/>
  <slicer name="T 6" xr10:uid="{196F2B7A-610A-4F0E-8CEE-C0A8D5524602}" cache="Срез_T11" caption="T" style="SlicerStyleDark6 2" lockedPosition="1" rowHeight="180000"/>
  <slicer name="K 6" xr10:uid="{F2272E49-FCF8-4F54-B007-FE786B5A7B98}" cache="Срез_K2" caption="K" style="SlicerStyleDark6 2" lockedPosition="1" rowHeight="180000"/>
  <slicer name="A 6" xr10:uid="{19284396-2679-49B5-A61B-9490727FDFD7}" cache="Срез_A11" caption="A" style="SlicerStyleDark6 2" lockedPosition="1" rowHeight="180000"/>
  <slicer name="M 6" xr10:uid="{6F4DA667-D828-414A-A5BC-05A04A568ACF}" cache="Срез_M2" caption="M" style="SlicerStyleDark6 2" lockedPosition="1" rowHeight="180000"/>
  <slicer name="AFS 6" xr10:uid="{5AAB43C8-4E95-4554-93A4-F9A2E65FEC4A}" cache="Срез_AFS2" caption="AFS" style="SlicerStyleDark6 2" lockedPosition="1" rowHeight="180000"/>
  <slicer name="F 6" xr10:uid="{2EC04195-EE30-4E6E-83E2-59AAD512D88B}" cache="Срез_F11" caption="F" columnCount="2" style="SlicerStyleDark6 2" lockedPosition="1" rowHeight="180000"/>
  <slicer name="R 5" xr10:uid="{AA70D134-0DFA-4050-B1EB-139EAAF735E9}" cache="Срез_R1" caption="R" style="SlicerStyleDark6 2" lockedPosition="1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C13D5CF-716D-4DCE-93F9-02A779F79A8B}" name="Таблица2" displayName="Таблица2" ref="C39:AB1036" totalsRowShown="0" headerRowDxfId="259" dataDxfId="257" headerRowBorderDxfId="258" tableBorderDxfId="256">
  <autoFilter ref="C39:AB1036" xr:uid="{36C9570B-C34E-4E29-A059-C291D1B6D845}">
    <filterColumn colId="25">
      <filters>
        <filter val="ИСТИНА"/>
      </filters>
    </filterColumn>
  </autoFilter>
  <tableColumns count="26">
    <tableColumn id="1" xr3:uid="{805CFBEF-D02E-4649-AD0B-D537DACB43DB}" name="G" dataDxfId="255">
      <calculatedColumnFormula>IFERROR(VLOOKUP(B40,Baza[[№]:[Profit]],2,0),"")</calculatedColumnFormula>
    </tableColumn>
    <tableColumn id="2" xr3:uid="{6A4BCCFE-ED04-4AA1-B2D5-BE8898A8C6ED}" name="1" dataDxfId="254">
      <calculatedColumnFormula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calculatedColumnFormula>
    </tableColumn>
    <tableColumn id="3" xr3:uid="{5AEA0D97-8849-4304-9051-7F63E4419097}" name="2" dataDxfId="253">
      <calculatedColumnFormula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calculatedColumnFormula>
    </tableColumn>
    <tableColumn id="4" xr3:uid="{E05363D3-40DF-4294-BAB6-EEFDD3144BC3}" name="NN" dataDxfId="252">
      <calculatedColumnFormula>IFERROR(VLOOKUP(B40,Baza[[№]:[Profit]],3,0),"")</calculatedColumnFormula>
    </tableColumn>
    <tableColumn id="5" xr3:uid="{11DEF412-0472-4E7D-9E3B-7920DA1421D7}" name="DN" dataDxfId="251">
      <calculatedColumnFormula>IFERROR(VLOOKUP(B40,Baza[[№]:[Profit]],4,0),"")</calculatedColumnFormula>
    </tableColumn>
    <tableColumn id="6" xr3:uid="{D6B50750-1FF0-4622-82A2-7D6923C882F4}" name="M" dataDxfId="250">
      <calculatedColumnFormula>IFERROR(VLOOKUP(B40,Baza[[№]:[Profit]],5,0),"")</calculatedColumnFormula>
    </tableColumn>
    <tableColumn id="7" xr3:uid="{693C721F-75DD-43CC-8B82-4BE37E926A76}" name="Date" dataDxfId="249">
      <calculatedColumnFormula>IFERROR(VLOOKUP(B40,Baza[[№]:[Profit]],6,0),"")</calculatedColumnFormula>
    </tableColumn>
    <tableColumn id="8" xr3:uid="{BFFD2E4F-6DFC-4F0D-B86E-040F4189221D}" name="Start" dataDxfId="248">
      <calculatedColumnFormula>IFERROR(VLOOKUP(B40,Baza[[№]:[Profit]],7,0),"")</calculatedColumnFormula>
    </tableColumn>
    <tableColumn id="9" xr3:uid="{0CA405B0-C082-4E59-BDFA-5C6C7533A684}" name="B" dataDxfId="247">
      <calculatedColumnFormula>IFERROR(VLOOKUP(B40,Baza[[№]:[Profit]],8,0),"")</calculatedColumnFormula>
    </tableColumn>
    <tableColumn id="10" xr3:uid="{EDAF701E-DC92-4F6A-BFC2-F4C8D2478C14}" name="Room" dataDxfId="246">
      <calculatedColumnFormula>IFERROR(VLOOKUP(B40,Baza[[№]:[Profit]],9,0),"")</calculatedColumnFormula>
    </tableColumn>
    <tableColumn id="11" xr3:uid="{9D6C5DA1-3703-4874-BB1B-0F92ADDADA3A}" name="Name" dataDxfId="245">
      <calculatedColumnFormula>IFERROR(VLOOKUP(B40,Baza[[№]:[Profit]],10,0),"")</calculatedColumnFormula>
    </tableColumn>
    <tableColumn id="12" xr3:uid="{52752437-6B69-4CF6-9A35-E60E3B4A18EC}" name="Max" dataDxfId="244">
      <calculatedColumnFormula>IFERROR(IF(VLOOKUP(B40,Baza[[№]:[Profit]],11,0)=0,"-",VLOOKUP(B40,Baza[[№]:[Profit]],11,0)),"")</calculatedColumnFormula>
    </tableColumn>
    <tableColumn id="13" xr3:uid="{5D0BE198-D8BC-41EE-A1DF-6A4F55766165}" name="T" dataDxfId="243">
      <calculatedColumnFormula>IFERROR(IF(VLOOKUP(B40,Baza[[№]:[Profit]],12,0)=0,"-",VLOOKUP(B40,Baza[[№]:[Profit]],12,0)),"")</calculatedColumnFormula>
    </tableColumn>
    <tableColumn id="14" xr3:uid="{03A2B854-1572-45B6-9B09-EAEBD5934425}" name="K" dataDxfId="242">
      <calculatedColumnFormula>IFERROR(IF(VLOOKUP(B40,Baza[[№]:[Profit]],13,0)=0,"-",VLOOKUP(B40,Baza[[№]:[Profit]],13,0)),"")</calculatedColumnFormula>
    </tableColumn>
    <tableColumn id="15" xr3:uid="{1837DA2E-D6C3-43DF-8780-4D3634BB8CE1}" name="GTD" dataDxfId="241">
      <calculatedColumnFormula>IFERROR(IF(VLOOKUP(B40,Baza[[№]:[Profit]],15,0)=0,"-",VLOOKUP(B40,Baza[[№]:[Profit]],15,0)),"")</calculatedColumnFormula>
    </tableColumn>
    <tableColumn id="16" xr3:uid="{E33315D5-359C-4E66-AA7C-90A6266D53E4}" name="Bounty" dataDxfId="240">
      <calculatedColumnFormula>IFERROR(IF(VLOOKUP(B40,Baza[[№]:[Profit]],16,0)=0,"-",VLOOKUP(B40,Baza[[№]:[Profit]],16,0)),"")</calculatedColumnFormula>
    </tableColumn>
    <tableColumn id="17" xr3:uid="{A1F0B470-F0E8-4E1F-979C-76EB315B786D}" name="Win" dataDxfId="239">
      <calculatedColumnFormula>IFERROR(IF(VLOOKUP(B40,Baza[[№]:[Profit]],17,0)=0,"-",VLOOKUP(B40,Baza[[№]:[Profit]],17,0)),"")</calculatedColumnFormula>
    </tableColumn>
    <tableColumn id="18" xr3:uid="{35282E2F-35CE-408A-B6E4-FDFE3972A959}" name="R" dataDxfId="238">
      <calculatedColumnFormula>IFERROR(IF(VLOOKUP(B40,Baza[[№]:[Profit]],18,0)=0,"-",VLOOKUP(B40,Baza[[№]:[Profit]],18,0)),"")</calculatedColumnFormula>
    </tableColumn>
    <tableColumn id="19" xr3:uid="{2062D75C-F1C7-40F5-8BE3-097B2FC49867}" name="F" dataDxfId="237">
      <calculatedColumnFormula>IFERROR(IF(VLOOKUP(B40,Baza[[№]:[Profit]],19,0)=0,"-",VLOOKUP(B40,Baza[[№]:[Profit]],19,0)),"")</calculatedColumnFormula>
    </tableColumn>
    <tableColumn id="20" xr3:uid="{7D6DAFB2-4AD7-4799-A95E-A251B8CDF8AE}" name="B$" dataDxfId="236">
      <calculatedColumnFormula>IFERROR(VLOOKUP(B40,Baza[[№]:[Profit]],20,0),"")</calculatedColumnFormula>
    </tableColumn>
    <tableColumn id="21" xr3:uid="{279D89D3-2586-4EBF-93B9-24C9DB4ED45C}" name="KO$" dataDxfId="235">
      <calculatedColumnFormula>IFERROR(IF(VLOOKUP(B40,Baza[[№]:[Profit]],21,0)=0,"-",VLOOKUP(B40,Baza[[№]:[Profit]],21,0)),"")</calculatedColumnFormula>
    </tableColumn>
    <tableColumn id="22" xr3:uid="{1DEDDEA7-C5A9-4889-B1E4-E4955AE143E8}" name="WIN$" dataDxfId="234">
      <calculatedColumnFormula>IFERROR(IF(VLOOKUP(B40,Baza[[№]:[Profit]],22,0)=0,"-",VLOOKUP(B40,Baza[[№]:[Profit]],22,0)),"")</calculatedColumnFormula>
    </tableColumn>
    <tableColumn id="23" xr3:uid="{32CACC19-4BB3-45C6-BC09-BB01D4A48F40}" name="Profit" dataDxfId="233">
      <calculatedColumnFormula>IFERROR(VLOOKUP(B40,Baza[[№]:[Profit]],23,0),"")</calculatedColumnFormula>
    </tableColumn>
    <tableColumn id="24" xr3:uid="{DCA7076E-3BEB-430F-BD75-FA1783DEE393}" name="AFS" dataDxfId="232">
      <calculatedColumnFormula>IFERROR(VLOOKUP(B40,Baza[[№]:[AFS]],24,0),"")</calculatedColumnFormula>
    </tableColumn>
    <tableColumn id="25" xr3:uid="{C3A57E41-05FE-4710-BD52-B3851C681E57}" name="Grafik" dataDxfId="231">
      <calculatedColumnFormula>IF(Таблица2[[#This Row],[Profit]]="","#Н/Д",SUM($Y$40:Y40))</calculatedColumnFormula>
    </tableColumn>
    <tableColumn id="26" xr3:uid="{8863D3A3-EF2D-4A34-AE60-80A4A74C78C0}" name="Столбец1" dataDxfId="230">
      <calculatedColumnFormula>IF(Таблица2[[#This Row],[Grafik]]="#Н/Д",FALSE,TRUE)</calculatedColumnFormula>
    </tableColumn>
  </tableColumns>
  <tableStyleInfo name="Стиль таблицы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3820FB1-1ACC-4D0B-857B-5C115408DE4E}" name="Таблица46" displayName="Таблица46" ref="D86:N380" totalsRowShown="0" headerRowDxfId="217" dataDxfId="215" headerRowBorderDxfId="216" tableBorderDxfId="214" totalsRowBorderDxfId="213">
  <tableColumns count="11">
    <tableColumn id="1" xr3:uid="{3D8A9F70-7392-41A1-980F-6916AA6E2C08}" name="Games" dataDxfId="212">
      <calculatedColumnFormula>IF(COUNTIFS(Таблица2[1],B87)+SUMIFS(Таблица2[R],Таблица2[1],B87)=0,"",COUNTIFS(Таблица2[1],B87)+SUMIFS(Таблица2[R],Таблица2[1],B87))</calculatedColumnFormula>
    </tableColumn>
    <tableColumn id="2" xr3:uid="{56191791-9816-4376-B1AB-C021462DC97B}" name="Buy-in" dataDxfId="211">
      <calculatedColumnFormula>IF(SUMIFS(Таблица2[B$],Таблица2[1],B87)=0,"-",SUMIFS(Таблица2[B$],Таблица2[1],B87))</calculatedColumnFormula>
    </tableColumn>
    <tableColumn id="4" xr3:uid="{C5A397EB-C44E-4C39-9ED2-E3B67439BEE7}" name="AFS" dataDxfId="210">
      <calculatedColumnFormula>IFERROR(AVERAGEIFS(Таблица2[AFS],Таблица2[1],B87)+(AVERAGEIFS(Таблица2[AFS],Таблица2[1],B87)*0.2),"-")</calculatedColumnFormula>
    </tableColumn>
    <tableColumn id="5" xr3:uid="{C33FBCE1-2213-42D3-8F23-03A45F26C002}" name="ROI" dataDxfId="209">
      <calculatedColumnFormula>IFERROR(M87/E87*100,"-")</calculatedColumnFormula>
    </tableColumn>
    <tableColumn id="6" xr3:uid="{A5C07B69-DFFF-4094-B0BA-997B19B54D7A}" name="ITM" dataDxfId="208">
      <calculatedColumnFormula>IFERROR(COUNTIFS(Таблица2[1],B87,Таблица2[WIN$],"&gt;0")/D87*100,"-")</calculatedColumnFormula>
    </tableColumn>
    <tableColumn id="7" xr3:uid="{873BDE51-FFDA-48A8-858E-889878572F3E}" name="%PKO" dataDxfId="207">
      <calculatedColumnFormula>IF(IFERROR((COUNTIFS(Таблица2[1],B87,Таблица2[K],"K")+SUMIFS(Таблица2[R],Таблица2[1],B87,Таблица2[K],"K"))/D87*100,"-")=0,"-",IFERROR((COUNTIFS(Таблица2[1],B87,Таблица2[K],"K")+SUMIFS(Таблица2[R],Таблица2[1],B87,Таблица2[K],"K"))/D87*100,"-"))</calculatedColumnFormula>
    </tableColumn>
    <tableColumn id="8" xr3:uid="{2D5D755A-D37C-4A00-B41A-BDB1024741EE}" name="%Turbo" dataDxfId="206">
      <calculatedColumnFormula>IF(IFERROR((COUNTIFS(Таблица2[1],B87,Таблица2[T],"t")+SUMIFS(Таблица2[R],Таблица2[1],B87,Таблица2[T],"t"))/D87*100,"-")=0,"-",IFERROR((COUNTIFS(Таблица2[1],B87,Таблица2[T],"t")+SUMIFS(Таблица2[R],Таблица2[1],B87,Таблица2[T],"t"))/D87*100,"-"))</calculatedColumnFormula>
    </tableColumn>
    <tableColumn id="9" xr3:uid="{C6FE1138-9E5C-4F24-A6CB-10C2C0B37585}" name="Bounty" dataDxfId="205">
      <calculatedColumnFormula>IF(SUMIFS(Таблица2[KO$],Таблица2[1],B87)=0,"-",SUMIFS(Таблица2[KO$],Таблица2[1],B87))</calculatedColumnFormula>
    </tableColumn>
    <tableColumn id="10" xr3:uid="{DC8F4AAC-2121-4B15-8A0D-18B92EAE6078}" name="WIN" dataDxfId="204">
      <calculatedColumnFormula>IF(SUMIFS(Таблица2[WIN$],Таблица2[1],B87)=0,"-",SUMIFS(Таблица2[WIN$],Таблица2[1],B87))</calculatedColumnFormula>
    </tableColumn>
    <tableColumn id="11" xr3:uid="{441D08FA-1B0A-4A1F-9E79-6DB5A3743FA7}" name="PROF" dataDxfId="203">
      <calculatedColumnFormula>IFERROR(IF(L87="-",0,L87)+IF(K87="-",0,K87)-E87,"-")</calculatedColumnFormula>
    </tableColumn>
    <tableColumn id="12" xr3:uid="{06D416AC-827C-44B3-BA1A-D7D6051949B1}" name="$/G" dataDxfId="202">
      <calculatedColumnFormula>IFERROR(Таблица46[[#This Row],[PROF]]/Таблица46[[#This Row],[Games]],"-")</calculatedColumnFormula>
    </tableColumn>
  </tableColumns>
  <tableStyleInfo name="Стиль таблицы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666B7F7-BC07-4798-9ED2-E166FBB37827}" name="Таблица467" displayName="Таблица467" ref="D41:N255" totalsRowShown="0" headerRowDxfId="178" dataDxfId="176" headerRowBorderDxfId="177" tableBorderDxfId="175" totalsRowBorderDxfId="174">
  <tableColumns count="11">
    <tableColumn id="1" xr3:uid="{7C305220-FD18-4551-A86B-0A047D6EDFA2}" name="Games" dataDxfId="173">
      <calculatedColumnFormula>IF(COUNTIFS(Таблица2[2],B42)+SUMIFS(Таблица2[R],Таблица2[2],B42)=0,"",COUNTIFS(Таблица2[2],B42)+SUMIFS(Таблица2[R],Таблица2[2],B42))</calculatedColumnFormula>
    </tableColumn>
    <tableColumn id="2" xr3:uid="{1C9FA94B-7C74-4F93-8AFD-559F2134DFFD}" name="Buy-in" dataDxfId="172">
      <calculatedColumnFormula>IF(SUMIFS(Таблица2[B$],Таблица2[2],B42)=0,"-",SUMIFS(Таблица2[B$],Таблица2[2],B42))</calculatedColumnFormula>
    </tableColumn>
    <tableColumn id="4" xr3:uid="{7787FB59-831F-4E51-BD33-FD8193E630D1}" name="AFS" dataDxfId="171">
      <calculatedColumnFormula>IFERROR(AVERAGEIFS(Таблица2[AFS],Таблица2[2],B42)+(AVERAGEIFS(Таблица2[AFS],Таблица2[2],B42)*0.2),"-")</calculatedColumnFormula>
    </tableColumn>
    <tableColumn id="5" xr3:uid="{A7B2BFFA-AC5B-4978-A2A0-038506B4CE58}" name="ROI" dataDxfId="170">
      <calculatedColumnFormula>IFERROR(M42/E42*100,"-")</calculatedColumnFormula>
    </tableColumn>
    <tableColumn id="6" xr3:uid="{0095454D-6AC4-40BB-A11C-E5A38C87D634}" name="ITM" dataDxfId="169">
      <calculatedColumnFormula>IFERROR(COUNTIFS(Таблица2[2],B42,Таблица2[WIN$],"&gt;0")/D42*100,"-")</calculatedColumnFormula>
    </tableColumn>
    <tableColumn id="7" xr3:uid="{270901E9-74D9-4DFA-827D-9BF6A1C816AB}" name="%PKO" dataDxfId="168">
      <calculatedColumnFormula>IF(IFERROR((COUNTIFS(Таблица2[2],B42,Таблица2[K],"K")+SUMIFS(Таблица2[R],Таблица2[2],B42,Таблица2[K],"K"))/D42*100,"-")=0,"-",IFERROR((COUNTIFS(Таблица2[2],B42,Таблица2[K],"K")+SUMIFS(Таблица2[R],Таблица2[2],B42,Таблица2[K],"K"))/D42*100,"-"))</calculatedColumnFormula>
    </tableColumn>
    <tableColumn id="8" xr3:uid="{338FD9C4-06E2-49A6-A763-2758D731B085}" name="%Turbo" dataDxfId="167">
      <calculatedColumnFormula>IF(IFERROR((COUNTIFS(Таблица2[2],B42,Таблица2[T],"t")+SUMIFS(Таблица2[R],Таблица2[2],B42,Таблица2[T],"t"))/D42*100,"-")=0,"-",IFERROR((COUNTIFS(Таблица2[2],B42,Таблица2[T],"t")+SUMIFS(Таблица2[R],Таблица2[2],B42,Таблица2[T],"t"))/D42*100,"-"))</calculatedColumnFormula>
    </tableColumn>
    <tableColumn id="9" xr3:uid="{5A30B6A3-5734-481C-A6D1-F099FDCEF593}" name="Bounty" dataDxfId="166">
      <calculatedColumnFormula>IF(SUMIFS(Таблица2[KO$],Таблица2[2],B42)=0,"-",SUMIFS(Таблица2[KO$],Таблица2[2],B42))</calculatedColumnFormula>
    </tableColumn>
    <tableColumn id="10" xr3:uid="{BEEDCB9D-8B08-4C9E-AD1A-E369ECA19CEB}" name="WIN" dataDxfId="165">
      <calculatedColumnFormula>IF(SUMIFS(Таблица2[WIN$],Таблица2[2],B42)=0,"-",SUMIFS(Таблица2[WIN$],Таблица2[2],B42))</calculatedColumnFormula>
    </tableColumn>
    <tableColumn id="11" xr3:uid="{E7117EB6-0D2E-4690-8248-CFD385F6E296}" name="PROF" dataDxfId="164">
      <calculatedColumnFormula>IFERROR(IF(L42="-",0,L42)+IF(K42="-",0,K42)-E42,"-")</calculatedColumnFormula>
    </tableColumn>
    <tableColumn id="12" xr3:uid="{23D912F4-2747-4908-B515-5EFF7B8152F0}" name="$/G" dataDxfId="163">
      <calculatedColumnFormula>IFERROR(Таблица467[[#This Row],[PROF]]/Таблица467[[#This Row],[Games]],"-")</calculatedColumnFormula>
    </tableColumn>
  </tableColumns>
  <tableStyleInfo name="Стиль таблицы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aza" displayName="Baza" ref="C2:Z24" totalsRowShown="0" headerRowDxfId="162" dataDxfId="160" headerRowBorderDxfId="161" tableBorderDxfId="159" totalsRowBorderDxfId="158">
  <autoFilter ref="C2:Z24" xr:uid="{00000000-0009-0000-0100-000001000000}"/>
  <sortState xmlns:xlrd2="http://schemas.microsoft.com/office/spreadsheetml/2017/richdata2" ref="C2:Z2">
    <sortCondition ref="C2"/>
  </sortState>
  <tableColumns count="24">
    <tableColumn id="1" xr3:uid="{00000000-0010-0000-0000-000001000000}" name="№" dataDxfId="157"/>
    <tableColumn id="31" xr3:uid="{00000000-0010-0000-0000-00001F000000}" name="G" dataDxfId="156">
      <calculatedColumnFormula>YEAR(Baza[[#This Row],[Date]])</calculatedColumnFormula>
    </tableColumn>
    <tableColumn id="10" xr3:uid="{00000000-0010-0000-0000-00000A000000}" name="NN" dataDxfId="155">
      <calculatedColumnFormula>WEEKNUM(Baza[[#This Row],[Date]],2)</calculatedColumnFormula>
    </tableColumn>
    <tableColumn id="13" xr3:uid="{00000000-0010-0000-0000-00000D000000}" name="DN" dataDxfId="154">
      <calculatedColumnFormula>CHOOSE(WEEKDAY(Baza[[#This Row],[Date]],2),"понедельник","вторник","среда","четверг","пятница","суббота","воскресенье")</calculatedColumnFormula>
    </tableColumn>
    <tableColumn id="12" xr3:uid="{00000000-0010-0000-0000-00000C000000}" name="M" dataDxfId="153">
      <calculatedColumnFormula>CHOOSE(MONTH(Baza[[#This Row],[Date]]),"январь","февраль","март","апрель","май","июнь","июль","август","сентябрь","октябрь","ноябрь","декабрь")</calculatedColumnFormula>
    </tableColumn>
    <tableColumn id="11" xr3:uid="{00000000-0010-0000-0000-00000B000000}" name="Date" dataDxfId="152"/>
    <tableColumn id="2" xr3:uid="{00000000-0010-0000-0000-000002000000}" name="Start" dataDxfId="151"/>
    <tableColumn id="3" xr3:uid="{00000000-0010-0000-0000-000003000000}" name="B" dataDxfId="150"/>
    <tableColumn id="4" xr3:uid="{00000000-0010-0000-0000-000004000000}" name="Room" dataDxfId="149"/>
    <tableColumn id="5" xr3:uid="{00000000-0010-0000-0000-000005000000}" name="Name" dataDxfId="148"/>
    <tableColumn id="14" xr3:uid="{00000000-0010-0000-0000-00000E000000}" name="Y" dataDxfId="147"/>
    <tableColumn id="15" xr3:uid="{00000000-0010-0000-0000-00000F000000}" name="T" dataDxfId="146"/>
    <tableColumn id="16" xr3:uid="{00000000-0010-0000-0000-000010000000}" name="K" dataDxfId="145"/>
    <tableColumn id="6" xr3:uid="{00000000-0010-0000-0000-000006000000}" name="A" dataDxfId="144"/>
    <tableColumn id="29" xr3:uid="{00000000-0010-0000-0000-00001D000000}" name="GTD" dataDxfId="143"/>
    <tableColumn id="7" xr3:uid="{00000000-0010-0000-0000-000007000000}" name="KO" dataDxfId="142"/>
    <tableColumn id="8" xr3:uid="{00000000-0010-0000-0000-000008000000}" name="Win" dataDxfId="141"/>
    <tableColumn id="32" xr3:uid="{00000000-0010-0000-0000-000020000000}" name="R" dataDxfId="140"/>
    <tableColumn id="30" xr3:uid="{00000000-0010-0000-0000-00001E000000}" name="F" dataDxfId="139"/>
    <tableColumn id="18" xr3:uid="{00000000-0010-0000-0000-000012000000}" name="B$" dataDxfId="138">
      <calculatedColumnFormula>IF(OR(Baza[[#This Row],[Room]]="ES",Baza[[#This Row],[Room]]="WN"),(Baza[[#This Row],[B]]*1.12) +(Baza[[#This Row],[R]]*Baza[[#This Row],[B]]*1.12),Baza[[#This Row],[B]]*Baza[[#This Row],[R]]+Baza[[#This Row],[B]])</calculatedColumnFormula>
    </tableColumn>
    <tableColumn id="19" xr3:uid="{00000000-0010-0000-0000-000013000000}" name="KO$" dataDxfId="137">
      <calculatedColumnFormula>IF(OR(Baza[[#This Row],[Room]]="ES",Baza[[#This Row],[Room]]="WN"),Baza[[#This Row],[KO]]*1.12,Baza[[#This Row],[KO]])</calculatedColumnFormula>
    </tableColumn>
    <tableColumn id="27" xr3:uid="{00000000-0010-0000-0000-00001B000000}" name="WIN$" dataDxfId="136">
      <calculatedColumnFormula>IF(OR(Baza[[#This Row],[Room]]="ES",Baza[[#This Row],[Room]]="WN"),Baza[[#This Row],[Win]]*1.12,Baza[[#This Row],[Win]])</calculatedColumnFormula>
    </tableColumn>
    <tableColumn id="9" xr3:uid="{00000000-0010-0000-0000-000009000000}" name="Profit" dataDxfId="135">
      <calculatedColumnFormula>Baza[[#This Row],[WIN$]]+Baza[[#This Row],[KO$]]-Baza[[#This Row],[B$]]</calculatedColumnFormula>
    </tableColumn>
    <tableColumn id="28" xr3:uid="{00000000-0010-0000-0000-00001C000000}" name="AFS" dataDxfId="134">
      <calculatedColumnFormula>IF(OR(Baza[[#This Row],[A]]="XP",Baza[[#This Row],[A]]="XP2",Baza[[#This Row],[A]]="F"),AVERAGEIFS(Baza[AFS],Baza[A],"-"),Baza[[#This Row],[GTD]]/Baza[[#This Row],[B]])</calculatedColumnFormula>
    </tableColumn>
  </tableColumns>
  <tableStyleInfo name="Стиль таблицы 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DA5255A-48C7-4558-9B0D-1FEE5364DAC6}" name="Data" displayName="Data" ref="D86:O380" totalsRowShown="0" headerRowDxfId="116" dataDxfId="114" headerRowBorderDxfId="115" tableBorderDxfId="113" totalsRowBorderDxfId="112">
  <tableColumns count="12">
    <tableColumn id="3" xr3:uid="{85F441C9-A896-41AD-AAFA-E346F4CB523F}" name="Столбец1" dataDxfId="111">
      <calculatedColumnFormula>YEAR(B87)</calculatedColumnFormula>
    </tableColumn>
    <tableColumn id="1" xr3:uid="{862E2787-17EF-4622-B00A-5E33F364F37F}" name="Games" dataDxfId="110">
      <calculatedColumnFormula>IF(COUNTIFS(Таблица2[Date],B87)+SUMIFS(Таблица2[R],Таблица2[Date],B87)=0,"",COUNTIFS(Таблица2[Date],B87)+SUMIFS(Таблица2[R],Таблица2[Date],B87))</calculatedColumnFormula>
    </tableColumn>
    <tableColumn id="2" xr3:uid="{3C833E68-5174-4AD5-B22A-7D6D36D18BED}" name="Buy-in" dataDxfId="109">
      <calculatedColumnFormula>IF(SUMIFS(Таблица2[B$],Таблица2[Date],B87)=0,"-",SUMIFS(Таблица2[B$],Таблица2[Date],B87))</calculatedColumnFormula>
    </tableColumn>
    <tableColumn id="4" xr3:uid="{A95E0992-B54C-4BBC-BD5D-7BDD38D0ABB6}" name="ABI" dataDxfId="108">
      <calculatedColumnFormula>IFERROR(F87/E87,"-")</calculatedColumnFormula>
    </tableColumn>
    <tableColumn id="5" xr3:uid="{0B30F1CC-A31E-4230-AE20-77E58976A2FC}" name="AFS" dataDxfId="107">
      <calculatedColumnFormula>IFERROR(AVERAGEIFS(Таблица2[AFS],Таблица2[Date],B87)+(AVERAGEIFS(Таблица2[AFS],Таблица2[Date],B87)*0.2),"-")</calculatedColumnFormula>
    </tableColumn>
    <tableColumn id="6" xr3:uid="{9CFF90F9-C132-4E5B-BEC1-4026D38735F3}" name="ROI" dataDxfId="106">
      <calculatedColumnFormula>IFERROR(O87/F87*100,"-")</calculatedColumnFormula>
    </tableColumn>
    <tableColumn id="7" xr3:uid="{0D131DEB-4BBC-474F-ADCB-12A186259230}" name="ITM" dataDxfId="105">
      <calculatedColumnFormula>IFERROR(COUNTIFS(Таблица2[Date],B87,Таблица2[WIN$],"&gt;0")/E87*100,"-")</calculatedColumnFormula>
    </tableColumn>
    <tableColumn id="8" xr3:uid="{282E4915-5E91-4DA2-9926-25C31F8E667E}" name="%PKO" dataDxfId="104">
      <calculatedColumnFormula>IF(IFERROR((COUNTIFS(Таблица2[Date],B87,Таблица2[K],"K")+SUMIFS(Таблица2[R],#REF!,B87,Таблица2[K],"K"))/E87*100,"-")=0,"-",IFERROR((COUNTIFS(Таблица2[Date],B87,Таблица2[K],"K")+SUMIFS(Таблица2[R],Таблица2[Date],B87,Таблица2[K],"K"))/E87*100,"-"))</calculatedColumnFormula>
    </tableColumn>
    <tableColumn id="9" xr3:uid="{F05079F5-7429-41D3-9996-1A89592663D9}" name="%Turbo" dataDxfId="103">
      <calculatedColumnFormula>IF(IFERROR((COUNTIFS(Таблица2[Date],B87,Таблица2[T],"t")+SUMIFS(Таблица2[R],Таблица2[Date],B87,Таблица2[T],"t"))/E87*100,"-")=0,"-",IFERROR((COUNTIFS(Таблица2[Date],B87,Таблица2[T],"t")+SUMIFS(Таблица2[R],Таблица2[Date],B87,Таблица2[T],"t"))/E87*100,"-"))</calculatedColumnFormula>
    </tableColumn>
    <tableColumn id="10" xr3:uid="{61077682-8674-4BFC-8F7D-B5A36347CF1E}" name="Bounty" dataDxfId="102">
      <calculatedColumnFormula>IF(SUMIFS(Таблица2[KO$],Таблица2[Date],B87)=0,"-",SUMIFS(Таблица2[KO$],Таблица2[Date],B87))</calculatedColumnFormula>
    </tableColumn>
    <tableColumn id="11" xr3:uid="{A8E25692-98F5-4FAE-92D9-B98879C8192D}" name="WIN" dataDxfId="101">
      <calculatedColumnFormula>IF(SUMIFS(Таблица2[WIN$],Таблица2[Date],B87)=0,"-",SUMIFS(Таблица2[WIN$],Таблица2[Date],B87))</calculatedColumnFormula>
    </tableColumn>
    <tableColumn id="12" xr3:uid="{1D93F029-4F82-49B3-85F9-EA9CDA0DF2FE}" name="PROF" dataDxfId="100">
      <calculatedColumnFormula>IFERROR(IF(N87="-",0,N87)+IF(M87="-",0,M87)-F87,"-")</calculatedColumnFormula>
    </tableColumn>
  </tableColumns>
  <tableStyleInfo name="Стиль таблицы 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6CF98CC2-C79D-473A-8F9C-7E38C7916ED8}" name="setca" displayName="setca" ref="F38:AG238" totalsRowShown="0" headerRowDxfId="93" dataDxfId="92" tableBorderDxfId="91">
  <autoFilter ref="F38:AG238" xr:uid="{68431BA1-7793-46B6-81CB-3DD1E3193F63}"/>
  <sortState xmlns:xlrd2="http://schemas.microsoft.com/office/spreadsheetml/2017/richdata2" ref="F39:AG238">
    <sortCondition ref="H38:H238"/>
  </sortState>
  <tableColumns count="28">
    <tableColumn id="1" xr3:uid="{2FE574EF-427D-40EE-A218-BDFB2FDF2A08}" name="1" dataDxfId="90">
      <calculatedColumnFormula>F38+1</calculatedColumnFormula>
    </tableColumn>
    <tableColumn id="2" xr3:uid="{972D2146-E246-45C4-8479-1D4CB842C7A7}" name="2" dataDxfId="89"/>
    <tableColumn id="3" xr3:uid="{02E0EB86-26F1-4B91-BC07-EE400197E463}" name="3" dataDxfId="88"/>
    <tableColumn id="4" xr3:uid="{0885DB1A-5311-49FF-904F-C37A5FC17369}" name="4" dataDxfId="87"/>
    <tableColumn id="5" xr3:uid="{94CE4C8C-2E7E-4FAB-BEF7-3CC61A86069F}" name="5" dataDxfId="86"/>
    <tableColumn id="6" xr3:uid="{B6088E1E-117B-4380-9E68-173A06059DE1}" name="6" dataDxfId="85"/>
    <tableColumn id="7" xr3:uid="{3B7DDA75-6BBE-4616-B5CD-36897B0F1F23}" name="7" dataDxfId="84"/>
    <tableColumn id="8" xr3:uid="{B13F5FEB-BAC4-41A1-90EA-42DFB2584310}" name="8" dataDxfId="83"/>
    <tableColumn id="9" xr3:uid="{14FBB8C7-FBBF-4922-8C6D-0EEEEBA6C3EE}" name="9" dataDxfId="82"/>
    <tableColumn id="10" xr3:uid="{4D744C69-4634-4C8B-8E4E-4782473E39D7}" name="10" dataDxfId="81"/>
    <tableColumn id="11" xr3:uid="{8B33A1C5-ACB7-406A-9AB7-99A6F5FF3ED7}" name="11" dataDxfId="80"/>
    <tableColumn id="12" xr3:uid="{C361F0BA-691A-488A-8A87-A3D6249769D6}" name="12" dataDxfId="79"/>
    <tableColumn id="13" xr3:uid="{7E7EA82B-C8A1-41E9-B489-32E1A8760AC4}" name="13" dataDxfId="78"/>
    <tableColumn id="14" xr3:uid="{BEDF3413-A36A-4AB9-8DD0-327468018754}" name="14" dataDxfId="77"/>
    <tableColumn id="15" xr3:uid="{E278BF8B-DA1E-41A5-9B6F-FDC4E100CA7A}" name="15" dataDxfId="76"/>
    <tableColumn id="16" xr3:uid="{33A42345-9500-4234-A789-52BD5A0617BB}" name="16" dataDxfId="75"/>
    <tableColumn id="17" xr3:uid="{A94EA804-7292-4FF3-BED1-EC908619BD50}" name="17" dataDxfId="74"/>
    <tableColumn id="18" xr3:uid="{F1967D97-356F-4F50-830A-88B6DFBC5B06}" name="18" dataDxfId="73"/>
    <tableColumn id="19" xr3:uid="{7A23050B-5A13-464F-A213-14C8384FF4B7}" name="19" dataDxfId="72">
      <calculatedColumnFormula>IF(setca[[#This Row],[18]]=TRUE,IF($N$1=TRUE,TODAY()-1,TODAY()),"")</calculatedColumnFormula>
    </tableColumn>
    <tableColumn id="20" xr3:uid="{5FF5B4B7-9CFF-433E-95A8-BAB44E8EC5A1}" name="20" dataDxfId="71">
      <calculatedColumnFormula>IF(setca[[#This Row],[2]]="","",IF(setca[[#This Row],[18]]=TRUE,                                     setca[[#This Row],[2]]+(TODAY())&lt;$C$36))</calculatedColumnFormula>
    </tableColumn>
    <tableColumn id="21" xr3:uid="{3E268A5A-3922-45A1-99BD-1FD30EC7A4D3}" name="21" dataDxfId="70">
      <calculatedColumnFormula>IF(OR(setca[[#This Row],[5]]="WN",setca[[#This Row],[5]]="Es"),(setca[[#This Row],[12]]+setca[[#This Row],[13]])*1.12,setca[[#This Row],[12]]+setca[[#This Row],[13]])</calculatedColumnFormula>
    </tableColumn>
    <tableColumn id="22" xr3:uid="{FA4FB7D6-F9EE-42BA-B5BD-3F34D1CC7F77}" name="22" dataDxfId="69">
      <calculatedColumnFormula>IF(OR(setca[[#This Row],[5]]="WN",setca[[#This Row],[5]]="Es"),setca[[#This Row],[4]]*1.12,setca[[#This Row],[4]])*(setca[[#This Row],[14]]+1)</calculatedColumnFormula>
    </tableColumn>
    <tableColumn id="23" xr3:uid="{ADE59624-86A3-4A94-B51A-B3221A09B50C}" name="23" dataDxfId="68">
      <calculatedColumnFormula>TEXT(setca[[#This Row],[3]],"ч:мм")&amp;" "&amp;IF(OR(setca[[#This Row],[5]]="WN",setca[[#This Row],[5]]="ES"),"€","$")&amp;setca[[#This Row],[4]]&amp;" "&amp;"["&amp;setca[[#This Row],[5]]&amp;"] "&amp;setca[[#This Row],[6]]</calculatedColumnFormula>
    </tableColumn>
    <tableColumn id="24" xr3:uid="{DAFDD7A1-4852-40D8-B4FD-8FEACC55DB9B}" name="24" dataDxfId="67">
      <calculatedColumnFormula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calculatedColumnFormula>
    </tableColumn>
    <tableColumn id="25" xr3:uid="{D1A3EB53-DF16-483D-8EB4-CFE2912DA442}" name="25" dataDxfId="66">
      <calculatedColumnFormula>IF(setca[[#This Row],[16]]=FALSE,TRUE,FALSE)</calculatedColumnFormula>
    </tableColumn>
    <tableColumn id="26" xr3:uid="{7B212D4C-EAD6-496E-87FB-F8477B044CC8}" name="26" dataDxfId="65">
      <calculatedColumnFormula>IF(setca[[#This Row],[2]]="",FALSE,AND((setca[[#This Row],[2]]+TODAY())&lt;$C$36,setca[[#This Row],[17]]=FALSE,setca[[#This Row],[18]]=TRUE))</calculatedColumnFormula>
    </tableColumn>
    <tableColumn id="27" xr3:uid="{0CB2A466-8B6D-4E4B-8B89-306CEEA3C0A8}" name="27" dataDxfId="64">
      <calculatedColumnFormula>IF(setca[[#This Row],[2]]="",FALSE,AND((setca[[#This Row],[3]]+TODAY())&lt;$C$36,setca[[#This Row],[18]]=TRUE))</calculatedColumnFormula>
    </tableColumn>
    <tableColumn id="28" xr3:uid="{1EC84D10-FEE6-46F0-B427-447EE666B5C3}" name="28" dataDxfId="63">
      <calculatedColumnFormula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calculatedColumnFormula>
    </tableColumn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7" Type="http://schemas.microsoft.com/office/2007/relationships/slicer" Target="../slicers/slicer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6" Type="http://schemas.openxmlformats.org/officeDocument/2006/relationships/table" Target="../tables/table1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Relationship Id="rId6" Type="http://schemas.microsoft.com/office/2007/relationships/slicer" Target="../slicers/slicer2.xml"/><Relationship Id="rId5" Type="http://schemas.openxmlformats.org/officeDocument/2006/relationships/table" Target="../tables/table2.xml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Relationship Id="rId6" Type="http://schemas.microsoft.com/office/2007/relationships/slicer" Target="../slicers/slicer3.xml"/><Relationship Id="rId5" Type="http://schemas.openxmlformats.org/officeDocument/2006/relationships/table" Target="../tables/table3.xml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Relationship Id="rId6" Type="http://schemas.microsoft.com/office/2007/relationships/slicer" Target="../slicers/slicer4.xml"/><Relationship Id="rId5" Type="http://schemas.openxmlformats.org/officeDocument/2006/relationships/table" Target="../tables/table5.xml"/><Relationship Id="rId4" Type="http://schemas.openxmlformats.org/officeDocument/2006/relationships/ctrlProp" Target="../ctrlProps/ctrlProp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4" Type="http://schemas.microsoft.com/office/2007/relationships/slicer" Target="../slicers/slicer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5.xml"/></Relationships>
</file>

<file path=xl/worksheets/_rels/sheet8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20.xml"/><Relationship Id="rId21" Type="http://schemas.openxmlformats.org/officeDocument/2006/relationships/ctrlProp" Target="../ctrlProps/ctrlProp24.xml"/><Relationship Id="rId324" Type="http://schemas.openxmlformats.org/officeDocument/2006/relationships/ctrlProp" Target="../ctrlProps/ctrlProp327.xml"/><Relationship Id="rId531" Type="http://schemas.openxmlformats.org/officeDocument/2006/relationships/ctrlProp" Target="../ctrlProps/ctrlProp534.xml"/><Relationship Id="rId170" Type="http://schemas.openxmlformats.org/officeDocument/2006/relationships/ctrlProp" Target="../ctrlProps/ctrlProp173.xml"/><Relationship Id="rId268" Type="http://schemas.openxmlformats.org/officeDocument/2006/relationships/ctrlProp" Target="../ctrlProps/ctrlProp271.xml"/><Relationship Id="rId475" Type="http://schemas.openxmlformats.org/officeDocument/2006/relationships/ctrlProp" Target="../ctrlProps/ctrlProp478.xml"/><Relationship Id="rId32" Type="http://schemas.openxmlformats.org/officeDocument/2006/relationships/ctrlProp" Target="../ctrlProps/ctrlProp35.xml"/><Relationship Id="rId128" Type="http://schemas.openxmlformats.org/officeDocument/2006/relationships/ctrlProp" Target="../ctrlProps/ctrlProp131.xml"/><Relationship Id="rId335" Type="http://schemas.openxmlformats.org/officeDocument/2006/relationships/ctrlProp" Target="../ctrlProps/ctrlProp338.xml"/><Relationship Id="rId542" Type="http://schemas.openxmlformats.org/officeDocument/2006/relationships/ctrlProp" Target="../ctrlProps/ctrlProp545.xml"/><Relationship Id="rId181" Type="http://schemas.openxmlformats.org/officeDocument/2006/relationships/ctrlProp" Target="../ctrlProps/ctrlProp184.xml"/><Relationship Id="rId402" Type="http://schemas.openxmlformats.org/officeDocument/2006/relationships/ctrlProp" Target="../ctrlProps/ctrlProp405.xml"/><Relationship Id="rId279" Type="http://schemas.openxmlformats.org/officeDocument/2006/relationships/ctrlProp" Target="../ctrlProps/ctrlProp282.xml"/><Relationship Id="rId486" Type="http://schemas.openxmlformats.org/officeDocument/2006/relationships/ctrlProp" Target="../ctrlProps/ctrlProp489.xml"/><Relationship Id="rId43" Type="http://schemas.openxmlformats.org/officeDocument/2006/relationships/ctrlProp" Target="../ctrlProps/ctrlProp46.xml"/><Relationship Id="rId139" Type="http://schemas.openxmlformats.org/officeDocument/2006/relationships/ctrlProp" Target="../ctrlProps/ctrlProp142.xml"/><Relationship Id="rId346" Type="http://schemas.openxmlformats.org/officeDocument/2006/relationships/ctrlProp" Target="../ctrlProps/ctrlProp349.xml"/><Relationship Id="rId553" Type="http://schemas.openxmlformats.org/officeDocument/2006/relationships/ctrlProp" Target="../ctrlProps/ctrlProp556.xml"/><Relationship Id="rId192" Type="http://schemas.openxmlformats.org/officeDocument/2006/relationships/ctrlProp" Target="../ctrlProps/ctrlProp195.xml"/><Relationship Id="rId206" Type="http://schemas.openxmlformats.org/officeDocument/2006/relationships/ctrlProp" Target="../ctrlProps/ctrlProp209.xml"/><Relationship Id="rId413" Type="http://schemas.openxmlformats.org/officeDocument/2006/relationships/ctrlProp" Target="../ctrlProps/ctrlProp416.xml"/><Relationship Id="rId497" Type="http://schemas.openxmlformats.org/officeDocument/2006/relationships/ctrlProp" Target="../ctrlProps/ctrlProp500.xml"/><Relationship Id="rId357" Type="http://schemas.openxmlformats.org/officeDocument/2006/relationships/ctrlProp" Target="../ctrlProps/ctrlProp360.xml"/><Relationship Id="rId54" Type="http://schemas.openxmlformats.org/officeDocument/2006/relationships/ctrlProp" Target="../ctrlProps/ctrlProp57.xml"/><Relationship Id="rId217" Type="http://schemas.openxmlformats.org/officeDocument/2006/relationships/ctrlProp" Target="../ctrlProps/ctrlProp220.xml"/><Relationship Id="rId564" Type="http://schemas.openxmlformats.org/officeDocument/2006/relationships/ctrlProp" Target="../ctrlProps/ctrlProp567.xml"/><Relationship Id="rId424" Type="http://schemas.openxmlformats.org/officeDocument/2006/relationships/ctrlProp" Target="../ctrlProps/ctrlProp427.xml"/><Relationship Id="rId270" Type="http://schemas.openxmlformats.org/officeDocument/2006/relationships/ctrlProp" Target="../ctrlProps/ctrlProp273.xml"/><Relationship Id="rId65" Type="http://schemas.openxmlformats.org/officeDocument/2006/relationships/ctrlProp" Target="../ctrlProps/ctrlProp68.xml"/><Relationship Id="rId130" Type="http://schemas.openxmlformats.org/officeDocument/2006/relationships/ctrlProp" Target="../ctrlProps/ctrlProp133.xml"/><Relationship Id="rId368" Type="http://schemas.openxmlformats.org/officeDocument/2006/relationships/ctrlProp" Target="../ctrlProps/ctrlProp371.xml"/><Relationship Id="rId575" Type="http://schemas.openxmlformats.org/officeDocument/2006/relationships/ctrlProp" Target="../ctrlProps/ctrlProp578.xml"/><Relationship Id="rId228" Type="http://schemas.openxmlformats.org/officeDocument/2006/relationships/ctrlProp" Target="../ctrlProps/ctrlProp231.xml"/><Relationship Id="rId435" Type="http://schemas.openxmlformats.org/officeDocument/2006/relationships/ctrlProp" Target="../ctrlProps/ctrlProp438.xml"/><Relationship Id="rId281" Type="http://schemas.openxmlformats.org/officeDocument/2006/relationships/ctrlProp" Target="../ctrlProps/ctrlProp284.xml"/><Relationship Id="rId502" Type="http://schemas.openxmlformats.org/officeDocument/2006/relationships/ctrlProp" Target="../ctrlProps/ctrlProp505.xml"/><Relationship Id="rId76" Type="http://schemas.openxmlformats.org/officeDocument/2006/relationships/ctrlProp" Target="../ctrlProps/ctrlProp79.xml"/><Relationship Id="rId141" Type="http://schemas.openxmlformats.org/officeDocument/2006/relationships/ctrlProp" Target="../ctrlProps/ctrlProp144.xml"/><Relationship Id="rId379" Type="http://schemas.openxmlformats.org/officeDocument/2006/relationships/ctrlProp" Target="../ctrlProps/ctrlProp382.xml"/><Relationship Id="rId586" Type="http://schemas.openxmlformats.org/officeDocument/2006/relationships/ctrlProp" Target="../ctrlProps/ctrlProp589.xml"/><Relationship Id="rId7" Type="http://schemas.openxmlformats.org/officeDocument/2006/relationships/ctrlProp" Target="../ctrlProps/ctrlProp10.xml"/><Relationship Id="rId239" Type="http://schemas.openxmlformats.org/officeDocument/2006/relationships/ctrlProp" Target="../ctrlProps/ctrlProp242.xml"/><Relationship Id="rId446" Type="http://schemas.openxmlformats.org/officeDocument/2006/relationships/ctrlProp" Target="../ctrlProps/ctrlProp449.xml"/><Relationship Id="rId292" Type="http://schemas.openxmlformats.org/officeDocument/2006/relationships/ctrlProp" Target="../ctrlProps/ctrlProp295.xml"/><Relationship Id="rId306" Type="http://schemas.openxmlformats.org/officeDocument/2006/relationships/ctrlProp" Target="../ctrlProps/ctrlProp309.xml"/><Relationship Id="rId87" Type="http://schemas.openxmlformats.org/officeDocument/2006/relationships/ctrlProp" Target="../ctrlProps/ctrlProp90.xml"/><Relationship Id="rId513" Type="http://schemas.openxmlformats.org/officeDocument/2006/relationships/ctrlProp" Target="../ctrlProps/ctrlProp516.xml"/><Relationship Id="rId597" Type="http://schemas.openxmlformats.org/officeDocument/2006/relationships/ctrlProp" Target="../ctrlProps/ctrlProp600.xml"/><Relationship Id="rId152" Type="http://schemas.openxmlformats.org/officeDocument/2006/relationships/ctrlProp" Target="../ctrlProps/ctrlProp155.xml"/><Relationship Id="rId457" Type="http://schemas.openxmlformats.org/officeDocument/2006/relationships/ctrlProp" Target="../ctrlProps/ctrlProp460.xml"/><Relationship Id="rId14" Type="http://schemas.openxmlformats.org/officeDocument/2006/relationships/ctrlProp" Target="../ctrlProps/ctrlProp17.xml"/><Relationship Id="rId317" Type="http://schemas.openxmlformats.org/officeDocument/2006/relationships/ctrlProp" Target="../ctrlProps/ctrlProp320.xml"/><Relationship Id="rId524" Type="http://schemas.openxmlformats.org/officeDocument/2006/relationships/ctrlProp" Target="../ctrlProps/ctrlProp527.xml"/><Relationship Id="rId98" Type="http://schemas.openxmlformats.org/officeDocument/2006/relationships/ctrlProp" Target="../ctrlProps/ctrlProp101.xml"/><Relationship Id="rId163" Type="http://schemas.openxmlformats.org/officeDocument/2006/relationships/ctrlProp" Target="../ctrlProps/ctrlProp166.xml"/><Relationship Id="rId370" Type="http://schemas.openxmlformats.org/officeDocument/2006/relationships/ctrlProp" Target="../ctrlProps/ctrlProp373.xml"/><Relationship Id="rId230" Type="http://schemas.openxmlformats.org/officeDocument/2006/relationships/ctrlProp" Target="../ctrlProps/ctrlProp233.xml"/><Relationship Id="rId468" Type="http://schemas.openxmlformats.org/officeDocument/2006/relationships/ctrlProp" Target="../ctrlProps/ctrlProp471.xml"/><Relationship Id="rId25" Type="http://schemas.openxmlformats.org/officeDocument/2006/relationships/ctrlProp" Target="../ctrlProps/ctrlProp28.xml"/><Relationship Id="rId328" Type="http://schemas.openxmlformats.org/officeDocument/2006/relationships/ctrlProp" Target="../ctrlProps/ctrlProp331.xml"/><Relationship Id="rId535" Type="http://schemas.openxmlformats.org/officeDocument/2006/relationships/ctrlProp" Target="../ctrlProps/ctrlProp538.xml"/><Relationship Id="rId132" Type="http://schemas.openxmlformats.org/officeDocument/2006/relationships/ctrlProp" Target="../ctrlProps/ctrlProp135.xml"/><Relationship Id="rId174" Type="http://schemas.openxmlformats.org/officeDocument/2006/relationships/ctrlProp" Target="../ctrlProps/ctrlProp177.xml"/><Relationship Id="rId381" Type="http://schemas.openxmlformats.org/officeDocument/2006/relationships/ctrlProp" Target="../ctrlProps/ctrlProp384.xml"/><Relationship Id="rId602" Type="http://schemas.openxmlformats.org/officeDocument/2006/relationships/ctrlProp" Target="../ctrlProps/ctrlProp605.xml"/><Relationship Id="rId241" Type="http://schemas.openxmlformats.org/officeDocument/2006/relationships/ctrlProp" Target="../ctrlProps/ctrlProp244.xml"/><Relationship Id="rId437" Type="http://schemas.openxmlformats.org/officeDocument/2006/relationships/ctrlProp" Target="../ctrlProps/ctrlProp440.xml"/><Relationship Id="rId479" Type="http://schemas.openxmlformats.org/officeDocument/2006/relationships/ctrlProp" Target="../ctrlProps/ctrlProp482.xml"/><Relationship Id="rId36" Type="http://schemas.openxmlformats.org/officeDocument/2006/relationships/ctrlProp" Target="../ctrlProps/ctrlProp39.xml"/><Relationship Id="rId283" Type="http://schemas.openxmlformats.org/officeDocument/2006/relationships/ctrlProp" Target="../ctrlProps/ctrlProp286.xml"/><Relationship Id="rId339" Type="http://schemas.openxmlformats.org/officeDocument/2006/relationships/ctrlProp" Target="../ctrlProps/ctrlProp342.xml"/><Relationship Id="rId490" Type="http://schemas.openxmlformats.org/officeDocument/2006/relationships/ctrlProp" Target="../ctrlProps/ctrlProp493.xml"/><Relationship Id="rId504" Type="http://schemas.openxmlformats.org/officeDocument/2006/relationships/ctrlProp" Target="../ctrlProps/ctrlProp507.xml"/><Relationship Id="rId546" Type="http://schemas.openxmlformats.org/officeDocument/2006/relationships/ctrlProp" Target="../ctrlProps/ctrlProp549.xml"/><Relationship Id="rId78" Type="http://schemas.openxmlformats.org/officeDocument/2006/relationships/ctrlProp" Target="../ctrlProps/ctrlProp81.xml"/><Relationship Id="rId101" Type="http://schemas.openxmlformats.org/officeDocument/2006/relationships/ctrlProp" Target="../ctrlProps/ctrlProp104.xml"/><Relationship Id="rId143" Type="http://schemas.openxmlformats.org/officeDocument/2006/relationships/ctrlProp" Target="../ctrlProps/ctrlProp146.xml"/><Relationship Id="rId185" Type="http://schemas.openxmlformats.org/officeDocument/2006/relationships/ctrlProp" Target="../ctrlProps/ctrlProp188.xml"/><Relationship Id="rId350" Type="http://schemas.openxmlformats.org/officeDocument/2006/relationships/ctrlProp" Target="../ctrlProps/ctrlProp353.xml"/><Relationship Id="rId406" Type="http://schemas.openxmlformats.org/officeDocument/2006/relationships/ctrlProp" Target="../ctrlProps/ctrlProp409.xml"/><Relationship Id="rId588" Type="http://schemas.openxmlformats.org/officeDocument/2006/relationships/ctrlProp" Target="../ctrlProps/ctrlProp591.xml"/><Relationship Id="rId9" Type="http://schemas.openxmlformats.org/officeDocument/2006/relationships/ctrlProp" Target="../ctrlProps/ctrlProp12.xml"/><Relationship Id="rId210" Type="http://schemas.openxmlformats.org/officeDocument/2006/relationships/ctrlProp" Target="../ctrlProps/ctrlProp213.xml"/><Relationship Id="rId392" Type="http://schemas.openxmlformats.org/officeDocument/2006/relationships/ctrlProp" Target="../ctrlProps/ctrlProp395.xml"/><Relationship Id="rId448" Type="http://schemas.openxmlformats.org/officeDocument/2006/relationships/ctrlProp" Target="../ctrlProps/ctrlProp451.xml"/><Relationship Id="rId613" Type="http://schemas.openxmlformats.org/officeDocument/2006/relationships/ctrlProp" Target="../ctrlProps/ctrlProp616.xml"/><Relationship Id="rId252" Type="http://schemas.openxmlformats.org/officeDocument/2006/relationships/ctrlProp" Target="../ctrlProps/ctrlProp255.xml"/><Relationship Id="rId294" Type="http://schemas.openxmlformats.org/officeDocument/2006/relationships/ctrlProp" Target="../ctrlProps/ctrlProp297.xml"/><Relationship Id="rId308" Type="http://schemas.openxmlformats.org/officeDocument/2006/relationships/ctrlProp" Target="../ctrlProps/ctrlProp311.xml"/><Relationship Id="rId515" Type="http://schemas.openxmlformats.org/officeDocument/2006/relationships/ctrlProp" Target="../ctrlProps/ctrlProp518.xml"/><Relationship Id="rId47" Type="http://schemas.openxmlformats.org/officeDocument/2006/relationships/ctrlProp" Target="../ctrlProps/ctrlProp50.xml"/><Relationship Id="rId89" Type="http://schemas.openxmlformats.org/officeDocument/2006/relationships/ctrlProp" Target="../ctrlProps/ctrlProp92.xml"/><Relationship Id="rId112" Type="http://schemas.openxmlformats.org/officeDocument/2006/relationships/ctrlProp" Target="../ctrlProps/ctrlProp115.xml"/><Relationship Id="rId154" Type="http://schemas.openxmlformats.org/officeDocument/2006/relationships/ctrlProp" Target="../ctrlProps/ctrlProp157.xml"/><Relationship Id="rId361" Type="http://schemas.openxmlformats.org/officeDocument/2006/relationships/ctrlProp" Target="../ctrlProps/ctrlProp364.xml"/><Relationship Id="rId557" Type="http://schemas.openxmlformats.org/officeDocument/2006/relationships/ctrlProp" Target="../ctrlProps/ctrlProp560.xml"/><Relationship Id="rId599" Type="http://schemas.openxmlformats.org/officeDocument/2006/relationships/ctrlProp" Target="../ctrlProps/ctrlProp602.xml"/><Relationship Id="rId196" Type="http://schemas.openxmlformats.org/officeDocument/2006/relationships/ctrlProp" Target="../ctrlProps/ctrlProp199.xml"/><Relationship Id="rId417" Type="http://schemas.openxmlformats.org/officeDocument/2006/relationships/ctrlProp" Target="../ctrlProps/ctrlProp420.xml"/><Relationship Id="rId459" Type="http://schemas.openxmlformats.org/officeDocument/2006/relationships/ctrlProp" Target="../ctrlProps/ctrlProp462.xml"/><Relationship Id="rId16" Type="http://schemas.openxmlformats.org/officeDocument/2006/relationships/ctrlProp" Target="../ctrlProps/ctrlProp19.xml"/><Relationship Id="rId221" Type="http://schemas.openxmlformats.org/officeDocument/2006/relationships/ctrlProp" Target="../ctrlProps/ctrlProp224.xml"/><Relationship Id="rId263" Type="http://schemas.openxmlformats.org/officeDocument/2006/relationships/ctrlProp" Target="../ctrlProps/ctrlProp266.xml"/><Relationship Id="rId319" Type="http://schemas.openxmlformats.org/officeDocument/2006/relationships/ctrlProp" Target="../ctrlProps/ctrlProp322.xml"/><Relationship Id="rId470" Type="http://schemas.openxmlformats.org/officeDocument/2006/relationships/ctrlProp" Target="../ctrlProps/ctrlProp473.xml"/><Relationship Id="rId526" Type="http://schemas.openxmlformats.org/officeDocument/2006/relationships/ctrlProp" Target="../ctrlProps/ctrlProp529.xml"/><Relationship Id="rId58" Type="http://schemas.openxmlformats.org/officeDocument/2006/relationships/ctrlProp" Target="../ctrlProps/ctrlProp61.xml"/><Relationship Id="rId123" Type="http://schemas.openxmlformats.org/officeDocument/2006/relationships/ctrlProp" Target="../ctrlProps/ctrlProp126.xml"/><Relationship Id="rId330" Type="http://schemas.openxmlformats.org/officeDocument/2006/relationships/ctrlProp" Target="../ctrlProps/ctrlProp333.xml"/><Relationship Id="rId568" Type="http://schemas.openxmlformats.org/officeDocument/2006/relationships/ctrlProp" Target="../ctrlProps/ctrlProp571.xml"/><Relationship Id="rId165" Type="http://schemas.openxmlformats.org/officeDocument/2006/relationships/ctrlProp" Target="../ctrlProps/ctrlProp168.xml"/><Relationship Id="rId372" Type="http://schemas.openxmlformats.org/officeDocument/2006/relationships/ctrlProp" Target="../ctrlProps/ctrlProp375.xml"/><Relationship Id="rId428" Type="http://schemas.openxmlformats.org/officeDocument/2006/relationships/ctrlProp" Target="../ctrlProps/ctrlProp431.xml"/><Relationship Id="rId232" Type="http://schemas.openxmlformats.org/officeDocument/2006/relationships/ctrlProp" Target="../ctrlProps/ctrlProp235.xml"/><Relationship Id="rId274" Type="http://schemas.openxmlformats.org/officeDocument/2006/relationships/ctrlProp" Target="../ctrlProps/ctrlProp277.xml"/><Relationship Id="rId481" Type="http://schemas.openxmlformats.org/officeDocument/2006/relationships/ctrlProp" Target="../ctrlProps/ctrlProp484.xml"/><Relationship Id="rId27" Type="http://schemas.openxmlformats.org/officeDocument/2006/relationships/ctrlProp" Target="../ctrlProps/ctrlProp30.xml"/><Relationship Id="rId69" Type="http://schemas.openxmlformats.org/officeDocument/2006/relationships/ctrlProp" Target="../ctrlProps/ctrlProp72.xml"/><Relationship Id="rId134" Type="http://schemas.openxmlformats.org/officeDocument/2006/relationships/ctrlProp" Target="../ctrlProps/ctrlProp137.xml"/><Relationship Id="rId537" Type="http://schemas.openxmlformats.org/officeDocument/2006/relationships/ctrlProp" Target="../ctrlProps/ctrlProp540.xml"/><Relationship Id="rId579" Type="http://schemas.openxmlformats.org/officeDocument/2006/relationships/ctrlProp" Target="../ctrlProps/ctrlProp582.xml"/><Relationship Id="rId80" Type="http://schemas.openxmlformats.org/officeDocument/2006/relationships/ctrlProp" Target="../ctrlProps/ctrlProp83.xml"/><Relationship Id="rId176" Type="http://schemas.openxmlformats.org/officeDocument/2006/relationships/ctrlProp" Target="../ctrlProps/ctrlProp179.xml"/><Relationship Id="rId341" Type="http://schemas.openxmlformats.org/officeDocument/2006/relationships/ctrlProp" Target="../ctrlProps/ctrlProp344.xml"/><Relationship Id="rId383" Type="http://schemas.openxmlformats.org/officeDocument/2006/relationships/ctrlProp" Target="../ctrlProps/ctrlProp386.xml"/><Relationship Id="rId439" Type="http://schemas.openxmlformats.org/officeDocument/2006/relationships/ctrlProp" Target="../ctrlProps/ctrlProp442.xml"/><Relationship Id="rId590" Type="http://schemas.openxmlformats.org/officeDocument/2006/relationships/ctrlProp" Target="../ctrlProps/ctrlProp593.xml"/><Relationship Id="rId604" Type="http://schemas.openxmlformats.org/officeDocument/2006/relationships/ctrlProp" Target="../ctrlProps/ctrlProp607.xml"/><Relationship Id="rId201" Type="http://schemas.openxmlformats.org/officeDocument/2006/relationships/ctrlProp" Target="../ctrlProps/ctrlProp204.xml"/><Relationship Id="rId243" Type="http://schemas.openxmlformats.org/officeDocument/2006/relationships/ctrlProp" Target="../ctrlProps/ctrlProp246.xml"/><Relationship Id="rId285" Type="http://schemas.openxmlformats.org/officeDocument/2006/relationships/ctrlProp" Target="../ctrlProps/ctrlProp288.xml"/><Relationship Id="rId450" Type="http://schemas.openxmlformats.org/officeDocument/2006/relationships/ctrlProp" Target="../ctrlProps/ctrlProp453.xml"/><Relationship Id="rId506" Type="http://schemas.openxmlformats.org/officeDocument/2006/relationships/ctrlProp" Target="../ctrlProps/ctrlProp509.xml"/><Relationship Id="rId38" Type="http://schemas.openxmlformats.org/officeDocument/2006/relationships/ctrlProp" Target="../ctrlProps/ctrlProp41.xml"/><Relationship Id="rId103" Type="http://schemas.openxmlformats.org/officeDocument/2006/relationships/ctrlProp" Target="../ctrlProps/ctrlProp106.xml"/><Relationship Id="rId310" Type="http://schemas.openxmlformats.org/officeDocument/2006/relationships/ctrlProp" Target="../ctrlProps/ctrlProp313.xml"/><Relationship Id="rId492" Type="http://schemas.openxmlformats.org/officeDocument/2006/relationships/ctrlProp" Target="../ctrlProps/ctrlProp495.xml"/><Relationship Id="rId548" Type="http://schemas.openxmlformats.org/officeDocument/2006/relationships/ctrlProp" Target="../ctrlProps/ctrlProp551.xml"/><Relationship Id="rId91" Type="http://schemas.openxmlformats.org/officeDocument/2006/relationships/ctrlProp" Target="../ctrlProps/ctrlProp94.xml"/><Relationship Id="rId145" Type="http://schemas.openxmlformats.org/officeDocument/2006/relationships/ctrlProp" Target="../ctrlProps/ctrlProp148.xml"/><Relationship Id="rId187" Type="http://schemas.openxmlformats.org/officeDocument/2006/relationships/ctrlProp" Target="../ctrlProps/ctrlProp190.xml"/><Relationship Id="rId352" Type="http://schemas.openxmlformats.org/officeDocument/2006/relationships/ctrlProp" Target="../ctrlProps/ctrlProp355.xml"/><Relationship Id="rId394" Type="http://schemas.openxmlformats.org/officeDocument/2006/relationships/ctrlProp" Target="../ctrlProps/ctrlProp397.xml"/><Relationship Id="rId408" Type="http://schemas.openxmlformats.org/officeDocument/2006/relationships/ctrlProp" Target="../ctrlProps/ctrlProp411.xml"/><Relationship Id="rId615" Type="http://schemas.openxmlformats.org/officeDocument/2006/relationships/ctrlProp" Target="../ctrlProps/ctrlProp618.xml"/><Relationship Id="rId212" Type="http://schemas.openxmlformats.org/officeDocument/2006/relationships/ctrlProp" Target="../ctrlProps/ctrlProp215.xml"/><Relationship Id="rId254" Type="http://schemas.openxmlformats.org/officeDocument/2006/relationships/ctrlProp" Target="../ctrlProps/ctrlProp257.xml"/><Relationship Id="rId49" Type="http://schemas.openxmlformats.org/officeDocument/2006/relationships/ctrlProp" Target="../ctrlProps/ctrlProp52.xml"/><Relationship Id="rId114" Type="http://schemas.openxmlformats.org/officeDocument/2006/relationships/ctrlProp" Target="../ctrlProps/ctrlProp117.xml"/><Relationship Id="rId296" Type="http://schemas.openxmlformats.org/officeDocument/2006/relationships/ctrlProp" Target="../ctrlProps/ctrlProp299.xml"/><Relationship Id="rId461" Type="http://schemas.openxmlformats.org/officeDocument/2006/relationships/ctrlProp" Target="../ctrlProps/ctrlProp464.xml"/><Relationship Id="rId517" Type="http://schemas.openxmlformats.org/officeDocument/2006/relationships/ctrlProp" Target="../ctrlProps/ctrlProp520.xml"/><Relationship Id="rId559" Type="http://schemas.openxmlformats.org/officeDocument/2006/relationships/ctrlProp" Target="../ctrlProps/ctrlProp562.xml"/><Relationship Id="rId60" Type="http://schemas.openxmlformats.org/officeDocument/2006/relationships/ctrlProp" Target="../ctrlProps/ctrlProp63.xml"/><Relationship Id="rId156" Type="http://schemas.openxmlformats.org/officeDocument/2006/relationships/ctrlProp" Target="../ctrlProps/ctrlProp159.xml"/><Relationship Id="rId198" Type="http://schemas.openxmlformats.org/officeDocument/2006/relationships/ctrlProp" Target="../ctrlProps/ctrlProp201.xml"/><Relationship Id="rId321" Type="http://schemas.openxmlformats.org/officeDocument/2006/relationships/ctrlProp" Target="../ctrlProps/ctrlProp324.xml"/><Relationship Id="rId363" Type="http://schemas.openxmlformats.org/officeDocument/2006/relationships/ctrlProp" Target="../ctrlProps/ctrlProp366.xml"/><Relationship Id="rId419" Type="http://schemas.openxmlformats.org/officeDocument/2006/relationships/ctrlProp" Target="../ctrlProps/ctrlProp422.xml"/><Relationship Id="rId570" Type="http://schemas.openxmlformats.org/officeDocument/2006/relationships/ctrlProp" Target="../ctrlProps/ctrlProp573.xml"/><Relationship Id="rId223" Type="http://schemas.openxmlformats.org/officeDocument/2006/relationships/ctrlProp" Target="../ctrlProps/ctrlProp226.xml"/><Relationship Id="rId430" Type="http://schemas.openxmlformats.org/officeDocument/2006/relationships/ctrlProp" Target="../ctrlProps/ctrlProp433.xml"/><Relationship Id="rId18" Type="http://schemas.openxmlformats.org/officeDocument/2006/relationships/ctrlProp" Target="../ctrlProps/ctrlProp21.xml"/><Relationship Id="rId265" Type="http://schemas.openxmlformats.org/officeDocument/2006/relationships/ctrlProp" Target="../ctrlProps/ctrlProp268.xml"/><Relationship Id="rId472" Type="http://schemas.openxmlformats.org/officeDocument/2006/relationships/ctrlProp" Target="../ctrlProps/ctrlProp475.xml"/><Relationship Id="rId528" Type="http://schemas.openxmlformats.org/officeDocument/2006/relationships/ctrlProp" Target="../ctrlProps/ctrlProp531.xml"/><Relationship Id="rId125" Type="http://schemas.openxmlformats.org/officeDocument/2006/relationships/ctrlProp" Target="../ctrlProps/ctrlProp128.xml"/><Relationship Id="rId167" Type="http://schemas.openxmlformats.org/officeDocument/2006/relationships/ctrlProp" Target="../ctrlProps/ctrlProp170.xml"/><Relationship Id="rId332" Type="http://schemas.openxmlformats.org/officeDocument/2006/relationships/ctrlProp" Target="../ctrlProps/ctrlProp335.xml"/><Relationship Id="rId374" Type="http://schemas.openxmlformats.org/officeDocument/2006/relationships/ctrlProp" Target="../ctrlProps/ctrlProp377.xml"/><Relationship Id="rId581" Type="http://schemas.openxmlformats.org/officeDocument/2006/relationships/ctrlProp" Target="../ctrlProps/ctrlProp584.xml"/><Relationship Id="rId71" Type="http://schemas.openxmlformats.org/officeDocument/2006/relationships/ctrlProp" Target="../ctrlProps/ctrlProp74.xml"/><Relationship Id="rId234" Type="http://schemas.openxmlformats.org/officeDocument/2006/relationships/ctrlProp" Target="../ctrlProps/ctrlProp237.xml"/><Relationship Id="rId2" Type="http://schemas.openxmlformats.org/officeDocument/2006/relationships/vmlDrawing" Target="../drawings/vmlDrawing6.vml"/><Relationship Id="rId29" Type="http://schemas.openxmlformats.org/officeDocument/2006/relationships/ctrlProp" Target="../ctrlProps/ctrlProp32.xml"/><Relationship Id="rId276" Type="http://schemas.openxmlformats.org/officeDocument/2006/relationships/ctrlProp" Target="../ctrlProps/ctrlProp279.xml"/><Relationship Id="rId441" Type="http://schemas.openxmlformats.org/officeDocument/2006/relationships/ctrlProp" Target="../ctrlProps/ctrlProp444.xml"/><Relationship Id="rId483" Type="http://schemas.openxmlformats.org/officeDocument/2006/relationships/ctrlProp" Target="../ctrlProps/ctrlProp486.xml"/><Relationship Id="rId539" Type="http://schemas.openxmlformats.org/officeDocument/2006/relationships/ctrlProp" Target="../ctrlProps/ctrlProp542.xml"/><Relationship Id="rId40" Type="http://schemas.openxmlformats.org/officeDocument/2006/relationships/ctrlProp" Target="../ctrlProps/ctrlProp43.xml"/><Relationship Id="rId136" Type="http://schemas.openxmlformats.org/officeDocument/2006/relationships/ctrlProp" Target="../ctrlProps/ctrlProp139.xml"/><Relationship Id="rId178" Type="http://schemas.openxmlformats.org/officeDocument/2006/relationships/ctrlProp" Target="../ctrlProps/ctrlProp181.xml"/><Relationship Id="rId301" Type="http://schemas.openxmlformats.org/officeDocument/2006/relationships/ctrlProp" Target="../ctrlProps/ctrlProp304.xml"/><Relationship Id="rId343" Type="http://schemas.openxmlformats.org/officeDocument/2006/relationships/ctrlProp" Target="../ctrlProps/ctrlProp346.xml"/><Relationship Id="rId550" Type="http://schemas.openxmlformats.org/officeDocument/2006/relationships/ctrlProp" Target="../ctrlProps/ctrlProp553.xml"/><Relationship Id="rId82" Type="http://schemas.openxmlformats.org/officeDocument/2006/relationships/ctrlProp" Target="../ctrlProps/ctrlProp85.xml"/><Relationship Id="rId203" Type="http://schemas.openxmlformats.org/officeDocument/2006/relationships/ctrlProp" Target="../ctrlProps/ctrlProp206.xml"/><Relationship Id="rId385" Type="http://schemas.openxmlformats.org/officeDocument/2006/relationships/ctrlProp" Target="../ctrlProps/ctrlProp388.xml"/><Relationship Id="rId592" Type="http://schemas.openxmlformats.org/officeDocument/2006/relationships/ctrlProp" Target="../ctrlProps/ctrlProp595.xml"/><Relationship Id="rId606" Type="http://schemas.openxmlformats.org/officeDocument/2006/relationships/ctrlProp" Target="../ctrlProps/ctrlProp609.xml"/><Relationship Id="rId245" Type="http://schemas.openxmlformats.org/officeDocument/2006/relationships/ctrlProp" Target="../ctrlProps/ctrlProp248.xml"/><Relationship Id="rId287" Type="http://schemas.openxmlformats.org/officeDocument/2006/relationships/ctrlProp" Target="../ctrlProps/ctrlProp290.xml"/><Relationship Id="rId410" Type="http://schemas.openxmlformats.org/officeDocument/2006/relationships/ctrlProp" Target="../ctrlProps/ctrlProp413.xml"/><Relationship Id="rId452" Type="http://schemas.openxmlformats.org/officeDocument/2006/relationships/ctrlProp" Target="../ctrlProps/ctrlProp455.xml"/><Relationship Id="rId494" Type="http://schemas.openxmlformats.org/officeDocument/2006/relationships/ctrlProp" Target="../ctrlProps/ctrlProp497.xml"/><Relationship Id="rId508" Type="http://schemas.openxmlformats.org/officeDocument/2006/relationships/ctrlProp" Target="../ctrlProps/ctrlProp511.xml"/><Relationship Id="rId105" Type="http://schemas.openxmlformats.org/officeDocument/2006/relationships/ctrlProp" Target="../ctrlProps/ctrlProp108.xml"/><Relationship Id="rId147" Type="http://schemas.openxmlformats.org/officeDocument/2006/relationships/ctrlProp" Target="../ctrlProps/ctrlProp150.xml"/><Relationship Id="rId312" Type="http://schemas.openxmlformats.org/officeDocument/2006/relationships/ctrlProp" Target="../ctrlProps/ctrlProp315.xml"/><Relationship Id="rId354" Type="http://schemas.openxmlformats.org/officeDocument/2006/relationships/ctrlProp" Target="../ctrlProps/ctrlProp357.xml"/><Relationship Id="rId51" Type="http://schemas.openxmlformats.org/officeDocument/2006/relationships/ctrlProp" Target="../ctrlProps/ctrlProp54.xml"/><Relationship Id="rId93" Type="http://schemas.openxmlformats.org/officeDocument/2006/relationships/ctrlProp" Target="../ctrlProps/ctrlProp96.xml"/><Relationship Id="rId189" Type="http://schemas.openxmlformats.org/officeDocument/2006/relationships/ctrlProp" Target="../ctrlProps/ctrlProp192.xml"/><Relationship Id="rId396" Type="http://schemas.openxmlformats.org/officeDocument/2006/relationships/ctrlProp" Target="../ctrlProps/ctrlProp399.xml"/><Relationship Id="rId561" Type="http://schemas.openxmlformats.org/officeDocument/2006/relationships/ctrlProp" Target="../ctrlProps/ctrlProp564.xml"/><Relationship Id="rId617" Type="http://schemas.openxmlformats.org/officeDocument/2006/relationships/ctrlProp" Target="../ctrlProps/ctrlProp620.xml"/><Relationship Id="rId214" Type="http://schemas.openxmlformats.org/officeDocument/2006/relationships/ctrlProp" Target="../ctrlProps/ctrlProp217.xml"/><Relationship Id="rId256" Type="http://schemas.openxmlformats.org/officeDocument/2006/relationships/ctrlProp" Target="../ctrlProps/ctrlProp259.xml"/><Relationship Id="rId298" Type="http://schemas.openxmlformats.org/officeDocument/2006/relationships/ctrlProp" Target="../ctrlProps/ctrlProp301.xml"/><Relationship Id="rId421" Type="http://schemas.openxmlformats.org/officeDocument/2006/relationships/ctrlProp" Target="../ctrlProps/ctrlProp424.xml"/><Relationship Id="rId463" Type="http://schemas.openxmlformats.org/officeDocument/2006/relationships/ctrlProp" Target="../ctrlProps/ctrlProp466.xml"/><Relationship Id="rId519" Type="http://schemas.openxmlformats.org/officeDocument/2006/relationships/ctrlProp" Target="../ctrlProps/ctrlProp522.xml"/><Relationship Id="rId116" Type="http://schemas.openxmlformats.org/officeDocument/2006/relationships/ctrlProp" Target="../ctrlProps/ctrlProp119.xml"/><Relationship Id="rId158" Type="http://schemas.openxmlformats.org/officeDocument/2006/relationships/ctrlProp" Target="../ctrlProps/ctrlProp161.xml"/><Relationship Id="rId323" Type="http://schemas.openxmlformats.org/officeDocument/2006/relationships/ctrlProp" Target="../ctrlProps/ctrlProp326.xml"/><Relationship Id="rId530" Type="http://schemas.openxmlformats.org/officeDocument/2006/relationships/ctrlProp" Target="../ctrlProps/ctrlProp533.xml"/><Relationship Id="rId20" Type="http://schemas.openxmlformats.org/officeDocument/2006/relationships/ctrlProp" Target="../ctrlProps/ctrlProp23.xml"/><Relationship Id="rId62" Type="http://schemas.openxmlformats.org/officeDocument/2006/relationships/ctrlProp" Target="../ctrlProps/ctrlProp65.xml"/><Relationship Id="rId365" Type="http://schemas.openxmlformats.org/officeDocument/2006/relationships/ctrlProp" Target="../ctrlProps/ctrlProp368.xml"/><Relationship Id="rId572" Type="http://schemas.openxmlformats.org/officeDocument/2006/relationships/ctrlProp" Target="../ctrlProps/ctrlProp575.xml"/><Relationship Id="rId225" Type="http://schemas.openxmlformats.org/officeDocument/2006/relationships/ctrlProp" Target="../ctrlProps/ctrlProp228.xml"/><Relationship Id="rId267" Type="http://schemas.openxmlformats.org/officeDocument/2006/relationships/ctrlProp" Target="../ctrlProps/ctrlProp270.xml"/><Relationship Id="rId432" Type="http://schemas.openxmlformats.org/officeDocument/2006/relationships/ctrlProp" Target="../ctrlProps/ctrlProp435.xml"/><Relationship Id="rId474" Type="http://schemas.openxmlformats.org/officeDocument/2006/relationships/ctrlProp" Target="../ctrlProps/ctrlProp477.xml"/><Relationship Id="rId127" Type="http://schemas.openxmlformats.org/officeDocument/2006/relationships/ctrlProp" Target="../ctrlProps/ctrlProp130.xml"/><Relationship Id="rId31" Type="http://schemas.openxmlformats.org/officeDocument/2006/relationships/ctrlProp" Target="../ctrlProps/ctrlProp34.xml"/><Relationship Id="rId73" Type="http://schemas.openxmlformats.org/officeDocument/2006/relationships/ctrlProp" Target="../ctrlProps/ctrlProp76.xml"/><Relationship Id="rId169" Type="http://schemas.openxmlformats.org/officeDocument/2006/relationships/ctrlProp" Target="../ctrlProps/ctrlProp172.xml"/><Relationship Id="rId334" Type="http://schemas.openxmlformats.org/officeDocument/2006/relationships/ctrlProp" Target="../ctrlProps/ctrlProp337.xml"/><Relationship Id="rId376" Type="http://schemas.openxmlformats.org/officeDocument/2006/relationships/ctrlProp" Target="../ctrlProps/ctrlProp379.xml"/><Relationship Id="rId541" Type="http://schemas.openxmlformats.org/officeDocument/2006/relationships/ctrlProp" Target="../ctrlProps/ctrlProp544.xml"/><Relationship Id="rId583" Type="http://schemas.openxmlformats.org/officeDocument/2006/relationships/ctrlProp" Target="../ctrlProps/ctrlProp586.xml"/><Relationship Id="rId4" Type="http://schemas.openxmlformats.org/officeDocument/2006/relationships/ctrlProp" Target="../ctrlProps/ctrlProp7.xml"/><Relationship Id="rId180" Type="http://schemas.openxmlformats.org/officeDocument/2006/relationships/ctrlProp" Target="../ctrlProps/ctrlProp183.xml"/><Relationship Id="rId236" Type="http://schemas.openxmlformats.org/officeDocument/2006/relationships/ctrlProp" Target="../ctrlProps/ctrlProp239.xml"/><Relationship Id="rId278" Type="http://schemas.openxmlformats.org/officeDocument/2006/relationships/ctrlProp" Target="../ctrlProps/ctrlProp281.xml"/><Relationship Id="rId401" Type="http://schemas.openxmlformats.org/officeDocument/2006/relationships/ctrlProp" Target="../ctrlProps/ctrlProp404.xml"/><Relationship Id="rId443" Type="http://schemas.openxmlformats.org/officeDocument/2006/relationships/ctrlProp" Target="../ctrlProps/ctrlProp446.xml"/><Relationship Id="rId303" Type="http://schemas.openxmlformats.org/officeDocument/2006/relationships/ctrlProp" Target="../ctrlProps/ctrlProp306.xml"/><Relationship Id="rId485" Type="http://schemas.openxmlformats.org/officeDocument/2006/relationships/ctrlProp" Target="../ctrlProps/ctrlProp488.xml"/><Relationship Id="rId42" Type="http://schemas.openxmlformats.org/officeDocument/2006/relationships/ctrlProp" Target="../ctrlProps/ctrlProp45.xml"/><Relationship Id="rId84" Type="http://schemas.openxmlformats.org/officeDocument/2006/relationships/ctrlProp" Target="../ctrlProps/ctrlProp87.xml"/><Relationship Id="rId138" Type="http://schemas.openxmlformats.org/officeDocument/2006/relationships/ctrlProp" Target="../ctrlProps/ctrlProp141.xml"/><Relationship Id="rId345" Type="http://schemas.openxmlformats.org/officeDocument/2006/relationships/ctrlProp" Target="../ctrlProps/ctrlProp348.xml"/><Relationship Id="rId387" Type="http://schemas.openxmlformats.org/officeDocument/2006/relationships/ctrlProp" Target="../ctrlProps/ctrlProp390.xml"/><Relationship Id="rId510" Type="http://schemas.openxmlformats.org/officeDocument/2006/relationships/ctrlProp" Target="../ctrlProps/ctrlProp513.xml"/><Relationship Id="rId552" Type="http://schemas.openxmlformats.org/officeDocument/2006/relationships/ctrlProp" Target="../ctrlProps/ctrlProp555.xml"/><Relationship Id="rId594" Type="http://schemas.openxmlformats.org/officeDocument/2006/relationships/ctrlProp" Target="../ctrlProps/ctrlProp597.xml"/><Relationship Id="rId608" Type="http://schemas.openxmlformats.org/officeDocument/2006/relationships/ctrlProp" Target="../ctrlProps/ctrlProp611.xml"/><Relationship Id="rId191" Type="http://schemas.openxmlformats.org/officeDocument/2006/relationships/ctrlProp" Target="../ctrlProps/ctrlProp194.xml"/><Relationship Id="rId205" Type="http://schemas.openxmlformats.org/officeDocument/2006/relationships/ctrlProp" Target="../ctrlProps/ctrlProp208.xml"/><Relationship Id="rId247" Type="http://schemas.openxmlformats.org/officeDocument/2006/relationships/ctrlProp" Target="../ctrlProps/ctrlProp250.xml"/><Relationship Id="rId412" Type="http://schemas.openxmlformats.org/officeDocument/2006/relationships/ctrlProp" Target="../ctrlProps/ctrlProp415.xml"/><Relationship Id="rId107" Type="http://schemas.openxmlformats.org/officeDocument/2006/relationships/ctrlProp" Target="../ctrlProps/ctrlProp110.xml"/><Relationship Id="rId289" Type="http://schemas.openxmlformats.org/officeDocument/2006/relationships/ctrlProp" Target="../ctrlProps/ctrlProp292.xml"/><Relationship Id="rId454" Type="http://schemas.openxmlformats.org/officeDocument/2006/relationships/ctrlProp" Target="../ctrlProps/ctrlProp457.xml"/><Relationship Id="rId496" Type="http://schemas.openxmlformats.org/officeDocument/2006/relationships/ctrlProp" Target="../ctrlProps/ctrlProp499.xml"/><Relationship Id="rId11" Type="http://schemas.openxmlformats.org/officeDocument/2006/relationships/ctrlProp" Target="../ctrlProps/ctrlProp14.xml"/><Relationship Id="rId53" Type="http://schemas.openxmlformats.org/officeDocument/2006/relationships/ctrlProp" Target="../ctrlProps/ctrlProp56.xml"/><Relationship Id="rId149" Type="http://schemas.openxmlformats.org/officeDocument/2006/relationships/ctrlProp" Target="../ctrlProps/ctrlProp152.xml"/><Relationship Id="rId314" Type="http://schemas.openxmlformats.org/officeDocument/2006/relationships/ctrlProp" Target="../ctrlProps/ctrlProp317.xml"/><Relationship Id="rId356" Type="http://schemas.openxmlformats.org/officeDocument/2006/relationships/ctrlProp" Target="../ctrlProps/ctrlProp359.xml"/><Relationship Id="rId398" Type="http://schemas.openxmlformats.org/officeDocument/2006/relationships/ctrlProp" Target="../ctrlProps/ctrlProp401.xml"/><Relationship Id="rId521" Type="http://schemas.openxmlformats.org/officeDocument/2006/relationships/ctrlProp" Target="../ctrlProps/ctrlProp524.xml"/><Relationship Id="rId563" Type="http://schemas.openxmlformats.org/officeDocument/2006/relationships/ctrlProp" Target="../ctrlProps/ctrlProp566.xml"/><Relationship Id="rId619" Type="http://schemas.openxmlformats.org/officeDocument/2006/relationships/table" Target="../tables/table6.xml"/><Relationship Id="rId95" Type="http://schemas.openxmlformats.org/officeDocument/2006/relationships/ctrlProp" Target="../ctrlProps/ctrlProp98.xml"/><Relationship Id="rId160" Type="http://schemas.openxmlformats.org/officeDocument/2006/relationships/ctrlProp" Target="../ctrlProps/ctrlProp163.xml"/><Relationship Id="rId216" Type="http://schemas.openxmlformats.org/officeDocument/2006/relationships/ctrlProp" Target="../ctrlProps/ctrlProp219.xml"/><Relationship Id="rId423" Type="http://schemas.openxmlformats.org/officeDocument/2006/relationships/ctrlProp" Target="../ctrlProps/ctrlProp426.xml"/><Relationship Id="rId258" Type="http://schemas.openxmlformats.org/officeDocument/2006/relationships/ctrlProp" Target="../ctrlProps/ctrlProp261.xml"/><Relationship Id="rId465" Type="http://schemas.openxmlformats.org/officeDocument/2006/relationships/ctrlProp" Target="../ctrlProps/ctrlProp468.xml"/><Relationship Id="rId22" Type="http://schemas.openxmlformats.org/officeDocument/2006/relationships/ctrlProp" Target="../ctrlProps/ctrlProp25.xml"/><Relationship Id="rId64" Type="http://schemas.openxmlformats.org/officeDocument/2006/relationships/ctrlProp" Target="../ctrlProps/ctrlProp67.xml"/><Relationship Id="rId118" Type="http://schemas.openxmlformats.org/officeDocument/2006/relationships/ctrlProp" Target="../ctrlProps/ctrlProp121.xml"/><Relationship Id="rId325" Type="http://schemas.openxmlformats.org/officeDocument/2006/relationships/ctrlProp" Target="../ctrlProps/ctrlProp328.xml"/><Relationship Id="rId367" Type="http://schemas.openxmlformats.org/officeDocument/2006/relationships/ctrlProp" Target="../ctrlProps/ctrlProp370.xml"/><Relationship Id="rId532" Type="http://schemas.openxmlformats.org/officeDocument/2006/relationships/ctrlProp" Target="../ctrlProps/ctrlProp535.xml"/><Relationship Id="rId574" Type="http://schemas.openxmlformats.org/officeDocument/2006/relationships/ctrlProp" Target="../ctrlProps/ctrlProp577.xml"/><Relationship Id="rId171" Type="http://schemas.openxmlformats.org/officeDocument/2006/relationships/ctrlProp" Target="../ctrlProps/ctrlProp174.xml"/><Relationship Id="rId227" Type="http://schemas.openxmlformats.org/officeDocument/2006/relationships/ctrlProp" Target="../ctrlProps/ctrlProp230.xml"/><Relationship Id="rId269" Type="http://schemas.openxmlformats.org/officeDocument/2006/relationships/ctrlProp" Target="../ctrlProps/ctrlProp272.xml"/><Relationship Id="rId434" Type="http://schemas.openxmlformats.org/officeDocument/2006/relationships/ctrlProp" Target="../ctrlProps/ctrlProp437.xml"/><Relationship Id="rId476" Type="http://schemas.openxmlformats.org/officeDocument/2006/relationships/ctrlProp" Target="../ctrlProps/ctrlProp479.xml"/><Relationship Id="rId33" Type="http://schemas.openxmlformats.org/officeDocument/2006/relationships/ctrlProp" Target="../ctrlProps/ctrlProp36.xml"/><Relationship Id="rId129" Type="http://schemas.openxmlformats.org/officeDocument/2006/relationships/ctrlProp" Target="../ctrlProps/ctrlProp132.xml"/><Relationship Id="rId280" Type="http://schemas.openxmlformats.org/officeDocument/2006/relationships/ctrlProp" Target="../ctrlProps/ctrlProp283.xml"/><Relationship Id="rId336" Type="http://schemas.openxmlformats.org/officeDocument/2006/relationships/ctrlProp" Target="../ctrlProps/ctrlProp339.xml"/><Relationship Id="rId501" Type="http://schemas.openxmlformats.org/officeDocument/2006/relationships/ctrlProp" Target="../ctrlProps/ctrlProp504.xml"/><Relationship Id="rId543" Type="http://schemas.openxmlformats.org/officeDocument/2006/relationships/ctrlProp" Target="../ctrlProps/ctrlProp546.xml"/><Relationship Id="rId75" Type="http://schemas.openxmlformats.org/officeDocument/2006/relationships/ctrlProp" Target="../ctrlProps/ctrlProp78.xml"/><Relationship Id="rId140" Type="http://schemas.openxmlformats.org/officeDocument/2006/relationships/ctrlProp" Target="../ctrlProps/ctrlProp143.xml"/><Relationship Id="rId182" Type="http://schemas.openxmlformats.org/officeDocument/2006/relationships/ctrlProp" Target="../ctrlProps/ctrlProp185.xml"/><Relationship Id="rId378" Type="http://schemas.openxmlformats.org/officeDocument/2006/relationships/ctrlProp" Target="../ctrlProps/ctrlProp381.xml"/><Relationship Id="rId403" Type="http://schemas.openxmlformats.org/officeDocument/2006/relationships/ctrlProp" Target="../ctrlProps/ctrlProp406.xml"/><Relationship Id="rId585" Type="http://schemas.openxmlformats.org/officeDocument/2006/relationships/ctrlProp" Target="../ctrlProps/ctrlProp588.xml"/><Relationship Id="rId6" Type="http://schemas.openxmlformats.org/officeDocument/2006/relationships/ctrlProp" Target="../ctrlProps/ctrlProp9.xml"/><Relationship Id="rId238" Type="http://schemas.openxmlformats.org/officeDocument/2006/relationships/ctrlProp" Target="../ctrlProps/ctrlProp241.xml"/><Relationship Id="rId445" Type="http://schemas.openxmlformats.org/officeDocument/2006/relationships/ctrlProp" Target="../ctrlProps/ctrlProp448.xml"/><Relationship Id="rId487" Type="http://schemas.openxmlformats.org/officeDocument/2006/relationships/ctrlProp" Target="../ctrlProps/ctrlProp490.xml"/><Relationship Id="rId610" Type="http://schemas.openxmlformats.org/officeDocument/2006/relationships/ctrlProp" Target="../ctrlProps/ctrlProp613.xml"/><Relationship Id="rId291" Type="http://schemas.openxmlformats.org/officeDocument/2006/relationships/ctrlProp" Target="../ctrlProps/ctrlProp294.xml"/><Relationship Id="rId305" Type="http://schemas.openxmlformats.org/officeDocument/2006/relationships/ctrlProp" Target="../ctrlProps/ctrlProp308.xml"/><Relationship Id="rId347" Type="http://schemas.openxmlformats.org/officeDocument/2006/relationships/ctrlProp" Target="../ctrlProps/ctrlProp350.xml"/><Relationship Id="rId512" Type="http://schemas.openxmlformats.org/officeDocument/2006/relationships/ctrlProp" Target="../ctrlProps/ctrlProp515.xml"/><Relationship Id="rId44" Type="http://schemas.openxmlformats.org/officeDocument/2006/relationships/ctrlProp" Target="../ctrlProps/ctrlProp47.xml"/><Relationship Id="rId86" Type="http://schemas.openxmlformats.org/officeDocument/2006/relationships/ctrlProp" Target="../ctrlProps/ctrlProp89.xml"/><Relationship Id="rId151" Type="http://schemas.openxmlformats.org/officeDocument/2006/relationships/ctrlProp" Target="../ctrlProps/ctrlProp154.xml"/><Relationship Id="rId389" Type="http://schemas.openxmlformats.org/officeDocument/2006/relationships/ctrlProp" Target="../ctrlProps/ctrlProp392.xml"/><Relationship Id="rId554" Type="http://schemas.openxmlformats.org/officeDocument/2006/relationships/ctrlProp" Target="../ctrlProps/ctrlProp557.xml"/><Relationship Id="rId596" Type="http://schemas.openxmlformats.org/officeDocument/2006/relationships/ctrlProp" Target="../ctrlProps/ctrlProp599.xml"/><Relationship Id="rId193" Type="http://schemas.openxmlformats.org/officeDocument/2006/relationships/ctrlProp" Target="../ctrlProps/ctrlProp196.xml"/><Relationship Id="rId207" Type="http://schemas.openxmlformats.org/officeDocument/2006/relationships/ctrlProp" Target="../ctrlProps/ctrlProp210.xml"/><Relationship Id="rId249" Type="http://schemas.openxmlformats.org/officeDocument/2006/relationships/ctrlProp" Target="../ctrlProps/ctrlProp252.xml"/><Relationship Id="rId414" Type="http://schemas.openxmlformats.org/officeDocument/2006/relationships/ctrlProp" Target="../ctrlProps/ctrlProp417.xml"/><Relationship Id="rId456" Type="http://schemas.openxmlformats.org/officeDocument/2006/relationships/ctrlProp" Target="../ctrlProps/ctrlProp459.xml"/><Relationship Id="rId498" Type="http://schemas.openxmlformats.org/officeDocument/2006/relationships/ctrlProp" Target="../ctrlProps/ctrlProp501.xml"/><Relationship Id="rId13" Type="http://schemas.openxmlformats.org/officeDocument/2006/relationships/ctrlProp" Target="../ctrlProps/ctrlProp16.xml"/><Relationship Id="rId109" Type="http://schemas.openxmlformats.org/officeDocument/2006/relationships/ctrlProp" Target="../ctrlProps/ctrlProp112.xml"/><Relationship Id="rId260" Type="http://schemas.openxmlformats.org/officeDocument/2006/relationships/ctrlProp" Target="../ctrlProps/ctrlProp263.xml"/><Relationship Id="rId316" Type="http://schemas.openxmlformats.org/officeDocument/2006/relationships/ctrlProp" Target="../ctrlProps/ctrlProp319.xml"/><Relationship Id="rId523" Type="http://schemas.openxmlformats.org/officeDocument/2006/relationships/ctrlProp" Target="../ctrlProps/ctrlProp526.xml"/><Relationship Id="rId55" Type="http://schemas.openxmlformats.org/officeDocument/2006/relationships/ctrlProp" Target="../ctrlProps/ctrlProp58.xml"/><Relationship Id="rId97" Type="http://schemas.openxmlformats.org/officeDocument/2006/relationships/ctrlProp" Target="../ctrlProps/ctrlProp100.xml"/><Relationship Id="rId120" Type="http://schemas.openxmlformats.org/officeDocument/2006/relationships/ctrlProp" Target="../ctrlProps/ctrlProp123.xml"/><Relationship Id="rId358" Type="http://schemas.openxmlformats.org/officeDocument/2006/relationships/ctrlProp" Target="../ctrlProps/ctrlProp361.xml"/><Relationship Id="rId565" Type="http://schemas.openxmlformats.org/officeDocument/2006/relationships/ctrlProp" Target="../ctrlProps/ctrlProp568.xml"/><Relationship Id="rId162" Type="http://schemas.openxmlformats.org/officeDocument/2006/relationships/ctrlProp" Target="../ctrlProps/ctrlProp165.xml"/><Relationship Id="rId218" Type="http://schemas.openxmlformats.org/officeDocument/2006/relationships/ctrlProp" Target="../ctrlProps/ctrlProp221.xml"/><Relationship Id="rId425" Type="http://schemas.openxmlformats.org/officeDocument/2006/relationships/ctrlProp" Target="../ctrlProps/ctrlProp428.xml"/><Relationship Id="rId467" Type="http://schemas.openxmlformats.org/officeDocument/2006/relationships/ctrlProp" Target="../ctrlProps/ctrlProp470.xml"/><Relationship Id="rId271" Type="http://schemas.openxmlformats.org/officeDocument/2006/relationships/ctrlProp" Target="../ctrlProps/ctrlProp274.xml"/><Relationship Id="rId24" Type="http://schemas.openxmlformats.org/officeDocument/2006/relationships/ctrlProp" Target="../ctrlProps/ctrlProp27.xml"/><Relationship Id="rId66" Type="http://schemas.openxmlformats.org/officeDocument/2006/relationships/ctrlProp" Target="../ctrlProps/ctrlProp69.xml"/><Relationship Id="rId131" Type="http://schemas.openxmlformats.org/officeDocument/2006/relationships/ctrlProp" Target="../ctrlProps/ctrlProp134.xml"/><Relationship Id="rId327" Type="http://schemas.openxmlformats.org/officeDocument/2006/relationships/ctrlProp" Target="../ctrlProps/ctrlProp330.xml"/><Relationship Id="rId369" Type="http://schemas.openxmlformats.org/officeDocument/2006/relationships/ctrlProp" Target="../ctrlProps/ctrlProp372.xml"/><Relationship Id="rId534" Type="http://schemas.openxmlformats.org/officeDocument/2006/relationships/ctrlProp" Target="../ctrlProps/ctrlProp537.xml"/><Relationship Id="rId576" Type="http://schemas.openxmlformats.org/officeDocument/2006/relationships/ctrlProp" Target="../ctrlProps/ctrlProp579.xml"/><Relationship Id="rId173" Type="http://schemas.openxmlformats.org/officeDocument/2006/relationships/ctrlProp" Target="../ctrlProps/ctrlProp176.xml"/><Relationship Id="rId229" Type="http://schemas.openxmlformats.org/officeDocument/2006/relationships/ctrlProp" Target="../ctrlProps/ctrlProp232.xml"/><Relationship Id="rId380" Type="http://schemas.openxmlformats.org/officeDocument/2006/relationships/ctrlProp" Target="../ctrlProps/ctrlProp383.xml"/><Relationship Id="rId436" Type="http://schemas.openxmlformats.org/officeDocument/2006/relationships/ctrlProp" Target="../ctrlProps/ctrlProp439.xml"/><Relationship Id="rId601" Type="http://schemas.openxmlformats.org/officeDocument/2006/relationships/ctrlProp" Target="../ctrlProps/ctrlProp604.xml"/><Relationship Id="rId240" Type="http://schemas.openxmlformats.org/officeDocument/2006/relationships/ctrlProp" Target="../ctrlProps/ctrlProp243.xml"/><Relationship Id="rId478" Type="http://schemas.openxmlformats.org/officeDocument/2006/relationships/ctrlProp" Target="../ctrlProps/ctrlProp481.xml"/><Relationship Id="rId35" Type="http://schemas.openxmlformats.org/officeDocument/2006/relationships/ctrlProp" Target="../ctrlProps/ctrlProp38.xml"/><Relationship Id="rId77" Type="http://schemas.openxmlformats.org/officeDocument/2006/relationships/ctrlProp" Target="../ctrlProps/ctrlProp80.xml"/><Relationship Id="rId100" Type="http://schemas.openxmlformats.org/officeDocument/2006/relationships/ctrlProp" Target="../ctrlProps/ctrlProp103.xml"/><Relationship Id="rId282" Type="http://schemas.openxmlformats.org/officeDocument/2006/relationships/ctrlProp" Target="../ctrlProps/ctrlProp285.xml"/><Relationship Id="rId338" Type="http://schemas.openxmlformats.org/officeDocument/2006/relationships/ctrlProp" Target="../ctrlProps/ctrlProp341.xml"/><Relationship Id="rId503" Type="http://schemas.openxmlformats.org/officeDocument/2006/relationships/ctrlProp" Target="../ctrlProps/ctrlProp506.xml"/><Relationship Id="rId545" Type="http://schemas.openxmlformats.org/officeDocument/2006/relationships/ctrlProp" Target="../ctrlProps/ctrlProp548.xml"/><Relationship Id="rId587" Type="http://schemas.openxmlformats.org/officeDocument/2006/relationships/ctrlProp" Target="../ctrlProps/ctrlProp590.xml"/><Relationship Id="rId8" Type="http://schemas.openxmlformats.org/officeDocument/2006/relationships/ctrlProp" Target="../ctrlProps/ctrlProp11.xml"/><Relationship Id="rId142" Type="http://schemas.openxmlformats.org/officeDocument/2006/relationships/ctrlProp" Target="../ctrlProps/ctrlProp145.xml"/><Relationship Id="rId184" Type="http://schemas.openxmlformats.org/officeDocument/2006/relationships/ctrlProp" Target="../ctrlProps/ctrlProp187.xml"/><Relationship Id="rId391" Type="http://schemas.openxmlformats.org/officeDocument/2006/relationships/ctrlProp" Target="../ctrlProps/ctrlProp394.xml"/><Relationship Id="rId405" Type="http://schemas.openxmlformats.org/officeDocument/2006/relationships/ctrlProp" Target="../ctrlProps/ctrlProp408.xml"/><Relationship Id="rId447" Type="http://schemas.openxmlformats.org/officeDocument/2006/relationships/ctrlProp" Target="../ctrlProps/ctrlProp450.xml"/><Relationship Id="rId612" Type="http://schemas.openxmlformats.org/officeDocument/2006/relationships/ctrlProp" Target="../ctrlProps/ctrlProp615.xml"/><Relationship Id="rId251" Type="http://schemas.openxmlformats.org/officeDocument/2006/relationships/ctrlProp" Target="../ctrlProps/ctrlProp254.xml"/><Relationship Id="rId489" Type="http://schemas.openxmlformats.org/officeDocument/2006/relationships/ctrlProp" Target="../ctrlProps/ctrlProp492.xml"/><Relationship Id="rId46" Type="http://schemas.openxmlformats.org/officeDocument/2006/relationships/ctrlProp" Target="../ctrlProps/ctrlProp49.xml"/><Relationship Id="rId293" Type="http://schemas.openxmlformats.org/officeDocument/2006/relationships/ctrlProp" Target="../ctrlProps/ctrlProp296.xml"/><Relationship Id="rId307" Type="http://schemas.openxmlformats.org/officeDocument/2006/relationships/ctrlProp" Target="../ctrlProps/ctrlProp310.xml"/><Relationship Id="rId349" Type="http://schemas.openxmlformats.org/officeDocument/2006/relationships/ctrlProp" Target="../ctrlProps/ctrlProp352.xml"/><Relationship Id="rId514" Type="http://schemas.openxmlformats.org/officeDocument/2006/relationships/ctrlProp" Target="../ctrlProps/ctrlProp517.xml"/><Relationship Id="rId556" Type="http://schemas.openxmlformats.org/officeDocument/2006/relationships/ctrlProp" Target="../ctrlProps/ctrlProp559.xml"/><Relationship Id="rId88" Type="http://schemas.openxmlformats.org/officeDocument/2006/relationships/ctrlProp" Target="../ctrlProps/ctrlProp91.xml"/><Relationship Id="rId111" Type="http://schemas.openxmlformats.org/officeDocument/2006/relationships/ctrlProp" Target="../ctrlProps/ctrlProp114.xml"/><Relationship Id="rId153" Type="http://schemas.openxmlformats.org/officeDocument/2006/relationships/ctrlProp" Target="../ctrlProps/ctrlProp156.xml"/><Relationship Id="rId195" Type="http://schemas.openxmlformats.org/officeDocument/2006/relationships/ctrlProp" Target="../ctrlProps/ctrlProp198.xml"/><Relationship Id="rId209" Type="http://schemas.openxmlformats.org/officeDocument/2006/relationships/ctrlProp" Target="../ctrlProps/ctrlProp212.xml"/><Relationship Id="rId360" Type="http://schemas.openxmlformats.org/officeDocument/2006/relationships/ctrlProp" Target="../ctrlProps/ctrlProp363.xml"/><Relationship Id="rId416" Type="http://schemas.openxmlformats.org/officeDocument/2006/relationships/ctrlProp" Target="../ctrlProps/ctrlProp419.xml"/><Relationship Id="rId598" Type="http://schemas.openxmlformats.org/officeDocument/2006/relationships/ctrlProp" Target="../ctrlProps/ctrlProp601.xml"/><Relationship Id="rId220" Type="http://schemas.openxmlformats.org/officeDocument/2006/relationships/ctrlProp" Target="../ctrlProps/ctrlProp223.xml"/><Relationship Id="rId458" Type="http://schemas.openxmlformats.org/officeDocument/2006/relationships/ctrlProp" Target="../ctrlProps/ctrlProp461.xml"/><Relationship Id="rId15" Type="http://schemas.openxmlformats.org/officeDocument/2006/relationships/ctrlProp" Target="../ctrlProps/ctrlProp18.xml"/><Relationship Id="rId57" Type="http://schemas.openxmlformats.org/officeDocument/2006/relationships/ctrlProp" Target="../ctrlProps/ctrlProp60.xml"/><Relationship Id="rId262" Type="http://schemas.openxmlformats.org/officeDocument/2006/relationships/ctrlProp" Target="../ctrlProps/ctrlProp265.xml"/><Relationship Id="rId318" Type="http://schemas.openxmlformats.org/officeDocument/2006/relationships/ctrlProp" Target="../ctrlProps/ctrlProp321.xml"/><Relationship Id="rId525" Type="http://schemas.openxmlformats.org/officeDocument/2006/relationships/ctrlProp" Target="../ctrlProps/ctrlProp528.xml"/><Relationship Id="rId567" Type="http://schemas.openxmlformats.org/officeDocument/2006/relationships/ctrlProp" Target="../ctrlProps/ctrlProp570.xml"/><Relationship Id="rId99" Type="http://schemas.openxmlformats.org/officeDocument/2006/relationships/ctrlProp" Target="../ctrlProps/ctrlProp102.xml"/><Relationship Id="rId122" Type="http://schemas.openxmlformats.org/officeDocument/2006/relationships/ctrlProp" Target="../ctrlProps/ctrlProp125.xml"/><Relationship Id="rId164" Type="http://schemas.openxmlformats.org/officeDocument/2006/relationships/ctrlProp" Target="../ctrlProps/ctrlProp167.xml"/><Relationship Id="rId371" Type="http://schemas.openxmlformats.org/officeDocument/2006/relationships/ctrlProp" Target="../ctrlProps/ctrlProp374.xml"/><Relationship Id="rId427" Type="http://schemas.openxmlformats.org/officeDocument/2006/relationships/ctrlProp" Target="../ctrlProps/ctrlProp430.xml"/><Relationship Id="rId469" Type="http://schemas.openxmlformats.org/officeDocument/2006/relationships/ctrlProp" Target="../ctrlProps/ctrlProp472.xml"/><Relationship Id="rId26" Type="http://schemas.openxmlformats.org/officeDocument/2006/relationships/ctrlProp" Target="../ctrlProps/ctrlProp29.xml"/><Relationship Id="rId231" Type="http://schemas.openxmlformats.org/officeDocument/2006/relationships/ctrlProp" Target="../ctrlProps/ctrlProp234.xml"/><Relationship Id="rId273" Type="http://schemas.openxmlformats.org/officeDocument/2006/relationships/ctrlProp" Target="../ctrlProps/ctrlProp276.xml"/><Relationship Id="rId329" Type="http://schemas.openxmlformats.org/officeDocument/2006/relationships/ctrlProp" Target="../ctrlProps/ctrlProp332.xml"/><Relationship Id="rId480" Type="http://schemas.openxmlformats.org/officeDocument/2006/relationships/ctrlProp" Target="../ctrlProps/ctrlProp483.xml"/><Relationship Id="rId536" Type="http://schemas.openxmlformats.org/officeDocument/2006/relationships/ctrlProp" Target="../ctrlProps/ctrlProp539.xml"/><Relationship Id="rId68" Type="http://schemas.openxmlformats.org/officeDocument/2006/relationships/ctrlProp" Target="../ctrlProps/ctrlProp71.xml"/><Relationship Id="rId133" Type="http://schemas.openxmlformats.org/officeDocument/2006/relationships/ctrlProp" Target="../ctrlProps/ctrlProp136.xml"/><Relationship Id="rId175" Type="http://schemas.openxmlformats.org/officeDocument/2006/relationships/ctrlProp" Target="../ctrlProps/ctrlProp178.xml"/><Relationship Id="rId340" Type="http://schemas.openxmlformats.org/officeDocument/2006/relationships/ctrlProp" Target="../ctrlProps/ctrlProp343.xml"/><Relationship Id="rId578" Type="http://schemas.openxmlformats.org/officeDocument/2006/relationships/ctrlProp" Target="../ctrlProps/ctrlProp581.xml"/><Relationship Id="rId200" Type="http://schemas.openxmlformats.org/officeDocument/2006/relationships/ctrlProp" Target="../ctrlProps/ctrlProp203.xml"/><Relationship Id="rId382" Type="http://schemas.openxmlformats.org/officeDocument/2006/relationships/ctrlProp" Target="../ctrlProps/ctrlProp385.xml"/><Relationship Id="rId438" Type="http://schemas.openxmlformats.org/officeDocument/2006/relationships/ctrlProp" Target="../ctrlProps/ctrlProp441.xml"/><Relationship Id="rId603" Type="http://schemas.openxmlformats.org/officeDocument/2006/relationships/ctrlProp" Target="../ctrlProps/ctrlProp606.xml"/><Relationship Id="rId242" Type="http://schemas.openxmlformats.org/officeDocument/2006/relationships/ctrlProp" Target="../ctrlProps/ctrlProp245.xml"/><Relationship Id="rId284" Type="http://schemas.openxmlformats.org/officeDocument/2006/relationships/ctrlProp" Target="../ctrlProps/ctrlProp287.xml"/><Relationship Id="rId491" Type="http://schemas.openxmlformats.org/officeDocument/2006/relationships/ctrlProp" Target="../ctrlProps/ctrlProp494.xml"/><Relationship Id="rId505" Type="http://schemas.openxmlformats.org/officeDocument/2006/relationships/ctrlProp" Target="../ctrlProps/ctrlProp508.xml"/><Relationship Id="rId37" Type="http://schemas.openxmlformats.org/officeDocument/2006/relationships/ctrlProp" Target="../ctrlProps/ctrlProp40.xml"/><Relationship Id="rId79" Type="http://schemas.openxmlformats.org/officeDocument/2006/relationships/ctrlProp" Target="../ctrlProps/ctrlProp82.xml"/><Relationship Id="rId102" Type="http://schemas.openxmlformats.org/officeDocument/2006/relationships/ctrlProp" Target="../ctrlProps/ctrlProp105.xml"/><Relationship Id="rId144" Type="http://schemas.openxmlformats.org/officeDocument/2006/relationships/ctrlProp" Target="../ctrlProps/ctrlProp147.xml"/><Relationship Id="rId547" Type="http://schemas.openxmlformats.org/officeDocument/2006/relationships/ctrlProp" Target="../ctrlProps/ctrlProp550.xml"/><Relationship Id="rId589" Type="http://schemas.openxmlformats.org/officeDocument/2006/relationships/ctrlProp" Target="../ctrlProps/ctrlProp592.xml"/><Relationship Id="rId90" Type="http://schemas.openxmlformats.org/officeDocument/2006/relationships/ctrlProp" Target="../ctrlProps/ctrlProp93.xml"/><Relationship Id="rId186" Type="http://schemas.openxmlformats.org/officeDocument/2006/relationships/ctrlProp" Target="../ctrlProps/ctrlProp189.xml"/><Relationship Id="rId351" Type="http://schemas.openxmlformats.org/officeDocument/2006/relationships/ctrlProp" Target="../ctrlProps/ctrlProp354.xml"/><Relationship Id="rId393" Type="http://schemas.openxmlformats.org/officeDocument/2006/relationships/ctrlProp" Target="../ctrlProps/ctrlProp396.xml"/><Relationship Id="rId407" Type="http://schemas.openxmlformats.org/officeDocument/2006/relationships/ctrlProp" Target="../ctrlProps/ctrlProp410.xml"/><Relationship Id="rId449" Type="http://schemas.openxmlformats.org/officeDocument/2006/relationships/ctrlProp" Target="../ctrlProps/ctrlProp452.xml"/><Relationship Id="rId614" Type="http://schemas.openxmlformats.org/officeDocument/2006/relationships/ctrlProp" Target="../ctrlProps/ctrlProp617.xml"/><Relationship Id="rId211" Type="http://schemas.openxmlformats.org/officeDocument/2006/relationships/ctrlProp" Target="../ctrlProps/ctrlProp214.xml"/><Relationship Id="rId253" Type="http://schemas.openxmlformats.org/officeDocument/2006/relationships/ctrlProp" Target="../ctrlProps/ctrlProp256.xml"/><Relationship Id="rId295" Type="http://schemas.openxmlformats.org/officeDocument/2006/relationships/ctrlProp" Target="../ctrlProps/ctrlProp298.xml"/><Relationship Id="rId309" Type="http://schemas.openxmlformats.org/officeDocument/2006/relationships/ctrlProp" Target="../ctrlProps/ctrlProp312.xml"/><Relationship Id="rId460" Type="http://schemas.openxmlformats.org/officeDocument/2006/relationships/ctrlProp" Target="../ctrlProps/ctrlProp463.xml"/><Relationship Id="rId516" Type="http://schemas.openxmlformats.org/officeDocument/2006/relationships/ctrlProp" Target="../ctrlProps/ctrlProp519.xml"/><Relationship Id="rId48" Type="http://schemas.openxmlformats.org/officeDocument/2006/relationships/ctrlProp" Target="../ctrlProps/ctrlProp51.xml"/><Relationship Id="rId113" Type="http://schemas.openxmlformats.org/officeDocument/2006/relationships/ctrlProp" Target="../ctrlProps/ctrlProp116.xml"/><Relationship Id="rId320" Type="http://schemas.openxmlformats.org/officeDocument/2006/relationships/ctrlProp" Target="../ctrlProps/ctrlProp323.xml"/><Relationship Id="rId558" Type="http://schemas.openxmlformats.org/officeDocument/2006/relationships/ctrlProp" Target="../ctrlProps/ctrlProp561.xml"/><Relationship Id="rId155" Type="http://schemas.openxmlformats.org/officeDocument/2006/relationships/ctrlProp" Target="../ctrlProps/ctrlProp158.xml"/><Relationship Id="rId197" Type="http://schemas.openxmlformats.org/officeDocument/2006/relationships/ctrlProp" Target="../ctrlProps/ctrlProp200.xml"/><Relationship Id="rId362" Type="http://schemas.openxmlformats.org/officeDocument/2006/relationships/ctrlProp" Target="../ctrlProps/ctrlProp365.xml"/><Relationship Id="rId418" Type="http://schemas.openxmlformats.org/officeDocument/2006/relationships/ctrlProp" Target="../ctrlProps/ctrlProp421.xml"/><Relationship Id="rId222" Type="http://schemas.openxmlformats.org/officeDocument/2006/relationships/ctrlProp" Target="../ctrlProps/ctrlProp225.xml"/><Relationship Id="rId264" Type="http://schemas.openxmlformats.org/officeDocument/2006/relationships/ctrlProp" Target="../ctrlProps/ctrlProp267.xml"/><Relationship Id="rId471" Type="http://schemas.openxmlformats.org/officeDocument/2006/relationships/ctrlProp" Target="../ctrlProps/ctrlProp474.xml"/><Relationship Id="rId17" Type="http://schemas.openxmlformats.org/officeDocument/2006/relationships/ctrlProp" Target="../ctrlProps/ctrlProp20.xml"/><Relationship Id="rId59" Type="http://schemas.openxmlformats.org/officeDocument/2006/relationships/ctrlProp" Target="../ctrlProps/ctrlProp62.xml"/><Relationship Id="rId124" Type="http://schemas.openxmlformats.org/officeDocument/2006/relationships/ctrlProp" Target="../ctrlProps/ctrlProp127.xml"/><Relationship Id="rId527" Type="http://schemas.openxmlformats.org/officeDocument/2006/relationships/ctrlProp" Target="../ctrlProps/ctrlProp530.xml"/><Relationship Id="rId569" Type="http://schemas.openxmlformats.org/officeDocument/2006/relationships/ctrlProp" Target="../ctrlProps/ctrlProp572.xml"/><Relationship Id="rId70" Type="http://schemas.openxmlformats.org/officeDocument/2006/relationships/ctrlProp" Target="../ctrlProps/ctrlProp73.xml"/><Relationship Id="rId166" Type="http://schemas.openxmlformats.org/officeDocument/2006/relationships/ctrlProp" Target="../ctrlProps/ctrlProp169.xml"/><Relationship Id="rId331" Type="http://schemas.openxmlformats.org/officeDocument/2006/relationships/ctrlProp" Target="../ctrlProps/ctrlProp334.xml"/><Relationship Id="rId373" Type="http://schemas.openxmlformats.org/officeDocument/2006/relationships/ctrlProp" Target="../ctrlProps/ctrlProp376.xml"/><Relationship Id="rId429" Type="http://schemas.openxmlformats.org/officeDocument/2006/relationships/ctrlProp" Target="../ctrlProps/ctrlProp432.xml"/><Relationship Id="rId580" Type="http://schemas.openxmlformats.org/officeDocument/2006/relationships/ctrlProp" Target="../ctrlProps/ctrlProp583.xml"/><Relationship Id="rId1" Type="http://schemas.openxmlformats.org/officeDocument/2006/relationships/drawing" Target="../drawings/drawing6.xml"/><Relationship Id="rId233" Type="http://schemas.openxmlformats.org/officeDocument/2006/relationships/ctrlProp" Target="../ctrlProps/ctrlProp236.xml"/><Relationship Id="rId440" Type="http://schemas.openxmlformats.org/officeDocument/2006/relationships/ctrlProp" Target="../ctrlProps/ctrlProp443.xml"/><Relationship Id="rId28" Type="http://schemas.openxmlformats.org/officeDocument/2006/relationships/ctrlProp" Target="../ctrlProps/ctrlProp31.xml"/><Relationship Id="rId275" Type="http://schemas.openxmlformats.org/officeDocument/2006/relationships/ctrlProp" Target="../ctrlProps/ctrlProp278.xml"/><Relationship Id="rId300" Type="http://schemas.openxmlformats.org/officeDocument/2006/relationships/ctrlProp" Target="../ctrlProps/ctrlProp303.xml"/><Relationship Id="rId482" Type="http://schemas.openxmlformats.org/officeDocument/2006/relationships/ctrlProp" Target="../ctrlProps/ctrlProp485.xml"/><Relationship Id="rId538" Type="http://schemas.openxmlformats.org/officeDocument/2006/relationships/ctrlProp" Target="../ctrlProps/ctrlProp541.xml"/><Relationship Id="rId81" Type="http://schemas.openxmlformats.org/officeDocument/2006/relationships/ctrlProp" Target="../ctrlProps/ctrlProp84.xml"/><Relationship Id="rId135" Type="http://schemas.openxmlformats.org/officeDocument/2006/relationships/ctrlProp" Target="../ctrlProps/ctrlProp138.xml"/><Relationship Id="rId177" Type="http://schemas.openxmlformats.org/officeDocument/2006/relationships/ctrlProp" Target="../ctrlProps/ctrlProp180.xml"/><Relationship Id="rId342" Type="http://schemas.openxmlformats.org/officeDocument/2006/relationships/ctrlProp" Target="../ctrlProps/ctrlProp345.xml"/><Relationship Id="rId384" Type="http://schemas.openxmlformats.org/officeDocument/2006/relationships/ctrlProp" Target="../ctrlProps/ctrlProp387.xml"/><Relationship Id="rId591" Type="http://schemas.openxmlformats.org/officeDocument/2006/relationships/ctrlProp" Target="../ctrlProps/ctrlProp594.xml"/><Relationship Id="rId605" Type="http://schemas.openxmlformats.org/officeDocument/2006/relationships/ctrlProp" Target="../ctrlProps/ctrlProp608.xml"/><Relationship Id="rId202" Type="http://schemas.openxmlformats.org/officeDocument/2006/relationships/ctrlProp" Target="../ctrlProps/ctrlProp205.xml"/><Relationship Id="rId244" Type="http://schemas.openxmlformats.org/officeDocument/2006/relationships/ctrlProp" Target="../ctrlProps/ctrlProp247.xml"/><Relationship Id="rId39" Type="http://schemas.openxmlformats.org/officeDocument/2006/relationships/ctrlProp" Target="../ctrlProps/ctrlProp42.xml"/><Relationship Id="rId286" Type="http://schemas.openxmlformats.org/officeDocument/2006/relationships/ctrlProp" Target="../ctrlProps/ctrlProp289.xml"/><Relationship Id="rId451" Type="http://schemas.openxmlformats.org/officeDocument/2006/relationships/ctrlProp" Target="../ctrlProps/ctrlProp454.xml"/><Relationship Id="rId493" Type="http://schemas.openxmlformats.org/officeDocument/2006/relationships/ctrlProp" Target="../ctrlProps/ctrlProp496.xml"/><Relationship Id="rId507" Type="http://schemas.openxmlformats.org/officeDocument/2006/relationships/ctrlProp" Target="../ctrlProps/ctrlProp510.xml"/><Relationship Id="rId549" Type="http://schemas.openxmlformats.org/officeDocument/2006/relationships/ctrlProp" Target="../ctrlProps/ctrlProp552.xml"/><Relationship Id="rId50" Type="http://schemas.openxmlformats.org/officeDocument/2006/relationships/ctrlProp" Target="../ctrlProps/ctrlProp53.xml"/><Relationship Id="rId104" Type="http://schemas.openxmlformats.org/officeDocument/2006/relationships/ctrlProp" Target="../ctrlProps/ctrlProp107.xml"/><Relationship Id="rId146" Type="http://schemas.openxmlformats.org/officeDocument/2006/relationships/ctrlProp" Target="../ctrlProps/ctrlProp149.xml"/><Relationship Id="rId188" Type="http://schemas.openxmlformats.org/officeDocument/2006/relationships/ctrlProp" Target="../ctrlProps/ctrlProp191.xml"/><Relationship Id="rId311" Type="http://schemas.openxmlformats.org/officeDocument/2006/relationships/ctrlProp" Target="../ctrlProps/ctrlProp314.xml"/><Relationship Id="rId353" Type="http://schemas.openxmlformats.org/officeDocument/2006/relationships/ctrlProp" Target="../ctrlProps/ctrlProp356.xml"/><Relationship Id="rId395" Type="http://schemas.openxmlformats.org/officeDocument/2006/relationships/ctrlProp" Target="../ctrlProps/ctrlProp398.xml"/><Relationship Id="rId409" Type="http://schemas.openxmlformats.org/officeDocument/2006/relationships/ctrlProp" Target="../ctrlProps/ctrlProp412.xml"/><Relationship Id="rId560" Type="http://schemas.openxmlformats.org/officeDocument/2006/relationships/ctrlProp" Target="../ctrlProps/ctrlProp563.xml"/><Relationship Id="rId92" Type="http://schemas.openxmlformats.org/officeDocument/2006/relationships/ctrlProp" Target="../ctrlProps/ctrlProp95.xml"/><Relationship Id="rId213" Type="http://schemas.openxmlformats.org/officeDocument/2006/relationships/ctrlProp" Target="../ctrlProps/ctrlProp216.xml"/><Relationship Id="rId420" Type="http://schemas.openxmlformats.org/officeDocument/2006/relationships/ctrlProp" Target="../ctrlProps/ctrlProp423.xml"/><Relationship Id="rId616" Type="http://schemas.openxmlformats.org/officeDocument/2006/relationships/ctrlProp" Target="../ctrlProps/ctrlProp619.xml"/><Relationship Id="rId255" Type="http://schemas.openxmlformats.org/officeDocument/2006/relationships/ctrlProp" Target="../ctrlProps/ctrlProp258.xml"/><Relationship Id="rId297" Type="http://schemas.openxmlformats.org/officeDocument/2006/relationships/ctrlProp" Target="../ctrlProps/ctrlProp300.xml"/><Relationship Id="rId462" Type="http://schemas.openxmlformats.org/officeDocument/2006/relationships/ctrlProp" Target="../ctrlProps/ctrlProp465.xml"/><Relationship Id="rId518" Type="http://schemas.openxmlformats.org/officeDocument/2006/relationships/ctrlProp" Target="../ctrlProps/ctrlProp521.xml"/><Relationship Id="rId115" Type="http://schemas.openxmlformats.org/officeDocument/2006/relationships/ctrlProp" Target="../ctrlProps/ctrlProp118.xml"/><Relationship Id="rId157" Type="http://schemas.openxmlformats.org/officeDocument/2006/relationships/ctrlProp" Target="../ctrlProps/ctrlProp160.xml"/><Relationship Id="rId322" Type="http://schemas.openxmlformats.org/officeDocument/2006/relationships/ctrlProp" Target="../ctrlProps/ctrlProp325.xml"/><Relationship Id="rId364" Type="http://schemas.openxmlformats.org/officeDocument/2006/relationships/ctrlProp" Target="../ctrlProps/ctrlProp367.xml"/><Relationship Id="rId61" Type="http://schemas.openxmlformats.org/officeDocument/2006/relationships/ctrlProp" Target="../ctrlProps/ctrlProp64.xml"/><Relationship Id="rId199" Type="http://schemas.openxmlformats.org/officeDocument/2006/relationships/ctrlProp" Target="../ctrlProps/ctrlProp202.xml"/><Relationship Id="rId571" Type="http://schemas.openxmlformats.org/officeDocument/2006/relationships/ctrlProp" Target="../ctrlProps/ctrlProp574.xml"/><Relationship Id="rId19" Type="http://schemas.openxmlformats.org/officeDocument/2006/relationships/ctrlProp" Target="../ctrlProps/ctrlProp22.xml"/><Relationship Id="rId224" Type="http://schemas.openxmlformats.org/officeDocument/2006/relationships/ctrlProp" Target="../ctrlProps/ctrlProp227.xml"/><Relationship Id="rId266" Type="http://schemas.openxmlformats.org/officeDocument/2006/relationships/ctrlProp" Target="../ctrlProps/ctrlProp269.xml"/><Relationship Id="rId431" Type="http://schemas.openxmlformats.org/officeDocument/2006/relationships/ctrlProp" Target="../ctrlProps/ctrlProp434.xml"/><Relationship Id="rId473" Type="http://schemas.openxmlformats.org/officeDocument/2006/relationships/ctrlProp" Target="../ctrlProps/ctrlProp476.xml"/><Relationship Id="rId529" Type="http://schemas.openxmlformats.org/officeDocument/2006/relationships/ctrlProp" Target="../ctrlProps/ctrlProp532.xml"/><Relationship Id="rId30" Type="http://schemas.openxmlformats.org/officeDocument/2006/relationships/ctrlProp" Target="../ctrlProps/ctrlProp33.xml"/><Relationship Id="rId126" Type="http://schemas.openxmlformats.org/officeDocument/2006/relationships/ctrlProp" Target="../ctrlProps/ctrlProp129.xml"/><Relationship Id="rId168" Type="http://schemas.openxmlformats.org/officeDocument/2006/relationships/ctrlProp" Target="../ctrlProps/ctrlProp171.xml"/><Relationship Id="rId333" Type="http://schemas.openxmlformats.org/officeDocument/2006/relationships/ctrlProp" Target="../ctrlProps/ctrlProp336.xml"/><Relationship Id="rId540" Type="http://schemas.openxmlformats.org/officeDocument/2006/relationships/ctrlProp" Target="../ctrlProps/ctrlProp543.xml"/><Relationship Id="rId72" Type="http://schemas.openxmlformats.org/officeDocument/2006/relationships/ctrlProp" Target="../ctrlProps/ctrlProp75.xml"/><Relationship Id="rId375" Type="http://schemas.openxmlformats.org/officeDocument/2006/relationships/ctrlProp" Target="../ctrlProps/ctrlProp378.xml"/><Relationship Id="rId582" Type="http://schemas.openxmlformats.org/officeDocument/2006/relationships/ctrlProp" Target="../ctrlProps/ctrlProp585.xml"/><Relationship Id="rId3" Type="http://schemas.openxmlformats.org/officeDocument/2006/relationships/ctrlProp" Target="../ctrlProps/ctrlProp6.xml"/><Relationship Id="rId235" Type="http://schemas.openxmlformats.org/officeDocument/2006/relationships/ctrlProp" Target="../ctrlProps/ctrlProp238.xml"/><Relationship Id="rId277" Type="http://schemas.openxmlformats.org/officeDocument/2006/relationships/ctrlProp" Target="../ctrlProps/ctrlProp280.xml"/><Relationship Id="rId400" Type="http://schemas.openxmlformats.org/officeDocument/2006/relationships/ctrlProp" Target="../ctrlProps/ctrlProp403.xml"/><Relationship Id="rId442" Type="http://schemas.openxmlformats.org/officeDocument/2006/relationships/ctrlProp" Target="../ctrlProps/ctrlProp445.xml"/><Relationship Id="rId484" Type="http://schemas.openxmlformats.org/officeDocument/2006/relationships/ctrlProp" Target="../ctrlProps/ctrlProp487.xml"/><Relationship Id="rId137" Type="http://schemas.openxmlformats.org/officeDocument/2006/relationships/ctrlProp" Target="../ctrlProps/ctrlProp140.xml"/><Relationship Id="rId302" Type="http://schemas.openxmlformats.org/officeDocument/2006/relationships/ctrlProp" Target="../ctrlProps/ctrlProp305.xml"/><Relationship Id="rId344" Type="http://schemas.openxmlformats.org/officeDocument/2006/relationships/ctrlProp" Target="../ctrlProps/ctrlProp347.xml"/><Relationship Id="rId41" Type="http://schemas.openxmlformats.org/officeDocument/2006/relationships/ctrlProp" Target="../ctrlProps/ctrlProp44.xml"/><Relationship Id="rId83" Type="http://schemas.openxmlformats.org/officeDocument/2006/relationships/ctrlProp" Target="../ctrlProps/ctrlProp86.xml"/><Relationship Id="rId179" Type="http://schemas.openxmlformats.org/officeDocument/2006/relationships/ctrlProp" Target="../ctrlProps/ctrlProp182.xml"/><Relationship Id="rId386" Type="http://schemas.openxmlformats.org/officeDocument/2006/relationships/ctrlProp" Target="../ctrlProps/ctrlProp389.xml"/><Relationship Id="rId551" Type="http://schemas.openxmlformats.org/officeDocument/2006/relationships/ctrlProp" Target="../ctrlProps/ctrlProp554.xml"/><Relationship Id="rId593" Type="http://schemas.openxmlformats.org/officeDocument/2006/relationships/ctrlProp" Target="../ctrlProps/ctrlProp596.xml"/><Relationship Id="rId607" Type="http://schemas.openxmlformats.org/officeDocument/2006/relationships/ctrlProp" Target="../ctrlProps/ctrlProp610.xml"/><Relationship Id="rId190" Type="http://schemas.openxmlformats.org/officeDocument/2006/relationships/ctrlProp" Target="../ctrlProps/ctrlProp193.xml"/><Relationship Id="rId204" Type="http://schemas.openxmlformats.org/officeDocument/2006/relationships/ctrlProp" Target="../ctrlProps/ctrlProp207.xml"/><Relationship Id="rId246" Type="http://schemas.openxmlformats.org/officeDocument/2006/relationships/ctrlProp" Target="../ctrlProps/ctrlProp249.xml"/><Relationship Id="rId288" Type="http://schemas.openxmlformats.org/officeDocument/2006/relationships/ctrlProp" Target="../ctrlProps/ctrlProp291.xml"/><Relationship Id="rId411" Type="http://schemas.openxmlformats.org/officeDocument/2006/relationships/ctrlProp" Target="../ctrlProps/ctrlProp414.xml"/><Relationship Id="rId453" Type="http://schemas.openxmlformats.org/officeDocument/2006/relationships/ctrlProp" Target="../ctrlProps/ctrlProp456.xml"/><Relationship Id="rId509" Type="http://schemas.openxmlformats.org/officeDocument/2006/relationships/ctrlProp" Target="../ctrlProps/ctrlProp512.xml"/><Relationship Id="rId106" Type="http://schemas.openxmlformats.org/officeDocument/2006/relationships/ctrlProp" Target="../ctrlProps/ctrlProp109.xml"/><Relationship Id="rId313" Type="http://schemas.openxmlformats.org/officeDocument/2006/relationships/ctrlProp" Target="../ctrlProps/ctrlProp316.xml"/><Relationship Id="rId495" Type="http://schemas.openxmlformats.org/officeDocument/2006/relationships/ctrlProp" Target="../ctrlProps/ctrlProp498.xml"/><Relationship Id="rId10" Type="http://schemas.openxmlformats.org/officeDocument/2006/relationships/ctrlProp" Target="../ctrlProps/ctrlProp13.xml"/><Relationship Id="rId52" Type="http://schemas.openxmlformats.org/officeDocument/2006/relationships/ctrlProp" Target="../ctrlProps/ctrlProp55.xml"/><Relationship Id="rId94" Type="http://schemas.openxmlformats.org/officeDocument/2006/relationships/ctrlProp" Target="../ctrlProps/ctrlProp97.xml"/><Relationship Id="rId148" Type="http://schemas.openxmlformats.org/officeDocument/2006/relationships/ctrlProp" Target="../ctrlProps/ctrlProp151.xml"/><Relationship Id="rId355" Type="http://schemas.openxmlformats.org/officeDocument/2006/relationships/ctrlProp" Target="../ctrlProps/ctrlProp358.xml"/><Relationship Id="rId397" Type="http://schemas.openxmlformats.org/officeDocument/2006/relationships/ctrlProp" Target="../ctrlProps/ctrlProp400.xml"/><Relationship Id="rId520" Type="http://schemas.openxmlformats.org/officeDocument/2006/relationships/ctrlProp" Target="../ctrlProps/ctrlProp523.xml"/><Relationship Id="rId562" Type="http://schemas.openxmlformats.org/officeDocument/2006/relationships/ctrlProp" Target="../ctrlProps/ctrlProp565.xml"/><Relationship Id="rId618" Type="http://schemas.openxmlformats.org/officeDocument/2006/relationships/ctrlProp" Target="../ctrlProps/ctrlProp621.xml"/><Relationship Id="rId215" Type="http://schemas.openxmlformats.org/officeDocument/2006/relationships/ctrlProp" Target="../ctrlProps/ctrlProp218.xml"/><Relationship Id="rId257" Type="http://schemas.openxmlformats.org/officeDocument/2006/relationships/ctrlProp" Target="../ctrlProps/ctrlProp260.xml"/><Relationship Id="rId422" Type="http://schemas.openxmlformats.org/officeDocument/2006/relationships/ctrlProp" Target="../ctrlProps/ctrlProp425.xml"/><Relationship Id="rId464" Type="http://schemas.openxmlformats.org/officeDocument/2006/relationships/ctrlProp" Target="../ctrlProps/ctrlProp467.xml"/><Relationship Id="rId299" Type="http://schemas.openxmlformats.org/officeDocument/2006/relationships/ctrlProp" Target="../ctrlProps/ctrlProp302.xml"/><Relationship Id="rId63" Type="http://schemas.openxmlformats.org/officeDocument/2006/relationships/ctrlProp" Target="../ctrlProps/ctrlProp66.xml"/><Relationship Id="rId159" Type="http://schemas.openxmlformats.org/officeDocument/2006/relationships/ctrlProp" Target="../ctrlProps/ctrlProp162.xml"/><Relationship Id="rId366" Type="http://schemas.openxmlformats.org/officeDocument/2006/relationships/ctrlProp" Target="../ctrlProps/ctrlProp369.xml"/><Relationship Id="rId573" Type="http://schemas.openxmlformats.org/officeDocument/2006/relationships/ctrlProp" Target="../ctrlProps/ctrlProp576.xml"/><Relationship Id="rId226" Type="http://schemas.openxmlformats.org/officeDocument/2006/relationships/ctrlProp" Target="../ctrlProps/ctrlProp229.xml"/><Relationship Id="rId433" Type="http://schemas.openxmlformats.org/officeDocument/2006/relationships/ctrlProp" Target="../ctrlProps/ctrlProp436.xml"/><Relationship Id="rId74" Type="http://schemas.openxmlformats.org/officeDocument/2006/relationships/ctrlProp" Target="../ctrlProps/ctrlProp77.xml"/><Relationship Id="rId377" Type="http://schemas.openxmlformats.org/officeDocument/2006/relationships/ctrlProp" Target="../ctrlProps/ctrlProp380.xml"/><Relationship Id="rId500" Type="http://schemas.openxmlformats.org/officeDocument/2006/relationships/ctrlProp" Target="../ctrlProps/ctrlProp503.xml"/><Relationship Id="rId584" Type="http://schemas.openxmlformats.org/officeDocument/2006/relationships/ctrlProp" Target="../ctrlProps/ctrlProp587.xml"/><Relationship Id="rId5" Type="http://schemas.openxmlformats.org/officeDocument/2006/relationships/ctrlProp" Target="../ctrlProps/ctrlProp8.xml"/><Relationship Id="rId237" Type="http://schemas.openxmlformats.org/officeDocument/2006/relationships/ctrlProp" Target="../ctrlProps/ctrlProp240.xml"/><Relationship Id="rId444" Type="http://schemas.openxmlformats.org/officeDocument/2006/relationships/ctrlProp" Target="../ctrlProps/ctrlProp447.xml"/><Relationship Id="rId290" Type="http://schemas.openxmlformats.org/officeDocument/2006/relationships/ctrlProp" Target="../ctrlProps/ctrlProp293.xml"/><Relationship Id="rId304" Type="http://schemas.openxmlformats.org/officeDocument/2006/relationships/ctrlProp" Target="../ctrlProps/ctrlProp307.xml"/><Relationship Id="rId388" Type="http://schemas.openxmlformats.org/officeDocument/2006/relationships/ctrlProp" Target="../ctrlProps/ctrlProp391.xml"/><Relationship Id="rId511" Type="http://schemas.openxmlformats.org/officeDocument/2006/relationships/ctrlProp" Target="../ctrlProps/ctrlProp514.xml"/><Relationship Id="rId609" Type="http://schemas.openxmlformats.org/officeDocument/2006/relationships/ctrlProp" Target="../ctrlProps/ctrlProp612.xml"/><Relationship Id="rId85" Type="http://schemas.openxmlformats.org/officeDocument/2006/relationships/ctrlProp" Target="../ctrlProps/ctrlProp88.xml"/><Relationship Id="rId150" Type="http://schemas.openxmlformats.org/officeDocument/2006/relationships/ctrlProp" Target="../ctrlProps/ctrlProp153.xml"/><Relationship Id="rId595" Type="http://schemas.openxmlformats.org/officeDocument/2006/relationships/ctrlProp" Target="../ctrlProps/ctrlProp598.xml"/><Relationship Id="rId248" Type="http://schemas.openxmlformats.org/officeDocument/2006/relationships/ctrlProp" Target="../ctrlProps/ctrlProp251.xml"/><Relationship Id="rId455" Type="http://schemas.openxmlformats.org/officeDocument/2006/relationships/ctrlProp" Target="../ctrlProps/ctrlProp458.xml"/><Relationship Id="rId12" Type="http://schemas.openxmlformats.org/officeDocument/2006/relationships/ctrlProp" Target="../ctrlProps/ctrlProp15.xml"/><Relationship Id="rId108" Type="http://schemas.openxmlformats.org/officeDocument/2006/relationships/ctrlProp" Target="../ctrlProps/ctrlProp111.xml"/><Relationship Id="rId315" Type="http://schemas.openxmlformats.org/officeDocument/2006/relationships/ctrlProp" Target="../ctrlProps/ctrlProp318.xml"/><Relationship Id="rId522" Type="http://schemas.openxmlformats.org/officeDocument/2006/relationships/ctrlProp" Target="../ctrlProps/ctrlProp525.xml"/><Relationship Id="rId96" Type="http://schemas.openxmlformats.org/officeDocument/2006/relationships/ctrlProp" Target="../ctrlProps/ctrlProp99.xml"/><Relationship Id="rId161" Type="http://schemas.openxmlformats.org/officeDocument/2006/relationships/ctrlProp" Target="../ctrlProps/ctrlProp164.xml"/><Relationship Id="rId399" Type="http://schemas.openxmlformats.org/officeDocument/2006/relationships/ctrlProp" Target="../ctrlProps/ctrlProp402.xml"/><Relationship Id="rId259" Type="http://schemas.openxmlformats.org/officeDocument/2006/relationships/ctrlProp" Target="../ctrlProps/ctrlProp262.xml"/><Relationship Id="rId466" Type="http://schemas.openxmlformats.org/officeDocument/2006/relationships/ctrlProp" Target="../ctrlProps/ctrlProp469.xml"/><Relationship Id="rId23" Type="http://schemas.openxmlformats.org/officeDocument/2006/relationships/ctrlProp" Target="../ctrlProps/ctrlProp26.xml"/><Relationship Id="rId119" Type="http://schemas.openxmlformats.org/officeDocument/2006/relationships/ctrlProp" Target="../ctrlProps/ctrlProp122.xml"/><Relationship Id="rId326" Type="http://schemas.openxmlformats.org/officeDocument/2006/relationships/ctrlProp" Target="../ctrlProps/ctrlProp329.xml"/><Relationship Id="rId533" Type="http://schemas.openxmlformats.org/officeDocument/2006/relationships/ctrlProp" Target="../ctrlProps/ctrlProp536.xml"/><Relationship Id="rId172" Type="http://schemas.openxmlformats.org/officeDocument/2006/relationships/ctrlProp" Target="../ctrlProps/ctrlProp175.xml"/><Relationship Id="rId477" Type="http://schemas.openxmlformats.org/officeDocument/2006/relationships/ctrlProp" Target="../ctrlProps/ctrlProp480.xml"/><Relationship Id="rId600" Type="http://schemas.openxmlformats.org/officeDocument/2006/relationships/ctrlProp" Target="../ctrlProps/ctrlProp603.xml"/><Relationship Id="rId337" Type="http://schemas.openxmlformats.org/officeDocument/2006/relationships/ctrlProp" Target="../ctrlProps/ctrlProp340.xml"/><Relationship Id="rId34" Type="http://schemas.openxmlformats.org/officeDocument/2006/relationships/ctrlProp" Target="../ctrlProps/ctrlProp37.xml"/><Relationship Id="rId544" Type="http://schemas.openxmlformats.org/officeDocument/2006/relationships/ctrlProp" Target="../ctrlProps/ctrlProp547.xml"/><Relationship Id="rId183" Type="http://schemas.openxmlformats.org/officeDocument/2006/relationships/ctrlProp" Target="../ctrlProps/ctrlProp186.xml"/><Relationship Id="rId390" Type="http://schemas.openxmlformats.org/officeDocument/2006/relationships/ctrlProp" Target="../ctrlProps/ctrlProp393.xml"/><Relationship Id="rId404" Type="http://schemas.openxmlformats.org/officeDocument/2006/relationships/ctrlProp" Target="../ctrlProps/ctrlProp407.xml"/><Relationship Id="rId611" Type="http://schemas.openxmlformats.org/officeDocument/2006/relationships/ctrlProp" Target="../ctrlProps/ctrlProp614.xml"/><Relationship Id="rId250" Type="http://schemas.openxmlformats.org/officeDocument/2006/relationships/ctrlProp" Target="../ctrlProps/ctrlProp253.xml"/><Relationship Id="rId488" Type="http://schemas.openxmlformats.org/officeDocument/2006/relationships/ctrlProp" Target="../ctrlProps/ctrlProp491.xml"/><Relationship Id="rId45" Type="http://schemas.openxmlformats.org/officeDocument/2006/relationships/ctrlProp" Target="../ctrlProps/ctrlProp48.xml"/><Relationship Id="rId110" Type="http://schemas.openxmlformats.org/officeDocument/2006/relationships/ctrlProp" Target="../ctrlProps/ctrlProp113.xml"/><Relationship Id="rId348" Type="http://schemas.openxmlformats.org/officeDocument/2006/relationships/ctrlProp" Target="../ctrlProps/ctrlProp351.xml"/><Relationship Id="rId555" Type="http://schemas.openxmlformats.org/officeDocument/2006/relationships/ctrlProp" Target="../ctrlProps/ctrlProp558.xml"/><Relationship Id="rId194" Type="http://schemas.openxmlformats.org/officeDocument/2006/relationships/ctrlProp" Target="../ctrlProps/ctrlProp197.xml"/><Relationship Id="rId208" Type="http://schemas.openxmlformats.org/officeDocument/2006/relationships/ctrlProp" Target="../ctrlProps/ctrlProp211.xml"/><Relationship Id="rId415" Type="http://schemas.openxmlformats.org/officeDocument/2006/relationships/ctrlProp" Target="../ctrlProps/ctrlProp418.xml"/><Relationship Id="rId261" Type="http://schemas.openxmlformats.org/officeDocument/2006/relationships/ctrlProp" Target="../ctrlProps/ctrlProp264.xml"/><Relationship Id="rId499" Type="http://schemas.openxmlformats.org/officeDocument/2006/relationships/ctrlProp" Target="../ctrlProps/ctrlProp502.xml"/><Relationship Id="rId56" Type="http://schemas.openxmlformats.org/officeDocument/2006/relationships/ctrlProp" Target="../ctrlProps/ctrlProp59.xml"/><Relationship Id="rId359" Type="http://schemas.openxmlformats.org/officeDocument/2006/relationships/ctrlProp" Target="../ctrlProps/ctrlProp362.xml"/><Relationship Id="rId566" Type="http://schemas.openxmlformats.org/officeDocument/2006/relationships/ctrlProp" Target="../ctrlProps/ctrlProp569.xml"/><Relationship Id="rId121" Type="http://schemas.openxmlformats.org/officeDocument/2006/relationships/ctrlProp" Target="../ctrlProps/ctrlProp124.xml"/><Relationship Id="rId219" Type="http://schemas.openxmlformats.org/officeDocument/2006/relationships/ctrlProp" Target="../ctrlProps/ctrlProp222.xml"/><Relationship Id="rId426" Type="http://schemas.openxmlformats.org/officeDocument/2006/relationships/ctrlProp" Target="../ctrlProps/ctrlProp429.xml"/><Relationship Id="rId67" Type="http://schemas.openxmlformats.org/officeDocument/2006/relationships/ctrlProp" Target="../ctrlProps/ctrlProp70.xml"/><Relationship Id="rId272" Type="http://schemas.openxmlformats.org/officeDocument/2006/relationships/ctrlProp" Target="../ctrlProps/ctrlProp275.xml"/><Relationship Id="rId577" Type="http://schemas.openxmlformats.org/officeDocument/2006/relationships/ctrlProp" Target="../ctrlProps/ctrlProp58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F3A6D-CF57-4F59-BFBF-FB586D6F5F55}">
  <sheetPr codeName="Лист5"/>
  <dimension ref="A1:AB1036"/>
  <sheetViews>
    <sheetView zoomScaleNormal="100" workbookViewId="0">
      <selection activeCell="B39" sqref="B39"/>
    </sheetView>
  </sheetViews>
  <sheetFormatPr defaultRowHeight="11.1" customHeight="1" x14ac:dyDescent="0.25"/>
  <cols>
    <col min="1" max="1" width="8.42578125" style="93" customWidth="1"/>
    <col min="2" max="2" width="7.85546875" style="6" customWidth="1"/>
    <col min="3" max="3" width="7" style="16" bestFit="1" customWidth="1"/>
    <col min="4" max="5" width="5.28515625" style="16" customWidth="1"/>
    <col min="6" max="6" width="6.140625" style="16" customWidth="1"/>
    <col min="7" max="7" width="12.140625" style="16" customWidth="1"/>
    <col min="8" max="8" width="8.42578125" style="16" customWidth="1"/>
    <col min="9" max="9" width="9.140625" style="16"/>
    <col min="10" max="10" width="9.7109375" style="16" bestFit="1" customWidth="1"/>
    <col min="11" max="11" width="6.7109375" style="16" bestFit="1" customWidth="1"/>
    <col min="12" max="12" width="8.7109375" style="16" customWidth="1"/>
    <col min="13" max="13" width="26.140625" style="16" customWidth="1"/>
    <col min="14" max="16" width="4" style="16" customWidth="1"/>
    <col min="17" max="17" width="9.140625" style="16"/>
    <col min="18" max="18" width="9.42578125" style="16" customWidth="1"/>
    <col min="19" max="19" width="9.140625" style="16"/>
    <col min="20" max="20" width="5.140625" style="16" customWidth="1"/>
    <col min="21" max="21" width="7.7109375" style="16" customWidth="1"/>
    <col min="22" max="16384" width="9.140625" style="16"/>
  </cols>
  <sheetData>
    <row r="1" spans="1:5" ht="11.1" customHeight="1" x14ac:dyDescent="0.25">
      <c r="A1" s="96">
        <f>COUNT(B40:B99999)</f>
        <v>22</v>
      </c>
      <c r="B1" s="16"/>
      <c r="E1" s="16">
        <v>4.57</v>
      </c>
    </row>
    <row r="2" spans="1:5" ht="11.1" customHeight="1" x14ac:dyDescent="0.25">
      <c r="A2" s="96">
        <f>COUNT(C40:C99999)</f>
        <v>22</v>
      </c>
    </row>
    <row r="38" spans="1:28" ht="5.0999999999999996" customHeight="1" x14ac:dyDescent="0.25"/>
    <row r="39" spans="1:28" ht="15" x14ac:dyDescent="0.25">
      <c r="B39" s="56" t="s">
        <v>18</v>
      </c>
      <c r="C39" s="63" t="s">
        <v>17</v>
      </c>
      <c r="D39" s="64" t="s">
        <v>76</v>
      </c>
      <c r="E39" s="64" t="s">
        <v>77</v>
      </c>
      <c r="F39" s="63" t="s">
        <v>26</v>
      </c>
      <c r="G39" s="65" t="s">
        <v>25</v>
      </c>
      <c r="H39" s="65" t="s">
        <v>24</v>
      </c>
      <c r="I39" s="66" t="s">
        <v>5</v>
      </c>
      <c r="J39" s="67" t="s">
        <v>1</v>
      </c>
      <c r="K39" s="65" t="s">
        <v>16</v>
      </c>
      <c r="L39" s="65" t="s">
        <v>57</v>
      </c>
      <c r="M39" s="65" t="s">
        <v>3</v>
      </c>
      <c r="N39" s="65" t="s">
        <v>70</v>
      </c>
      <c r="O39" s="65" t="s">
        <v>64</v>
      </c>
      <c r="P39" s="65" t="s">
        <v>63</v>
      </c>
      <c r="Q39" s="65" t="s">
        <v>14</v>
      </c>
      <c r="R39" s="68" t="s">
        <v>6</v>
      </c>
      <c r="S39" s="65" t="s">
        <v>7</v>
      </c>
      <c r="T39" s="65" t="s">
        <v>67</v>
      </c>
      <c r="U39" s="65" t="s">
        <v>69</v>
      </c>
      <c r="V39" s="65" t="s">
        <v>59</v>
      </c>
      <c r="W39" s="68" t="s">
        <v>60</v>
      </c>
      <c r="X39" s="68" t="s">
        <v>61</v>
      </c>
      <c r="Y39" s="69" t="s">
        <v>8</v>
      </c>
      <c r="Z39" s="69" t="s">
        <v>62</v>
      </c>
      <c r="AA39" s="70" t="s">
        <v>58</v>
      </c>
      <c r="AB39" s="71" t="s">
        <v>105</v>
      </c>
    </row>
    <row r="40" spans="1:28" ht="11.1" customHeight="1" x14ac:dyDescent="0.25">
      <c r="A40" s="93">
        <f>A39+1</f>
        <v>1</v>
      </c>
      <c r="B40" s="48">
        <v>1</v>
      </c>
      <c r="C40" s="41">
        <f>IFERROR(VLOOKUP(B40,Baza[[№]:[Profit]],2,0),"")</f>
        <v>2021</v>
      </c>
      <c r="D4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11:00 $1,1 [PP] Bounty Hunter</v>
      </c>
      <c r="E4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$1,1 [PP] Bounty Hunter</v>
      </c>
      <c r="F40" s="43">
        <f>IFERROR(VLOOKUP(B40,Baza[[№]:[Profit]],3,0),"")</f>
        <v>1</v>
      </c>
      <c r="G40" s="43" t="str">
        <f>IFERROR(VLOOKUP(B40,Baza[[№]:[Profit]],4,0),"")</f>
        <v>пятница</v>
      </c>
      <c r="H40" s="43" t="str">
        <f>IFERROR(VLOOKUP(B40,Baza[[№]:[Profit]],5,0),"")</f>
        <v>январь</v>
      </c>
      <c r="I40" s="46">
        <f>IFERROR(VLOOKUP(B40,Baza[[№]:[Profit]],6,0),"")</f>
        <v>44197</v>
      </c>
      <c r="J40" s="49">
        <f>IFERROR(VLOOKUP(B40,Baza[[№]:[Profit]],7,0),"")</f>
        <v>0.45833333333333331</v>
      </c>
      <c r="K40" s="43">
        <f>IFERROR(VLOOKUP(B40,Baza[[№]:[Profit]],8,0),"")</f>
        <v>1.1000000000000001</v>
      </c>
      <c r="L40" s="43" t="str">
        <f>IFERROR(VLOOKUP(B40,Baza[[№]:[Profit]],9,0),"")</f>
        <v>PP</v>
      </c>
      <c r="M40" s="43" t="str">
        <f>IFERROR(VLOOKUP(B40,Baza[[№]:[Profit]],10,0),"")</f>
        <v>Bounty Hunter</v>
      </c>
      <c r="N40" s="43">
        <f>IFERROR(IF(VLOOKUP(B40,Baza[[№]:[Profit]],11,0)=0,"-",VLOOKUP(B40,Baza[[№]:[Profit]],11,0)),"")</f>
        <v>8</v>
      </c>
      <c r="O40" s="43" t="str">
        <f>IFERROR(IF(VLOOKUP(B40,Baza[[№]:[Profit]],12,0)=0,"-",VLOOKUP(B40,Baza[[№]:[Profit]],12,0)),"")</f>
        <v>-</v>
      </c>
      <c r="P40" s="43" t="str">
        <f>IFERROR(IF(VLOOKUP(B40,Baza[[№]:[Profit]],13,0)=0,"-",VLOOKUP(B40,Baza[[№]:[Profit]],13,0)),"")</f>
        <v>K</v>
      </c>
      <c r="Q40" s="43">
        <f>IFERROR(IF(VLOOKUP(B40,Baza[[№]:[Profit]],15,0)=0,"-",VLOOKUP(B40,Baza[[№]:[Profit]],15,0)),"")</f>
        <v>50</v>
      </c>
      <c r="R40" s="43" t="str">
        <f>IFERROR(IF(VLOOKUP(B40,Baza[[№]:[Profit]],16,0)=0,"-",VLOOKUP(B40,Baza[[№]:[Profit]],16,0)),"")</f>
        <v>-</v>
      </c>
      <c r="S40" s="43" t="str">
        <f>IFERROR(IF(VLOOKUP(B40,Baza[[№]:[Profit]],17,0)=0,"-",VLOOKUP(B40,Baza[[№]:[Profit]],17,0)),"")</f>
        <v>-</v>
      </c>
      <c r="T40" s="43" t="str">
        <f>IFERROR(IF(VLOOKUP(B40,Baza[[№]:[Profit]],18,0)=0,"-",VLOOKUP(B40,Baza[[№]:[Profit]],18,0)),"")</f>
        <v>-</v>
      </c>
      <c r="U40" s="41" t="str">
        <f>IFERROR(IF(VLOOKUP(B40,Baza[[№]:[Profit]],19,0)=0,"-",VLOOKUP(B40,Baza[[№]:[Profit]],19,0)),"")</f>
        <v>-</v>
      </c>
      <c r="V40" s="41">
        <f>IFERROR(VLOOKUP(B40,Baza[[№]:[Profit]],20,0),"")</f>
        <v>1.1000000000000001</v>
      </c>
      <c r="W40" s="41" t="str">
        <f>IFERROR(IF(VLOOKUP(B40,Baza[[№]:[Profit]],21,0)=0,"-",VLOOKUP(B40,Baza[[№]:[Profit]],21,0)),"")</f>
        <v>-</v>
      </c>
      <c r="X40" s="45" t="str">
        <f>IFERROR(IF(VLOOKUP(B40,Baza[[№]:[Profit]],22,0)=0,"-",VLOOKUP(B40,Baza[[№]:[Profit]],22,0)),"")</f>
        <v>-</v>
      </c>
      <c r="Y40" s="45">
        <f>IFERROR(VLOOKUP(B40,Baza[[№]:[Profit]],23,0),"")</f>
        <v>-1.1000000000000001</v>
      </c>
      <c r="Z40" s="44">
        <f>IFERROR(VLOOKUP(B40,Baza[[№]:[AFS]],24,0),"")</f>
        <v>45.454545454545453</v>
      </c>
      <c r="AA40" s="45">
        <f>IF(Таблица2[[#This Row],[Profit]]="","#Н/Д",SUM($Y$40:Y40))</f>
        <v>-1.1000000000000001</v>
      </c>
      <c r="AB40" s="45" t="b">
        <f>IF(Таблица2[[#This Row],[Grafik]]="#Н/Д",FALSE,TRUE)</f>
        <v>1</v>
      </c>
    </row>
    <row r="41" spans="1:28" ht="11.1" customHeight="1" x14ac:dyDescent="0.25">
      <c r="A41" s="93">
        <f t="shared" ref="A41:A104" si="0">A40+1</f>
        <v>2</v>
      </c>
      <c r="B41" s="48">
        <v>2</v>
      </c>
      <c r="C41" s="41">
        <f>IFERROR(VLOOKUP(B41,Baza[[№]:[Profit]],2,0),"")</f>
        <v>2021</v>
      </c>
      <c r="D4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11:00 €1 [WN] Monster Stack</v>
      </c>
      <c r="E4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€1 [WN] Monster Stack</v>
      </c>
      <c r="F41" s="43">
        <f>IFERROR(VLOOKUP(B41,Baza[[№]:[Profit]],3,0),"")</f>
        <v>1</v>
      </c>
      <c r="G41" s="43" t="str">
        <f>IFERROR(VLOOKUP(B41,Baza[[№]:[Profit]],4,0),"")</f>
        <v>пятница</v>
      </c>
      <c r="H41" s="43" t="str">
        <f>IFERROR(VLOOKUP(B41,Baza[[№]:[Profit]],5,0),"")</f>
        <v>январь</v>
      </c>
      <c r="I41" s="46">
        <f>IFERROR(VLOOKUP(B41,Baza[[№]:[Profit]],6,0),"")</f>
        <v>44197</v>
      </c>
      <c r="J41" s="49">
        <f>IFERROR(VLOOKUP(B41,Baza[[№]:[Profit]],7,0),"")</f>
        <v>0.45833333333333331</v>
      </c>
      <c r="K41" s="43">
        <f>IFERROR(VLOOKUP(B41,Baza[[№]:[Profit]],8,0),"")</f>
        <v>1</v>
      </c>
      <c r="L41" s="43" t="str">
        <f>IFERROR(VLOOKUP(B41,Baza[[№]:[Profit]],9,0),"")</f>
        <v>WN</v>
      </c>
      <c r="M41" s="43" t="str">
        <f>IFERROR(VLOOKUP(B41,Baza[[№]:[Profit]],10,0),"")</f>
        <v>Monster Stack</v>
      </c>
      <c r="N41" s="43">
        <f>IFERROR(IF(VLOOKUP(B41,Baza[[№]:[Profit]],11,0)=0,"-",VLOOKUP(B41,Baza[[№]:[Profit]],11,0)),"")</f>
        <v>6</v>
      </c>
      <c r="O41" s="43" t="str">
        <f>IFERROR(IF(VLOOKUP(B41,Baza[[№]:[Profit]],12,0)=0,"-",VLOOKUP(B41,Baza[[№]:[Profit]],12,0)),"")</f>
        <v>-</v>
      </c>
      <c r="P41" s="43" t="str">
        <f>IFERROR(IF(VLOOKUP(B41,Baza[[№]:[Profit]],13,0)=0,"-",VLOOKUP(B41,Baza[[№]:[Profit]],13,0)),"")</f>
        <v>-</v>
      </c>
      <c r="Q41" s="43">
        <f>IFERROR(IF(VLOOKUP(B41,Baza[[№]:[Profit]],15,0)=0,"-",VLOOKUP(B41,Baza[[№]:[Profit]],15,0)),"")</f>
        <v>150</v>
      </c>
      <c r="R41" s="43" t="str">
        <f>IFERROR(IF(VLOOKUP(B41,Baza[[№]:[Profit]],16,0)=0,"-",VLOOKUP(B41,Baza[[№]:[Profit]],16,0)),"")</f>
        <v>-</v>
      </c>
      <c r="S41" s="43" t="str">
        <f>IFERROR(IF(VLOOKUP(B41,Baza[[№]:[Profit]],17,0)=0,"-",VLOOKUP(B41,Baza[[№]:[Profit]],17,0)),"")</f>
        <v>-</v>
      </c>
      <c r="T41" s="43" t="str">
        <f>IFERROR(IF(VLOOKUP(B41,Baza[[№]:[Profit]],18,0)=0,"-",VLOOKUP(B41,Baza[[№]:[Profit]],18,0)),"")</f>
        <v>-</v>
      </c>
      <c r="U41" s="41" t="str">
        <f>IFERROR(IF(VLOOKUP(B41,Baza[[№]:[Profit]],19,0)=0,"-",VLOOKUP(B41,Baza[[№]:[Profit]],19,0)),"")</f>
        <v>-</v>
      </c>
      <c r="V41" s="41">
        <f>IFERROR(VLOOKUP(B41,Baza[[№]:[Profit]],20,0),"")</f>
        <v>1.1200000000000001</v>
      </c>
      <c r="W41" s="41" t="str">
        <f>IFERROR(IF(VLOOKUP(B41,Baza[[№]:[Profit]],21,0)=0,"-",VLOOKUP(B41,Baza[[№]:[Profit]],21,0)),"")</f>
        <v>-</v>
      </c>
      <c r="X41" s="45" t="str">
        <f>IFERROR(IF(VLOOKUP(B41,Baza[[№]:[Profit]],22,0)=0,"-",VLOOKUP(B41,Baza[[№]:[Profit]],22,0)),"")</f>
        <v>-</v>
      </c>
      <c r="Y41" s="45">
        <f>IFERROR(VLOOKUP(B41,Baza[[№]:[Profit]],23,0),"")</f>
        <v>-1.1200000000000001</v>
      </c>
      <c r="Z41" s="44">
        <f>IFERROR(VLOOKUP(B41,Baza[[№]:[AFS]],24,0),"")</f>
        <v>150</v>
      </c>
      <c r="AA41" s="45">
        <f>IF(Таблица2[[#This Row],[Profit]]="","#Н/Д",SUM($Y$40:Y41))</f>
        <v>-2.2200000000000002</v>
      </c>
      <c r="AB41" s="45" t="b">
        <f>IF(Таблица2[[#This Row],[Grafik]]="#Н/Д",FALSE,TRUE)</f>
        <v>1</v>
      </c>
    </row>
    <row r="42" spans="1:28" ht="11.1" customHeight="1" x14ac:dyDescent="0.25">
      <c r="A42" s="93">
        <f t="shared" si="0"/>
        <v>3</v>
      </c>
      <c r="B42" s="48">
        <v>3</v>
      </c>
      <c r="C42" s="41">
        <f>IFERROR(VLOOKUP(B42,Baza[[№]:[Profit]],2,0),"")</f>
        <v>2021</v>
      </c>
      <c r="D4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11:15 $2,2 [PP] Deepstack</v>
      </c>
      <c r="E4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$2,2 [PP] Deepstack</v>
      </c>
      <c r="F42" s="43">
        <f>IFERROR(VLOOKUP(B42,Baza[[№]:[Profit]],3,0),"")</f>
        <v>1</v>
      </c>
      <c r="G42" s="43" t="str">
        <f>IFERROR(VLOOKUP(B42,Baza[[№]:[Profit]],4,0),"")</f>
        <v>пятница</v>
      </c>
      <c r="H42" s="43" t="str">
        <f>IFERROR(VLOOKUP(B42,Baza[[№]:[Profit]],5,0),"")</f>
        <v>январь</v>
      </c>
      <c r="I42" s="46">
        <f>IFERROR(VLOOKUP(B42,Baza[[№]:[Profit]],6,0),"")</f>
        <v>44197</v>
      </c>
      <c r="J42" s="49">
        <f>IFERROR(VLOOKUP(B42,Baza[[№]:[Profit]],7,0),"")</f>
        <v>0.46875</v>
      </c>
      <c r="K42" s="43">
        <f>IFERROR(VLOOKUP(B42,Baza[[№]:[Profit]],8,0),"")</f>
        <v>2.2000000000000002</v>
      </c>
      <c r="L42" s="43" t="str">
        <f>IFERROR(VLOOKUP(B42,Baza[[№]:[Profit]],9,0),"")</f>
        <v>PP</v>
      </c>
      <c r="M42" s="43" t="str">
        <f>IFERROR(VLOOKUP(B42,Baza[[№]:[Profit]],10,0),"")</f>
        <v>Deepstack</v>
      </c>
      <c r="N42" s="43">
        <f>IFERROR(IF(VLOOKUP(B42,Baza[[№]:[Profit]],11,0)=0,"-",VLOOKUP(B42,Baza[[№]:[Profit]],11,0)),"")</f>
        <v>8</v>
      </c>
      <c r="O42" s="43" t="str">
        <f>IFERROR(IF(VLOOKUP(B42,Baza[[№]:[Profit]],12,0)=0,"-",VLOOKUP(B42,Baza[[№]:[Profit]],12,0)),"")</f>
        <v>-</v>
      </c>
      <c r="P42" s="43" t="str">
        <f>IFERROR(IF(VLOOKUP(B42,Baza[[№]:[Profit]],13,0)=0,"-",VLOOKUP(B42,Baza[[№]:[Profit]],13,0)),"")</f>
        <v>-</v>
      </c>
      <c r="Q42" s="43">
        <f>IFERROR(IF(VLOOKUP(B42,Baza[[№]:[Profit]],15,0)=0,"-",VLOOKUP(B42,Baza[[№]:[Profit]],15,0)),"")</f>
        <v>200</v>
      </c>
      <c r="R42" s="43" t="str">
        <f>IFERROR(IF(VLOOKUP(B42,Baza[[№]:[Profit]],16,0)=0,"-",VLOOKUP(B42,Baza[[№]:[Profit]],16,0)),"")</f>
        <v>-</v>
      </c>
      <c r="S42" s="43" t="str">
        <f>IFERROR(IF(VLOOKUP(B42,Baza[[№]:[Profit]],17,0)=0,"-",VLOOKUP(B42,Baza[[№]:[Profit]],17,0)),"")</f>
        <v>-</v>
      </c>
      <c r="T42" s="43" t="str">
        <f>IFERROR(IF(VLOOKUP(B42,Baza[[№]:[Profit]],18,0)=0,"-",VLOOKUP(B42,Baza[[№]:[Profit]],18,0)),"")</f>
        <v>-</v>
      </c>
      <c r="U42" s="41" t="str">
        <f>IFERROR(IF(VLOOKUP(B42,Baza[[№]:[Profit]],19,0)=0,"-",VLOOKUP(B42,Baza[[№]:[Profit]],19,0)),"")</f>
        <v>-</v>
      </c>
      <c r="V42" s="41">
        <f>IFERROR(VLOOKUP(B42,Baza[[№]:[Profit]],20,0),"")</f>
        <v>2.2000000000000002</v>
      </c>
      <c r="W42" s="41" t="str">
        <f>IFERROR(IF(VLOOKUP(B42,Baza[[№]:[Profit]],21,0)=0,"-",VLOOKUP(B42,Baza[[№]:[Profit]],21,0)),"")</f>
        <v>-</v>
      </c>
      <c r="X42" s="45" t="str">
        <f>IFERROR(IF(VLOOKUP(B42,Baza[[№]:[Profit]],22,0)=0,"-",VLOOKUP(B42,Baza[[№]:[Profit]],22,0)),"")</f>
        <v>-</v>
      </c>
      <c r="Y42" s="45">
        <f>IFERROR(VLOOKUP(B42,Baza[[№]:[Profit]],23,0),"")</f>
        <v>-2.2000000000000002</v>
      </c>
      <c r="Z42" s="44">
        <f>IFERROR(VLOOKUP(B42,Baza[[№]:[AFS]],24,0),"")</f>
        <v>90.909090909090907</v>
      </c>
      <c r="AA42" s="45">
        <f>IF(Таблица2[[#This Row],[Profit]]="","#Н/Д",SUM($Y$40:Y42))</f>
        <v>-4.42</v>
      </c>
      <c r="AB42" s="45" t="b">
        <f>IF(Таблица2[[#This Row],[Grafik]]="#Н/Д",FALSE,TRUE)</f>
        <v>1</v>
      </c>
    </row>
    <row r="43" spans="1:28" ht="11.1" customHeight="1" x14ac:dyDescent="0.25">
      <c r="A43" s="93">
        <f t="shared" si="0"/>
        <v>4</v>
      </c>
      <c r="B43" s="48">
        <v>4</v>
      </c>
      <c r="C43" s="41">
        <f>IFERROR(VLOOKUP(B43,Baza[[№]:[Profit]],2,0),"")</f>
        <v>2021</v>
      </c>
      <c r="D4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11:30 $2,1 [GG] Bounty Hunters</v>
      </c>
      <c r="E4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$2,1 [GG] Bounty Hunters</v>
      </c>
      <c r="F43" s="43">
        <f>IFERROR(VLOOKUP(B43,Baza[[№]:[Profit]],3,0),"")</f>
        <v>1</v>
      </c>
      <c r="G43" s="43" t="str">
        <f>IFERROR(VLOOKUP(B43,Baza[[№]:[Profit]],4,0),"")</f>
        <v>пятница</v>
      </c>
      <c r="H43" s="43" t="str">
        <f>IFERROR(VLOOKUP(B43,Baza[[№]:[Profit]],5,0),"")</f>
        <v>январь</v>
      </c>
      <c r="I43" s="46">
        <f>IFERROR(VLOOKUP(B43,Baza[[№]:[Profit]],6,0),"")</f>
        <v>44197</v>
      </c>
      <c r="J43" s="49">
        <f>IFERROR(VLOOKUP(B43,Baza[[№]:[Profit]],7,0),"")</f>
        <v>0.47916666666666669</v>
      </c>
      <c r="K43" s="43">
        <f>IFERROR(VLOOKUP(B43,Baza[[№]:[Profit]],8,0),"")</f>
        <v>2.1</v>
      </c>
      <c r="L43" s="43" t="str">
        <f>IFERROR(VLOOKUP(B43,Baza[[№]:[Profit]],9,0),"")</f>
        <v>GG</v>
      </c>
      <c r="M43" s="43" t="str">
        <f>IFERROR(VLOOKUP(B43,Baza[[№]:[Profit]],10,0),"")</f>
        <v>Bounty Hunters</v>
      </c>
      <c r="N43" s="43">
        <f>IFERROR(IF(VLOOKUP(B43,Baza[[№]:[Profit]],11,0)=0,"-",VLOOKUP(B43,Baza[[№]:[Profit]],11,0)),"")</f>
        <v>8</v>
      </c>
      <c r="O43" s="43" t="str">
        <f>IFERROR(IF(VLOOKUP(B43,Baza[[№]:[Profit]],12,0)=0,"-",VLOOKUP(B43,Baza[[№]:[Profit]],12,0)),"")</f>
        <v>-</v>
      </c>
      <c r="P43" s="43" t="str">
        <f>IFERROR(IF(VLOOKUP(B43,Baza[[№]:[Profit]],13,0)=0,"-",VLOOKUP(B43,Baza[[№]:[Profit]],13,0)),"")</f>
        <v>K</v>
      </c>
      <c r="Q43" s="43">
        <f>IFERROR(IF(VLOOKUP(B43,Baza[[№]:[Profit]],15,0)=0,"-",VLOOKUP(B43,Baza[[№]:[Profit]],15,0)),"")</f>
        <v>1200</v>
      </c>
      <c r="R43" s="43" t="str">
        <f>IFERROR(IF(VLOOKUP(B43,Baza[[№]:[Profit]],16,0)=0,"-",VLOOKUP(B43,Baza[[№]:[Profit]],16,0)),"")</f>
        <v>-</v>
      </c>
      <c r="S43" s="43" t="str">
        <f>IFERROR(IF(VLOOKUP(B43,Baza[[№]:[Profit]],17,0)=0,"-",VLOOKUP(B43,Baza[[№]:[Profit]],17,0)),"")</f>
        <v>-</v>
      </c>
      <c r="T43" s="43" t="str">
        <f>IFERROR(IF(VLOOKUP(B43,Baza[[№]:[Profit]],18,0)=0,"-",VLOOKUP(B43,Baza[[№]:[Profit]],18,0)),"")</f>
        <v>-</v>
      </c>
      <c r="U43" s="41" t="str">
        <f>IFERROR(IF(VLOOKUP(B43,Baza[[№]:[Profit]],19,0)=0,"-",VLOOKUP(B43,Baza[[№]:[Profit]],19,0)),"")</f>
        <v>-</v>
      </c>
      <c r="V43" s="41">
        <f>IFERROR(VLOOKUP(B43,Baza[[№]:[Profit]],20,0),"")</f>
        <v>2.1</v>
      </c>
      <c r="W43" s="41" t="str">
        <f>IFERROR(IF(VLOOKUP(B43,Baza[[№]:[Profit]],21,0)=0,"-",VLOOKUP(B43,Baza[[№]:[Profit]],21,0)),"")</f>
        <v>-</v>
      </c>
      <c r="X43" s="45" t="str">
        <f>IFERROR(IF(VLOOKUP(B43,Baza[[№]:[Profit]],22,0)=0,"-",VLOOKUP(B43,Baza[[№]:[Profit]],22,0)),"")</f>
        <v>-</v>
      </c>
      <c r="Y43" s="45">
        <f>IFERROR(VLOOKUP(B43,Baza[[№]:[Profit]],23,0),"")</f>
        <v>-2.1</v>
      </c>
      <c r="Z43" s="44">
        <f>IFERROR(VLOOKUP(B43,Baza[[№]:[AFS]],24,0),"")</f>
        <v>571.42857142857144</v>
      </c>
      <c r="AA43" s="45">
        <f>IF(Таблица2[[#This Row],[Profit]]="","#Н/Д",SUM($Y$40:Y43))</f>
        <v>-6.52</v>
      </c>
      <c r="AB43" s="45" t="b">
        <f>IF(Таблица2[[#This Row],[Grafik]]="#Н/Д",FALSE,TRUE)</f>
        <v>1</v>
      </c>
    </row>
    <row r="44" spans="1:28" ht="11.1" customHeight="1" x14ac:dyDescent="0.25">
      <c r="A44" s="93">
        <f t="shared" si="0"/>
        <v>5</v>
      </c>
      <c r="B44" s="48">
        <v>5</v>
      </c>
      <c r="C44" s="41">
        <f>IFERROR(VLOOKUP(B44,Baza[[№]:[Profit]],2,0),"")</f>
        <v>2021</v>
      </c>
      <c r="D4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12:00 $1,1 [PP] Deepstack</v>
      </c>
      <c r="E4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$1,1 [PP] Deepstack</v>
      </c>
      <c r="F44" s="43">
        <f>IFERROR(VLOOKUP(B44,Baza[[№]:[Profit]],3,0),"")</f>
        <v>1</v>
      </c>
      <c r="G44" s="43" t="str">
        <f>IFERROR(VLOOKUP(B44,Baza[[№]:[Profit]],4,0),"")</f>
        <v>пятница</v>
      </c>
      <c r="H44" s="43" t="str">
        <f>IFERROR(VLOOKUP(B44,Baza[[№]:[Profit]],5,0),"")</f>
        <v>январь</v>
      </c>
      <c r="I44" s="46">
        <f>IFERROR(VLOOKUP(B44,Baza[[№]:[Profit]],6,0),"")</f>
        <v>44197</v>
      </c>
      <c r="J44" s="49">
        <f>IFERROR(VLOOKUP(B44,Baza[[№]:[Profit]],7,0),"")</f>
        <v>0.5</v>
      </c>
      <c r="K44" s="43">
        <f>IFERROR(VLOOKUP(B44,Baza[[№]:[Profit]],8,0),"")</f>
        <v>1.1000000000000001</v>
      </c>
      <c r="L44" s="43" t="str">
        <f>IFERROR(VLOOKUP(B44,Baza[[№]:[Profit]],9,0),"")</f>
        <v>PP</v>
      </c>
      <c r="M44" s="43" t="str">
        <f>IFERROR(VLOOKUP(B44,Baza[[№]:[Profit]],10,0),"")</f>
        <v>Deepstack</v>
      </c>
      <c r="N44" s="43">
        <f>IFERROR(IF(VLOOKUP(B44,Baza[[№]:[Profit]],11,0)=0,"-",VLOOKUP(B44,Baza[[№]:[Profit]],11,0)),"")</f>
        <v>8</v>
      </c>
      <c r="O44" s="43" t="str">
        <f>IFERROR(IF(VLOOKUP(B44,Baza[[№]:[Profit]],12,0)=0,"-",VLOOKUP(B44,Baza[[№]:[Profit]],12,0)),"")</f>
        <v>-</v>
      </c>
      <c r="P44" s="43" t="str">
        <f>IFERROR(IF(VLOOKUP(B44,Baza[[№]:[Profit]],13,0)=0,"-",VLOOKUP(B44,Baza[[№]:[Profit]],13,0)),"")</f>
        <v>-</v>
      </c>
      <c r="Q44" s="43">
        <f>IFERROR(IF(VLOOKUP(B44,Baza[[№]:[Profit]],15,0)=0,"-",VLOOKUP(B44,Baza[[№]:[Profit]],15,0)),"")</f>
        <v>150</v>
      </c>
      <c r="R44" s="43" t="str">
        <f>IFERROR(IF(VLOOKUP(B44,Baza[[№]:[Profit]],16,0)=0,"-",VLOOKUP(B44,Baza[[№]:[Profit]],16,0)),"")</f>
        <v>-</v>
      </c>
      <c r="S44" s="43" t="str">
        <f>IFERROR(IF(VLOOKUP(B44,Baza[[№]:[Profit]],17,0)=0,"-",VLOOKUP(B44,Baza[[№]:[Profit]],17,0)),"")</f>
        <v>-</v>
      </c>
      <c r="T44" s="43" t="str">
        <f>IFERROR(IF(VLOOKUP(B44,Baza[[№]:[Profit]],18,0)=0,"-",VLOOKUP(B44,Baza[[№]:[Profit]],18,0)),"")</f>
        <v>-</v>
      </c>
      <c r="U44" s="41" t="str">
        <f>IFERROR(IF(VLOOKUP(B44,Baza[[№]:[Profit]],19,0)=0,"-",VLOOKUP(B44,Baza[[№]:[Profit]],19,0)),"")</f>
        <v>-</v>
      </c>
      <c r="V44" s="41">
        <f>IFERROR(VLOOKUP(B44,Baza[[№]:[Profit]],20,0),"")</f>
        <v>1.1000000000000001</v>
      </c>
      <c r="W44" s="41" t="str">
        <f>IFERROR(IF(VLOOKUP(B44,Baza[[№]:[Profit]],21,0)=0,"-",VLOOKUP(B44,Baza[[№]:[Profit]],21,0)),"")</f>
        <v>-</v>
      </c>
      <c r="X44" s="45" t="str">
        <f>IFERROR(IF(VLOOKUP(B44,Baza[[№]:[Profit]],22,0)=0,"-",VLOOKUP(B44,Baza[[№]:[Profit]],22,0)),"")</f>
        <v>-</v>
      </c>
      <c r="Y44" s="45">
        <f>IFERROR(VLOOKUP(B44,Baza[[№]:[Profit]],23,0),"")</f>
        <v>-1.1000000000000001</v>
      </c>
      <c r="Z44" s="44">
        <f>IFERROR(VLOOKUP(B44,Baza[[№]:[AFS]],24,0),"")</f>
        <v>136.36363636363635</v>
      </c>
      <c r="AA44" s="45">
        <f>IF(Таблица2[[#This Row],[Profit]]="","#Н/Д",SUM($Y$40:Y44))</f>
        <v>-7.6199999999999992</v>
      </c>
      <c r="AB44" s="45" t="b">
        <f>IF(Таблица2[[#This Row],[Grafik]]="#Н/Д",FALSE,TRUE)</f>
        <v>1</v>
      </c>
    </row>
    <row r="45" spans="1:28" ht="11.1" customHeight="1" x14ac:dyDescent="0.25">
      <c r="A45" s="93">
        <f t="shared" si="0"/>
        <v>6</v>
      </c>
      <c r="B45" s="48">
        <v>6</v>
      </c>
      <c r="C45" s="41">
        <f>IFERROR(VLOOKUP(B45,Baza[[№]:[Profit]],2,0),"")</f>
        <v>2021</v>
      </c>
      <c r="D4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12:00 $1,1 [PS] Big</v>
      </c>
      <c r="E4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$1,1 [PS] Big</v>
      </c>
      <c r="F45" s="43">
        <f>IFERROR(VLOOKUP(B45,Baza[[№]:[Profit]],3,0),"")</f>
        <v>1</v>
      </c>
      <c r="G45" s="43" t="str">
        <f>IFERROR(VLOOKUP(B45,Baza[[№]:[Profit]],4,0),"")</f>
        <v>пятница</v>
      </c>
      <c r="H45" s="43" t="str">
        <f>IFERROR(VLOOKUP(B45,Baza[[№]:[Profit]],5,0),"")</f>
        <v>январь</v>
      </c>
      <c r="I45" s="46">
        <f>IFERROR(VLOOKUP(B45,Baza[[№]:[Profit]],6,0),"")</f>
        <v>44197</v>
      </c>
      <c r="J45" s="49">
        <f>IFERROR(VLOOKUP(B45,Baza[[№]:[Profit]],7,0),"")</f>
        <v>0.5</v>
      </c>
      <c r="K45" s="43">
        <f>IFERROR(VLOOKUP(B45,Baza[[№]:[Profit]],8,0),"")</f>
        <v>1.1000000000000001</v>
      </c>
      <c r="L45" s="43" t="str">
        <f>IFERROR(VLOOKUP(B45,Baza[[№]:[Profit]],9,0),"")</f>
        <v>PS</v>
      </c>
      <c r="M45" s="43" t="str">
        <f>IFERROR(VLOOKUP(B45,Baza[[№]:[Profit]],10,0),"")</f>
        <v>Big</v>
      </c>
      <c r="N45" s="43">
        <f>IFERROR(IF(VLOOKUP(B45,Baza[[№]:[Profit]],11,0)=0,"-",VLOOKUP(B45,Baza[[№]:[Profit]],11,0)),"")</f>
        <v>9</v>
      </c>
      <c r="O45" s="43" t="str">
        <f>IFERROR(IF(VLOOKUP(B45,Baza[[№]:[Profit]],12,0)=0,"-",VLOOKUP(B45,Baza[[№]:[Profit]],12,0)),"")</f>
        <v>-</v>
      </c>
      <c r="P45" s="43" t="str">
        <f>IFERROR(IF(VLOOKUP(B45,Baza[[№]:[Profit]],13,0)=0,"-",VLOOKUP(B45,Baza[[№]:[Profit]],13,0)),"")</f>
        <v>-</v>
      </c>
      <c r="Q45" s="43">
        <f>IFERROR(IF(VLOOKUP(B45,Baza[[№]:[Profit]],15,0)=0,"-",VLOOKUP(B45,Baza[[№]:[Profit]],15,0)),"")</f>
        <v>500</v>
      </c>
      <c r="R45" s="43" t="str">
        <f>IFERROR(IF(VLOOKUP(B45,Baza[[№]:[Profit]],16,0)=0,"-",VLOOKUP(B45,Baza[[№]:[Profit]],16,0)),"")</f>
        <v>-</v>
      </c>
      <c r="S45" s="43">
        <f>IFERROR(IF(VLOOKUP(B45,Baza[[№]:[Profit]],17,0)=0,"-",VLOOKUP(B45,Baza[[№]:[Profit]],17,0)),"")</f>
        <v>6.26</v>
      </c>
      <c r="T45" s="43" t="str">
        <f>IFERROR(IF(VLOOKUP(B45,Baza[[№]:[Profit]],18,0)=0,"-",VLOOKUP(B45,Baza[[№]:[Profit]],18,0)),"")</f>
        <v>-</v>
      </c>
      <c r="U45" s="41">
        <f>IFERROR(IF(VLOOKUP(B45,Baza[[№]:[Profit]],19,0)=0,"-",VLOOKUP(B45,Baza[[№]:[Profit]],19,0)),"")</f>
        <v>42</v>
      </c>
      <c r="V45" s="41">
        <f>IFERROR(VLOOKUP(B45,Baza[[№]:[Profit]],20,0),"")</f>
        <v>1.1000000000000001</v>
      </c>
      <c r="W45" s="41" t="str">
        <f>IFERROR(IF(VLOOKUP(B45,Baza[[№]:[Profit]],21,0)=0,"-",VLOOKUP(B45,Baza[[№]:[Profit]],21,0)),"")</f>
        <v>-</v>
      </c>
      <c r="X45" s="45">
        <f>IFERROR(IF(VLOOKUP(B45,Baza[[№]:[Profit]],22,0)=0,"-",VLOOKUP(B45,Baza[[№]:[Profit]],22,0)),"")</f>
        <v>6.26</v>
      </c>
      <c r="Y45" s="45">
        <f>IFERROR(VLOOKUP(B45,Baza[[№]:[Profit]],23,0),"")</f>
        <v>5.16</v>
      </c>
      <c r="Z45" s="44">
        <f>IFERROR(VLOOKUP(B45,Baza[[№]:[AFS]],24,0),"")</f>
        <v>454.5454545454545</v>
      </c>
      <c r="AA45" s="45">
        <f>IF(Таблица2[[#This Row],[Profit]]="","#Н/Д",SUM($Y$40:Y45))</f>
        <v>-2.4599999999999991</v>
      </c>
      <c r="AB45" s="45" t="b">
        <f>IF(Таблица2[[#This Row],[Grafik]]="#Н/Д",FALSE,TRUE)</f>
        <v>1</v>
      </c>
    </row>
    <row r="46" spans="1:28" ht="11.1" customHeight="1" x14ac:dyDescent="0.25">
      <c r="A46" s="93">
        <f t="shared" si="0"/>
        <v>7</v>
      </c>
      <c r="B46" s="48">
        <v>7</v>
      </c>
      <c r="C46" s="41">
        <f>IFERROR(VLOOKUP(B46,Baza[[№]:[Profit]],2,0),"")</f>
        <v>2021</v>
      </c>
      <c r="D4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12:00 €2 [WN] Monster Stack</v>
      </c>
      <c r="E4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€2 [WN] Monster Stack</v>
      </c>
      <c r="F46" s="43">
        <f>IFERROR(VLOOKUP(B46,Baza[[№]:[Profit]],3,0),"")</f>
        <v>1</v>
      </c>
      <c r="G46" s="43" t="str">
        <f>IFERROR(VLOOKUP(B46,Baza[[№]:[Profit]],4,0),"")</f>
        <v>пятница</v>
      </c>
      <c r="H46" s="43" t="str">
        <f>IFERROR(VLOOKUP(B46,Baza[[№]:[Profit]],5,0),"")</f>
        <v>январь</v>
      </c>
      <c r="I46" s="46">
        <f>IFERROR(VLOOKUP(B46,Baza[[№]:[Profit]],6,0),"")</f>
        <v>44197</v>
      </c>
      <c r="J46" s="49">
        <f>IFERROR(VLOOKUP(B46,Baza[[№]:[Profit]],7,0),"")</f>
        <v>0.5</v>
      </c>
      <c r="K46" s="43">
        <f>IFERROR(VLOOKUP(B46,Baza[[№]:[Profit]],8,0),"")</f>
        <v>2</v>
      </c>
      <c r="L46" s="43" t="str">
        <f>IFERROR(VLOOKUP(B46,Baza[[№]:[Profit]],9,0),"")</f>
        <v>WN</v>
      </c>
      <c r="M46" s="43" t="str">
        <f>IFERROR(VLOOKUP(B46,Baza[[№]:[Profit]],10,0),"")</f>
        <v>Monster Stack</v>
      </c>
      <c r="N46" s="43">
        <f>IFERROR(IF(VLOOKUP(B46,Baza[[№]:[Profit]],11,0)=0,"-",VLOOKUP(B46,Baza[[№]:[Profit]],11,0)),"")</f>
        <v>6</v>
      </c>
      <c r="O46" s="43" t="str">
        <f>IFERROR(IF(VLOOKUP(B46,Baza[[№]:[Profit]],12,0)=0,"-",VLOOKUP(B46,Baza[[№]:[Profit]],12,0)),"")</f>
        <v>-</v>
      </c>
      <c r="P46" s="43" t="str">
        <f>IFERROR(IF(VLOOKUP(B46,Baza[[№]:[Profit]],13,0)=0,"-",VLOOKUP(B46,Baza[[№]:[Profit]],13,0)),"")</f>
        <v>-</v>
      </c>
      <c r="Q46" s="43">
        <f>IFERROR(IF(VLOOKUP(B46,Baza[[№]:[Profit]],15,0)=0,"-",VLOOKUP(B46,Baza[[№]:[Profit]],15,0)),"")</f>
        <v>200</v>
      </c>
      <c r="R46" s="43" t="str">
        <f>IFERROR(IF(VLOOKUP(B46,Baza[[№]:[Profit]],16,0)=0,"-",VLOOKUP(B46,Baza[[№]:[Profit]],16,0)),"")</f>
        <v>-</v>
      </c>
      <c r="S46" s="43" t="str">
        <f>IFERROR(IF(VLOOKUP(B46,Baza[[№]:[Profit]],17,0)=0,"-",VLOOKUP(B46,Baza[[№]:[Profit]],17,0)),"")</f>
        <v>-</v>
      </c>
      <c r="T46" s="43" t="str">
        <f>IFERROR(IF(VLOOKUP(B46,Baza[[№]:[Profit]],18,0)=0,"-",VLOOKUP(B46,Baza[[№]:[Profit]],18,0)),"")</f>
        <v>-</v>
      </c>
      <c r="U46" s="41" t="str">
        <f>IFERROR(IF(VLOOKUP(B46,Baza[[№]:[Profit]],19,0)=0,"-",VLOOKUP(B46,Baza[[№]:[Profit]],19,0)),"")</f>
        <v>-</v>
      </c>
      <c r="V46" s="41">
        <f>IFERROR(VLOOKUP(B46,Baza[[№]:[Profit]],20,0),"")</f>
        <v>2.2400000000000002</v>
      </c>
      <c r="W46" s="41" t="str">
        <f>IFERROR(IF(VLOOKUP(B46,Baza[[№]:[Profit]],21,0)=0,"-",VLOOKUP(B46,Baza[[№]:[Profit]],21,0)),"")</f>
        <v>-</v>
      </c>
      <c r="X46" s="45" t="str">
        <f>IFERROR(IF(VLOOKUP(B46,Baza[[№]:[Profit]],22,0)=0,"-",VLOOKUP(B46,Baza[[№]:[Profit]],22,0)),"")</f>
        <v>-</v>
      </c>
      <c r="Y46" s="45">
        <f>IFERROR(VLOOKUP(B46,Baza[[№]:[Profit]],23,0),"")</f>
        <v>-2.2400000000000002</v>
      </c>
      <c r="Z46" s="44">
        <f>IFERROR(VLOOKUP(B46,Baza[[№]:[AFS]],24,0),"")</f>
        <v>100</v>
      </c>
      <c r="AA46" s="45">
        <f>IF(Таблица2[[#This Row],[Profit]]="","#Н/Д",SUM($Y$40:Y46))</f>
        <v>-4.6999999999999993</v>
      </c>
      <c r="AB46" s="45" t="b">
        <f>IF(Таблица2[[#This Row],[Grafik]]="#Н/Д",FALSE,TRUE)</f>
        <v>1</v>
      </c>
    </row>
    <row r="47" spans="1:28" ht="11.1" customHeight="1" x14ac:dyDescent="0.25">
      <c r="A47" s="93">
        <f t="shared" si="0"/>
        <v>8</v>
      </c>
      <c r="B47" s="48">
        <v>8</v>
      </c>
      <c r="C47" s="41">
        <f>IFERROR(VLOOKUP(B47,Baza[[№]:[Profit]],2,0),"")</f>
        <v>2021</v>
      </c>
      <c r="D4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12:30 $1,05 [GG] Bounty Hunters</v>
      </c>
      <c r="E4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$1,05 [GG] Bounty Hunters</v>
      </c>
      <c r="F47" s="43">
        <f>IFERROR(VLOOKUP(B47,Baza[[№]:[Profit]],3,0),"")</f>
        <v>1</v>
      </c>
      <c r="G47" s="43" t="str">
        <f>IFERROR(VLOOKUP(B47,Baza[[№]:[Profit]],4,0),"")</f>
        <v>пятница</v>
      </c>
      <c r="H47" s="43" t="str">
        <f>IFERROR(VLOOKUP(B47,Baza[[№]:[Profit]],5,0),"")</f>
        <v>январь</v>
      </c>
      <c r="I47" s="46">
        <f>IFERROR(VLOOKUP(B47,Baza[[№]:[Profit]],6,0),"")</f>
        <v>44197</v>
      </c>
      <c r="J47" s="49">
        <f>IFERROR(VLOOKUP(B47,Baza[[№]:[Profit]],7,0),"")</f>
        <v>0.52083333333333337</v>
      </c>
      <c r="K47" s="43">
        <f>IFERROR(VLOOKUP(B47,Baza[[№]:[Profit]],8,0),"")</f>
        <v>1.05</v>
      </c>
      <c r="L47" s="43" t="str">
        <f>IFERROR(VLOOKUP(B47,Baza[[№]:[Profit]],9,0),"")</f>
        <v>GG</v>
      </c>
      <c r="M47" s="43" t="str">
        <f>IFERROR(VLOOKUP(B47,Baza[[№]:[Profit]],10,0),"")</f>
        <v>Bounty Hunters</v>
      </c>
      <c r="N47" s="43">
        <f>IFERROR(IF(VLOOKUP(B47,Baza[[№]:[Profit]],11,0)=0,"-",VLOOKUP(B47,Baza[[№]:[Profit]],11,0)),"")</f>
        <v>8</v>
      </c>
      <c r="O47" s="43" t="str">
        <f>IFERROR(IF(VLOOKUP(B47,Baza[[№]:[Profit]],12,0)=0,"-",VLOOKUP(B47,Baza[[№]:[Profit]],12,0)),"")</f>
        <v>-</v>
      </c>
      <c r="P47" s="43" t="str">
        <f>IFERROR(IF(VLOOKUP(B47,Baza[[№]:[Profit]],13,0)=0,"-",VLOOKUP(B47,Baza[[№]:[Profit]],13,0)),"")</f>
        <v>K</v>
      </c>
      <c r="Q47" s="43">
        <f>IFERROR(IF(VLOOKUP(B47,Baza[[№]:[Profit]],15,0)=0,"-",VLOOKUP(B47,Baza[[№]:[Profit]],15,0)),"")</f>
        <v>750</v>
      </c>
      <c r="R47" s="43">
        <f>IFERROR(IF(VLOOKUP(B47,Baza[[№]:[Profit]],16,0)=0,"-",VLOOKUP(B47,Baza[[№]:[Profit]],16,0)),"")</f>
        <v>5.04</v>
      </c>
      <c r="S47" s="43">
        <f>IFERROR(IF(VLOOKUP(B47,Baza[[№]:[Profit]],17,0)=0,"-",VLOOKUP(B47,Baza[[№]:[Profit]],17,0)),"")</f>
        <v>3.98</v>
      </c>
      <c r="T47" s="43" t="str">
        <f>IFERROR(IF(VLOOKUP(B47,Baza[[№]:[Profit]],18,0)=0,"-",VLOOKUP(B47,Baza[[№]:[Profit]],18,0)),"")</f>
        <v>-</v>
      </c>
      <c r="U47" s="41">
        <f>IFERROR(IF(VLOOKUP(B47,Baza[[№]:[Profit]],19,0)=0,"-",VLOOKUP(B47,Baza[[№]:[Profit]],19,0)),"")</f>
        <v>20</v>
      </c>
      <c r="V47" s="41">
        <f>IFERROR(VLOOKUP(B47,Baza[[№]:[Profit]],20,0),"")</f>
        <v>1.05</v>
      </c>
      <c r="W47" s="41">
        <f>IFERROR(IF(VLOOKUP(B47,Baza[[№]:[Profit]],21,0)=0,"-",VLOOKUP(B47,Baza[[№]:[Profit]],21,0)),"")</f>
        <v>5.04</v>
      </c>
      <c r="X47" s="45">
        <f>IFERROR(IF(VLOOKUP(B47,Baza[[№]:[Profit]],22,0)=0,"-",VLOOKUP(B47,Baza[[№]:[Profit]],22,0)),"")</f>
        <v>3.98</v>
      </c>
      <c r="Y47" s="45">
        <f>IFERROR(VLOOKUP(B47,Baza[[№]:[Profit]],23,0),"")</f>
        <v>7.97</v>
      </c>
      <c r="Z47" s="44">
        <f>IFERROR(VLOOKUP(B47,Baza[[№]:[AFS]],24,0),"")</f>
        <v>714.28571428571422</v>
      </c>
      <c r="AA47" s="45">
        <f>IF(Таблица2[[#This Row],[Profit]]="","#Н/Д",SUM($Y$40:Y47))</f>
        <v>3.2700000000000005</v>
      </c>
      <c r="AB47" s="45" t="b">
        <f>IF(Таблица2[[#This Row],[Grafik]]="#Н/Д",FALSE,TRUE)</f>
        <v>1</v>
      </c>
    </row>
    <row r="48" spans="1:28" ht="11.1" customHeight="1" x14ac:dyDescent="0.25">
      <c r="A48" s="93">
        <f t="shared" si="0"/>
        <v>9</v>
      </c>
      <c r="B48" s="48">
        <v>9</v>
      </c>
      <c r="C48" s="41">
        <f>IFERROR(VLOOKUP(B48,Baza[[№]:[Profit]],2,0),"")</f>
        <v>2021</v>
      </c>
      <c r="D4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12:30 $1 [PAC] Guaranteed</v>
      </c>
      <c r="E4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$1 [PAC] Guaranteed</v>
      </c>
      <c r="F48" s="43">
        <f>IFERROR(VLOOKUP(B48,Baza[[№]:[Profit]],3,0),"")</f>
        <v>1</v>
      </c>
      <c r="G48" s="43" t="str">
        <f>IFERROR(VLOOKUP(B48,Baza[[№]:[Profit]],4,0),"")</f>
        <v>пятница</v>
      </c>
      <c r="H48" s="43" t="str">
        <f>IFERROR(VLOOKUP(B48,Baza[[№]:[Profit]],5,0),"")</f>
        <v>январь</v>
      </c>
      <c r="I48" s="46">
        <f>IFERROR(VLOOKUP(B48,Baza[[№]:[Profit]],6,0),"")</f>
        <v>44197</v>
      </c>
      <c r="J48" s="49">
        <f>IFERROR(VLOOKUP(B48,Baza[[№]:[Profit]],7,0),"")</f>
        <v>0.52083333333333337</v>
      </c>
      <c r="K48" s="43">
        <f>IFERROR(VLOOKUP(B48,Baza[[№]:[Profit]],8,0),"")</f>
        <v>1</v>
      </c>
      <c r="L48" s="43" t="str">
        <f>IFERROR(VLOOKUP(B48,Baza[[№]:[Profit]],9,0),"")</f>
        <v>PAC</v>
      </c>
      <c r="M48" s="43" t="str">
        <f>IFERROR(VLOOKUP(B48,Baza[[№]:[Profit]],10,0),"")</f>
        <v>Guaranteed</v>
      </c>
      <c r="N48" s="43">
        <f>IFERROR(IF(VLOOKUP(B48,Baza[[№]:[Profit]],11,0)=0,"-",VLOOKUP(B48,Baza[[№]:[Profit]],11,0)),"")</f>
        <v>9</v>
      </c>
      <c r="O48" s="43" t="str">
        <f>IFERROR(IF(VLOOKUP(B48,Baza[[№]:[Profit]],12,0)=0,"-",VLOOKUP(B48,Baza[[№]:[Profit]],12,0)),"")</f>
        <v>-</v>
      </c>
      <c r="P48" s="43" t="str">
        <f>IFERROR(IF(VLOOKUP(B48,Baza[[№]:[Profit]],13,0)=0,"-",VLOOKUP(B48,Baza[[№]:[Profit]],13,0)),"")</f>
        <v>-</v>
      </c>
      <c r="Q48" s="43">
        <f>IFERROR(IF(VLOOKUP(B48,Baza[[№]:[Profit]],15,0)=0,"-",VLOOKUP(B48,Baza[[№]:[Profit]],15,0)),"")</f>
        <v>200</v>
      </c>
      <c r="R48" s="43" t="str">
        <f>IFERROR(IF(VLOOKUP(B48,Baza[[№]:[Profit]],16,0)=0,"-",VLOOKUP(B48,Baza[[№]:[Profit]],16,0)),"")</f>
        <v>-</v>
      </c>
      <c r="S48" s="43" t="str">
        <f>IFERROR(IF(VLOOKUP(B48,Baza[[№]:[Profit]],17,0)=0,"-",VLOOKUP(B48,Baza[[№]:[Profit]],17,0)),"")</f>
        <v>-</v>
      </c>
      <c r="T48" s="43" t="str">
        <f>IFERROR(IF(VLOOKUP(B48,Baza[[№]:[Profit]],18,0)=0,"-",VLOOKUP(B48,Baza[[№]:[Profit]],18,0)),"")</f>
        <v>-</v>
      </c>
      <c r="U48" s="41" t="str">
        <f>IFERROR(IF(VLOOKUP(B48,Baza[[№]:[Profit]],19,0)=0,"-",VLOOKUP(B48,Baza[[№]:[Profit]],19,0)),"")</f>
        <v>-</v>
      </c>
      <c r="V48" s="41">
        <f>IFERROR(VLOOKUP(B48,Baza[[№]:[Profit]],20,0),"")</f>
        <v>1</v>
      </c>
      <c r="W48" s="41" t="str">
        <f>IFERROR(IF(VLOOKUP(B48,Baza[[№]:[Profit]],21,0)=0,"-",VLOOKUP(B48,Baza[[№]:[Profit]],21,0)),"")</f>
        <v>-</v>
      </c>
      <c r="X48" s="45" t="str">
        <f>IFERROR(IF(VLOOKUP(B48,Baza[[№]:[Profit]],22,0)=0,"-",VLOOKUP(B48,Baza[[№]:[Profit]],22,0)),"")</f>
        <v>-</v>
      </c>
      <c r="Y48" s="45">
        <f>IFERROR(VLOOKUP(B48,Baza[[№]:[Profit]],23,0),"")</f>
        <v>-1</v>
      </c>
      <c r="Z48" s="44">
        <f>IFERROR(VLOOKUP(B48,Baza[[№]:[AFS]],24,0),"")</f>
        <v>200</v>
      </c>
      <c r="AA48" s="45">
        <f>IF(Таблица2[[#This Row],[Profit]]="","#Н/Д",SUM($Y$40:Y48))</f>
        <v>2.2700000000000005</v>
      </c>
      <c r="AB48" s="45" t="b">
        <f>IF(Таблица2[[#This Row],[Grafik]]="#Н/Д",FALSE,TRUE)</f>
        <v>1</v>
      </c>
    </row>
    <row r="49" spans="1:28" ht="11.1" customHeight="1" x14ac:dyDescent="0.25">
      <c r="A49" s="93">
        <f t="shared" si="0"/>
        <v>10</v>
      </c>
      <c r="B49" s="48">
        <v>10</v>
      </c>
      <c r="C49" s="41">
        <f>IFERROR(VLOOKUP(B49,Baza[[№]:[Profit]],2,0),"")</f>
        <v>2021</v>
      </c>
      <c r="D4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12:30 $2,2 [PP] Bounty Hunter</v>
      </c>
      <c r="E4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$2,2 [PP] Bounty Hunter</v>
      </c>
      <c r="F49" s="43">
        <f>IFERROR(VLOOKUP(B49,Baza[[№]:[Profit]],3,0),"")</f>
        <v>1</v>
      </c>
      <c r="G49" s="43" t="str">
        <f>IFERROR(VLOOKUP(B49,Baza[[№]:[Profit]],4,0),"")</f>
        <v>пятница</v>
      </c>
      <c r="H49" s="43" t="str">
        <f>IFERROR(VLOOKUP(B49,Baza[[№]:[Profit]],5,0),"")</f>
        <v>январь</v>
      </c>
      <c r="I49" s="46">
        <f>IFERROR(VLOOKUP(B49,Baza[[№]:[Profit]],6,0),"")</f>
        <v>44197</v>
      </c>
      <c r="J49" s="49">
        <f>IFERROR(VLOOKUP(B49,Baza[[№]:[Profit]],7,0),"")</f>
        <v>0.52083333333333337</v>
      </c>
      <c r="K49" s="43">
        <f>IFERROR(VLOOKUP(B49,Baza[[№]:[Profit]],8,0),"")</f>
        <v>2.2000000000000002</v>
      </c>
      <c r="L49" s="43" t="str">
        <f>IFERROR(VLOOKUP(B49,Baza[[№]:[Profit]],9,0),"")</f>
        <v>PP</v>
      </c>
      <c r="M49" s="43" t="str">
        <f>IFERROR(VLOOKUP(B49,Baza[[№]:[Profit]],10,0),"")</f>
        <v>Bounty Hunter</v>
      </c>
      <c r="N49" s="43">
        <f>IFERROR(IF(VLOOKUP(B49,Baza[[№]:[Profit]],11,0)=0,"-",VLOOKUP(B49,Baza[[№]:[Profit]],11,0)),"")</f>
        <v>8</v>
      </c>
      <c r="O49" s="43" t="str">
        <f>IFERROR(IF(VLOOKUP(B49,Baza[[№]:[Profit]],12,0)=0,"-",VLOOKUP(B49,Baza[[№]:[Profit]],12,0)),"")</f>
        <v>-</v>
      </c>
      <c r="P49" s="43" t="str">
        <f>IFERROR(IF(VLOOKUP(B49,Baza[[№]:[Profit]],13,0)=0,"-",VLOOKUP(B49,Baza[[№]:[Profit]],13,0)),"")</f>
        <v>K</v>
      </c>
      <c r="Q49" s="43">
        <f>IFERROR(IF(VLOOKUP(B49,Baza[[№]:[Profit]],15,0)=0,"-",VLOOKUP(B49,Baza[[№]:[Profit]],15,0)),"")</f>
        <v>200</v>
      </c>
      <c r="R49" s="43" t="str">
        <f>IFERROR(IF(VLOOKUP(B49,Baza[[№]:[Profit]],16,0)=0,"-",VLOOKUP(B49,Baza[[№]:[Profit]],16,0)),"")</f>
        <v>-</v>
      </c>
      <c r="S49" s="43" t="str">
        <f>IFERROR(IF(VLOOKUP(B49,Baza[[№]:[Profit]],17,0)=0,"-",VLOOKUP(B49,Baza[[№]:[Profit]],17,0)),"")</f>
        <v>-</v>
      </c>
      <c r="T49" s="43" t="str">
        <f>IFERROR(IF(VLOOKUP(B49,Baza[[№]:[Profit]],18,0)=0,"-",VLOOKUP(B49,Baza[[№]:[Profit]],18,0)),"")</f>
        <v>-</v>
      </c>
      <c r="U49" s="41" t="str">
        <f>IFERROR(IF(VLOOKUP(B49,Baza[[№]:[Profit]],19,0)=0,"-",VLOOKUP(B49,Baza[[№]:[Profit]],19,0)),"")</f>
        <v>-</v>
      </c>
      <c r="V49" s="41">
        <f>IFERROR(VLOOKUP(B49,Baza[[№]:[Profit]],20,0),"")</f>
        <v>2.2000000000000002</v>
      </c>
      <c r="W49" s="41" t="str">
        <f>IFERROR(IF(VLOOKUP(B49,Baza[[№]:[Profit]],21,0)=0,"-",VLOOKUP(B49,Baza[[№]:[Profit]],21,0)),"")</f>
        <v>-</v>
      </c>
      <c r="X49" s="45" t="str">
        <f>IFERROR(IF(VLOOKUP(B49,Baza[[№]:[Profit]],22,0)=0,"-",VLOOKUP(B49,Baza[[№]:[Profit]],22,0)),"")</f>
        <v>-</v>
      </c>
      <c r="Y49" s="45">
        <f>IFERROR(VLOOKUP(B49,Baza[[№]:[Profit]],23,0),"")</f>
        <v>-2.2000000000000002</v>
      </c>
      <c r="Z49" s="44">
        <f>IFERROR(VLOOKUP(B49,Baza[[№]:[AFS]],24,0),"")</f>
        <v>90.909090909090907</v>
      </c>
      <c r="AA49" s="45">
        <f>IF(Таблица2[[#This Row],[Profit]]="","#Н/Д",SUM($Y$40:Y49))</f>
        <v>7.0000000000000284E-2</v>
      </c>
      <c r="AB49" s="45" t="b">
        <f>IF(Таблица2[[#This Row],[Grafik]]="#Н/Д",FALSE,TRUE)</f>
        <v>1</v>
      </c>
    </row>
    <row r="50" spans="1:28" ht="11.1" customHeight="1" x14ac:dyDescent="0.25">
      <c r="A50" s="93">
        <f t="shared" si="0"/>
        <v>11</v>
      </c>
      <c r="B50" s="48">
        <v>11</v>
      </c>
      <c r="C50" s="41">
        <f>IFERROR(VLOOKUP(B50,Baza[[№]:[Profit]],2,0),"")</f>
        <v>2021</v>
      </c>
      <c r="D5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13:00 $2 [GG] Big</v>
      </c>
      <c r="E5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$2 [GG] Big</v>
      </c>
      <c r="F50" s="43">
        <f>IFERROR(VLOOKUP(B50,Baza[[№]:[Profit]],3,0),"")</f>
        <v>1</v>
      </c>
      <c r="G50" s="43" t="str">
        <f>IFERROR(VLOOKUP(B50,Baza[[№]:[Profit]],4,0),"")</f>
        <v>пятница</v>
      </c>
      <c r="H50" s="43" t="str">
        <f>IFERROR(VLOOKUP(B50,Baza[[№]:[Profit]],5,0),"")</f>
        <v>январь</v>
      </c>
      <c r="I50" s="46">
        <f>IFERROR(VLOOKUP(B50,Baza[[№]:[Profit]],6,0),"")</f>
        <v>44197</v>
      </c>
      <c r="J50" s="49">
        <f>IFERROR(VLOOKUP(B50,Baza[[№]:[Profit]],7,0),"")</f>
        <v>0.54166666666666663</v>
      </c>
      <c r="K50" s="43">
        <f>IFERROR(VLOOKUP(B50,Baza[[№]:[Profit]],8,0),"")</f>
        <v>2</v>
      </c>
      <c r="L50" s="43" t="str">
        <f>IFERROR(VLOOKUP(B50,Baza[[№]:[Profit]],9,0),"")</f>
        <v>GG</v>
      </c>
      <c r="M50" s="43" t="str">
        <f>IFERROR(VLOOKUP(B50,Baza[[№]:[Profit]],10,0),"")</f>
        <v>Big</v>
      </c>
      <c r="N50" s="43">
        <f>IFERROR(IF(VLOOKUP(B50,Baza[[№]:[Profit]],11,0)=0,"-",VLOOKUP(B50,Baza[[№]:[Profit]],11,0)),"")</f>
        <v>8</v>
      </c>
      <c r="O50" s="43" t="str">
        <f>IFERROR(IF(VLOOKUP(B50,Baza[[№]:[Profit]],12,0)=0,"-",VLOOKUP(B50,Baza[[№]:[Profit]],12,0)),"")</f>
        <v>-</v>
      </c>
      <c r="P50" s="43" t="str">
        <f>IFERROR(IF(VLOOKUP(B50,Baza[[№]:[Profit]],13,0)=0,"-",VLOOKUP(B50,Baza[[№]:[Profit]],13,0)),"")</f>
        <v>-</v>
      </c>
      <c r="Q50" s="43">
        <f>IFERROR(IF(VLOOKUP(B50,Baza[[№]:[Profit]],15,0)=0,"-",VLOOKUP(B50,Baza[[№]:[Profit]],15,0)),"")</f>
        <v>750</v>
      </c>
      <c r="R50" s="43" t="str">
        <f>IFERROR(IF(VLOOKUP(B50,Baza[[№]:[Profit]],16,0)=0,"-",VLOOKUP(B50,Baza[[№]:[Profit]],16,0)),"")</f>
        <v>-</v>
      </c>
      <c r="S50" s="43" t="str">
        <f>IFERROR(IF(VLOOKUP(B50,Baza[[№]:[Profit]],17,0)=0,"-",VLOOKUP(B50,Baza[[№]:[Profit]],17,0)),"")</f>
        <v>-</v>
      </c>
      <c r="T50" s="43" t="str">
        <f>IFERROR(IF(VLOOKUP(B50,Baza[[№]:[Profit]],18,0)=0,"-",VLOOKUP(B50,Baza[[№]:[Profit]],18,0)),"")</f>
        <v>-</v>
      </c>
      <c r="U50" s="41" t="str">
        <f>IFERROR(IF(VLOOKUP(B50,Baza[[№]:[Profit]],19,0)=0,"-",VLOOKUP(B50,Baza[[№]:[Profit]],19,0)),"")</f>
        <v>-</v>
      </c>
      <c r="V50" s="41">
        <f>IFERROR(VLOOKUP(B50,Baza[[№]:[Profit]],20,0),"")</f>
        <v>2</v>
      </c>
      <c r="W50" s="41" t="str">
        <f>IFERROR(IF(VLOOKUP(B50,Baza[[№]:[Profit]],21,0)=0,"-",VLOOKUP(B50,Baza[[№]:[Profit]],21,0)),"")</f>
        <v>-</v>
      </c>
      <c r="X50" s="45" t="str">
        <f>IFERROR(IF(VLOOKUP(B50,Baza[[№]:[Profit]],22,0)=0,"-",VLOOKUP(B50,Baza[[№]:[Profit]],22,0)),"")</f>
        <v>-</v>
      </c>
      <c r="Y50" s="45">
        <f>IFERROR(VLOOKUP(B50,Baza[[№]:[Profit]],23,0),"")</f>
        <v>-2</v>
      </c>
      <c r="Z50" s="44">
        <f>IFERROR(VLOOKUP(B50,Baza[[№]:[AFS]],24,0),"")</f>
        <v>375</v>
      </c>
      <c r="AA50" s="45">
        <f>IF(Таблица2[[#This Row],[Profit]]="","#Н/Д",SUM($Y$40:Y50))</f>
        <v>-1.9299999999999997</v>
      </c>
      <c r="AB50" s="45" t="b">
        <f>IF(Таблица2[[#This Row],[Grafik]]="#Н/Д",FALSE,TRUE)</f>
        <v>1</v>
      </c>
    </row>
    <row r="51" spans="1:28" ht="11.1" customHeight="1" x14ac:dyDescent="0.25">
      <c r="A51" s="93">
        <f t="shared" si="0"/>
        <v>12</v>
      </c>
      <c r="B51" s="48">
        <v>12</v>
      </c>
      <c r="C51" s="41">
        <f>IFERROR(VLOOKUP(B51,Baza[[№]:[Profit]],2,0),"")</f>
        <v>2021</v>
      </c>
      <c r="D5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13:00 $1,1 [PP] Bounty Hunter</v>
      </c>
      <c r="E5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$1,1 [PP] Bounty Hunter</v>
      </c>
      <c r="F51" s="43">
        <f>IFERROR(VLOOKUP(B51,Baza[[№]:[Profit]],3,0),"")</f>
        <v>1</v>
      </c>
      <c r="G51" s="43" t="str">
        <f>IFERROR(VLOOKUP(B51,Baza[[№]:[Profit]],4,0),"")</f>
        <v>пятница</v>
      </c>
      <c r="H51" s="43" t="str">
        <f>IFERROR(VLOOKUP(B51,Baza[[№]:[Profit]],5,0),"")</f>
        <v>январь</v>
      </c>
      <c r="I51" s="46">
        <f>IFERROR(VLOOKUP(B51,Baza[[№]:[Profit]],6,0),"")</f>
        <v>44197</v>
      </c>
      <c r="J51" s="49">
        <f>IFERROR(VLOOKUP(B51,Baza[[№]:[Profit]],7,0),"")</f>
        <v>0.54166666666666663</v>
      </c>
      <c r="K51" s="43">
        <f>IFERROR(VLOOKUP(B51,Baza[[№]:[Profit]],8,0),"")</f>
        <v>1.1000000000000001</v>
      </c>
      <c r="L51" s="43" t="str">
        <f>IFERROR(VLOOKUP(B51,Baza[[№]:[Profit]],9,0),"")</f>
        <v>PP</v>
      </c>
      <c r="M51" s="43" t="str">
        <f>IFERROR(VLOOKUP(B51,Baza[[№]:[Profit]],10,0),"")</f>
        <v>Bounty Hunter</v>
      </c>
      <c r="N51" s="43">
        <f>IFERROR(IF(VLOOKUP(B51,Baza[[№]:[Profit]],11,0)=0,"-",VLOOKUP(B51,Baza[[№]:[Profit]],11,0)),"")</f>
        <v>8</v>
      </c>
      <c r="O51" s="43" t="str">
        <f>IFERROR(IF(VLOOKUP(B51,Baza[[№]:[Profit]],12,0)=0,"-",VLOOKUP(B51,Baza[[№]:[Profit]],12,0)),"")</f>
        <v>-</v>
      </c>
      <c r="P51" s="43" t="str">
        <f>IFERROR(IF(VLOOKUP(B51,Baza[[№]:[Profit]],13,0)=0,"-",VLOOKUP(B51,Baza[[№]:[Profit]],13,0)),"")</f>
        <v>K</v>
      </c>
      <c r="Q51" s="43">
        <f>IFERROR(IF(VLOOKUP(B51,Baza[[№]:[Profit]],15,0)=0,"-",VLOOKUP(B51,Baza[[№]:[Profit]],15,0)),"")</f>
        <v>100</v>
      </c>
      <c r="R51" s="43">
        <f>IFERROR(IF(VLOOKUP(B51,Baza[[№]:[Profit]],16,0)=0,"-",VLOOKUP(B51,Baza[[№]:[Profit]],16,0)),"")</f>
        <v>1.37</v>
      </c>
      <c r="S51" s="43">
        <f>IFERROR(IF(VLOOKUP(B51,Baza[[№]:[Profit]],17,0)=0,"-",VLOOKUP(B51,Baza[[№]:[Profit]],17,0)),"")</f>
        <v>1.25</v>
      </c>
      <c r="T51" s="43" t="str">
        <f>IFERROR(IF(VLOOKUP(B51,Baza[[№]:[Profit]],18,0)=0,"-",VLOOKUP(B51,Baza[[№]:[Profit]],18,0)),"")</f>
        <v>-</v>
      </c>
      <c r="U51" s="41">
        <f>IFERROR(IF(VLOOKUP(B51,Baza[[№]:[Profit]],19,0)=0,"-",VLOOKUP(B51,Baza[[№]:[Profit]],19,0)),"")</f>
        <v>18</v>
      </c>
      <c r="V51" s="41">
        <f>IFERROR(VLOOKUP(B51,Baza[[№]:[Profit]],20,0),"")</f>
        <v>1.1000000000000001</v>
      </c>
      <c r="W51" s="41">
        <f>IFERROR(IF(VLOOKUP(B51,Baza[[№]:[Profit]],21,0)=0,"-",VLOOKUP(B51,Baza[[№]:[Profit]],21,0)),"")</f>
        <v>1.37</v>
      </c>
      <c r="X51" s="45">
        <f>IFERROR(IF(VLOOKUP(B51,Baza[[№]:[Profit]],22,0)=0,"-",VLOOKUP(B51,Baza[[№]:[Profit]],22,0)),"")</f>
        <v>1.25</v>
      </c>
      <c r="Y51" s="45">
        <f>IFERROR(VLOOKUP(B51,Baza[[№]:[Profit]],23,0),"")</f>
        <v>1.52</v>
      </c>
      <c r="Z51" s="44">
        <f>IFERROR(VLOOKUP(B51,Baza[[№]:[AFS]],24,0),"")</f>
        <v>90.909090909090907</v>
      </c>
      <c r="AA51" s="45">
        <f>IF(Таблица2[[#This Row],[Profit]]="","#Н/Д",SUM($Y$40:Y51))</f>
        <v>-0.4099999999999997</v>
      </c>
      <c r="AB51" s="45" t="b">
        <f>IF(Таблица2[[#This Row],[Grafik]]="#Н/Д",FALSE,TRUE)</f>
        <v>1</v>
      </c>
    </row>
    <row r="52" spans="1:28" ht="11.1" customHeight="1" x14ac:dyDescent="0.25">
      <c r="A52" s="93">
        <f t="shared" si="0"/>
        <v>13</v>
      </c>
      <c r="B52" s="48">
        <v>13</v>
      </c>
      <c r="C52" s="41">
        <f>IFERROR(VLOOKUP(B52,Baza[[№]:[Profit]],2,0),"")</f>
        <v>2021</v>
      </c>
      <c r="D5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14:00 $2,2 [PAC] Guaranteed</v>
      </c>
      <c r="E5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$2,2 [PAC] Guaranteed</v>
      </c>
      <c r="F52" s="43">
        <f>IFERROR(VLOOKUP(B52,Baza[[№]:[Profit]],3,0),"")</f>
        <v>1</v>
      </c>
      <c r="G52" s="43" t="str">
        <f>IFERROR(VLOOKUP(B52,Baza[[№]:[Profit]],4,0),"")</f>
        <v>пятница</v>
      </c>
      <c r="H52" s="43" t="str">
        <f>IFERROR(VLOOKUP(B52,Baza[[№]:[Profit]],5,0),"")</f>
        <v>январь</v>
      </c>
      <c r="I52" s="46">
        <f>IFERROR(VLOOKUP(B52,Baza[[№]:[Profit]],6,0),"")</f>
        <v>44197</v>
      </c>
      <c r="J52" s="49">
        <f>IFERROR(VLOOKUP(B52,Baza[[№]:[Profit]],7,0),"")</f>
        <v>0.58333333333333337</v>
      </c>
      <c r="K52" s="43">
        <f>IFERROR(VLOOKUP(B52,Baza[[№]:[Profit]],8,0),"")</f>
        <v>2.2000000000000002</v>
      </c>
      <c r="L52" s="43" t="str">
        <f>IFERROR(VLOOKUP(B52,Baza[[№]:[Profit]],9,0),"")</f>
        <v>PAC</v>
      </c>
      <c r="M52" s="43" t="str">
        <f>IFERROR(VLOOKUP(B52,Baza[[№]:[Profit]],10,0),"")</f>
        <v>Guaranteed</v>
      </c>
      <c r="N52" s="43">
        <f>IFERROR(IF(VLOOKUP(B52,Baza[[№]:[Profit]],11,0)=0,"-",VLOOKUP(B52,Baza[[№]:[Profit]],11,0)),"")</f>
        <v>9</v>
      </c>
      <c r="O52" s="43" t="str">
        <f>IFERROR(IF(VLOOKUP(B52,Baza[[№]:[Profit]],12,0)=0,"-",VLOOKUP(B52,Baza[[№]:[Profit]],12,0)),"")</f>
        <v>-</v>
      </c>
      <c r="P52" s="43" t="str">
        <f>IFERROR(IF(VLOOKUP(B52,Baza[[№]:[Profit]],13,0)=0,"-",VLOOKUP(B52,Baza[[№]:[Profit]],13,0)),"")</f>
        <v>-</v>
      </c>
      <c r="Q52" s="43">
        <f>IFERROR(IF(VLOOKUP(B52,Baza[[№]:[Profit]],15,0)=0,"-",VLOOKUP(B52,Baza[[№]:[Profit]],15,0)),"")</f>
        <v>500</v>
      </c>
      <c r="R52" s="43" t="str">
        <f>IFERROR(IF(VLOOKUP(B52,Baza[[№]:[Profit]],16,0)=0,"-",VLOOKUP(B52,Baza[[№]:[Profit]],16,0)),"")</f>
        <v>-</v>
      </c>
      <c r="S52" s="43" t="str">
        <f>IFERROR(IF(VLOOKUP(B52,Baza[[№]:[Profit]],17,0)=0,"-",VLOOKUP(B52,Baza[[№]:[Profit]],17,0)),"")</f>
        <v>-</v>
      </c>
      <c r="T52" s="43" t="str">
        <f>IFERROR(IF(VLOOKUP(B52,Baza[[№]:[Profit]],18,0)=0,"-",VLOOKUP(B52,Baza[[№]:[Profit]],18,0)),"")</f>
        <v>-</v>
      </c>
      <c r="U52" s="41" t="str">
        <f>IFERROR(IF(VLOOKUP(B52,Baza[[№]:[Profit]],19,0)=0,"-",VLOOKUP(B52,Baza[[№]:[Profit]],19,0)),"")</f>
        <v>-</v>
      </c>
      <c r="V52" s="41">
        <f>IFERROR(VLOOKUP(B52,Baza[[№]:[Profit]],20,0),"")</f>
        <v>2.2000000000000002</v>
      </c>
      <c r="W52" s="41" t="str">
        <f>IFERROR(IF(VLOOKUP(B52,Baza[[№]:[Profit]],21,0)=0,"-",VLOOKUP(B52,Baza[[№]:[Profit]],21,0)),"")</f>
        <v>-</v>
      </c>
      <c r="X52" s="45" t="str">
        <f>IFERROR(IF(VLOOKUP(B52,Baza[[№]:[Profit]],22,0)=0,"-",VLOOKUP(B52,Baza[[№]:[Profit]],22,0)),"")</f>
        <v>-</v>
      </c>
      <c r="Y52" s="45">
        <f>IFERROR(VLOOKUP(B52,Baza[[№]:[Profit]],23,0),"")</f>
        <v>-2.2000000000000002</v>
      </c>
      <c r="Z52" s="44">
        <f>IFERROR(VLOOKUP(B52,Baza[[№]:[AFS]],24,0),"")</f>
        <v>227.27272727272725</v>
      </c>
      <c r="AA52" s="45">
        <f>IF(Таблица2[[#This Row],[Profit]]="","#Н/Д",SUM($Y$40:Y52))</f>
        <v>-2.61</v>
      </c>
      <c r="AB52" s="45" t="b">
        <f>IF(Таблица2[[#This Row],[Grafik]]="#Н/Д",FALSE,TRUE)</f>
        <v>1</v>
      </c>
    </row>
    <row r="53" spans="1:28" ht="11.1" customHeight="1" x14ac:dyDescent="0.25">
      <c r="A53" s="93">
        <f t="shared" si="0"/>
        <v>14</v>
      </c>
      <c r="B53" s="48">
        <v>14</v>
      </c>
      <c r="C53" s="41">
        <f>IFERROR(VLOOKUP(B53,Baza[[№]:[Profit]],2,0),"")</f>
        <v>2021</v>
      </c>
      <c r="D5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14:20 $1,1 [PS] Progressive KO</v>
      </c>
      <c r="E5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$1,1 [PS] Progressive KO</v>
      </c>
      <c r="F53" s="43">
        <f>IFERROR(VLOOKUP(B53,Baza[[№]:[Profit]],3,0),"")</f>
        <v>1</v>
      </c>
      <c r="G53" s="43" t="str">
        <f>IFERROR(VLOOKUP(B53,Baza[[№]:[Profit]],4,0),"")</f>
        <v>пятница</v>
      </c>
      <c r="H53" s="43" t="str">
        <f>IFERROR(VLOOKUP(B53,Baza[[№]:[Profit]],5,0),"")</f>
        <v>январь</v>
      </c>
      <c r="I53" s="46">
        <f>IFERROR(VLOOKUP(B53,Baza[[№]:[Profit]],6,0),"")</f>
        <v>44197</v>
      </c>
      <c r="J53" s="49">
        <f>IFERROR(VLOOKUP(B53,Baza[[№]:[Profit]],7,0),"")</f>
        <v>0.59722222222222221</v>
      </c>
      <c r="K53" s="43">
        <f>IFERROR(VLOOKUP(B53,Baza[[№]:[Profit]],8,0),"")</f>
        <v>1.1000000000000001</v>
      </c>
      <c r="L53" s="43" t="str">
        <f>IFERROR(VLOOKUP(B53,Baza[[№]:[Profit]],9,0),"")</f>
        <v>PS</v>
      </c>
      <c r="M53" s="43" t="str">
        <f>IFERROR(VLOOKUP(B53,Baza[[№]:[Profit]],10,0),"")</f>
        <v>Progressive KO</v>
      </c>
      <c r="N53" s="43">
        <f>IFERROR(IF(VLOOKUP(B53,Baza[[№]:[Profit]],11,0)=0,"-",VLOOKUP(B53,Baza[[№]:[Profit]],11,0)),"")</f>
        <v>9</v>
      </c>
      <c r="O53" s="43" t="str">
        <f>IFERROR(IF(VLOOKUP(B53,Baza[[№]:[Profit]],12,0)=0,"-",VLOOKUP(B53,Baza[[№]:[Profit]],12,0)),"")</f>
        <v>-</v>
      </c>
      <c r="P53" s="43" t="str">
        <f>IFERROR(IF(VLOOKUP(B53,Baza[[№]:[Profit]],13,0)=0,"-",VLOOKUP(B53,Baza[[№]:[Profit]],13,0)),"")</f>
        <v>K</v>
      </c>
      <c r="Q53" s="43">
        <f>IFERROR(IF(VLOOKUP(B53,Baza[[№]:[Profit]],15,0)=0,"-",VLOOKUP(B53,Baza[[№]:[Profit]],15,0)),"")</f>
        <v>2000</v>
      </c>
      <c r="R53" s="43" t="str">
        <f>IFERROR(IF(VLOOKUP(B53,Baza[[№]:[Profit]],16,0)=0,"-",VLOOKUP(B53,Baza[[№]:[Profit]],16,0)),"")</f>
        <v>-</v>
      </c>
      <c r="S53" s="43" t="str">
        <f>IFERROR(IF(VLOOKUP(B53,Baza[[№]:[Profit]],17,0)=0,"-",VLOOKUP(B53,Baza[[№]:[Profit]],17,0)),"")</f>
        <v>-</v>
      </c>
      <c r="T53" s="43" t="str">
        <f>IFERROR(IF(VLOOKUP(B53,Baza[[№]:[Profit]],18,0)=0,"-",VLOOKUP(B53,Baza[[№]:[Profit]],18,0)),"")</f>
        <v>-</v>
      </c>
      <c r="U53" s="41" t="str">
        <f>IFERROR(IF(VLOOKUP(B53,Baza[[№]:[Profit]],19,0)=0,"-",VLOOKUP(B53,Baza[[№]:[Profit]],19,0)),"")</f>
        <v>-</v>
      </c>
      <c r="V53" s="41">
        <f>IFERROR(VLOOKUP(B53,Baza[[№]:[Profit]],20,0),"")</f>
        <v>1.1000000000000001</v>
      </c>
      <c r="W53" s="41" t="str">
        <f>IFERROR(IF(VLOOKUP(B53,Baza[[№]:[Profit]],21,0)=0,"-",VLOOKUP(B53,Baza[[№]:[Profit]],21,0)),"")</f>
        <v>-</v>
      </c>
      <c r="X53" s="45" t="str">
        <f>IFERROR(IF(VLOOKUP(B53,Baza[[№]:[Profit]],22,0)=0,"-",VLOOKUP(B53,Baza[[№]:[Profit]],22,0)),"")</f>
        <v>-</v>
      </c>
      <c r="Y53" s="45">
        <f>IFERROR(VLOOKUP(B53,Baza[[№]:[Profit]],23,0),"")</f>
        <v>-1.1000000000000001</v>
      </c>
      <c r="Z53" s="44">
        <f>IFERROR(VLOOKUP(B53,Baza[[№]:[AFS]],24,0),"")</f>
        <v>1818.181818181818</v>
      </c>
      <c r="AA53" s="45">
        <f>IF(Таблица2[[#This Row],[Profit]]="","#Н/Д",SUM($Y$40:Y53))</f>
        <v>-3.71</v>
      </c>
      <c r="AB53" s="45" t="b">
        <f>IF(Таблица2[[#This Row],[Grafik]]="#Н/Д",FALSE,TRUE)</f>
        <v>1</v>
      </c>
    </row>
    <row r="54" spans="1:28" ht="11.1" customHeight="1" x14ac:dyDescent="0.25">
      <c r="A54" s="93">
        <f t="shared" si="0"/>
        <v>15</v>
      </c>
      <c r="B54" s="48">
        <v>15</v>
      </c>
      <c r="C54" s="41">
        <f>IFERROR(VLOOKUP(B54,Baza[[№]:[Profit]],2,0),"")</f>
        <v>2021</v>
      </c>
      <c r="D5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14:30 $1,05 [GG] Bounty Hunters</v>
      </c>
      <c r="E5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$1,05 [GG] Bounty Hunters</v>
      </c>
      <c r="F54" s="43">
        <f>IFERROR(VLOOKUP(B54,Baza[[№]:[Profit]],3,0),"")</f>
        <v>1</v>
      </c>
      <c r="G54" s="43" t="str">
        <f>IFERROR(VLOOKUP(B54,Baza[[№]:[Profit]],4,0),"")</f>
        <v>пятница</v>
      </c>
      <c r="H54" s="43" t="str">
        <f>IFERROR(VLOOKUP(B54,Baza[[№]:[Profit]],5,0),"")</f>
        <v>январь</v>
      </c>
      <c r="I54" s="46">
        <f>IFERROR(VLOOKUP(B54,Baza[[№]:[Profit]],6,0),"")</f>
        <v>44197</v>
      </c>
      <c r="J54" s="49">
        <f>IFERROR(VLOOKUP(B54,Baza[[№]:[Profit]],7,0),"")</f>
        <v>0.60416666666666663</v>
      </c>
      <c r="K54" s="43">
        <f>IFERROR(VLOOKUP(B54,Baza[[№]:[Profit]],8,0),"")</f>
        <v>1.05</v>
      </c>
      <c r="L54" s="43" t="str">
        <f>IFERROR(VLOOKUP(B54,Baza[[№]:[Profit]],9,0),"")</f>
        <v>GG</v>
      </c>
      <c r="M54" s="43" t="str">
        <f>IFERROR(VLOOKUP(B54,Baza[[№]:[Profit]],10,0),"")</f>
        <v>Bounty Hunters</v>
      </c>
      <c r="N54" s="43">
        <f>IFERROR(IF(VLOOKUP(B54,Baza[[№]:[Profit]],11,0)=0,"-",VLOOKUP(B54,Baza[[№]:[Profit]],11,0)),"")</f>
        <v>8</v>
      </c>
      <c r="O54" s="43" t="str">
        <f>IFERROR(IF(VLOOKUP(B54,Baza[[№]:[Profit]],12,0)=0,"-",VLOOKUP(B54,Baza[[№]:[Profit]],12,0)),"")</f>
        <v>-</v>
      </c>
      <c r="P54" s="43" t="str">
        <f>IFERROR(IF(VLOOKUP(B54,Baza[[№]:[Profit]],13,0)=0,"-",VLOOKUP(B54,Baza[[№]:[Profit]],13,0)),"")</f>
        <v>K</v>
      </c>
      <c r="Q54" s="43">
        <f>IFERROR(IF(VLOOKUP(B54,Baza[[№]:[Profit]],15,0)=0,"-",VLOOKUP(B54,Baza[[№]:[Profit]],15,0)),"")</f>
        <v>750</v>
      </c>
      <c r="R54" s="43" t="str">
        <f>IFERROR(IF(VLOOKUP(B54,Baza[[№]:[Profit]],16,0)=0,"-",VLOOKUP(B54,Baza[[№]:[Profit]],16,0)),"")</f>
        <v>-</v>
      </c>
      <c r="S54" s="43" t="str">
        <f>IFERROR(IF(VLOOKUP(B54,Baza[[№]:[Profit]],17,0)=0,"-",VLOOKUP(B54,Baza[[№]:[Profit]],17,0)),"")</f>
        <v>-</v>
      </c>
      <c r="T54" s="43" t="str">
        <f>IFERROR(IF(VLOOKUP(B54,Baza[[№]:[Profit]],18,0)=0,"-",VLOOKUP(B54,Baza[[№]:[Profit]],18,0)),"")</f>
        <v>-</v>
      </c>
      <c r="U54" s="41" t="str">
        <f>IFERROR(IF(VLOOKUP(B54,Baza[[№]:[Profit]],19,0)=0,"-",VLOOKUP(B54,Baza[[№]:[Profit]],19,0)),"")</f>
        <v>-</v>
      </c>
      <c r="V54" s="41">
        <f>IFERROR(VLOOKUP(B54,Baza[[№]:[Profit]],20,0),"")</f>
        <v>1.05</v>
      </c>
      <c r="W54" s="41" t="str">
        <f>IFERROR(IF(VLOOKUP(B54,Baza[[№]:[Profit]],21,0)=0,"-",VLOOKUP(B54,Baza[[№]:[Profit]],21,0)),"")</f>
        <v>-</v>
      </c>
      <c r="X54" s="45" t="str">
        <f>IFERROR(IF(VLOOKUP(B54,Baza[[№]:[Profit]],22,0)=0,"-",VLOOKUP(B54,Baza[[№]:[Profit]],22,0)),"")</f>
        <v>-</v>
      </c>
      <c r="Y54" s="45">
        <f>IFERROR(VLOOKUP(B54,Baza[[№]:[Profit]],23,0),"")</f>
        <v>-1.05</v>
      </c>
      <c r="Z54" s="44">
        <f>IFERROR(VLOOKUP(B54,Baza[[№]:[AFS]],24,0),"")</f>
        <v>714.28571428571422</v>
      </c>
      <c r="AA54" s="45">
        <f>IF(Таблица2[[#This Row],[Profit]]="","#Н/Д",SUM($Y$40:Y54))</f>
        <v>-4.76</v>
      </c>
      <c r="AB54" s="45" t="b">
        <f>IF(Таблица2[[#This Row],[Grafik]]="#Н/Д",FALSE,TRUE)</f>
        <v>1</v>
      </c>
    </row>
    <row r="55" spans="1:28" ht="11.1" customHeight="1" x14ac:dyDescent="0.25">
      <c r="A55" s="93">
        <f t="shared" si="0"/>
        <v>16</v>
      </c>
      <c r="B55" s="48">
        <v>16</v>
      </c>
      <c r="C55" s="41">
        <f>IFERROR(VLOOKUP(B55,Baza[[№]:[Profit]],2,0),"")</f>
        <v>2021</v>
      </c>
      <c r="D5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15:00 $1,1 [PP] Bounty Hunter</v>
      </c>
      <c r="E5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$1,1 [PP] Bounty Hunter</v>
      </c>
      <c r="F55" s="43">
        <f>IFERROR(VLOOKUP(B55,Baza[[№]:[Profit]],3,0),"")</f>
        <v>1</v>
      </c>
      <c r="G55" s="43" t="str">
        <f>IFERROR(VLOOKUP(B55,Baza[[№]:[Profit]],4,0),"")</f>
        <v>пятница</v>
      </c>
      <c r="H55" s="43" t="str">
        <f>IFERROR(VLOOKUP(B55,Baza[[№]:[Profit]],5,0),"")</f>
        <v>январь</v>
      </c>
      <c r="I55" s="46">
        <f>IFERROR(VLOOKUP(B55,Baza[[№]:[Profit]],6,0),"")</f>
        <v>44197</v>
      </c>
      <c r="J55" s="49">
        <f>IFERROR(VLOOKUP(B55,Baza[[№]:[Profit]],7,0),"")</f>
        <v>0.625</v>
      </c>
      <c r="K55" s="43">
        <f>IFERROR(VLOOKUP(B55,Baza[[№]:[Profit]],8,0),"")</f>
        <v>1.1000000000000001</v>
      </c>
      <c r="L55" s="43" t="str">
        <f>IFERROR(VLOOKUP(B55,Baza[[№]:[Profit]],9,0),"")</f>
        <v>PP</v>
      </c>
      <c r="M55" s="43" t="str">
        <f>IFERROR(VLOOKUP(B55,Baza[[№]:[Profit]],10,0),"")</f>
        <v>Bounty Hunter</v>
      </c>
      <c r="N55" s="43">
        <f>IFERROR(IF(VLOOKUP(B55,Baza[[№]:[Profit]],11,0)=0,"-",VLOOKUP(B55,Baza[[№]:[Profit]],11,0)),"")</f>
        <v>8</v>
      </c>
      <c r="O55" s="43" t="str">
        <f>IFERROR(IF(VLOOKUP(B55,Baza[[№]:[Profit]],12,0)=0,"-",VLOOKUP(B55,Baza[[№]:[Profit]],12,0)),"")</f>
        <v>-</v>
      </c>
      <c r="P55" s="43" t="str">
        <f>IFERROR(IF(VLOOKUP(B55,Baza[[№]:[Profit]],13,0)=0,"-",VLOOKUP(B55,Baza[[№]:[Profit]],13,0)),"")</f>
        <v>K</v>
      </c>
      <c r="Q55" s="43">
        <f>IFERROR(IF(VLOOKUP(B55,Baza[[№]:[Profit]],15,0)=0,"-",VLOOKUP(B55,Baza[[№]:[Profit]],15,0)),"")</f>
        <v>200</v>
      </c>
      <c r="R55" s="43" t="str">
        <f>IFERROR(IF(VLOOKUP(B55,Baza[[№]:[Profit]],16,0)=0,"-",VLOOKUP(B55,Baza[[№]:[Profit]],16,0)),"")</f>
        <v>-</v>
      </c>
      <c r="S55" s="43" t="str">
        <f>IFERROR(IF(VLOOKUP(B55,Baza[[№]:[Profit]],17,0)=0,"-",VLOOKUP(B55,Baza[[№]:[Profit]],17,0)),"")</f>
        <v>-</v>
      </c>
      <c r="T55" s="43" t="str">
        <f>IFERROR(IF(VLOOKUP(B55,Baza[[№]:[Profit]],18,0)=0,"-",VLOOKUP(B55,Baza[[№]:[Profit]],18,0)),"")</f>
        <v>-</v>
      </c>
      <c r="U55" s="41" t="str">
        <f>IFERROR(IF(VLOOKUP(B55,Baza[[№]:[Profit]],19,0)=0,"-",VLOOKUP(B55,Baza[[№]:[Profit]],19,0)),"")</f>
        <v>-</v>
      </c>
      <c r="V55" s="41">
        <f>IFERROR(VLOOKUP(B55,Baza[[№]:[Profit]],20,0),"")</f>
        <v>1.1000000000000001</v>
      </c>
      <c r="W55" s="41" t="str">
        <f>IFERROR(IF(VLOOKUP(B55,Baza[[№]:[Profit]],21,0)=0,"-",VLOOKUP(B55,Baza[[№]:[Profit]],21,0)),"")</f>
        <v>-</v>
      </c>
      <c r="X55" s="45" t="str">
        <f>IFERROR(IF(VLOOKUP(B55,Baza[[№]:[Profit]],22,0)=0,"-",VLOOKUP(B55,Baza[[№]:[Profit]],22,0)),"")</f>
        <v>-</v>
      </c>
      <c r="Y55" s="45">
        <f>IFERROR(VLOOKUP(B55,Baza[[№]:[Profit]],23,0),"")</f>
        <v>-1.1000000000000001</v>
      </c>
      <c r="Z55" s="44">
        <f>IFERROR(VLOOKUP(B55,Baza[[№]:[AFS]],24,0),"")</f>
        <v>181.81818181818181</v>
      </c>
      <c r="AA55" s="45">
        <f>IF(Таблица2[[#This Row],[Profit]]="","#Н/Д",SUM($Y$40:Y55))</f>
        <v>-5.8599999999999994</v>
      </c>
      <c r="AB55" s="45" t="b">
        <f>IF(Таблица2[[#This Row],[Grafik]]="#Н/Д",FALSE,TRUE)</f>
        <v>1</v>
      </c>
    </row>
    <row r="56" spans="1:28" ht="11.1" customHeight="1" x14ac:dyDescent="0.25">
      <c r="A56" s="93">
        <f t="shared" si="0"/>
        <v>17</v>
      </c>
      <c r="B56" s="48">
        <v>17</v>
      </c>
      <c r="C56" s="41">
        <f>IFERROR(VLOOKUP(B56,Baza[[№]:[Profit]],2,0),"")</f>
        <v>2021</v>
      </c>
      <c r="D5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15:00 $1,1 [PS] GTD</v>
      </c>
      <c r="E5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$1,1 [PS] GTD</v>
      </c>
      <c r="F56" s="43">
        <f>IFERROR(VLOOKUP(B56,Baza[[№]:[Profit]],3,0),"")</f>
        <v>1</v>
      </c>
      <c r="G56" s="43" t="str">
        <f>IFERROR(VLOOKUP(B56,Baza[[№]:[Profit]],4,0),"")</f>
        <v>пятница</v>
      </c>
      <c r="H56" s="43" t="str">
        <f>IFERROR(VLOOKUP(B56,Baza[[№]:[Profit]],5,0),"")</f>
        <v>январь</v>
      </c>
      <c r="I56" s="46">
        <f>IFERROR(VLOOKUP(B56,Baza[[№]:[Profit]],6,0),"")</f>
        <v>44197</v>
      </c>
      <c r="J56" s="49">
        <f>IFERROR(VLOOKUP(B56,Baza[[№]:[Profit]],7,0),"")</f>
        <v>0.625</v>
      </c>
      <c r="K56" s="43">
        <f>IFERROR(VLOOKUP(B56,Baza[[№]:[Profit]],8,0),"")</f>
        <v>1.1000000000000001</v>
      </c>
      <c r="L56" s="43" t="str">
        <f>IFERROR(VLOOKUP(B56,Baza[[№]:[Profit]],9,0),"")</f>
        <v>PS</v>
      </c>
      <c r="M56" s="43" t="str">
        <f>IFERROR(VLOOKUP(B56,Baza[[№]:[Profit]],10,0),"")</f>
        <v>GTD</v>
      </c>
      <c r="N56" s="43">
        <f>IFERROR(IF(VLOOKUP(B56,Baza[[№]:[Profit]],11,0)=0,"-",VLOOKUP(B56,Baza[[№]:[Profit]],11,0)),"")</f>
        <v>9</v>
      </c>
      <c r="O56" s="43" t="str">
        <f>IFERROR(IF(VLOOKUP(B56,Baza[[№]:[Profit]],12,0)=0,"-",VLOOKUP(B56,Baza[[№]:[Profit]],12,0)),"")</f>
        <v>-</v>
      </c>
      <c r="P56" s="43" t="str">
        <f>IFERROR(IF(VLOOKUP(B56,Baza[[№]:[Profit]],13,0)=0,"-",VLOOKUP(B56,Baza[[№]:[Profit]],13,0)),"")</f>
        <v>-</v>
      </c>
      <c r="Q56" s="43">
        <f>IFERROR(IF(VLOOKUP(B56,Baza[[№]:[Profit]],15,0)=0,"-",VLOOKUP(B56,Baza[[№]:[Profit]],15,0)),"")</f>
        <v>750</v>
      </c>
      <c r="R56" s="43" t="str">
        <f>IFERROR(IF(VLOOKUP(B56,Baza[[№]:[Profit]],16,0)=0,"-",VLOOKUP(B56,Baza[[№]:[Profit]],16,0)),"")</f>
        <v>-</v>
      </c>
      <c r="S56" s="43">
        <f>IFERROR(IF(VLOOKUP(B56,Baza[[№]:[Profit]],17,0)=0,"-",VLOOKUP(B56,Baza[[№]:[Profit]],17,0)),"")</f>
        <v>6.47</v>
      </c>
      <c r="T56" s="43" t="str">
        <f>IFERROR(IF(VLOOKUP(B56,Baza[[№]:[Profit]],18,0)=0,"-",VLOOKUP(B56,Baza[[№]:[Profit]],18,0)),"")</f>
        <v>-</v>
      </c>
      <c r="U56" s="41">
        <f>IFERROR(IF(VLOOKUP(B56,Baza[[№]:[Profit]],19,0)=0,"-",VLOOKUP(B56,Baza[[№]:[Profit]],19,0)),"")</f>
        <v>19</v>
      </c>
      <c r="V56" s="41">
        <f>IFERROR(VLOOKUP(B56,Baza[[№]:[Profit]],20,0),"")</f>
        <v>1.1000000000000001</v>
      </c>
      <c r="W56" s="41" t="str">
        <f>IFERROR(IF(VLOOKUP(B56,Baza[[№]:[Profit]],21,0)=0,"-",VLOOKUP(B56,Baza[[№]:[Profit]],21,0)),"")</f>
        <v>-</v>
      </c>
      <c r="X56" s="45">
        <f>IFERROR(IF(VLOOKUP(B56,Baza[[№]:[Profit]],22,0)=0,"-",VLOOKUP(B56,Baza[[№]:[Profit]],22,0)),"")</f>
        <v>6.47</v>
      </c>
      <c r="Y56" s="45">
        <f>IFERROR(VLOOKUP(B56,Baza[[№]:[Profit]],23,0),"")</f>
        <v>5.3699999999999992</v>
      </c>
      <c r="Z56" s="44">
        <f>IFERROR(VLOOKUP(B56,Baza[[№]:[AFS]],24,0),"")</f>
        <v>681.81818181818176</v>
      </c>
      <c r="AA56" s="45">
        <f>IF(Таблица2[[#This Row],[Profit]]="","#Н/Д",SUM($Y$40:Y56))</f>
        <v>-0.49000000000000021</v>
      </c>
      <c r="AB56" s="45" t="b">
        <f>IF(Таблица2[[#This Row],[Grafik]]="#Н/Д",FALSE,TRUE)</f>
        <v>1</v>
      </c>
    </row>
    <row r="57" spans="1:28" ht="11.1" customHeight="1" x14ac:dyDescent="0.25">
      <c r="A57" s="93">
        <f t="shared" si="0"/>
        <v>18</v>
      </c>
      <c r="B57" s="48">
        <v>18</v>
      </c>
      <c r="C57" s="41">
        <f>IFERROR(VLOOKUP(B57,Baza[[№]:[Profit]],2,0),"")</f>
        <v>2021</v>
      </c>
      <c r="D5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15:00 €1 [WN] Monster Stack</v>
      </c>
      <c r="E5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€1 [WN] Monster Stack</v>
      </c>
      <c r="F57" s="43">
        <f>IFERROR(VLOOKUP(B57,Baza[[№]:[Profit]],3,0),"")</f>
        <v>1</v>
      </c>
      <c r="G57" s="43" t="str">
        <f>IFERROR(VLOOKUP(B57,Baza[[№]:[Profit]],4,0),"")</f>
        <v>пятница</v>
      </c>
      <c r="H57" s="43" t="str">
        <f>IFERROR(VLOOKUP(B57,Baza[[№]:[Profit]],5,0),"")</f>
        <v>январь</v>
      </c>
      <c r="I57" s="46">
        <f>IFERROR(VLOOKUP(B57,Baza[[№]:[Profit]],6,0),"")</f>
        <v>44197</v>
      </c>
      <c r="J57" s="49">
        <f>IFERROR(VLOOKUP(B57,Baza[[№]:[Profit]],7,0),"")</f>
        <v>0.625</v>
      </c>
      <c r="K57" s="43">
        <f>IFERROR(VLOOKUP(B57,Baza[[№]:[Profit]],8,0),"")</f>
        <v>1</v>
      </c>
      <c r="L57" s="43" t="str">
        <f>IFERROR(VLOOKUP(B57,Baza[[№]:[Profit]],9,0),"")</f>
        <v>WN</v>
      </c>
      <c r="M57" s="43" t="str">
        <f>IFERROR(VLOOKUP(B57,Baza[[№]:[Profit]],10,0),"")</f>
        <v>Monster Stack</v>
      </c>
      <c r="N57" s="43">
        <f>IFERROR(IF(VLOOKUP(B57,Baza[[№]:[Profit]],11,0)=0,"-",VLOOKUP(B57,Baza[[№]:[Profit]],11,0)),"")</f>
        <v>6</v>
      </c>
      <c r="O57" s="43" t="str">
        <f>IFERROR(IF(VLOOKUP(B57,Baza[[№]:[Profit]],12,0)=0,"-",VLOOKUP(B57,Baza[[№]:[Profit]],12,0)),"")</f>
        <v>-</v>
      </c>
      <c r="P57" s="43" t="str">
        <f>IFERROR(IF(VLOOKUP(B57,Baza[[№]:[Profit]],13,0)=0,"-",VLOOKUP(B57,Baza[[№]:[Profit]],13,0)),"")</f>
        <v>-</v>
      </c>
      <c r="Q57" s="43">
        <f>IFERROR(IF(VLOOKUP(B57,Baza[[№]:[Profit]],15,0)=0,"-",VLOOKUP(B57,Baza[[№]:[Profit]],15,0)),"")</f>
        <v>250</v>
      </c>
      <c r="R57" s="43" t="str">
        <f>IFERROR(IF(VLOOKUP(B57,Baza[[№]:[Profit]],16,0)=0,"-",VLOOKUP(B57,Baza[[№]:[Profit]],16,0)),"")</f>
        <v>-</v>
      </c>
      <c r="S57" s="43" t="str">
        <f>IFERROR(IF(VLOOKUP(B57,Baza[[№]:[Profit]],17,0)=0,"-",VLOOKUP(B57,Baza[[№]:[Profit]],17,0)),"")</f>
        <v>-</v>
      </c>
      <c r="T57" s="43" t="str">
        <f>IFERROR(IF(VLOOKUP(B57,Baza[[№]:[Profit]],18,0)=0,"-",VLOOKUP(B57,Baza[[№]:[Profit]],18,0)),"")</f>
        <v>-</v>
      </c>
      <c r="U57" s="41" t="str">
        <f>IFERROR(IF(VLOOKUP(B57,Baza[[№]:[Profit]],19,0)=0,"-",VLOOKUP(B57,Baza[[№]:[Profit]],19,0)),"")</f>
        <v>-</v>
      </c>
      <c r="V57" s="41">
        <f>IFERROR(VLOOKUP(B57,Baza[[№]:[Profit]],20,0),"")</f>
        <v>1.1200000000000001</v>
      </c>
      <c r="W57" s="41" t="str">
        <f>IFERROR(IF(VLOOKUP(B57,Baza[[№]:[Profit]],21,0)=0,"-",VLOOKUP(B57,Baza[[№]:[Profit]],21,0)),"")</f>
        <v>-</v>
      </c>
      <c r="X57" s="45" t="str">
        <f>IFERROR(IF(VLOOKUP(B57,Baza[[№]:[Profit]],22,0)=0,"-",VLOOKUP(B57,Baza[[№]:[Profit]],22,0)),"")</f>
        <v>-</v>
      </c>
      <c r="Y57" s="45">
        <f>IFERROR(VLOOKUP(B57,Baza[[№]:[Profit]],23,0),"")</f>
        <v>-1.1200000000000001</v>
      </c>
      <c r="Z57" s="44">
        <f>IFERROR(VLOOKUP(B57,Baza[[№]:[AFS]],24,0),"")</f>
        <v>250</v>
      </c>
      <c r="AA57" s="45">
        <f>IF(Таблица2[[#This Row],[Profit]]="","#Н/Д",SUM($Y$40:Y57))</f>
        <v>-1.6100000000000003</v>
      </c>
      <c r="AB57" s="45" t="b">
        <f>IF(Таблица2[[#This Row],[Grafik]]="#Н/Д",FALSE,TRUE)</f>
        <v>1</v>
      </c>
    </row>
    <row r="58" spans="1:28" ht="11.1" customHeight="1" x14ac:dyDescent="0.25">
      <c r="A58" s="93">
        <f t="shared" si="0"/>
        <v>19</v>
      </c>
      <c r="B58" s="48">
        <v>19</v>
      </c>
      <c r="C58" s="41">
        <f>IFERROR(VLOOKUP(B58,Baza[[№]:[Profit]],2,0),"")</f>
        <v>2021</v>
      </c>
      <c r="D5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16:00 $1 [PAC] 6-Max Think Fast</v>
      </c>
      <c r="E5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$1 [PAC] 6-Max Think Fast</v>
      </c>
      <c r="F58" s="43">
        <f>IFERROR(VLOOKUP(B58,Baza[[№]:[Profit]],3,0),"")</f>
        <v>1</v>
      </c>
      <c r="G58" s="43" t="str">
        <f>IFERROR(VLOOKUP(B58,Baza[[№]:[Profit]],4,0),"")</f>
        <v>пятница</v>
      </c>
      <c r="H58" s="43" t="str">
        <f>IFERROR(VLOOKUP(B58,Baza[[№]:[Profit]],5,0),"")</f>
        <v>январь</v>
      </c>
      <c r="I58" s="46">
        <f>IFERROR(VLOOKUP(B58,Baza[[№]:[Profit]],6,0),"")</f>
        <v>44197</v>
      </c>
      <c r="J58" s="49">
        <f>IFERROR(VLOOKUP(B58,Baza[[№]:[Profit]],7,0),"")</f>
        <v>0.66666666666666663</v>
      </c>
      <c r="K58" s="43">
        <f>IFERROR(VLOOKUP(B58,Baza[[№]:[Profit]],8,0),"")</f>
        <v>1</v>
      </c>
      <c r="L58" s="43" t="str">
        <f>IFERROR(VLOOKUP(B58,Baza[[№]:[Profit]],9,0),"")</f>
        <v>PAC</v>
      </c>
      <c r="M58" s="43" t="str">
        <f>IFERROR(VLOOKUP(B58,Baza[[№]:[Profit]],10,0),"")</f>
        <v>6-Max Think Fast</v>
      </c>
      <c r="N58" s="43">
        <f>IFERROR(IF(VLOOKUP(B58,Baza[[№]:[Profit]],11,0)=0,"-",VLOOKUP(B58,Baza[[№]:[Profit]],11,0)),"")</f>
        <v>6</v>
      </c>
      <c r="O58" s="43" t="str">
        <f>IFERROR(IF(VLOOKUP(B58,Baza[[№]:[Profit]],12,0)=0,"-",VLOOKUP(B58,Baza[[№]:[Profit]],12,0)),"")</f>
        <v>-</v>
      </c>
      <c r="P58" s="43" t="str">
        <f>IFERROR(IF(VLOOKUP(B58,Baza[[№]:[Profit]],13,0)=0,"-",VLOOKUP(B58,Baza[[№]:[Profit]],13,0)),"")</f>
        <v>-</v>
      </c>
      <c r="Q58" s="43">
        <f>IFERROR(IF(VLOOKUP(B58,Baza[[№]:[Profit]],15,0)=0,"-",VLOOKUP(B58,Baza[[№]:[Profit]],15,0)),"")</f>
        <v>300</v>
      </c>
      <c r="R58" s="43" t="str">
        <f>IFERROR(IF(VLOOKUP(B58,Baza[[№]:[Profit]],16,0)=0,"-",VLOOKUP(B58,Baza[[№]:[Profit]],16,0)),"")</f>
        <v>-</v>
      </c>
      <c r="S58" s="43" t="str">
        <f>IFERROR(IF(VLOOKUP(B58,Baza[[№]:[Profit]],17,0)=0,"-",VLOOKUP(B58,Baza[[№]:[Profit]],17,0)),"")</f>
        <v>-</v>
      </c>
      <c r="T58" s="43" t="str">
        <f>IFERROR(IF(VLOOKUP(B58,Baza[[№]:[Profit]],18,0)=0,"-",VLOOKUP(B58,Baza[[№]:[Profit]],18,0)),"")</f>
        <v>-</v>
      </c>
      <c r="U58" s="41" t="str">
        <f>IFERROR(IF(VLOOKUP(B58,Baza[[№]:[Profit]],19,0)=0,"-",VLOOKUP(B58,Baza[[№]:[Profit]],19,0)),"")</f>
        <v>-</v>
      </c>
      <c r="V58" s="41">
        <f>IFERROR(VLOOKUP(B58,Baza[[№]:[Profit]],20,0),"")</f>
        <v>1</v>
      </c>
      <c r="W58" s="41" t="str">
        <f>IFERROR(IF(VLOOKUP(B58,Baza[[№]:[Profit]],21,0)=0,"-",VLOOKUP(B58,Baza[[№]:[Profit]],21,0)),"")</f>
        <v>-</v>
      </c>
      <c r="X58" s="45" t="str">
        <f>IFERROR(IF(VLOOKUP(B58,Baza[[№]:[Profit]],22,0)=0,"-",VLOOKUP(B58,Baza[[№]:[Profit]],22,0)),"")</f>
        <v>-</v>
      </c>
      <c r="Y58" s="45">
        <f>IFERROR(VLOOKUP(B58,Baza[[№]:[Profit]],23,0),"")</f>
        <v>-1</v>
      </c>
      <c r="Z58" s="44">
        <f>IFERROR(VLOOKUP(B58,Baza[[№]:[AFS]],24,0),"")</f>
        <v>300</v>
      </c>
      <c r="AA58" s="45">
        <f>IF(Таблица2[[#This Row],[Profit]]="","#Н/Д",SUM($Y$40:Y58))</f>
        <v>-2.6100000000000003</v>
      </c>
      <c r="AB58" s="45" t="b">
        <f>IF(Таблица2[[#This Row],[Grafik]]="#Н/Д",FALSE,TRUE)</f>
        <v>1</v>
      </c>
    </row>
    <row r="59" spans="1:28" ht="11.1" customHeight="1" x14ac:dyDescent="0.25">
      <c r="A59" s="93">
        <f t="shared" si="0"/>
        <v>20</v>
      </c>
      <c r="B59" s="48">
        <v>20</v>
      </c>
      <c r="C59" s="41">
        <f>IFERROR(VLOOKUP(B59,Baza[[№]:[Profit]],2,0),"")</f>
        <v>2021</v>
      </c>
      <c r="D5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16:15 $1,1 [PAC] Guaranteed PKO</v>
      </c>
      <c r="E5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$1,1 [PAC] Guaranteed PKO</v>
      </c>
      <c r="F59" s="43">
        <f>IFERROR(VLOOKUP(B59,Baza[[№]:[Profit]],3,0),"")</f>
        <v>1</v>
      </c>
      <c r="G59" s="43" t="str">
        <f>IFERROR(VLOOKUP(B59,Baza[[№]:[Profit]],4,0),"")</f>
        <v>пятница</v>
      </c>
      <c r="H59" s="43" t="str">
        <f>IFERROR(VLOOKUP(B59,Baza[[№]:[Profit]],5,0),"")</f>
        <v>январь</v>
      </c>
      <c r="I59" s="46">
        <f>IFERROR(VLOOKUP(B59,Baza[[№]:[Profit]],6,0),"")</f>
        <v>44197</v>
      </c>
      <c r="J59" s="49">
        <f>IFERROR(VLOOKUP(B59,Baza[[№]:[Profit]],7,0),"")</f>
        <v>0.67708333333333337</v>
      </c>
      <c r="K59" s="43">
        <f>IFERROR(VLOOKUP(B59,Baza[[№]:[Profit]],8,0),"")</f>
        <v>1.1000000000000001</v>
      </c>
      <c r="L59" s="43" t="str">
        <f>IFERROR(VLOOKUP(B59,Baza[[№]:[Profit]],9,0),"")</f>
        <v>PAC</v>
      </c>
      <c r="M59" s="43" t="str">
        <f>IFERROR(VLOOKUP(B59,Baza[[№]:[Profit]],10,0),"")</f>
        <v>Guaranteed PKO</v>
      </c>
      <c r="N59" s="43">
        <f>IFERROR(IF(VLOOKUP(B59,Baza[[№]:[Profit]],11,0)=0,"-",VLOOKUP(B59,Baza[[№]:[Profit]],11,0)),"")</f>
        <v>9</v>
      </c>
      <c r="O59" s="43" t="str">
        <f>IFERROR(IF(VLOOKUP(B59,Baza[[№]:[Profit]],12,0)=0,"-",VLOOKUP(B59,Baza[[№]:[Profit]],12,0)),"")</f>
        <v>-</v>
      </c>
      <c r="P59" s="43" t="str">
        <f>IFERROR(IF(VLOOKUP(B59,Baza[[№]:[Profit]],13,0)=0,"-",VLOOKUP(B59,Baza[[№]:[Profit]],13,0)),"")</f>
        <v>K</v>
      </c>
      <c r="Q59" s="43">
        <f>IFERROR(IF(VLOOKUP(B59,Baza[[№]:[Profit]],15,0)=0,"-",VLOOKUP(B59,Baza[[№]:[Profit]],15,0)),"")</f>
        <v>300</v>
      </c>
      <c r="R59" s="43">
        <f>IFERROR(IF(VLOOKUP(B59,Baza[[№]:[Profit]],16,0)=0,"-",VLOOKUP(B59,Baza[[№]:[Profit]],16,0)),"")</f>
        <v>0.25</v>
      </c>
      <c r="S59" s="43" t="str">
        <f>IFERROR(IF(VLOOKUP(B59,Baza[[№]:[Profit]],17,0)=0,"-",VLOOKUP(B59,Baza[[№]:[Profit]],17,0)),"")</f>
        <v>-</v>
      </c>
      <c r="T59" s="43" t="str">
        <f>IFERROR(IF(VLOOKUP(B59,Baza[[№]:[Profit]],18,0)=0,"-",VLOOKUP(B59,Baza[[№]:[Profit]],18,0)),"")</f>
        <v>-</v>
      </c>
      <c r="U59" s="41" t="str">
        <f>IFERROR(IF(VLOOKUP(B59,Baza[[№]:[Profit]],19,0)=0,"-",VLOOKUP(B59,Baza[[№]:[Profit]],19,0)),"")</f>
        <v>-</v>
      </c>
      <c r="V59" s="41">
        <f>IFERROR(VLOOKUP(B59,Baza[[№]:[Profit]],20,0),"")</f>
        <v>1.1000000000000001</v>
      </c>
      <c r="W59" s="41">
        <f>IFERROR(IF(VLOOKUP(B59,Baza[[№]:[Profit]],21,0)=0,"-",VLOOKUP(B59,Baza[[№]:[Profit]],21,0)),"")</f>
        <v>0.25</v>
      </c>
      <c r="X59" s="45" t="str">
        <f>IFERROR(IF(VLOOKUP(B59,Baza[[№]:[Profit]],22,0)=0,"-",VLOOKUP(B59,Baza[[№]:[Profit]],22,0)),"")</f>
        <v>-</v>
      </c>
      <c r="Y59" s="45">
        <f>IFERROR(VLOOKUP(B59,Baza[[№]:[Profit]],23,0),"")</f>
        <v>-0.85000000000000009</v>
      </c>
      <c r="Z59" s="44">
        <f>IFERROR(VLOOKUP(B59,Baza[[№]:[AFS]],24,0),"")</f>
        <v>272.72727272727269</v>
      </c>
      <c r="AA59" s="45">
        <f>IF(Таблица2[[#This Row],[Profit]]="","#Н/Д",SUM($Y$40:Y59))</f>
        <v>-3.4600000000000004</v>
      </c>
      <c r="AB59" s="45" t="b">
        <f>IF(Таблица2[[#This Row],[Grafik]]="#Н/Д",FALSE,TRUE)</f>
        <v>1</v>
      </c>
    </row>
    <row r="60" spans="1:28" ht="11.1" customHeight="1" x14ac:dyDescent="0.25">
      <c r="A60" s="93">
        <f t="shared" si="0"/>
        <v>21</v>
      </c>
      <c r="B60" s="48">
        <v>21</v>
      </c>
      <c r="C60" s="41">
        <f>IFERROR(VLOOKUP(B60,Baza[[№]:[Profit]],2,0),"")</f>
        <v>2021</v>
      </c>
      <c r="D6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16:15 $1,1 [PS] GTD</v>
      </c>
      <c r="E6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$1,1 [PS] GTD</v>
      </c>
      <c r="F60" s="43">
        <f>IFERROR(VLOOKUP(B60,Baza[[№]:[Profit]],3,0),"")</f>
        <v>1</v>
      </c>
      <c r="G60" s="43" t="str">
        <f>IFERROR(VLOOKUP(B60,Baza[[№]:[Profit]],4,0),"")</f>
        <v>пятница</v>
      </c>
      <c r="H60" s="43" t="str">
        <f>IFERROR(VLOOKUP(B60,Baza[[№]:[Profit]],5,0),"")</f>
        <v>январь</v>
      </c>
      <c r="I60" s="46">
        <f>IFERROR(VLOOKUP(B60,Baza[[№]:[Profit]],6,0),"")</f>
        <v>44197</v>
      </c>
      <c r="J60" s="49">
        <f>IFERROR(VLOOKUP(B60,Baza[[№]:[Profit]],7,0),"")</f>
        <v>0.67708333333333337</v>
      </c>
      <c r="K60" s="43">
        <f>IFERROR(VLOOKUP(B60,Baza[[№]:[Profit]],8,0),"")</f>
        <v>1.1000000000000001</v>
      </c>
      <c r="L60" s="43" t="str">
        <f>IFERROR(VLOOKUP(B60,Baza[[№]:[Profit]],9,0),"")</f>
        <v>PS</v>
      </c>
      <c r="M60" s="43" t="str">
        <f>IFERROR(VLOOKUP(B60,Baza[[№]:[Profit]],10,0),"")</f>
        <v>GTD</v>
      </c>
      <c r="N60" s="43">
        <f>IFERROR(IF(VLOOKUP(B60,Baza[[№]:[Profit]],11,0)=0,"-",VLOOKUP(B60,Baza[[№]:[Profit]],11,0)),"")</f>
        <v>9</v>
      </c>
      <c r="O60" s="43" t="str">
        <f>IFERROR(IF(VLOOKUP(B60,Baza[[№]:[Profit]],12,0)=0,"-",VLOOKUP(B60,Baza[[№]:[Profit]],12,0)),"")</f>
        <v>-</v>
      </c>
      <c r="P60" s="43" t="str">
        <f>IFERROR(IF(VLOOKUP(B60,Baza[[№]:[Profit]],13,0)=0,"-",VLOOKUP(B60,Baza[[№]:[Profit]],13,0)),"")</f>
        <v>-</v>
      </c>
      <c r="Q60" s="43">
        <f>IFERROR(IF(VLOOKUP(B60,Baza[[№]:[Profit]],15,0)=0,"-",VLOOKUP(B60,Baza[[№]:[Profit]],15,0)),"")</f>
        <v>1500</v>
      </c>
      <c r="R60" s="43" t="str">
        <f>IFERROR(IF(VLOOKUP(B60,Baza[[№]:[Profit]],16,0)=0,"-",VLOOKUP(B60,Baza[[№]:[Profit]],16,0)),"")</f>
        <v>-</v>
      </c>
      <c r="S60" s="43">
        <f>IFERROR(IF(VLOOKUP(B60,Baza[[№]:[Profit]],17,0)=0,"-",VLOOKUP(B60,Baza[[№]:[Profit]],17,0)),"")</f>
        <v>3.97</v>
      </c>
      <c r="T60" s="43" t="str">
        <f>IFERROR(IF(VLOOKUP(B60,Baza[[№]:[Profit]],18,0)=0,"-",VLOOKUP(B60,Baza[[№]:[Profit]],18,0)),"")</f>
        <v>-</v>
      </c>
      <c r="U60" s="41">
        <f>IFERROR(IF(VLOOKUP(B60,Baza[[№]:[Profit]],19,0)=0,"-",VLOOKUP(B60,Baza[[№]:[Profit]],19,0)),"")</f>
        <v>145</v>
      </c>
      <c r="V60" s="41">
        <f>IFERROR(VLOOKUP(B60,Baza[[№]:[Profit]],20,0),"")</f>
        <v>1.1000000000000001</v>
      </c>
      <c r="W60" s="41" t="str">
        <f>IFERROR(IF(VLOOKUP(B60,Baza[[№]:[Profit]],21,0)=0,"-",VLOOKUP(B60,Baza[[№]:[Profit]],21,0)),"")</f>
        <v>-</v>
      </c>
      <c r="X60" s="45">
        <f>IFERROR(IF(VLOOKUP(B60,Baza[[№]:[Profit]],22,0)=0,"-",VLOOKUP(B60,Baza[[№]:[Profit]],22,0)),"")</f>
        <v>3.97</v>
      </c>
      <c r="Y60" s="45">
        <f>IFERROR(VLOOKUP(B60,Baza[[№]:[Profit]],23,0),"")</f>
        <v>2.87</v>
      </c>
      <c r="Z60" s="44">
        <f>IFERROR(VLOOKUP(B60,Baza[[№]:[AFS]],24,0),"")</f>
        <v>1363.6363636363635</v>
      </c>
      <c r="AA60" s="45">
        <f>IF(Таблица2[[#This Row],[Profit]]="","#Н/Д",SUM($Y$40:Y60))</f>
        <v>-0.5900000000000003</v>
      </c>
      <c r="AB60" s="45" t="b">
        <f>IF(Таблица2[[#This Row],[Grafik]]="#Н/Д",FALSE,TRUE)</f>
        <v>1</v>
      </c>
    </row>
    <row r="61" spans="1:28" ht="11.1" customHeight="1" x14ac:dyDescent="0.25">
      <c r="A61" s="93">
        <f t="shared" si="0"/>
        <v>22</v>
      </c>
      <c r="B61" s="48">
        <v>22</v>
      </c>
      <c r="C61" s="41">
        <f>IFERROR(VLOOKUP(B61,Baza[[№]:[Profit]],2,0),"")</f>
        <v>2021</v>
      </c>
      <c r="D6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16:30 $2,2 [PAC] Guaranteed</v>
      </c>
      <c r="E6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$2,2 [PAC] Guaranteed</v>
      </c>
      <c r="F61" s="43">
        <f>IFERROR(VLOOKUP(B61,Baza[[№]:[Profit]],3,0),"")</f>
        <v>1</v>
      </c>
      <c r="G61" s="43" t="str">
        <f>IFERROR(VLOOKUP(B61,Baza[[№]:[Profit]],4,0),"")</f>
        <v>пятница</v>
      </c>
      <c r="H61" s="43" t="str">
        <f>IFERROR(VLOOKUP(B61,Baza[[№]:[Profit]],5,0),"")</f>
        <v>январь</v>
      </c>
      <c r="I61" s="46">
        <f>IFERROR(VLOOKUP(B61,Baza[[№]:[Profit]],6,0),"")</f>
        <v>44197</v>
      </c>
      <c r="J61" s="49">
        <f>IFERROR(VLOOKUP(B61,Baza[[№]:[Profit]],7,0),"")</f>
        <v>0.6875</v>
      </c>
      <c r="K61" s="43">
        <f>IFERROR(VLOOKUP(B61,Baza[[№]:[Profit]],8,0),"")</f>
        <v>2.2000000000000002</v>
      </c>
      <c r="L61" s="43" t="str">
        <f>IFERROR(VLOOKUP(B61,Baza[[№]:[Profit]],9,0),"")</f>
        <v>PAC</v>
      </c>
      <c r="M61" s="43" t="str">
        <f>IFERROR(VLOOKUP(B61,Baza[[№]:[Profit]],10,0),"")</f>
        <v>Guaranteed</v>
      </c>
      <c r="N61" s="43">
        <f>IFERROR(IF(VLOOKUP(B61,Baza[[№]:[Profit]],11,0)=0,"-",VLOOKUP(B61,Baza[[№]:[Profit]],11,0)),"")</f>
        <v>9</v>
      </c>
      <c r="O61" s="43" t="str">
        <f>IFERROR(IF(VLOOKUP(B61,Baza[[№]:[Profit]],12,0)=0,"-",VLOOKUP(B61,Baza[[№]:[Profit]],12,0)),"")</f>
        <v>-</v>
      </c>
      <c r="P61" s="43" t="str">
        <f>IFERROR(IF(VLOOKUP(B61,Baza[[№]:[Profit]],13,0)=0,"-",VLOOKUP(B61,Baza[[№]:[Profit]],13,0)),"")</f>
        <v>-</v>
      </c>
      <c r="Q61" s="43">
        <f>IFERROR(IF(VLOOKUP(B61,Baza[[№]:[Profit]],15,0)=0,"-",VLOOKUP(B61,Baza[[№]:[Profit]],15,0)),"")</f>
        <v>500</v>
      </c>
      <c r="R61" s="43" t="str">
        <f>IFERROR(IF(VLOOKUP(B61,Baza[[№]:[Profit]],16,0)=0,"-",VLOOKUP(B61,Baza[[№]:[Profit]],16,0)),"")</f>
        <v>-</v>
      </c>
      <c r="S61" s="43" t="str">
        <f>IFERROR(IF(VLOOKUP(B61,Baza[[№]:[Profit]],17,0)=0,"-",VLOOKUP(B61,Baza[[№]:[Profit]],17,0)),"")</f>
        <v>-</v>
      </c>
      <c r="T61" s="43" t="str">
        <f>IFERROR(IF(VLOOKUP(B61,Baza[[№]:[Profit]],18,0)=0,"-",VLOOKUP(B61,Baza[[№]:[Profit]],18,0)),"")</f>
        <v>-</v>
      </c>
      <c r="U61" s="41" t="str">
        <f>IFERROR(IF(VLOOKUP(B61,Baza[[№]:[Profit]],19,0)=0,"-",VLOOKUP(B61,Baza[[№]:[Profit]],19,0)),"")</f>
        <v>-</v>
      </c>
      <c r="V61" s="41">
        <f>IFERROR(VLOOKUP(B61,Baza[[№]:[Profit]],20,0),"")</f>
        <v>2.2000000000000002</v>
      </c>
      <c r="W61" s="41" t="str">
        <f>IFERROR(IF(VLOOKUP(B61,Baza[[№]:[Profit]],21,0)=0,"-",VLOOKUP(B61,Baza[[№]:[Profit]],21,0)),"")</f>
        <v>-</v>
      </c>
      <c r="X61" s="45" t="str">
        <f>IFERROR(IF(VLOOKUP(B61,Baza[[№]:[Profit]],22,0)=0,"-",VLOOKUP(B61,Baza[[№]:[Profit]],22,0)),"")</f>
        <v>-</v>
      </c>
      <c r="Y61" s="45">
        <f>IFERROR(VLOOKUP(B61,Baza[[№]:[Profit]],23,0),"")</f>
        <v>-2.2000000000000002</v>
      </c>
      <c r="Z61" s="44">
        <f>IFERROR(VLOOKUP(B61,Baza[[№]:[AFS]],24,0),"")</f>
        <v>227.27272727272725</v>
      </c>
      <c r="AA61" s="45">
        <f>IF(Таблица2[[#This Row],[Profit]]="","#Н/Д",SUM($Y$40:Y61))</f>
        <v>-2.7900000000000005</v>
      </c>
      <c r="AB61" s="45" t="b">
        <f>IF(Таблица2[[#This Row],[Grafik]]="#Н/Д",FALSE,TRUE)</f>
        <v>1</v>
      </c>
    </row>
    <row r="62" spans="1:28" ht="11.1" hidden="1" customHeight="1" x14ac:dyDescent="0.25">
      <c r="A62" s="93">
        <f t="shared" si="0"/>
        <v>23</v>
      </c>
      <c r="B62"/>
      <c r="C62" s="41" t="str">
        <f>IFERROR(VLOOKUP(B62,Baza[[№]:[Profit]],2,0),"")</f>
        <v/>
      </c>
      <c r="D6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2" s="43" t="str">
        <f>IFERROR(VLOOKUP(B62,Baza[[№]:[Profit]],3,0),"")</f>
        <v/>
      </c>
      <c r="G62" s="43" t="str">
        <f>IFERROR(VLOOKUP(B62,Baza[[№]:[Profit]],4,0),"")</f>
        <v/>
      </c>
      <c r="H62" s="43" t="str">
        <f>IFERROR(VLOOKUP(B62,Baza[[№]:[Profit]],5,0),"")</f>
        <v/>
      </c>
      <c r="I62" s="46" t="str">
        <f>IFERROR(VLOOKUP(B62,Baza[[№]:[Profit]],6,0),"")</f>
        <v/>
      </c>
      <c r="J62" s="49" t="str">
        <f>IFERROR(VLOOKUP(B62,Baza[[№]:[Profit]],7,0),"")</f>
        <v/>
      </c>
      <c r="K62" s="43" t="str">
        <f>IFERROR(VLOOKUP(B62,Baza[[№]:[Profit]],8,0),"")</f>
        <v/>
      </c>
      <c r="L62" s="43" t="str">
        <f>IFERROR(VLOOKUP(B62,Baza[[№]:[Profit]],9,0),"")</f>
        <v/>
      </c>
      <c r="M62" s="43" t="str">
        <f>IFERROR(VLOOKUP(B62,Baza[[№]:[Profit]],10,0),"")</f>
        <v/>
      </c>
      <c r="N62" s="43" t="str">
        <f>IFERROR(IF(VLOOKUP(B62,Baza[[№]:[Profit]],11,0)=0,"-",VLOOKUP(B62,Baza[[№]:[Profit]],11,0)),"")</f>
        <v/>
      </c>
      <c r="O62" s="43" t="str">
        <f>IFERROR(IF(VLOOKUP(B62,Baza[[№]:[Profit]],12,0)=0,"-",VLOOKUP(B62,Baza[[№]:[Profit]],12,0)),"")</f>
        <v/>
      </c>
      <c r="P62" s="43" t="str">
        <f>IFERROR(IF(VLOOKUP(B62,Baza[[№]:[Profit]],13,0)=0,"-",VLOOKUP(B62,Baza[[№]:[Profit]],13,0)),"")</f>
        <v/>
      </c>
      <c r="Q62" s="43" t="str">
        <f>IFERROR(IF(VLOOKUP(B62,Baza[[№]:[Profit]],15,0)=0,"-",VLOOKUP(B62,Baza[[№]:[Profit]],15,0)),"")</f>
        <v/>
      </c>
      <c r="R62" s="43" t="str">
        <f>IFERROR(IF(VLOOKUP(B62,Baza[[№]:[Profit]],16,0)=0,"-",VLOOKUP(B62,Baza[[№]:[Profit]],16,0)),"")</f>
        <v/>
      </c>
      <c r="S62" s="43" t="str">
        <f>IFERROR(IF(VLOOKUP(B62,Baza[[№]:[Profit]],17,0)=0,"-",VLOOKUP(B62,Baza[[№]:[Profit]],17,0)),"")</f>
        <v/>
      </c>
      <c r="T62" s="43" t="str">
        <f>IFERROR(IF(VLOOKUP(B62,Baza[[№]:[Profit]],18,0)=0,"-",VLOOKUP(B62,Baza[[№]:[Profit]],18,0)),"")</f>
        <v/>
      </c>
      <c r="U62" s="41" t="str">
        <f>IFERROR(IF(VLOOKUP(B62,Baza[[№]:[Profit]],19,0)=0,"-",VLOOKUP(B62,Baza[[№]:[Profit]],19,0)),"")</f>
        <v/>
      </c>
      <c r="V62" s="41" t="str">
        <f>IFERROR(VLOOKUP(B62,Baza[[№]:[Profit]],20,0),"")</f>
        <v/>
      </c>
      <c r="W62" s="41" t="str">
        <f>IFERROR(IF(VLOOKUP(B62,Baza[[№]:[Profit]],21,0)=0,"-",VLOOKUP(B62,Baza[[№]:[Profit]],21,0)),"")</f>
        <v/>
      </c>
      <c r="X62" s="45" t="str">
        <f>IFERROR(IF(VLOOKUP(B62,Baza[[№]:[Profit]],22,0)=0,"-",VLOOKUP(B62,Baza[[№]:[Profit]],22,0)),"")</f>
        <v/>
      </c>
      <c r="Y62" s="45" t="str">
        <f>IFERROR(VLOOKUP(B62,Baza[[№]:[Profit]],23,0),"")</f>
        <v/>
      </c>
      <c r="Z62" s="44" t="str">
        <f>IFERROR(VLOOKUP(B62,Baza[[№]:[AFS]],24,0),"")</f>
        <v/>
      </c>
      <c r="AA62" s="45" t="str">
        <f>IF(Таблица2[[#This Row],[Profit]]="","#Н/Д",SUM($Y$40:Y62))</f>
        <v>#Н/Д</v>
      </c>
      <c r="AB62" s="45" t="b">
        <f>IF(Таблица2[[#This Row],[Grafik]]="#Н/Д",FALSE,TRUE)</f>
        <v>0</v>
      </c>
    </row>
    <row r="63" spans="1:28" ht="11.1" hidden="1" customHeight="1" x14ac:dyDescent="0.25">
      <c r="A63" s="93">
        <f t="shared" si="0"/>
        <v>24</v>
      </c>
      <c r="B63"/>
      <c r="C63" s="41" t="str">
        <f>IFERROR(VLOOKUP(B63,Baza[[№]:[Profit]],2,0),"")</f>
        <v/>
      </c>
      <c r="D6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3" s="43" t="str">
        <f>IFERROR(VLOOKUP(B63,Baza[[№]:[Profit]],3,0),"")</f>
        <v/>
      </c>
      <c r="G63" s="43" t="str">
        <f>IFERROR(VLOOKUP(B63,Baza[[№]:[Profit]],4,0),"")</f>
        <v/>
      </c>
      <c r="H63" s="43" t="str">
        <f>IFERROR(VLOOKUP(B63,Baza[[№]:[Profit]],5,0),"")</f>
        <v/>
      </c>
      <c r="I63" s="46" t="str">
        <f>IFERROR(VLOOKUP(B63,Baza[[№]:[Profit]],6,0),"")</f>
        <v/>
      </c>
      <c r="J63" s="49" t="str">
        <f>IFERROR(VLOOKUP(B63,Baza[[№]:[Profit]],7,0),"")</f>
        <v/>
      </c>
      <c r="K63" s="43" t="str">
        <f>IFERROR(VLOOKUP(B63,Baza[[№]:[Profit]],8,0),"")</f>
        <v/>
      </c>
      <c r="L63" s="43" t="str">
        <f>IFERROR(VLOOKUP(B63,Baza[[№]:[Profit]],9,0),"")</f>
        <v/>
      </c>
      <c r="M63" s="43" t="str">
        <f>IFERROR(VLOOKUP(B63,Baza[[№]:[Profit]],10,0),"")</f>
        <v/>
      </c>
      <c r="N63" s="43" t="str">
        <f>IFERROR(IF(VLOOKUP(B63,Baza[[№]:[Profit]],11,0)=0,"-",VLOOKUP(B63,Baza[[№]:[Profit]],11,0)),"")</f>
        <v/>
      </c>
      <c r="O63" s="43" t="str">
        <f>IFERROR(IF(VLOOKUP(B63,Baza[[№]:[Profit]],12,0)=0,"-",VLOOKUP(B63,Baza[[№]:[Profit]],12,0)),"")</f>
        <v/>
      </c>
      <c r="P63" s="43" t="str">
        <f>IFERROR(IF(VLOOKUP(B63,Baza[[№]:[Profit]],13,0)=0,"-",VLOOKUP(B63,Baza[[№]:[Profit]],13,0)),"")</f>
        <v/>
      </c>
      <c r="Q63" s="43" t="str">
        <f>IFERROR(IF(VLOOKUP(B63,Baza[[№]:[Profit]],15,0)=0,"-",VLOOKUP(B63,Baza[[№]:[Profit]],15,0)),"")</f>
        <v/>
      </c>
      <c r="R63" s="43" t="str">
        <f>IFERROR(IF(VLOOKUP(B63,Baza[[№]:[Profit]],16,0)=0,"-",VLOOKUP(B63,Baza[[№]:[Profit]],16,0)),"")</f>
        <v/>
      </c>
      <c r="S63" s="43" t="str">
        <f>IFERROR(IF(VLOOKUP(B63,Baza[[№]:[Profit]],17,0)=0,"-",VLOOKUP(B63,Baza[[№]:[Profit]],17,0)),"")</f>
        <v/>
      </c>
      <c r="T63" s="43" t="str">
        <f>IFERROR(IF(VLOOKUP(B63,Baza[[№]:[Profit]],18,0)=0,"-",VLOOKUP(B63,Baza[[№]:[Profit]],18,0)),"")</f>
        <v/>
      </c>
      <c r="U63" s="41" t="str">
        <f>IFERROR(IF(VLOOKUP(B63,Baza[[№]:[Profit]],19,0)=0,"-",VLOOKUP(B63,Baza[[№]:[Profit]],19,0)),"")</f>
        <v/>
      </c>
      <c r="V63" s="41" t="str">
        <f>IFERROR(VLOOKUP(B63,Baza[[№]:[Profit]],20,0),"")</f>
        <v/>
      </c>
      <c r="W63" s="41" t="str">
        <f>IFERROR(IF(VLOOKUP(B63,Baza[[№]:[Profit]],21,0)=0,"-",VLOOKUP(B63,Baza[[№]:[Profit]],21,0)),"")</f>
        <v/>
      </c>
      <c r="X63" s="45" t="str">
        <f>IFERROR(IF(VLOOKUP(B63,Baza[[№]:[Profit]],22,0)=0,"-",VLOOKUP(B63,Baza[[№]:[Profit]],22,0)),"")</f>
        <v/>
      </c>
      <c r="Y63" s="45" t="str">
        <f>IFERROR(VLOOKUP(B63,Baza[[№]:[Profit]],23,0),"")</f>
        <v/>
      </c>
      <c r="Z63" s="44" t="str">
        <f>IFERROR(VLOOKUP(B63,Baza[[№]:[AFS]],24,0),"")</f>
        <v/>
      </c>
      <c r="AA63" s="45" t="str">
        <f>IF(Таблица2[[#This Row],[Profit]]="","#Н/Д",SUM($Y$40:Y63))</f>
        <v>#Н/Д</v>
      </c>
      <c r="AB63" s="45" t="b">
        <f>IF(Таблица2[[#This Row],[Grafik]]="#Н/Д",FALSE,TRUE)</f>
        <v>0</v>
      </c>
    </row>
    <row r="64" spans="1:28" ht="11.1" hidden="1" customHeight="1" x14ac:dyDescent="0.25">
      <c r="A64" s="93">
        <f t="shared" si="0"/>
        <v>25</v>
      </c>
      <c r="B64"/>
      <c r="C64" s="41" t="str">
        <f>IFERROR(VLOOKUP(B64,Baza[[№]:[Profit]],2,0),"")</f>
        <v/>
      </c>
      <c r="D6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4" s="43" t="str">
        <f>IFERROR(VLOOKUP(B64,Baza[[№]:[Profit]],3,0),"")</f>
        <v/>
      </c>
      <c r="G64" s="43" t="str">
        <f>IFERROR(VLOOKUP(B64,Baza[[№]:[Profit]],4,0),"")</f>
        <v/>
      </c>
      <c r="H64" s="43" t="str">
        <f>IFERROR(VLOOKUP(B64,Baza[[№]:[Profit]],5,0),"")</f>
        <v/>
      </c>
      <c r="I64" s="46" t="str">
        <f>IFERROR(VLOOKUP(B64,Baza[[№]:[Profit]],6,0),"")</f>
        <v/>
      </c>
      <c r="J64" s="49" t="str">
        <f>IFERROR(VLOOKUP(B64,Baza[[№]:[Profit]],7,0),"")</f>
        <v/>
      </c>
      <c r="K64" s="43" t="str">
        <f>IFERROR(VLOOKUP(B64,Baza[[№]:[Profit]],8,0),"")</f>
        <v/>
      </c>
      <c r="L64" s="43" t="str">
        <f>IFERROR(VLOOKUP(B64,Baza[[№]:[Profit]],9,0),"")</f>
        <v/>
      </c>
      <c r="M64" s="43" t="str">
        <f>IFERROR(VLOOKUP(B64,Baza[[№]:[Profit]],10,0),"")</f>
        <v/>
      </c>
      <c r="N64" s="43" t="str">
        <f>IFERROR(IF(VLOOKUP(B64,Baza[[№]:[Profit]],11,0)=0,"-",VLOOKUP(B64,Baza[[№]:[Profit]],11,0)),"")</f>
        <v/>
      </c>
      <c r="O64" s="43" t="str">
        <f>IFERROR(IF(VLOOKUP(B64,Baza[[№]:[Profit]],12,0)=0,"-",VLOOKUP(B64,Baza[[№]:[Profit]],12,0)),"")</f>
        <v/>
      </c>
      <c r="P64" s="43" t="str">
        <f>IFERROR(IF(VLOOKUP(B64,Baza[[№]:[Profit]],13,0)=0,"-",VLOOKUP(B64,Baza[[№]:[Profit]],13,0)),"")</f>
        <v/>
      </c>
      <c r="Q64" s="43" t="str">
        <f>IFERROR(IF(VLOOKUP(B64,Baza[[№]:[Profit]],15,0)=0,"-",VLOOKUP(B64,Baza[[№]:[Profit]],15,0)),"")</f>
        <v/>
      </c>
      <c r="R64" s="43" t="str">
        <f>IFERROR(IF(VLOOKUP(B64,Baza[[№]:[Profit]],16,0)=0,"-",VLOOKUP(B64,Baza[[№]:[Profit]],16,0)),"")</f>
        <v/>
      </c>
      <c r="S64" s="43" t="str">
        <f>IFERROR(IF(VLOOKUP(B64,Baza[[№]:[Profit]],17,0)=0,"-",VLOOKUP(B64,Baza[[№]:[Profit]],17,0)),"")</f>
        <v/>
      </c>
      <c r="T64" s="43" t="str">
        <f>IFERROR(IF(VLOOKUP(B64,Baza[[№]:[Profit]],18,0)=0,"-",VLOOKUP(B64,Baza[[№]:[Profit]],18,0)),"")</f>
        <v/>
      </c>
      <c r="U64" s="41" t="str">
        <f>IFERROR(IF(VLOOKUP(B64,Baza[[№]:[Profit]],19,0)=0,"-",VLOOKUP(B64,Baza[[№]:[Profit]],19,0)),"")</f>
        <v/>
      </c>
      <c r="V64" s="41" t="str">
        <f>IFERROR(VLOOKUP(B64,Baza[[№]:[Profit]],20,0),"")</f>
        <v/>
      </c>
      <c r="W64" s="41" t="str">
        <f>IFERROR(IF(VLOOKUP(B64,Baza[[№]:[Profit]],21,0)=0,"-",VLOOKUP(B64,Baza[[№]:[Profit]],21,0)),"")</f>
        <v/>
      </c>
      <c r="X64" s="45" t="str">
        <f>IFERROR(IF(VLOOKUP(B64,Baza[[№]:[Profit]],22,0)=0,"-",VLOOKUP(B64,Baza[[№]:[Profit]],22,0)),"")</f>
        <v/>
      </c>
      <c r="Y64" s="45" t="str">
        <f>IFERROR(VLOOKUP(B64,Baza[[№]:[Profit]],23,0),"")</f>
        <v/>
      </c>
      <c r="Z64" s="44" t="str">
        <f>IFERROR(VLOOKUP(B64,Baza[[№]:[AFS]],24,0),"")</f>
        <v/>
      </c>
      <c r="AA64" s="45" t="str">
        <f>IF(Таблица2[[#This Row],[Profit]]="","#Н/Д",SUM($Y$40:Y64))</f>
        <v>#Н/Д</v>
      </c>
      <c r="AB64" s="45" t="b">
        <f>IF(Таблица2[[#This Row],[Grafik]]="#Н/Д",FALSE,TRUE)</f>
        <v>0</v>
      </c>
    </row>
    <row r="65" spans="1:28" ht="11.1" hidden="1" customHeight="1" x14ac:dyDescent="0.25">
      <c r="A65" s="93">
        <f t="shared" si="0"/>
        <v>26</v>
      </c>
      <c r="B65"/>
      <c r="C65" s="41" t="str">
        <f>IFERROR(VLOOKUP(B65,Baza[[№]:[Profit]],2,0),"")</f>
        <v/>
      </c>
      <c r="D6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5" s="43" t="str">
        <f>IFERROR(VLOOKUP(B65,Baza[[№]:[Profit]],3,0),"")</f>
        <v/>
      </c>
      <c r="G65" s="43" t="str">
        <f>IFERROR(VLOOKUP(B65,Baza[[№]:[Profit]],4,0),"")</f>
        <v/>
      </c>
      <c r="H65" s="43" t="str">
        <f>IFERROR(VLOOKUP(B65,Baza[[№]:[Profit]],5,0),"")</f>
        <v/>
      </c>
      <c r="I65" s="46" t="str">
        <f>IFERROR(VLOOKUP(B65,Baza[[№]:[Profit]],6,0),"")</f>
        <v/>
      </c>
      <c r="J65" s="49" t="str">
        <f>IFERROR(VLOOKUP(B65,Baza[[№]:[Profit]],7,0),"")</f>
        <v/>
      </c>
      <c r="K65" s="43" t="str">
        <f>IFERROR(VLOOKUP(B65,Baza[[№]:[Profit]],8,0),"")</f>
        <v/>
      </c>
      <c r="L65" s="43" t="str">
        <f>IFERROR(VLOOKUP(B65,Baza[[№]:[Profit]],9,0),"")</f>
        <v/>
      </c>
      <c r="M65" s="43" t="str">
        <f>IFERROR(VLOOKUP(B65,Baza[[№]:[Profit]],10,0),"")</f>
        <v/>
      </c>
      <c r="N65" s="43" t="str">
        <f>IFERROR(IF(VLOOKUP(B65,Baza[[№]:[Profit]],11,0)=0,"-",VLOOKUP(B65,Baza[[№]:[Profit]],11,0)),"")</f>
        <v/>
      </c>
      <c r="O65" s="43" t="str">
        <f>IFERROR(IF(VLOOKUP(B65,Baza[[№]:[Profit]],12,0)=0,"-",VLOOKUP(B65,Baza[[№]:[Profit]],12,0)),"")</f>
        <v/>
      </c>
      <c r="P65" s="43" t="str">
        <f>IFERROR(IF(VLOOKUP(B65,Baza[[№]:[Profit]],13,0)=0,"-",VLOOKUP(B65,Baza[[№]:[Profit]],13,0)),"")</f>
        <v/>
      </c>
      <c r="Q65" s="43" t="str">
        <f>IFERROR(IF(VLOOKUP(B65,Baza[[№]:[Profit]],15,0)=0,"-",VLOOKUP(B65,Baza[[№]:[Profit]],15,0)),"")</f>
        <v/>
      </c>
      <c r="R65" s="43" t="str">
        <f>IFERROR(IF(VLOOKUP(B65,Baza[[№]:[Profit]],16,0)=0,"-",VLOOKUP(B65,Baza[[№]:[Profit]],16,0)),"")</f>
        <v/>
      </c>
      <c r="S65" s="43" t="str">
        <f>IFERROR(IF(VLOOKUP(B65,Baza[[№]:[Profit]],17,0)=0,"-",VLOOKUP(B65,Baza[[№]:[Profit]],17,0)),"")</f>
        <v/>
      </c>
      <c r="T65" s="43" t="str">
        <f>IFERROR(IF(VLOOKUP(B65,Baza[[№]:[Profit]],18,0)=0,"-",VLOOKUP(B65,Baza[[№]:[Profit]],18,0)),"")</f>
        <v/>
      </c>
      <c r="U65" s="41" t="str">
        <f>IFERROR(IF(VLOOKUP(B65,Baza[[№]:[Profit]],19,0)=0,"-",VLOOKUP(B65,Baza[[№]:[Profit]],19,0)),"")</f>
        <v/>
      </c>
      <c r="V65" s="41" t="str">
        <f>IFERROR(VLOOKUP(B65,Baza[[№]:[Profit]],20,0),"")</f>
        <v/>
      </c>
      <c r="W65" s="41" t="str">
        <f>IFERROR(IF(VLOOKUP(B65,Baza[[№]:[Profit]],21,0)=0,"-",VLOOKUP(B65,Baza[[№]:[Profit]],21,0)),"")</f>
        <v/>
      </c>
      <c r="X65" s="45" t="str">
        <f>IFERROR(IF(VLOOKUP(B65,Baza[[№]:[Profit]],22,0)=0,"-",VLOOKUP(B65,Baza[[№]:[Profit]],22,0)),"")</f>
        <v/>
      </c>
      <c r="Y65" s="45" t="str">
        <f>IFERROR(VLOOKUP(B65,Baza[[№]:[Profit]],23,0),"")</f>
        <v/>
      </c>
      <c r="Z65" s="44" t="str">
        <f>IFERROR(VLOOKUP(B65,Baza[[№]:[AFS]],24,0),"")</f>
        <v/>
      </c>
      <c r="AA65" s="45" t="str">
        <f>IF(Таблица2[[#This Row],[Profit]]="","#Н/Д",SUM($Y$40:Y65))</f>
        <v>#Н/Д</v>
      </c>
      <c r="AB65" s="45" t="b">
        <f>IF(Таблица2[[#This Row],[Grafik]]="#Н/Д",FALSE,TRUE)</f>
        <v>0</v>
      </c>
    </row>
    <row r="66" spans="1:28" ht="11.1" hidden="1" customHeight="1" x14ac:dyDescent="0.25">
      <c r="A66" s="93">
        <f t="shared" si="0"/>
        <v>27</v>
      </c>
      <c r="B66"/>
      <c r="C66" s="41" t="str">
        <f>IFERROR(VLOOKUP(B66,Baza[[№]:[Profit]],2,0),"")</f>
        <v/>
      </c>
      <c r="D6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6" s="43" t="str">
        <f>IFERROR(VLOOKUP(B66,Baza[[№]:[Profit]],3,0),"")</f>
        <v/>
      </c>
      <c r="G66" s="43" t="str">
        <f>IFERROR(VLOOKUP(B66,Baza[[№]:[Profit]],4,0),"")</f>
        <v/>
      </c>
      <c r="H66" s="43" t="str">
        <f>IFERROR(VLOOKUP(B66,Baza[[№]:[Profit]],5,0),"")</f>
        <v/>
      </c>
      <c r="I66" s="46" t="str">
        <f>IFERROR(VLOOKUP(B66,Baza[[№]:[Profit]],6,0),"")</f>
        <v/>
      </c>
      <c r="J66" s="49" t="str">
        <f>IFERROR(VLOOKUP(B66,Baza[[№]:[Profit]],7,0),"")</f>
        <v/>
      </c>
      <c r="K66" s="43" t="str">
        <f>IFERROR(VLOOKUP(B66,Baza[[№]:[Profit]],8,0),"")</f>
        <v/>
      </c>
      <c r="L66" s="43" t="str">
        <f>IFERROR(VLOOKUP(B66,Baza[[№]:[Profit]],9,0),"")</f>
        <v/>
      </c>
      <c r="M66" s="43" t="str">
        <f>IFERROR(VLOOKUP(B66,Baza[[№]:[Profit]],10,0),"")</f>
        <v/>
      </c>
      <c r="N66" s="43" t="str">
        <f>IFERROR(IF(VLOOKUP(B66,Baza[[№]:[Profit]],11,0)=0,"-",VLOOKUP(B66,Baza[[№]:[Profit]],11,0)),"")</f>
        <v/>
      </c>
      <c r="O66" s="43" t="str">
        <f>IFERROR(IF(VLOOKUP(B66,Baza[[№]:[Profit]],12,0)=0,"-",VLOOKUP(B66,Baza[[№]:[Profit]],12,0)),"")</f>
        <v/>
      </c>
      <c r="P66" s="43" t="str">
        <f>IFERROR(IF(VLOOKUP(B66,Baza[[№]:[Profit]],13,0)=0,"-",VLOOKUP(B66,Baza[[№]:[Profit]],13,0)),"")</f>
        <v/>
      </c>
      <c r="Q66" s="43" t="str">
        <f>IFERROR(IF(VLOOKUP(B66,Baza[[№]:[Profit]],15,0)=0,"-",VLOOKUP(B66,Baza[[№]:[Profit]],15,0)),"")</f>
        <v/>
      </c>
      <c r="R66" s="43" t="str">
        <f>IFERROR(IF(VLOOKUP(B66,Baza[[№]:[Profit]],16,0)=0,"-",VLOOKUP(B66,Baza[[№]:[Profit]],16,0)),"")</f>
        <v/>
      </c>
      <c r="S66" s="43" t="str">
        <f>IFERROR(IF(VLOOKUP(B66,Baza[[№]:[Profit]],17,0)=0,"-",VLOOKUP(B66,Baza[[№]:[Profit]],17,0)),"")</f>
        <v/>
      </c>
      <c r="T66" s="43" t="str">
        <f>IFERROR(IF(VLOOKUP(B66,Baza[[№]:[Profit]],18,0)=0,"-",VLOOKUP(B66,Baza[[№]:[Profit]],18,0)),"")</f>
        <v/>
      </c>
      <c r="U66" s="41" t="str">
        <f>IFERROR(IF(VLOOKUP(B66,Baza[[№]:[Profit]],19,0)=0,"-",VLOOKUP(B66,Baza[[№]:[Profit]],19,0)),"")</f>
        <v/>
      </c>
      <c r="V66" s="41" t="str">
        <f>IFERROR(VLOOKUP(B66,Baza[[№]:[Profit]],20,0),"")</f>
        <v/>
      </c>
      <c r="W66" s="41" t="str">
        <f>IFERROR(IF(VLOOKUP(B66,Baza[[№]:[Profit]],21,0)=0,"-",VLOOKUP(B66,Baza[[№]:[Profit]],21,0)),"")</f>
        <v/>
      </c>
      <c r="X66" s="45" t="str">
        <f>IFERROR(IF(VLOOKUP(B66,Baza[[№]:[Profit]],22,0)=0,"-",VLOOKUP(B66,Baza[[№]:[Profit]],22,0)),"")</f>
        <v/>
      </c>
      <c r="Y66" s="45" t="str">
        <f>IFERROR(VLOOKUP(B66,Baza[[№]:[Profit]],23,0),"")</f>
        <v/>
      </c>
      <c r="Z66" s="44" t="str">
        <f>IFERROR(VLOOKUP(B66,Baza[[№]:[AFS]],24,0),"")</f>
        <v/>
      </c>
      <c r="AA66" s="45" t="str">
        <f>IF(Таблица2[[#This Row],[Profit]]="","#Н/Д",SUM($Y$40:Y66))</f>
        <v>#Н/Д</v>
      </c>
      <c r="AB66" s="45" t="b">
        <f>IF(Таблица2[[#This Row],[Grafik]]="#Н/Д",FALSE,TRUE)</f>
        <v>0</v>
      </c>
    </row>
    <row r="67" spans="1:28" ht="11.1" hidden="1" customHeight="1" x14ac:dyDescent="0.25">
      <c r="A67" s="93">
        <f t="shared" si="0"/>
        <v>28</v>
      </c>
      <c r="B67"/>
      <c r="C67" s="41" t="str">
        <f>IFERROR(VLOOKUP(B67,Baza[[№]:[Profit]],2,0),"")</f>
        <v/>
      </c>
      <c r="D6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7" s="43" t="str">
        <f>IFERROR(VLOOKUP(B67,Baza[[№]:[Profit]],3,0),"")</f>
        <v/>
      </c>
      <c r="G67" s="43" t="str">
        <f>IFERROR(VLOOKUP(B67,Baza[[№]:[Profit]],4,0),"")</f>
        <v/>
      </c>
      <c r="H67" s="43" t="str">
        <f>IFERROR(VLOOKUP(B67,Baza[[№]:[Profit]],5,0),"")</f>
        <v/>
      </c>
      <c r="I67" s="46" t="str">
        <f>IFERROR(VLOOKUP(B67,Baza[[№]:[Profit]],6,0),"")</f>
        <v/>
      </c>
      <c r="J67" s="49" t="str">
        <f>IFERROR(VLOOKUP(B67,Baza[[№]:[Profit]],7,0),"")</f>
        <v/>
      </c>
      <c r="K67" s="43" t="str">
        <f>IFERROR(VLOOKUP(B67,Baza[[№]:[Profit]],8,0),"")</f>
        <v/>
      </c>
      <c r="L67" s="43" t="str">
        <f>IFERROR(VLOOKUP(B67,Baza[[№]:[Profit]],9,0),"")</f>
        <v/>
      </c>
      <c r="M67" s="43" t="str">
        <f>IFERROR(VLOOKUP(B67,Baza[[№]:[Profit]],10,0),"")</f>
        <v/>
      </c>
      <c r="N67" s="43" t="str">
        <f>IFERROR(IF(VLOOKUP(B67,Baza[[№]:[Profit]],11,0)=0,"-",VLOOKUP(B67,Baza[[№]:[Profit]],11,0)),"")</f>
        <v/>
      </c>
      <c r="O67" s="43" t="str">
        <f>IFERROR(IF(VLOOKUP(B67,Baza[[№]:[Profit]],12,0)=0,"-",VLOOKUP(B67,Baza[[№]:[Profit]],12,0)),"")</f>
        <v/>
      </c>
      <c r="P67" s="43" t="str">
        <f>IFERROR(IF(VLOOKUP(B67,Baza[[№]:[Profit]],13,0)=0,"-",VLOOKUP(B67,Baza[[№]:[Profit]],13,0)),"")</f>
        <v/>
      </c>
      <c r="Q67" s="43" t="str">
        <f>IFERROR(IF(VLOOKUP(B67,Baza[[№]:[Profit]],15,0)=0,"-",VLOOKUP(B67,Baza[[№]:[Profit]],15,0)),"")</f>
        <v/>
      </c>
      <c r="R67" s="43" t="str">
        <f>IFERROR(IF(VLOOKUP(B67,Baza[[№]:[Profit]],16,0)=0,"-",VLOOKUP(B67,Baza[[№]:[Profit]],16,0)),"")</f>
        <v/>
      </c>
      <c r="S67" s="43" t="str">
        <f>IFERROR(IF(VLOOKUP(B67,Baza[[№]:[Profit]],17,0)=0,"-",VLOOKUP(B67,Baza[[№]:[Profit]],17,0)),"")</f>
        <v/>
      </c>
      <c r="T67" s="43" t="str">
        <f>IFERROR(IF(VLOOKUP(B67,Baza[[№]:[Profit]],18,0)=0,"-",VLOOKUP(B67,Baza[[№]:[Profit]],18,0)),"")</f>
        <v/>
      </c>
      <c r="U67" s="41" t="str">
        <f>IFERROR(IF(VLOOKUP(B67,Baza[[№]:[Profit]],19,0)=0,"-",VLOOKUP(B67,Baza[[№]:[Profit]],19,0)),"")</f>
        <v/>
      </c>
      <c r="V67" s="41" t="str">
        <f>IFERROR(VLOOKUP(B67,Baza[[№]:[Profit]],20,0),"")</f>
        <v/>
      </c>
      <c r="W67" s="41" t="str">
        <f>IFERROR(IF(VLOOKUP(B67,Baza[[№]:[Profit]],21,0)=0,"-",VLOOKUP(B67,Baza[[№]:[Profit]],21,0)),"")</f>
        <v/>
      </c>
      <c r="X67" s="45" t="str">
        <f>IFERROR(IF(VLOOKUP(B67,Baza[[№]:[Profit]],22,0)=0,"-",VLOOKUP(B67,Baza[[№]:[Profit]],22,0)),"")</f>
        <v/>
      </c>
      <c r="Y67" s="45" t="str">
        <f>IFERROR(VLOOKUP(B67,Baza[[№]:[Profit]],23,0),"")</f>
        <v/>
      </c>
      <c r="Z67" s="44" t="str">
        <f>IFERROR(VLOOKUP(B67,Baza[[№]:[AFS]],24,0),"")</f>
        <v/>
      </c>
      <c r="AA67" s="45" t="str">
        <f>IF(Таблица2[[#This Row],[Profit]]="","#Н/Д",SUM($Y$40:Y67))</f>
        <v>#Н/Д</v>
      </c>
      <c r="AB67" s="45" t="b">
        <f>IF(Таблица2[[#This Row],[Grafik]]="#Н/Д",FALSE,TRUE)</f>
        <v>0</v>
      </c>
    </row>
    <row r="68" spans="1:28" ht="11.1" hidden="1" customHeight="1" x14ac:dyDescent="0.25">
      <c r="A68" s="93">
        <f t="shared" si="0"/>
        <v>29</v>
      </c>
      <c r="B68"/>
      <c r="C68" s="41" t="str">
        <f>IFERROR(VLOOKUP(B68,Baza[[№]:[Profit]],2,0),"")</f>
        <v/>
      </c>
      <c r="D6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8" s="43" t="str">
        <f>IFERROR(VLOOKUP(B68,Baza[[№]:[Profit]],3,0),"")</f>
        <v/>
      </c>
      <c r="G68" s="43" t="str">
        <f>IFERROR(VLOOKUP(B68,Baza[[№]:[Profit]],4,0),"")</f>
        <v/>
      </c>
      <c r="H68" s="43" t="str">
        <f>IFERROR(VLOOKUP(B68,Baza[[№]:[Profit]],5,0),"")</f>
        <v/>
      </c>
      <c r="I68" s="46" t="str">
        <f>IFERROR(VLOOKUP(B68,Baza[[№]:[Profit]],6,0),"")</f>
        <v/>
      </c>
      <c r="J68" s="49" t="str">
        <f>IFERROR(VLOOKUP(B68,Baza[[№]:[Profit]],7,0),"")</f>
        <v/>
      </c>
      <c r="K68" s="43" t="str">
        <f>IFERROR(VLOOKUP(B68,Baza[[№]:[Profit]],8,0),"")</f>
        <v/>
      </c>
      <c r="L68" s="43" t="str">
        <f>IFERROR(VLOOKUP(B68,Baza[[№]:[Profit]],9,0),"")</f>
        <v/>
      </c>
      <c r="M68" s="43" t="str">
        <f>IFERROR(VLOOKUP(B68,Baza[[№]:[Profit]],10,0),"")</f>
        <v/>
      </c>
      <c r="N68" s="43" t="str">
        <f>IFERROR(IF(VLOOKUP(B68,Baza[[№]:[Profit]],11,0)=0,"-",VLOOKUP(B68,Baza[[№]:[Profit]],11,0)),"")</f>
        <v/>
      </c>
      <c r="O68" s="43" t="str">
        <f>IFERROR(IF(VLOOKUP(B68,Baza[[№]:[Profit]],12,0)=0,"-",VLOOKUP(B68,Baza[[№]:[Profit]],12,0)),"")</f>
        <v/>
      </c>
      <c r="P68" s="43" t="str">
        <f>IFERROR(IF(VLOOKUP(B68,Baza[[№]:[Profit]],13,0)=0,"-",VLOOKUP(B68,Baza[[№]:[Profit]],13,0)),"")</f>
        <v/>
      </c>
      <c r="Q68" s="43" t="str">
        <f>IFERROR(IF(VLOOKUP(B68,Baza[[№]:[Profit]],15,0)=0,"-",VLOOKUP(B68,Baza[[№]:[Profit]],15,0)),"")</f>
        <v/>
      </c>
      <c r="R68" s="43" t="str">
        <f>IFERROR(IF(VLOOKUP(B68,Baza[[№]:[Profit]],16,0)=0,"-",VLOOKUP(B68,Baza[[№]:[Profit]],16,0)),"")</f>
        <v/>
      </c>
      <c r="S68" s="43" t="str">
        <f>IFERROR(IF(VLOOKUP(B68,Baza[[№]:[Profit]],17,0)=0,"-",VLOOKUP(B68,Baza[[№]:[Profit]],17,0)),"")</f>
        <v/>
      </c>
      <c r="T68" s="43" t="str">
        <f>IFERROR(IF(VLOOKUP(B68,Baza[[№]:[Profit]],18,0)=0,"-",VLOOKUP(B68,Baza[[№]:[Profit]],18,0)),"")</f>
        <v/>
      </c>
      <c r="U68" s="41" t="str">
        <f>IFERROR(IF(VLOOKUP(B68,Baza[[№]:[Profit]],19,0)=0,"-",VLOOKUP(B68,Baza[[№]:[Profit]],19,0)),"")</f>
        <v/>
      </c>
      <c r="V68" s="41" t="str">
        <f>IFERROR(VLOOKUP(B68,Baza[[№]:[Profit]],20,0),"")</f>
        <v/>
      </c>
      <c r="W68" s="41" t="str">
        <f>IFERROR(IF(VLOOKUP(B68,Baza[[№]:[Profit]],21,0)=0,"-",VLOOKUP(B68,Baza[[№]:[Profit]],21,0)),"")</f>
        <v/>
      </c>
      <c r="X68" s="45" t="str">
        <f>IFERROR(IF(VLOOKUP(B68,Baza[[№]:[Profit]],22,0)=0,"-",VLOOKUP(B68,Baza[[№]:[Profit]],22,0)),"")</f>
        <v/>
      </c>
      <c r="Y68" s="45" t="str">
        <f>IFERROR(VLOOKUP(B68,Baza[[№]:[Profit]],23,0),"")</f>
        <v/>
      </c>
      <c r="Z68" s="44" t="str">
        <f>IFERROR(VLOOKUP(B68,Baza[[№]:[AFS]],24,0),"")</f>
        <v/>
      </c>
      <c r="AA68" s="45" t="str">
        <f>IF(Таблица2[[#This Row],[Profit]]="","#Н/Д",SUM($Y$40:Y68))</f>
        <v>#Н/Д</v>
      </c>
      <c r="AB68" s="45" t="b">
        <f>IF(Таблица2[[#This Row],[Grafik]]="#Н/Д",FALSE,TRUE)</f>
        <v>0</v>
      </c>
    </row>
    <row r="69" spans="1:28" ht="11.1" hidden="1" customHeight="1" x14ac:dyDescent="0.25">
      <c r="A69" s="93">
        <f t="shared" si="0"/>
        <v>30</v>
      </c>
      <c r="B69"/>
      <c r="C69" s="41" t="str">
        <f>IFERROR(VLOOKUP(B69,Baza[[№]:[Profit]],2,0),"")</f>
        <v/>
      </c>
      <c r="D6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9" s="43" t="str">
        <f>IFERROR(VLOOKUP(B69,Baza[[№]:[Profit]],3,0),"")</f>
        <v/>
      </c>
      <c r="G69" s="43" t="str">
        <f>IFERROR(VLOOKUP(B69,Baza[[№]:[Profit]],4,0),"")</f>
        <v/>
      </c>
      <c r="H69" s="43" t="str">
        <f>IFERROR(VLOOKUP(B69,Baza[[№]:[Profit]],5,0),"")</f>
        <v/>
      </c>
      <c r="I69" s="46" t="str">
        <f>IFERROR(VLOOKUP(B69,Baza[[№]:[Profit]],6,0),"")</f>
        <v/>
      </c>
      <c r="J69" s="49" t="str">
        <f>IFERROR(VLOOKUP(B69,Baza[[№]:[Profit]],7,0),"")</f>
        <v/>
      </c>
      <c r="K69" s="43" t="str">
        <f>IFERROR(VLOOKUP(B69,Baza[[№]:[Profit]],8,0),"")</f>
        <v/>
      </c>
      <c r="L69" s="43" t="str">
        <f>IFERROR(VLOOKUP(B69,Baza[[№]:[Profit]],9,0),"")</f>
        <v/>
      </c>
      <c r="M69" s="43" t="str">
        <f>IFERROR(VLOOKUP(B69,Baza[[№]:[Profit]],10,0),"")</f>
        <v/>
      </c>
      <c r="N69" s="43" t="str">
        <f>IFERROR(IF(VLOOKUP(B69,Baza[[№]:[Profit]],11,0)=0,"-",VLOOKUP(B69,Baza[[№]:[Profit]],11,0)),"")</f>
        <v/>
      </c>
      <c r="O69" s="43" t="str">
        <f>IFERROR(IF(VLOOKUP(B69,Baza[[№]:[Profit]],12,0)=0,"-",VLOOKUP(B69,Baza[[№]:[Profit]],12,0)),"")</f>
        <v/>
      </c>
      <c r="P69" s="43" t="str">
        <f>IFERROR(IF(VLOOKUP(B69,Baza[[№]:[Profit]],13,0)=0,"-",VLOOKUP(B69,Baza[[№]:[Profit]],13,0)),"")</f>
        <v/>
      </c>
      <c r="Q69" s="43" t="str">
        <f>IFERROR(IF(VLOOKUP(B69,Baza[[№]:[Profit]],15,0)=0,"-",VLOOKUP(B69,Baza[[№]:[Profit]],15,0)),"")</f>
        <v/>
      </c>
      <c r="R69" s="43" t="str">
        <f>IFERROR(IF(VLOOKUP(B69,Baza[[№]:[Profit]],16,0)=0,"-",VLOOKUP(B69,Baza[[№]:[Profit]],16,0)),"")</f>
        <v/>
      </c>
      <c r="S69" s="43" t="str">
        <f>IFERROR(IF(VLOOKUP(B69,Baza[[№]:[Profit]],17,0)=0,"-",VLOOKUP(B69,Baza[[№]:[Profit]],17,0)),"")</f>
        <v/>
      </c>
      <c r="T69" s="43" t="str">
        <f>IFERROR(IF(VLOOKUP(B69,Baza[[№]:[Profit]],18,0)=0,"-",VLOOKUP(B69,Baza[[№]:[Profit]],18,0)),"")</f>
        <v/>
      </c>
      <c r="U69" s="41" t="str">
        <f>IFERROR(IF(VLOOKUP(B69,Baza[[№]:[Profit]],19,0)=0,"-",VLOOKUP(B69,Baza[[№]:[Profit]],19,0)),"")</f>
        <v/>
      </c>
      <c r="V69" s="41" t="str">
        <f>IFERROR(VLOOKUP(B69,Baza[[№]:[Profit]],20,0),"")</f>
        <v/>
      </c>
      <c r="W69" s="41" t="str">
        <f>IFERROR(IF(VLOOKUP(B69,Baza[[№]:[Profit]],21,0)=0,"-",VLOOKUP(B69,Baza[[№]:[Profit]],21,0)),"")</f>
        <v/>
      </c>
      <c r="X69" s="45" t="str">
        <f>IFERROR(IF(VLOOKUP(B69,Baza[[№]:[Profit]],22,0)=0,"-",VLOOKUP(B69,Baza[[№]:[Profit]],22,0)),"")</f>
        <v/>
      </c>
      <c r="Y69" s="45" t="str">
        <f>IFERROR(VLOOKUP(B69,Baza[[№]:[Profit]],23,0),"")</f>
        <v/>
      </c>
      <c r="Z69" s="44" t="str">
        <f>IFERROR(VLOOKUP(B69,Baza[[№]:[AFS]],24,0),"")</f>
        <v/>
      </c>
      <c r="AA69" s="45" t="str">
        <f>IF(Таблица2[[#This Row],[Profit]]="","#Н/Д",SUM($Y$40:Y69))</f>
        <v>#Н/Д</v>
      </c>
      <c r="AB69" s="45" t="b">
        <f>IF(Таблица2[[#This Row],[Grafik]]="#Н/Д",FALSE,TRUE)</f>
        <v>0</v>
      </c>
    </row>
    <row r="70" spans="1:28" ht="11.1" hidden="1" customHeight="1" x14ac:dyDescent="0.25">
      <c r="A70" s="93">
        <f t="shared" si="0"/>
        <v>31</v>
      </c>
      <c r="B70"/>
      <c r="C70" s="41" t="str">
        <f>IFERROR(VLOOKUP(B70,Baza[[№]:[Profit]],2,0),"")</f>
        <v/>
      </c>
      <c r="D7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0" s="43" t="str">
        <f>IFERROR(VLOOKUP(B70,Baza[[№]:[Profit]],3,0),"")</f>
        <v/>
      </c>
      <c r="G70" s="43" t="str">
        <f>IFERROR(VLOOKUP(B70,Baza[[№]:[Profit]],4,0),"")</f>
        <v/>
      </c>
      <c r="H70" s="43" t="str">
        <f>IFERROR(VLOOKUP(B70,Baza[[№]:[Profit]],5,0),"")</f>
        <v/>
      </c>
      <c r="I70" s="46" t="str">
        <f>IFERROR(VLOOKUP(B70,Baza[[№]:[Profit]],6,0),"")</f>
        <v/>
      </c>
      <c r="J70" s="49" t="str">
        <f>IFERROR(VLOOKUP(B70,Baza[[№]:[Profit]],7,0),"")</f>
        <v/>
      </c>
      <c r="K70" s="43" t="str">
        <f>IFERROR(VLOOKUP(B70,Baza[[№]:[Profit]],8,0),"")</f>
        <v/>
      </c>
      <c r="L70" s="43" t="str">
        <f>IFERROR(VLOOKUP(B70,Baza[[№]:[Profit]],9,0),"")</f>
        <v/>
      </c>
      <c r="M70" s="43" t="str">
        <f>IFERROR(VLOOKUP(B70,Baza[[№]:[Profit]],10,0),"")</f>
        <v/>
      </c>
      <c r="N70" s="43" t="str">
        <f>IFERROR(IF(VLOOKUP(B70,Baza[[№]:[Profit]],11,0)=0,"-",VLOOKUP(B70,Baza[[№]:[Profit]],11,0)),"")</f>
        <v/>
      </c>
      <c r="O70" s="43" t="str">
        <f>IFERROR(IF(VLOOKUP(B70,Baza[[№]:[Profit]],12,0)=0,"-",VLOOKUP(B70,Baza[[№]:[Profit]],12,0)),"")</f>
        <v/>
      </c>
      <c r="P70" s="43" t="str">
        <f>IFERROR(IF(VLOOKUP(B70,Baza[[№]:[Profit]],13,0)=0,"-",VLOOKUP(B70,Baza[[№]:[Profit]],13,0)),"")</f>
        <v/>
      </c>
      <c r="Q70" s="43" t="str">
        <f>IFERROR(IF(VLOOKUP(B70,Baza[[№]:[Profit]],15,0)=0,"-",VLOOKUP(B70,Baza[[№]:[Profit]],15,0)),"")</f>
        <v/>
      </c>
      <c r="R70" s="43" t="str">
        <f>IFERROR(IF(VLOOKUP(B70,Baza[[№]:[Profit]],16,0)=0,"-",VLOOKUP(B70,Baza[[№]:[Profit]],16,0)),"")</f>
        <v/>
      </c>
      <c r="S70" s="43" t="str">
        <f>IFERROR(IF(VLOOKUP(B70,Baza[[№]:[Profit]],17,0)=0,"-",VLOOKUP(B70,Baza[[№]:[Profit]],17,0)),"")</f>
        <v/>
      </c>
      <c r="T70" s="43" t="str">
        <f>IFERROR(IF(VLOOKUP(B70,Baza[[№]:[Profit]],18,0)=0,"-",VLOOKUP(B70,Baza[[№]:[Profit]],18,0)),"")</f>
        <v/>
      </c>
      <c r="U70" s="41" t="str">
        <f>IFERROR(IF(VLOOKUP(B70,Baza[[№]:[Profit]],19,0)=0,"-",VLOOKUP(B70,Baza[[№]:[Profit]],19,0)),"")</f>
        <v/>
      </c>
      <c r="V70" s="41" t="str">
        <f>IFERROR(VLOOKUP(B70,Baza[[№]:[Profit]],20,0),"")</f>
        <v/>
      </c>
      <c r="W70" s="41" t="str">
        <f>IFERROR(IF(VLOOKUP(B70,Baza[[№]:[Profit]],21,0)=0,"-",VLOOKUP(B70,Baza[[№]:[Profit]],21,0)),"")</f>
        <v/>
      </c>
      <c r="X70" s="45" t="str">
        <f>IFERROR(IF(VLOOKUP(B70,Baza[[№]:[Profit]],22,0)=0,"-",VLOOKUP(B70,Baza[[№]:[Profit]],22,0)),"")</f>
        <v/>
      </c>
      <c r="Y70" s="45" t="str">
        <f>IFERROR(VLOOKUP(B70,Baza[[№]:[Profit]],23,0),"")</f>
        <v/>
      </c>
      <c r="Z70" s="44" t="str">
        <f>IFERROR(VLOOKUP(B70,Baza[[№]:[AFS]],24,0),"")</f>
        <v/>
      </c>
      <c r="AA70" s="45" t="str">
        <f>IF(Таблица2[[#This Row],[Profit]]="","#Н/Д",SUM($Y$40:Y70))</f>
        <v>#Н/Д</v>
      </c>
      <c r="AB70" s="45" t="b">
        <f>IF(Таблица2[[#This Row],[Grafik]]="#Н/Д",FALSE,TRUE)</f>
        <v>0</v>
      </c>
    </row>
    <row r="71" spans="1:28" ht="11.1" hidden="1" customHeight="1" x14ac:dyDescent="0.25">
      <c r="A71" s="93">
        <f t="shared" si="0"/>
        <v>32</v>
      </c>
      <c r="B71"/>
      <c r="C71" s="41" t="str">
        <f>IFERROR(VLOOKUP(B71,Baza[[№]:[Profit]],2,0),"")</f>
        <v/>
      </c>
      <c r="D7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1" s="43" t="str">
        <f>IFERROR(VLOOKUP(B71,Baza[[№]:[Profit]],3,0),"")</f>
        <v/>
      </c>
      <c r="G71" s="43" t="str">
        <f>IFERROR(VLOOKUP(B71,Baza[[№]:[Profit]],4,0),"")</f>
        <v/>
      </c>
      <c r="H71" s="43" t="str">
        <f>IFERROR(VLOOKUP(B71,Baza[[№]:[Profit]],5,0),"")</f>
        <v/>
      </c>
      <c r="I71" s="46" t="str">
        <f>IFERROR(VLOOKUP(B71,Baza[[№]:[Profit]],6,0),"")</f>
        <v/>
      </c>
      <c r="J71" s="49" t="str">
        <f>IFERROR(VLOOKUP(B71,Baza[[№]:[Profit]],7,0),"")</f>
        <v/>
      </c>
      <c r="K71" s="43" t="str">
        <f>IFERROR(VLOOKUP(B71,Baza[[№]:[Profit]],8,0),"")</f>
        <v/>
      </c>
      <c r="L71" s="43" t="str">
        <f>IFERROR(VLOOKUP(B71,Baza[[№]:[Profit]],9,0),"")</f>
        <v/>
      </c>
      <c r="M71" s="43" t="str">
        <f>IFERROR(VLOOKUP(B71,Baza[[№]:[Profit]],10,0),"")</f>
        <v/>
      </c>
      <c r="N71" s="43" t="str">
        <f>IFERROR(IF(VLOOKUP(B71,Baza[[№]:[Profit]],11,0)=0,"-",VLOOKUP(B71,Baza[[№]:[Profit]],11,0)),"")</f>
        <v/>
      </c>
      <c r="O71" s="43" t="str">
        <f>IFERROR(IF(VLOOKUP(B71,Baza[[№]:[Profit]],12,0)=0,"-",VLOOKUP(B71,Baza[[№]:[Profit]],12,0)),"")</f>
        <v/>
      </c>
      <c r="P71" s="43" t="str">
        <f>IFERROR(IF(VLOOKUP(B71,Baza[[№]:[Profit]],13,0)=0,"-",VLOOKUP(B71,Baza[[№]:[Profit]],13,0)),"")</f>
        <v/>
      </c>
      <c r="Q71" s="43" t="str">
        <f>IFERROR(IF(VLOOKUP(B71,Baza[[№]:[Profit]],15,0)=0,"-",VLOOKUP(B71,Baza[[№]:[Profit]],15,0)),"")</f>
        <v/>
      </c>
      <c r="R71" s="43" t="str">
        <f>IFERROR(IF(VLOOKUP(B71,Baza[[№]:[Profit]],16,0)=0,"-",VLOOKUP(B71,Baza[[№]:[Profit]],16,0)),"")</f>
        <v/>
      </c>
      <c r="S71" s="43" t="str">
        <f>IFERROR(IF(VLOOKUP(B71,Baza[[№]:[Profit]],17,0)=0,"-",VLOOKUP(B71,Baza[[№]:[Profit]],17,0)),"")</f>
        <v/>
      </c>
      <c r="T71" s="43" t="str">
        <f>IFERROR(IF(VLOOKUP(B71,Baza[[№]:[Profit]],18,0)=0,"-",VLOOKUP(B71,Baza[[№]:[Profit]],18,0)),"")</f>
        <v/>
      </c>
      <c r="U71" s="41" t="str">
        <f>IFERROR(IF(VLOOKUP(B71,Baza[[№]:[Profit]],19,0)=0,"-",VLOOKUP(B71,Baza[[№]:[Profit]],19,0)),"")</f>
        <v/>
      </c>
      <c r="V71" s="41" t="str">
        <f>IFERROR(VLOOKUP(B71,Baza[[№]:[Profit]],20,0),"")</f>
        <v/>
      </c>
      <c r="W71" s="41" t="str">
        <f>IFERROR(IF(VLOOKUP(B71,Baza[[№]:[Profit]],21,0)=0,"-",VLOOKUP(B71,Baza[[№]:[Profit]],21,0)),"")</f>
        <v/>
      </c>
      <c r="X71" s="45" t="str">
        <f>IFERROR(IF(VLOOKUP(B71,Baza[[№]:[Profit]],22,0)=0,"-",VLOOKUP(B71,Baza[[№]:[Profit]],22,0)),"")</f>
        <v/>
      </c>
      <c r="Y71" s="45" t="str">
        <f>IFERROR(VLOOKUP(B71,Baza[[№]:[Profit]],23,0),"")</f>
        <v/>
      </c>
      <c r="Z71" s="44" t="str">
        <f>IFERROR(VLOOKUP(B71,Baza[[№]:[AFS]],24,0),"")</f>
        <v/>
      </c>
      <c r="AA71" s="45" t="str">
        <f>IF(Таблица2[[#This Row],[Profit]]="","#Н/Д",SUM($Y$40:Y71))</f>
        <v>#Н/Д</v>
      </c>
      <c r="AB71" s="45" t="b">
        <f>IF(Таблица2[[#This Row],[Grafik]]="#Н/Д",FALSE,TRUE)</f>
        <v>0</v>
      </c>
    </row>
    <row r="72" spans="1:28" ht="11.1" hidden="1" customHeight="1" x14ac:dyDescent="0.25">
      <c r="A72" s="93">
        <f t="shared" si="0"/>
        <v>33</v>
      </c>
      <c r="B72"/>
      <c r="C72" s="41" t="str">
        <f>IFERROR(VLOOKUP(B72,Baza[[№]:[Profit]],2,0),"")</f>
        <v/>
      </c>
      <c r="D7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2" s="43" t="str">
        <f>IFERROR(VLOOKUP(B72,Baza[[№]:[Profit]],3,0),"")</f>
        <v/>
      </c>
      <c r="G72" s="43" t="str">
        <f>IFERROR(VLOOKUP(B72,Baza[[№]:[Profit]],4,0),"")</f>
        <v/>
      </c>
      <c r="H72" s="43" t="str">
        <f>IFERROR(VLOOKUP(B72,Baza[[№]:[Profit]],5,0),"")</f>
        <v/>
      </c>
      <c r="I72" s="46" t="str">
        <f>IFERROR(VLOOKUP(B72,Baza[[№]:[Profit]],6,0),"")</f>
        <v/>
      </c>
      <c r="J72" s="49" t="str">
        <f>IFERROR(VLOOKUP(B72,Baza[[№]:[Profit]],7,0),"")</f>
        <v/>
      </c>
      <c r="K72" s="43" t="str">
        <f>IFERROR(VLOOKUP(B72,Baza[[№]:[Profit]],8,0),"")</f>
        <v/>
      </c>
      <c r="L72" s="43" t="str">
        <f>IFERROR(VLOOKUP(B72,Baza[[№]:[Profit]],9,0),"")</f>
        <v/>
      </c>
      <c r="M72" s="43" t="str">
        <f>IFERROR(VLOOKUP(B72,Baza[[№]:[Profit]],10,0),"")</f>
        <v/>
      </c>
      <c r="N72" s="43" t="str">
        <f>IFERROR(IF(VLOOKUP(B72,Baza[[№]:[Profit]],11,0)=0,"-",VLOOKUP(B72,Baza[[№]:[Profit]],11,0)),"")</f>
        <v/>
      </c>
      <c r="O72" s="43" t="str">
        <f>IFERROR(IF(VLOOKUP(B72,Baza[[№]:[Profit]],12,0)=0,"-",VLOOKUP(B72,Baza[[№]:[Profit]],12,0)),"")</f>
        <v/>
      </c>
      <c r="P72" s="43" t="str">
        <f>IFERROR(IF(VLOOKUP(B72,Baza[[№]:[Profit]],13,0)=0,"-",VLOOKUP(B72,Baza[[№]:[Profit]],13,0)),"")</f>
        <v/>
      </c>
      <c r="Q72" s="43" t="str">
        <f>IFERROR(IF(VLOOKUP(B72,Baza[[№]:[Profit]],15,0)=0,"-",VLOOKUP(B72,Baza[[№]:[Profit]],15,0)),"")</f>
        <v/>
      </c>
      <c r="R72" s="43" t="str">
        <f>IFERROR(IF(VLOOKUP(B72,Baza[[№]:[Profit]],16,0)=0,"-",VLOOKUP(B72,Baza[[№]:[Profit]],16,0)),"")</f>
        <v/>
      </c>
      <c r="S72" s="43" t="str">
        <f>IFERROR(IF(VLOOKUP(B72,Baza[[№]:[Profit]],17,0)=0,"-",VLOOKUP(B72,Baza[[№]:[Profit]],17,0)),"")</f>
        <v/>
      </c>
      <c r="T72" s="43" t="str">
        <f>IFERROR(IF(VLOOKUP(B72,Baza[[№]:[Profit]],18,0)=0,"-",VLOOKUP(B72,Baza[[№]:[Profit]],18,0)),"")</f>
        <v/>
      </c>
      <c r="U72" s="41" t="str">
        <f>IFERROR(IF(VLOOKUP(B72,Baza[[№]:[Profit]],19,0)=0,"-",VLOOKUP(B72,Baza[[№]:[Profit]],19,0)),"")</f>
        <v/>
      </c>
      <c r="V72" s="41" t="str">
        <f>IFERROR(VLOOKUP(B72,Baza[[№]:[Profit]],20,0),"")</f>
        <v/>
      </c>
      <c r="W72" s="41" t="str">
        <f>IFERROR(IF(VLOOKUP(B72,Baza[[№]:[Profit]],21,0)=0,"-",VLOOKUP(B72,Baza[[№]:[Profit]],21,0)),"")</f>
        <v/>
      </c>
      <c r="X72" s="45" t="str">
        <f>IFERROR(IF(VLOOKUP(B72,Baza[[№]:[Profit]],22,0)=0,"-",VLOOKUP(B72,Baza[[№]:[Profit]],22,0)),"")</f>
        <v/>
      </c>
      <c r="Y72" s="45" t="str">
        <f>IFERROR(VLOOKUP(B72,Baza[[№]:[Profit]],23,0),"")</f>
        <v/>
      </c>
      <c r="Z72" s="44" t="str">
        <f>IFERROR(VLOOKUP(B72,Baza[[№]:[AFS]],24,0),"")</f>
        <v/>
      </c>
      <c r="AA72" s="45" t="str">
        <f>IF(Таблица2[[#This Row],[Profit]]="","#Н/Д",SUM($Y$40:Y72))</f>
        <v>#Н/Д</v>
      </c>
      <c r="AB72" s="45" t="b">
        <f>IF(Таблица2[[#This Row],[Grafik]]="#Н/Д",FALSE,TRUE)</f>
        <v>0</v>
      </c>
    </row>
    <row r="73" spans="1:28" ht="11.1" hidden="1" customHeight="1" x14ac:dyDescent="0.25">
      <c r="A73" s="93">
        <f t="shared" si="0"/>
        <v>34</v>
      </c>
      <c r="B73"/>
      <c r="C73" s="41" t="str">
        <f>IFERROR(VLOOKUP(B73,Baza[[№]:[Profit]],2,0),"")</f>
        <v/>
      </c>
      <c r="D7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3" s="43" t="str">
        <f>IFERROR(VLOOKUP(B73,Baza[[№]:[Profit]],3,0),"")</f>
        <v/>
      </c>
      <c r="G73" s="43" t="str">
        <f>IFERROR(VLOOKUP(B73,Baza[[№]:[Profit]],4,0),"")</f>
        <v/>
      </c>
      <c r="H73" s="43" t="str">
        <f>IFERROR(VLOOKUP(B73,Baza[[№]:[Profit]],5,0),"")</f>
        <v/>
      </c>
      <c r="I73" s="46" t="str">
        <f>IFERROR(VLOOKUP(B73,Baza[[№]:[Profit]],6,0),"")</f>
        <v/>
      </c>
      <c r="J73" s="49" t="str">
        <f>IFERROR(VLOOKUP(B73,Baza[[№]:[Profit]],7,0),"")</f>
        <v/>
      </c>
      <c r="K73" s="43" t="str">
        <f>IFERROR(VLOOKUP(B73,Baza[[№]:[Profit]],8,0),"")</f>
        <v/>
      </c>
      <c r="L73" s="43" t="str">
        <f>IFERROR(VLOOKUP(B73,Baza[[№]:[Profit]],9,0),"")</f>
        <v/>
      </c>
      <c r="M73" s="43" t="str">
        <f>IFERROR(VLOOKUP(B73,Baza[[№]:[Profit]],10,0),"")</f>
        <v/>
      </c>
      <c r="N73" s="43" t="str">
        <f>IFERROR(IF(VLOOKUP(B73,Baza[[№]:[Profit]],11,0)=0,"-",VLOOKUP(B73,Baza[[№]:[Profit]],11,0)),"")</f>
        <v/>
      </c>
      <c r="O73" s="43" t="str">
        <f>IFERROR(IF(VLOOKUP(B73,Baza[[№]:[Profit]],12,0)=0,"-",VLOOKUP(B73,Baza[[№]:[Profit]],12,0)),"")</f>
        <v/>
      </c>
      <c r="P73" s="43" t="str">
        <f>IFERROR(IF(VLOOKUP(B73,Baza[[№]:[Profit]],13,0)=0,"-",VLOOKUP(B73,Baza[[№]:[Profit]],13,0)),"")</f>
        <v/>
      </c>
      <c r="Q73" s="43" t="str">
        <f>IFERROR(IF(VLOOKUP(B73,Baza[[№]:[Profit]],15,0)=0,"-",VLOOKUP(B73,Baza[[№]:[Profit]],15,0)),"")</f>
        <v/>
      </c>
      <c r="R73" s="43" t="str">
        <f>IFERROR(IF(VLOOKUP(B73,Baza[[№]:[Profit]],16,0)=0,"-",VLOOKUP(B73,Baza[[№]:[Profit]],16,0)),"")</f>
        <v/>
      </c>
      <c r="S73" s="43" t="str">
        <f>IFERROR(IF(VLOOKUP(B73,Baza[[№]:[Profit]],17,0)=0,"-",VLOOKUP(B73,Baza[[№]:[Profit]],17,0)),"")</f>
        <v/>
      </c>
      <c r="T73" s="43" t="str">
        <f>IFERROR(IF(VLOOKUP(B73,Baza[[№]:[Profit]],18,0)=0,"-",VLOOKUP(B73,Baza[[№]:[Profit]],18,0)),"")</f>
        <v/>
      </c>
      <c r="U73" s="41" t="str">
        <f>IFERROR(IF(VLOOKUP(B73,Baza[[№]:[Profit]],19,0)=0,"-",VLOOKUP(B73,Baza[[№]:[Profit]],19,0)),"")</f>
        <v/>
      </c>
      <c r="V73" s="41" t="str">
        <f>IFERROR(VLOOKUP(B73,Baza[[№]:[Profit]],20,0),"")</f>
        <v/>
      </c>
      <c r="W73" s="41" t="str">
        <f>IFERROR(IF(VLOOKUP(B73,Baza[[№]:[Profit]],21,0)=0,"-",VLOOKUP(B73,Baza[[№]:[Profit]],21,0)),"")</f>
        <v/>
      </c>
      <c r="X73" s="45" t="str">
        <f>IFERROR(IF(VLOOKUP(B73,Baza[[№]:[Profit]],22,0)=0,"-",VLOOKUP(B73,Baza[[№]:[Profit]],22,0)),"")</f>
        <v/>
      </c>
      <c r="Y73" s="45" t="str">
        <f>IFERROR(VLOOKUP(B73,Baza[[№]:[Profit]],23,0),"")</f>
        <v/>
      </c>
      <c r="Z73" s="44" t="str">
        <f>IFERROR(VLOOKUP(B73,Baza[[№]:[AFS]],24,0),"")</f>
        <v/>
      </c>
      <c r="AA73" s="45" t="str">
        <f>IF(Таблица2[[#This Row],[Profit]]="","#Н/Д",SUM($Y$40:Y73))</f>
        <v>#Н/Д</v>
      </c>
      <c r="AB73" s="45" t="b">
        <f>IF(Таблица2[[#This Row],[Grafik]]="#Н/Д",FALSE,TRUE)</f>
        <v>0</v>
      </c>
    </row>
    <row r="74" spans="1:28" ht="11.1" hidden="1" customHeight="1" x14ac:dyDescent="0.25">
      <c r="A74" s="93">
        <f t="shared" si="0"/>
        <v>35</v>
      </c>
      <c r="B74"/>
      <c r="C74" s="41" t="str">
        <f>IFERROR(VLOOKUP(B74,Baza[[№]:[Profit]],2,0),"")</f>
        <v/>
      </c>
      <c r="D7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4" s="43" t="str">
        <f>IFERROR(VLOOKUP(B74,Baza[[№]:[Profit]],3,0),"")</f>
        <v/>
      </c>
      <c r="G74" s="43" t="str">
        <f>IFERROR(VLOOKUP(B74,Baza[[№]:[Profit]],4,0),"")</f>
        <v/>
      </c>
      <c r="H74" s="43" t="str">
        <f>IFERROR(VLOOKUP(B74,Baza[[№]:[Profit]],5,0),"")</f>
        <v/>
      </c>
      <c r="I74" s="46" t="str">
        <f>IFERROR(VLOOKUP(B74,Baza[[№]:[Profit]],6,0),"")</f>
        <v/>
      </c>
      <c r="J74" s="49" t="str">
        <f>IFERROR(VLOOKUP(B74,Baza[[№]:[Profit]],7,0),"")</f>
        <v/>
      </c>
      <c r="K74" s="43" t="str">
        <f>IFERROR(VLOOKUP(B74,Baza[[№]:[Profit]],8,0),"")</f>
        <v/>
      </c>
      <c r="L74" s="43" t="str">
        <f>IFERROR(VLOOKUP(B74,Baza[[№]:[Profit]],9,0),"")</f>
        <v/>
      </c>
      <c r="M74" s="43" t="str">
        <f>IFERROR(VLOOKUP(B74,Baza[[№]:[Profit]],10,0),"")</f>
        <v/>
      </c>
      <c r="N74" s="43" t="str">
        <f>IFERROR(IF(VLOOKUP(B74,Baza[[№]:[Profit]],11,0)=0,"-",VLOOKUP(B74,Baza[[№]:[Profit]],11,0)),"")</f>
        <v/>
      </c>
      <c r="O74" s="43" t="str">
        <f>IFERROR(IF(VLOOKUP(B74,Baza[[№]:[Profit]],12,0)=0,"-",VLOOKUP(B74,Baza[[№]:[Profit]],12,0)),"")</f>
        <v/>
      </c>
      <c r="P74" s="43" t="str">
        <f>IFERROR(IF(VLOOKUP(B74,Baza[[№]:[Profit]],13,0)=0,"-",VLOOKUP(B74,Baza[[№]:[Profit]],13,0)),"")</f>
        <v/>
      </c>
      <c r="Q74" s="43" t="str">
        <f>IFERROR(IF(VLOOKUP(B74,Baza[[№]:[Profit]],15,0)=0,"-",VLOOKUP(B74,Baza[[№]:[Profit]],15,0)),"")</f>
        <v/>
      </c>
      <c r="R74" s="43" t="str">
        <f>IFERROR(IF(VLOOKUP(B74,Baza[[№]:[Profit]],16,0)=0,"-",VLOOKUP(B74,Baza[[№]:[Profit]],16,0)),"")</f>
        <v/>
      </c>
      <c r="S74" s="43" t="str">
        <f>IFERROR(IF(VLOOKUP(B74,Baza[[№]:[Profit]],17,0)=0,"-",VLOOKUP(B74,Baza[[№]:[Profit]],17,0)),"")</f>
        <v/>
      </c>
      <c r="T74" s="43" t="str">
        <f>IFERROR(IF(VLOOKUP(B74,Baza[[№]:[Profit]],18,0)=0,"-",VLOOKUP(B74,Baza[[№]:[Profit]],18,0)),"")</f>
        <v/>
      </c>
      <c r="U74" s="41" t="str">
        <f>IFERROR(IF(VLOOKUP(B74,Baza[[№]:[Profit]],19,0)=0,"-",VLOOKUP(B74,Baza[[№]:[Profit]],19,0)),"")</f>
        <v/>
      </c>
      <c r="V74" s="41" t="str">
        <f>IFERROR(VLOOKUP(B74,Baza[[№]:[Profit]],20,0),"")</f>
        <v/>
      </c>
      <c r="W74" s="41" t="str">
        <f>IFERROR(IF(VLOOKUP(B74,Baza[[№]:[Profit]],21,0)=0,"-",VLOOKUP(B74,Baza[[№]:[Profit]],21,0)),"")</f>
        <v/>
      </c>
      <c r="X74" s="45" t="str">
        <f>IFERROR(IF(VLOOKUP(B74,Baza[[№]:[Profit]],22,0)=0,"-",VLOOKUP(B74,Baza[[№]:[Profit]],22,0)),"")</f>
        <v/>
      </c>
      <c r="Y74" s="45" t="str">
        <f>IFERROR(VLOOKUP(B74,Baza[[№]:[Profit]],23,0),"")</f>
        <v/>
      </c>
      <c r="Z74" s="44" t="str">
        <f>IFERROR(VLOOKUP(B74,Baza[[№]:[AFS]],24,0),"")</f>
        <v/>
      </c>
      <c r="AA74" s="45" t="str">
        <f>IF(Таблица2[[#This Row],[Profit]]="","#Н/Д",SUM($Y$40:Y74))</f>
        <v>#Н/Д</v>
      </c>
      <c r="AB74" s="45" t="b">
        <f>IF(Таблица2[[#This Row],[Grafik]]="#Н/Д",FALSE,TRUE)</f>
        <v>0</v>
      </c>
    </row>
    <row r="75" spans="1:28" ht="11.1" hidden="1" customHeight="1" x14ac:dyDescent="0.25">
      <c r="A75" s="93">
        <f t="shared" si="0"/>
        <v>36</v>
      </c>
      <c r="B75"/>
      <c r="C75" s="41" t="str">
        <f>IFERROR(VLOOKUP(B75,Baza[[№]:[Profit]],2,0),"")</f>
        <v/>
      </c>
      <c r="D7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5" s="43" t="str">
        <f>IFERROR(VLOOKUP(B75,Baza[[№]:[Profit]],3,0),"")</f>
        <v/>
      </c>
      <c r="G75" s="43" t="str">
        <f>IFERROR(VLOOKUP(B75,Baza[[№]:[Profit]],4,0),"")</f>
        <v/>
      </c>
      <c r="H75" s="43" t="str">
        <f>IFERROR(VLOOKUP(B75,Baza[[№]:[Profit]],5,0),"")</f>
        <v/>
      </c>
      <c r="I75" s="46" t="str">
        <f>IFERROR(VLOOKUP(B75,Baza[[№]:[Profit]],6,0),"")</f>
        <v/>
      </c>
      <c r="J75" s="49" t="str">
        <f>IFERROR(VLOOKUP(B75,Baza[[№]:[Profit]],7,0),"")</f>
        <v/>
      </c>
      <c r="K75" s="43" t="str">
        <f>IFERROR(VLOOKUP(B75,Baza[[№]:[Profit]],8,0),"")</f>
        <v/>
      </c>
      <c r="L75" s="43" t="str">
        <f>IFERROR(VLOOKUP(B75,Baza[[№]:[Profit]],9,0),"")</f>
        <v/>
      </c>
      <c r="M75" s="43" t="str">
        <f>IFERROR(VLOOKUP(B75,Baza[[№]:[Profit]],10,0),"")</f>
        <v/>
      </c>
      <c r="N75" s="43" t="str">
        <f>IFERROR(IF(VLOOKUP(B75,Baza[[№]:[Profit]],11,0)=0,"-",VLOOKUP(B75,Baza[[№]:[Profit]],11,0)),"")</f>
        <v/>
      </c>
      <c r="O75" s="43" t="str">
        <f>IFERROR(IF(VLOOKUP(B75,Baza[[№]:[Profit]],12,0)=0,"-",VLOOKUP(B75,Baza[[№]:[Profit]],12,0)),"")</f>
        <v/>
      </c>
      <c r="P75" s="43" t="str">
        <f>IFERROR(IF(VLOOKUP(B75,Baza[[№]:[Profit]],13,0)=0,"-",VLOOKUP(B75,Baza[[№]:[Profit]],13,0)),"")</f>
        <v/>
      </c>
      <c r="Q75" s="43" t="str">
        <f>IFERROR(IF(VLOOKUP(B75,Baza[[№]:[Profit]],15,0)=0,"-",VLOOKUP(B75,Baza[[№]:[Profit]],15,0)),"")</f>
        <v/>
      </c>
      <c r="R75" s="43" t="str">
        <f>IFERROR(IF(VLOOKUP(B75,Baza[[№]:[Profit]],16,0)=0,"-",VLOOKUP(B75,Baza[[№]:[Profit]],16,0)),"")</f>
        <v/>
      </c>
      <c r="S75" s="43" t="str">
        <f>IFERROR(IF(VLOOKUP(B75,Baza[[№]:[Profit]],17,0)=0,"-",VLOOKUP(B75,Baza[[№]:[Profit]],17,0)),"")</f>
        <v/>
      </c>
      <c r="T75" s="43" t="str">
        <f>IFERROR(IF(VLOOKUP(B75,Baza[[№]:[Profit]],18,0)=0,"-",VLOOKUP(B75,Baza[[№]:[Profit]],18,0)),"")</f>
        <v/>
      </c>
      <c r="U75" s="41" t="str">
        <f>IFERROR(IF(VLOOKUP(B75,Baza[[№]:[Profit]],19,0)=0,"-",VLOOKUP(B75,Baza[[№]:[Profit]],19,0)),"")</f>
        <v/>
      </c>
      <c r="V75" s="41" t="str">
        <f>IFERROR(VLOOKUP(B75,Baza[[№]:[Profit]],20,0),"")</f>
        <v/>
      </c>
      <c r="W75" s="41" t="str">
        <f>IFERROR(IF(VLOOKUP(B75,Baza[[№]:[Profit]],21,0)=0,"-",VLOOKUP(B75,Baza[[№]:[Profit]],21,0)),"")</f>
        <v/>
      </c>
      <c r="X75" s="45" t="str">
        <f>IFERROR(IF(VLOOKUP(B75,Baza[[№]:[Profit]],22,0)=0,"-",VLOOKUP(B75,Baza[[№]:[Profit]],22,0)),"")</f>
        <v/>
      </c>
      <c r="Y75" s="45" t="str">
        <f>IFERROR(VLOOKUP(B75,Baza[[№]:[Profit]],23,0),"")</f>
        <v/>
      </c>
      <c r="Z75" s="44" t="str">
        <f>IFERROR(VLOOKUP(B75,Baza[[№]:[AFS]],24,0),"")</f>
        <v/>
      </c>
      <c r="AA75" s="45" t="str">
        <f>IF(Таблица2[[#This Row],[Profit]]="","#Н/Д",SUM($Y$40:Y75))</f>
        <v>#Н/Д</v>
      </c>
      <c r="AB75" s="45" t="b">
        <f>IF(Таблица2[[#This Row],[Grafik]]="#Н/Д",FALSE,TRUE)</f>
        <v>0</v>
      </c>
    </row>
    <row r="76" spans="1:28" ht="11.1" hidden="1" customHeight="1" x14ac:dyDescent="0.25">
      <c r="A76" s="93">
        <f t="shared" si="0"/>
        <v>37</v>
      </c>
      <c r="B76"/>
      <c r="C76" s="41" t="str">
        <f>IFERROR(VLOOKUP(B76,Baza[[№]:[Profit]],2,0),"")</f>
        <v/>
      </c>
      <c r="D7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6" s="43" t="str">
        <f>IFERROR(VLOOKUP(B76,Baza[[№]:[Profit]],3,0),"")</f>
        <v/>
      </c>
      <c r="G76" s="43" t="str">
        <f>IFERROR(VLOOKUP(B76,Baza[[№]:[Profit]],4,0),"")</f>
        <v/>
      </c>
      <c r="H76" s="43" t="str">
        <f>IFERROR(VLOOKUP(B76,Baza[[№]:[Profit]],5,0),"")</f>
        <v/>
      </c>
      <c r="I76" s="46" t="str">
        <f>IFERROR(VLOOKUP(B76,Baza[[№]:[Profit]],6,0),"")</f>
        <v/>
      </c>
      <c r="J76" s="49" t="str">
        <f>IFERROR(VLOOKUP(B76,Baza[[№]:[Profit]],7,0),"")</f>
        <v/>
      </c>
      <c r="K76" s="43" t="str">
        <f>IFERROR(VLOOKUP(B76,Baza[[№]:[Profit]],8,0),"")</f>
        <v/>
      </c>
      <c r="L76" s="43" t="str">
        <f>IFERROR(VLOOKUP(B76,Baza[[№]:[Profit]],9,0),"")</f>
        <v/>
      </c>
      <c r="M76" s="43" t="str">
        <f>IFERROR(VLOOKUP(B76,Baza[[№]:[Profit]],10,0),"")</f>
        <v/>
      </c>
      <c r="N76" s="43" t="str">
        <f>IFERROR(IF(VLOOKUP(B76,Baza[[№]:[Profit]],11,0)=0,"-",VLOOKUP(B76,Baza[[№]:[Profit]],11,0)),"")</f>
        <v/>
      </c>
      <c r="O76" s="43" t="str">
        <f>IFERROR(IF(VLOOKUP(B76,Baza[[№]:[Profit]],12,0)=0,"-",VLOOKUP(B76,Baza[[№]:[Profit]],12,0)),"")</f>
        <v/>
      </c>
      <c r="P76" s="43" t="str">
        <f>IFERROR(IF(VLOOKUP(B76,Baza[[№]:[Profit]],13,0)=0,"-",VLOOKUP(B76,Baza[[№]:[Profit]],13,0)),"")</f>
        <v/>
      </c>
      <c r="Q76" s="43" t="str">
        <f>IFERROR(IF(VLOOKUP(B76,Baza[[№]:[Profit]],15,0)=0,"-",VLOOKUP(B76,Baza[[№]:[Profit]],15,0)),"")</f>
        <v/>
      </c>
      <c r="R76" s="43" t="str">
        <f>IFERROR(IF(VLOOKUP(B76,Baza[[№]:[Profit]],16,0)=0,"-",VLOOKUP(B76,Baza[[№]:[Profit]],16,0)),"")</f>
        <v/>
      </c>
      <c r="S76" s="43" t="str">
        <f>IFERROR(IF(VLOOKUP(B76,Baza[[№]:[Profit]],17,0)=0,"-",VLOOKUP(B76,Baza[[№]:[Profit]],17,0)),"")</f>
        <v/>
      </c>
      <c r="T76" s="43" t="str">
        <f>IFERROR(IF(VLOOKUP(B76,Baza[[№]:[Profit]],18,0)=0,"-",VLOOKUP(B76,Baza[[№]:[Profit]],18,0)),"")</f>
        <v/>
      </c>
      <c r="U76" s="41" t="str">
        <f>IFERROR(IF(VLOOKUP(B76,Baza[[№]:[Profit]],19,0)=0,"-",VLOOKUP(B76,Baza[[№]:[Profit]],19,0)),"")</f>
        <v/>
      </c>
      <c r="V76" s="41" t="str">
        <f>IFERROR(VLOOKUP(B76,Baza[[№]:[Profit]],20,0),"")</f>
        <v/>
      </c>
      <c r="W76" s="41" t="str">
        <f>IFERROR(IF(VLOOKUP(B76,Baza[[№]:[Profit]],21,0)=0,"-",VLOOKUP(B76,Baza[[№]:[Profit]],21,0)),"")</f>
        <v/>
      </c>
      <c r="X76" s="45" t="str">
        <f>IFERROR(IF(VLOOKUP(B76,Baza[[№]:[Profit]],22,0)=0,"-",VLOOKUP(B76,Baza[[№]:[Profit]],22,0)),"")</f>
        <v/>
      </c>
      <c r="Y76" s="45" t="str">
        <f>IFERROR(VLOOKUP(B76,Baza[[№]:[Profit]],23,0),"")</f>
        <v/>
      </c>
      <c r="Z76" s="44" t="str">
        <f>IFERROR(VLOOKUP(B76,Baza[[№]:[AFS]],24,0),"")</f>
        <v/>
      </c>
      <c r="AA76" s="45" t="str">
        <f>IF(Таблица2[[#This Row],[Profit]]="","#Н/Д",SUM($Y$40:Y76))</f>
        <v>#Н/Д</v>
      </c>
      <c r="AB76" s="45" t="b">
        <f>IF(Таблица2[[#This Row],[Grafik]]="#Н/Д",FALSE,TRUE)</f>
        <v>0</v>
      </c>
    </row>
    <row r="77" spans="1:28" ht="11.1" hidden="1" customHeight="1" x14ac:dyDescent="0.25">
      <c r="A77" s="93">
        <f t="shared" si="0"/>
        <v>38</v>
      </c>
      <c r="B77"/>
      <c r="C77" s="41" t="str">
        <f>IFERROR(VLOOKUP(B77,Baza[[№]:[Profit]],2,0),"")</f>
        <v/>
      </c>
      <c r="D7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7" s="43" t="str">
        <f>IFERROR(VLOOKUP(B77,Baza[[№]:[Profit]],3,0),"")</f>
        <v/>
      </c>
      <c r="G77" s="43" t="str">
        <f>IFERROR(VLOOKUP(B77,Baza[[№]:[Profit]],4,0),"")</f>
        <v/>
      </c>
      <c r="H77" s="43" t="str">
        <f>IFERROR(VLOOKUP(B77,Baza[[№]:[Profit]],5,0),"")</f>
        <v/>
      </c>
      <c r="I77" s="46" t="str">
        <f>IFERROR(VLOOKUP(B77,Baza[[№]:[Profit]],6,0),"")</f>
        <v/>
      </c>
      <c r="J77" s="49" t="str">
        <f>IFERROR(VLOOKUP(B77,Baza[[№]:[Profit]],7,0),"")</f>
        <v/>
      </c>
      <c r="K77" s="43" t="str">
        <f>IFERROR(VLOOKUP(B77,Baza[[№]:[Profit]],8,0),"")</f>
        <v/>
      </c>
      <c r="L77" s="43" t="str">
        <f>IFERROR(VLOOKUP(B77,Baza[[№]:[Profit]],9,0),"")</f>
        <v/>
      </c>
      <c r="M77" s="43" t="str">
        <f>IFERROR(VLOOKUP(B77,Baza[[№]:[Profit]],10,0),"")</f>
        <v/>
      </c>
      <c r="N77" s="43" t="str">
        <f>IFERROR(IF(VLOOKUP(B77,Baza[[№]:[Profit]],11,0)=0,"-",VLOOKUP(B77,Baza[[№]:[Profit]],11,0)),"")</f>
        <v/>
      </c>
      <c r="O77" s="43" t="str">
        <f>IFERROR(IF(VLOOKUP(B77,Baza[[№]:[Profit]],12,0)=0,"-",VLOOKUP(B77,Baza[[№]:[Profit]],12,0)),"")</f>
        <v/>
      </c>
      <c r="P77" s="43" t="str">
        <f>IFERROR(IF(VLOOKUP(B77,Baza[[№]:[Profit]],13,0)=0,"-",VLOOKUP(B77,Baza[[№]:[Profit]],13,0)),"")</f>
        <v/>
      </c>
      <c r="Q77" s="43" t="str">
        <f>IFERROR(IF(VLOOKUP(B77,Baza[[№]:[Profit]],15,0)=0,"-",VLOOKUP(B77,Baza[[№]:[Profit]],15,0)),"")</f>
        <v/>
      </c>
      <c r="R77" s="43" t="str">
        <f>IFERROR(IF(VLOOKUP(B77,Baza[[№]:[Profit]],16,0)=0,"-",VLOOKUP(B77,Baza[[№]:[Profit]],16,0)),"")</f>
        <v/>
      </c>
      <c r="S77" s="43" t="str">
        <f>IFERROR(IF(VLOOKUP(B77,Baza[[№]:[Profit]],17,0)=0,"-",VLOOKUP(B77,Baza[[№]:[Profit]],17,0)),"")</f>
        <v/>
      </c>
      <c r="T77" s="43" t="str">
        <f>IFERROR(IF(VLOOKUP(B77,Baza[[№]:[Profit]],18,0)=0,"-",VLOOKUP(B77,Baza[[№]:[Profit]],18,0)),"")</f>
        <v/>
      </c>
      <c r="U77" s="41" t="str">
        <f>IFERROR(IF(VLOOKUP(B77,Baza[[№]:[Profit]],19,0)=0,"-",VLOOKUP(B77,Baza[[№]:[Profit]],19,0)),"")</f>
        <v/>
      </c>
      <c r="V77" s="41" t="str">
        <f>IFERROR(VLOOKUP(B77,Baza[[№]:[Profit]],20,0),"")</f>
        <v/>
      </c>
      <c r="W77" s="41" t="str">
        <f>IFERROR(IF(VLOOKUP(B77,Baza[[№]:[Profit]],21,0)=0,"-",VLOOKUP(B77,Baza[[№]:[Profit]],21,0)),"")</f>
        <v/>
      </c>
      <c r="X77" s="45" t="str">
        <f>IFERROR(IF(VLOOKUP(B77,Baza[[№]:[Profit]],22,0)=0,"-",VLOOKUP(B77,Baza[[№]:[Profit]],22,0)),"")</f>
        <v/>
      </c>
      <c r="Y77" s="45" t="str">
        <f>IFERROR(VLOOKUP(B77,Baza[[№]:[Profit]],23,0),"")</f>
        <v/>
      </c>
      <c r="Z77" s="44" t="str">
        <f>IFERROR(VLOOKUP(B77,Baza[[№]:[AFS]],24,0),"")</f>
        <v/>
      </c>
      <c r="AA77" s="45" t="str">
        <f>IF(Таблица2[[#This Row],[Profit]]="","#Н/Д",SUM($Y$40:Y77))</f>
        <v>#Н/Д</v>
      </c>
      <c r="AB77" s="45" t="b">
        <f>IF(Таблица2[[#This Row],[Grafik]]="#Н/Д",FALSE,TRUE)</f>
        <v>0</v>
      </c>
    </row>
    <row r="78" spans="1:28" ht="11.1" hidden="1" customHeight="1" x14ac:dyDescent="0.25">
      <c r="A78" s="93">
        <f t="shared" si="0"/>
        <v>39</v>
      </c>
      <c r="B78"/>
      <c r="C78" s="41" t="str">
        <f>IFERROR(VLOOKUP(B78,Baza[[№]:[Profit]],2,0),"")</f>
        <v/>
      </c>
      <c r="D7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8" s="43" t="str">
        <f>IFERROR(VLOOKUP(B78,Baza[[№]:[Profit]],3,0),"")</f>
        <v/>
      </c>
      <c r="G78" s="43" t="str">
        <f>IFERROR(VLOOKUP(B78,Baza[[№]:[Profit]],4,0),"")</f>
        <v/>
      </c>
      <c r="H78" s="43" t="str">
        <f>IFERROR(VLOOKUP(B78,Baza[[№]:[Profit]],5,0),"")</f>
        <v/>
      </c>
      <c r="I78" s="46" t="str">
        <f>IFERROR(VLOOKUP(B78,Baza[[№]:[Profit]],6,0),"")</f>
        <v/>
      </c>
      <c r="J78" s="49" t="str">
        <f>IFERROR(VLOOKUP(B78,Baza[[№]:[Profit]],7,0),"")</f>
        <v/>
      </c>
      <c r="K78" s="43" t="str">
        <f>IFERROR(VLOOKUP(B78,Baza[[№]:[Profit]],8,0),"")</f>
        <v/>
      </c>
      <c r="L78" s="43" t="str">
        <f>IFERROR(VLOOKUP(B78,Baza[[№]:[Profit]],9,0),"")</f>
        <v/>
      </c>
      <c r="M78" s="43" t="str">
        <f>IFERROR(VLOOKUP(B78,Baza[[№]:[Profit]],10,0),"")</f>
        <v/>
      </c>
      <c r="N78" s="43" t="str">
        <f>IFERROR(IF(VLOOKUP(B78,Baza[[№]:[Profit]],11,0)=0,"-",VLOOKUP(B78,Baza[[№]:[Profit]],11,0)),"")</f>
        <v/>
      </c>
      <c r="O78" s="43" t="str">
        <f>IFERROR(IF(VLOOKUP(B78,Baza[[№]:[Profit]],12,0)=0,"-",VLOOKUP(B78,Baza[[№]:[Profit]],12,0)),"")</f>
        <v/>
      </c>
      <c r="P78" s="43" t="str">
        <f>IFERROR(IF(VLOOKUP(B78,Baza[[№]:[Profit]],13,0)=0,"-",VLOOKUP(B78,Baza[[№]:[Profit]],13,0)),"")</f>
        <v/>
      </c>
      <c r="Q78" s="43" t="str">
        <f>IFERROR(IF(VLOOKUP(B78,Baza[[№]:[Profit]],15,0)=0,"-",VLOOKUP(B78,Baza[[№]:[Profit]],15,0)),"")</f>
        <v/>
      </c>
      <c r="R78" s="43" t="str">
        <f>IFERROR(IF(VLOOKUP(B78,Baza[[№]:[Profit]],16,0)=0,"-",VLOOKUP(B78,Baza[[№]:[Profit]],16,0)),"")</f>
        <v/>
      </c>
      <c r="S78" s="43" t="str">
        <f>IFERROR(IF(VLOOKUP(B78,Baza[[№]:[Profit]],17,0)=0,"-",VLOOKUP(B78,Baza[[№]:[Profit]],17,0)),"")</f>
        <v/>
      </c>
      <c r="T78" s="43" t="str">
        <f>IFERROR(IF(VLOOKUP(B78,Baza[[№]:[Profit]],18,0)=0,"-",VLOOKUP(B78,Baza[[№]:[Profit]],18,0)),"")</f>
        <v/>
      </c>
      <c r="U78" s="41" t="str">
        <f>IFERROR(IF(VLOOKUP(B78,Baza[[№]:[Profit]],19,0)=0,"-",VLOOKUP(B78,Baza[[№]:[Profit]],19,0)),"")</f>
        <v/>
      </c>
      <c r="V78" s="41" t="str">
        <f>IFERROR(VLOOKUP(B78,Baza[[№]:[Profit]],20,0),"")</f>
        <v/>
      </c>
      <c r="W78" s="41" t="str">
        <f>IFERROR(IF(VLOOKUP(B78,Baza[[№]:[Profit]],21,0)=0,"-",VLOOKUP(B78,Baza[[№]:[Profit]],21,0)),"")</f>
        <v/>
      </c>
      <c r="X78" s="45" t="str">
        <f>IFERROR(IF(VLOOKUP(B78,Baza[[№]:[Profit]],22,0)=0,"-",VLOOKUP(B78,Baza[[№]:[Profit]],22,0)),"")</f>
        <v/>
      </c>
      <c r="Y78" s="45" t="str">
        <f>IFERROR(VLOOKUP(B78,Baza[[№]:[Profit]],23,0),"")</f>
        <v/>
      </c>
      <c r="Z78" s="44" t="str">
        <f>IFERROR(VLOOKUP(B78,Baza[[№]:[AFS]],24,0),"")</f>
        <v/>
      </c>
      <c r="AA78" s="45" t="str">
        <f>IF(Таблица2[[#This Row],[Profit]]="","#Н/Д",SUM($Y$40:Y78))</f>
        <v>#Н/Д</v>
      </c>
      <c r="AB78" s="45" t="b">
        <f>IF(Таблица2[[#This Row],[Grafik]]="#Н/Д",FALSE,TRUE)</f>
        <v>0</v>
      </c>
    </row>
    <row r="79" spans="1:28" ht="11.1" hidden="1" customHeight="1" x14ac:dyDescent="0.25">
      <c r="A79" s="93">
        <f t="shared" si="0"/>
        <v>40</v>
      </c>
      <c r="B79"/>
      <c r="C79" s="41" t="str">
        <f>IFERROR(VLOOKUP(B79,Baza[[№]:[Profit]],2,0),"")</f>
        <v/>
      </c>
      <c r="D7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9" s="43" t="str">
        <f>IFERROR(VLOOKUP(B79,Baza[[№]:[Profit]],3,0),"")</f>
        <v/>
      </c>
      <c r="G79" s="43" t="str">
        <f>IFERROR(VLOOKUP(B79,Baza[[№]:[Profit]],4,0),"")</f>
        <v/>
      </c>
      <c r="H79" s="43" t="str">
        <f>IFERROR(VLOOKUP(B79,Baza[[№]:[Profit]],5,0),"")</f>
        <v/>
      </c>
      <c r="I79" s="46" t="str">
        <f>IFERROR(VLOOKUP(B79,Baza[[№]:[Profit]],6,0),"")</f>
        <v/>
      </c>
      <c r="J79" s="49" t="str">
        <f>IFERROR(VLOOKUP(B79,Baza[[№]:[Profit]],7,0),"")</f>
        <v/>
      </c>
      <c r="K79" s="43" t="str">
        <f>IFERROR(VLOOKUP(B79,Baza[[№]:[Profit]],8,0),"")</f>
        <v/>
      </c>
      <c r="L79" s="43" t="str">
        <f>IFERROR(VLOOKUP(B79,Baza[[№]:[Profit]],9,0),"")</f>
        <v/>
      </c>
      <c r="M79" s="43" t="str">
        <f>IFERROR(VLOOKUP(B79,Baza[[№]:[Profit]],10,0),"")</f>
        <v/>
      </c>
      <c r="N79" s="43" t="str">
        <f>IFERROR(IF(VLOOKUP(B79,Baza[[№]:[Profit]],11,0)=0,"-",VLOOKUP(B79,Baza[[№]:[Profit]],11,0)),"")</f>
        <v/>
      </c>
      <c r="O79" s="43" t="str">
        <f>IFERROR(IF(VLOOKUP(B79,Baza[[№]:[Profit]],12,0)=0,"-",VLOOKUP(B79,Baza[[№]:[Profit]],12,0)),"")</f>
        <v/>
      </c>
      <c r="P79" s="43" t="str">
        <f>IFERROR(IF(VLOOKUP(B79,Baza[[№]:[Profit]],13,0)=0,"-",VLOOKUP(B79,Baza[[№]:[Profit]],13,0)),"")</f>
        <v/>
      </c>
      <c r="Q79" s="43" t="str">
        <f>IFERROR(IF(VLOOKUP(B79,Baza[[№]:[Profit]],15,0)=0,"-",VLOOKUP(B79,Baza[[№]:[Profit]],15,0)),"")</f>
        <v/>
      </c>
      <c r="R79" s="43" t="str">
        <f>IFERROR(IF(VLOOKUP(B79,Baza[[№]:[Profit]],16,0)=0,"-",VLOOKUP(B79,Baza[[№]:[Profit]],16,0)),"")</f>
        <v/>
      </c>
      <c r="S79" s="43" t="str">
        <f>IFERROR(IF(VLOOKUP(B79,Baza[[№]:[Profit]],17,0)=0,"-",VLOOKUP(B79,Baza[[№]:[Profit]],17,0)),"")</f>
        <v/>
      </c>
      <c r="T79" s="43" t="str">
        <f>IFERROR(IF(VLOOKUP(B79,Baza[[№]:[Profit]],18,0)=0,"-",VLOOKUP(B79,Baza[[№]:[Profit]],18,0)),"")</f>
        <v/>
      </c>
      <c r="U79" s="41" t="str">
        <f>IFERROR(IF(VLOOKUP(B79,Baza[[№]:[Profit]],19,0)=0,"-",VLOOKUP(B79,Baza[[№]:[Profit]],19,0)),"")</f>
        <v/>
      </c>
      <c r="V79" s="41" t="str">
        <f>IFERROR(VLOOKUP(B79,Baza[[№]:[Profit]],20,0),"")</f>
        <v/>
      </c>
      <c r="W79" s="41" t="str">
        <f>IFERROR(IF(VLOOKUP(B79,Baza[[№]:[Profit]],21,0)=0,"-",VLOOKUP(B79,Baza[[№]:[Profit]],21,0)),"")</f>
        <v/>
      </c>
      <c r="X79" s="45" t="str">
        <f>IFERROR(IF(VLOOKUP(B79,Baza[[№]:[Profit]],22,0)=0,"-",VLOOKUP(B79,Baza[[№]:[Profit]],22,0)),"")</f>
        <v/>
      </c>
      <c r="Y79" s="45" t="str">
        <f>IFERROR(VLOOKUP(B79,Baza[[№]:[Profit]],23,0),"")</f>
        <v/>
      </c>
      <c r="Z79" s="44" t="str">
        <f>IFERROR(VLOOKUP(B79,Baza[[№]:[AFS]],24,0),"")</f>
        <v/>
      </c>
      <c r="AA79" s="45" t="str">
        <f>IF(Таблица2[[#This Row],[Profit]]="","#Н/Д",SUM($Y$40:Y79))</f>
        <v>#Н/Д</v>
      </c>
      <c r="AB79" s="45" t="b">
        <f>IF(Таблица2[[#This Row],[Grafik]]="#Н/Д",FALSE,TRUE)</f>
        <v>0</v>
      </c>
    </row>
    <row r="80" spans="1:28" ht="11.1" hidden="1" customHeight="1" x14ac:dyDescent="0.25">
      <c r="A80" s="93">
        <f t="shared" si="0"/>
        <v>41</v>
      </c>
      <c r="B80"/>
      <c r="C80" s="41" t="str">
        <f>IFERROR(VLOOKUP(B80,Baza[[№]:[Profit]],2,0),"")</f>
        <v/>
      </c>
      <c r="D8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0" s="43" t="str">
        <f>IFERROR(VLOOKUP(B80,Baza[[№]:[Profit]],3,0),"")</f>
        <v/>
      </c>
      <c r="G80" s="43" t="str">
        <f>IFERROR(VLOOKUP(B80,Baza[[№]:[Profit]],4,0),"")</f>
        <v/>
      </c>
      <c r="H80" s="43" t="str">
        <f>IFERROR(VLOOKUP(B80,Baza[[№]:[Profit]],5,0),"")</f>
        <v/>
      </c>
      <c r="I80" s="46" t="str">
        <f>IFERROR(VLOOKUP(B80,Baza[[№]:[Profit]],6,0),"")</f>
        <v/>
      </c>
      <c r="J80" s="49" t="str">
        <f>IFERROR(VLOOKUP(B80,Baza[[№]:[Profit]],7,0),"")</f>
        <v/>
      </c>
      <c r="K80" s="43" t="str">
        <f>IFERROR(VLOOKUP(B80,Baza[[№]:[Profit]],8,0),"")</f>
        <v/>
      </c>
      <c r="L80" s="43" t="str">
        <f>IFERROR(VLOOKUP(B80,Baza[[№]:[Profit]],9,0),"")</f>
        <v/>
      </c>
      <c r="M80" s="43" t="str">
        <f>IFERROR(VLOOKUP(B80,Baza[[№]:[Profit]],10,0),"")</f>
        <v/>
      </c>
      <c r="N80" s="43" t="str">
        <f>IFERROR(IF(VLOOKUP(B80,Baza[[№]:[Profit]],11,0)=0,"-",VLOOKUP(B80,Baza[[№]:[Profit]],11,0)),"")</f>
        <v/>
      </c>
      <c r="O80" s="43" t="str">
        <f>IFERROR(IF(VLOOKUP(B80,Baza[[№]:[Profit]],12,0)=0,"-",VLOOKUP(B80,Baza[[№]:[Profit]],12,0)),"")</f>
        <v/>
      </c>
      <c r="P80" s="43" t="str">
        <f>IFERROR(IF(VLOOKUP(B80,Baza[[№]:[Profit]],13,0)=0,"-",VLOOKUP(B80,Baza[[№]:[Profit]],13,0)),"")</f>
        <v/>
      </c>
      <c r="Q80" s="43" t="str">
        <f>IFERROR(IF(VLOOKUP(B80,Baza[[№]:[Profit]],15,0)=0,"-",VLOOKUP(B80,Baza[[№]:[Profit]],15,0)),"")</f>
        <v/>
      </c>
      <c r="R80" s="43" t="str">
        <f>IFERROR(IF(VLOOKUP(B80,Baza[[№]:[Profit]],16,0)=0,"-",VLOOKUP(B80,Baza[[№]:[Profit]],16,0)),"")</f>
        <v/>
      </c>
      <c r="S80" s="43" t="str">
        <f>IFERROR(IF(VLOOKUP(B80,Baza[[№]:[Profit]],17,0)=0,"-",VLOOKUP(B80,Baza[[№]:[Profit]],17,0)),"")</f>
        <v/>
      </c>
      <c r="T80" s="43" t="str">
        <f>IFERROR(IF(VLOOKUP(B80,Baza[[№]:[Profit]],18,0)=0,"-",VLOOKUP(B80,Baza[[№]:[Profit]],18,0)),"")</f>
        <v/>
      </c>
      <c r="U80" s="41" t="str">
        <f>IFERROR(IF(VLOOKUP(B80,Baza[[№]:[Profit]],19,0)=0,"-",VLOOKUP(B80,Baza[[№]:[Profit]],19,0)),"")</f>
        <v/>
      </c>
      <c r="V80" s="41" t="str">
        <f>IFERROR(VLOOKUP(B80,Baza[[№]:[Profit]],20,0),"")</f>
        <v/>
      </c>
      <c r="W80" s="41" t="str">
        <f>IFERROR(IF(VLOOKUP(B80,Baza[[№]:[Profit]],21,0)=0,"-",VLOOKUP(B80,Baza[[№]:[Profit]],21,0)),"")</f>
        <v/>
      </c>
      <c r="X80" s="45" t="str">
        <f>IFERROR(IF(VLOOKUP(B80,Baza[[№]:[Profit]],22,0)=0,"-",VLOOKUP(B80,Baza[[№]:[Profit]],22,0)),"")</f>
        <v/>
      </c>
      <c r="Y80" s="45" t="str">
        <f>IFERROR(VLOOKUP(B80,Baza[[№]:[Profit]],23,0),"")</f>
        <v/>
      </c>
      <c r="Z80" s="44" t="str">
        <f>IFERROR(VLOOKUP(B80,Baza[[№]:[AFS]],24,0),"")</f>
        <v/>
      </c>
      <c r="AA80" s="45" t="str">
        <f>IF(Таблица2[[#This Row],[Profit]]="","#Н/Д",SUM($Y$40:Y80))</f>
        <v>#Н/Д</v>
      </c>
      <c r="AB80" s="45" t="b">
        <f>IF(Таблица2[[#This Row],[Grafik]]="#Н/Д",FALSE,TRUE)</f>
        <v>0</v>
      </c>
    </row>
    <row r="81" spans="1:28" ht="11.1" hidden="1" customHeight="1" x14ac:dyDescent="0.25">
      <c r="A81" s="93">
        <f t="shared" si="0"/>
        <v>42</v>
      </c>
      <c r="B81"/>
      <c r="C81" s="41" t="str">
        <f>IFERROR(VLOOKUP(B81,Baza[[№]:[Profit]],2,0),"")</f>
        <v/>
      </c>
      <c r="D8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1" s="43" t="str">
        <f>IFERROR(VLOOKUP(B81,Baza[[№]:[Profit]],3,0),"")</f>
        <v/>
      </c>
      <c r="G81" s="43" t="str">
        <f>IFERROR(VLOOKUP(B81,Baza[[№]:[Profit]],4,0),"")</f>
        <v/>
      </c>
      <c r="H81" s="43" t="str">
        <f>IFERROR(VLOOKUP(B81,Baza[[№]:[Profit]],5,0),"")</f>
        <v/>
      </c>
      <c r="I81" s="46" t="str">
        <f>IFERROR(VLOOKUP(B81,Baza[[№]:[Profit]],6,0),"")</f>
        <v/>
      </c>
      <c r="J81" s="49" t="str">
        <f>IFERROR(VLOOKUP(B81,Baza[[№]:[Profit]],7,0),"")</f>
        <v/>
      </c>
      <c r="K81" s="43" t="str">
        <f>IFERROR(VLOOKUP(B81,Baza[[№]:[Profit]],8,0),"")</f>
        <v/>
      </c>
      <c r="L81" s="43" t="str">
        <f>IFERROR(VLOOKUP(B81,Baza[[№]:[Profit]],9,0),"")</f>
        <v/>
      </c>
      <c r="M81" s="43" t="str">
        <f>IFERROR(VLOOKUP(B81,Baza[[№]:[Profit]],10,0),"")</f>
        <v/>
      </c>
      <c r="N81" s="43" t="str">
        <f>IFERROR(IF(VLOOKUP(B81,Baza[[№]:[Profit]],11,0)=0,"-",VLOOKUP(B81,Baza[[№]:[Profit]],11,0)),"")</f>
        <v/>
      </c>
      <c r="O81" s="43" t="str">
        <f>IFERROR(IF(VLOOKUP(B81,Baza[[№]:[Profit]],12,0)=0,"-",VLOOKUP(B81,Baza[[№]:[Profit]],12,0)),"")</f>
        <v/>
      </c>
      <c r="P81" s="43" t="str">
        <f>IFERROR(IF(VLOOKUP(B81,Baza[[№]:[Profit]],13,0)=0,"-",VLOOKUP(B81,Baza[[№]:[Profit]],13,0)),"")</f>
        <v/>
      </c>
      <c r="Q81" s="43" t="str">
        <f>IFERROR(IF(VLOOKUP(B81,Baza[[№]:[Profit]],15,0)=0,"-",VLOOKUP(B81,Baza[[№]:[Profit]],15,0)),"")</f>
        <v/>
      </c>
      <c r="R81" s="43" t="str">
        <f>IFERROR(IF(VLOOKUP(B81,Baza[[№]:[Profit]],16,0)=0,"-",VLOOKUP(B81,Baza[[№]:[Profit]],16,0)),"")</f>
        <v/>
      </c>
      <c r="S81" s="43" t="str">
        <f>IFERROR(IF(VLOOKUP(B81,Baza[[№]:[Profit]],17,0)=0,"-",VLOOKUP(B81,Baza[[№]:[Profit]],17,0)),"")</f>
        <v/>
      </c>
      <c r="T81" s="43" t="str">
        <f>IFERROR(IF(VLOOKUP(B81,Baza[[№]:[Profit]],18,0)=0,"-",VLOOKUP(B81,Baza[[№]:[Profit]],18,0)),"")</f>
        <v/>
      </c>
      <c r="U81" s="41" t="str">
        <f>IFERROR(IF(VLOOKUP(B81,Baza[[№]:[Profit]],19,0)=0,"-",VLOOKUP(B81,Baza[[№]:[Profit]],19,0)),"")</f>
        <v/>
      </c>
      <c r="V81" s="41" t="str">
        <f>IFERROR(VLOOKUP(B81,Baza[[№]:[Profit]],20,0),"")</f>
        <v/>
      </c>
      <c r="W81" s="41" t="str">
        <f>IFERROR(IF(VLOOKUP(B81,Baza[[№]:[Profit]],21,0)=0,"-",VLOOKUP(B81,Baza[[№]:[Profit]],21,0)),"")</f>
        <v/>
      </c>
      <c r="X81" s="45" t="str">
        <f>IFERROR(IF(VLOOKUP(B81,Baza[[№]:[Profit]],22,0)=0,"-",VLOOKUP(B81,Baza[[№]:[Profit]],22,0)),"")</f>
        <v/>
      </c>
      <c r="Y81" s="45" t="str">
        <f>IFERROR(VLOOKUP(B81,Baza[[№]:[Profit]],23,0),"")</f>
        <v/>
      </c>
      <c r="Z81" s="44" t="str">
        <f>IFERROR(VLOOKUP(B81,Baza[[№]:[AFS]],24,0),"")</f>
        <v/>
      </c>
      <c r="AA81" s="45" t="str">
        <f>IF(Таблица2[[#This Row],[Profit]]="","#Н/Д",SUM($Y$40:Y81))</f>
        <v>#Н/Д</v>
      </c>
      <c r="AB81" s="45" t="b">
        <f>IF(Таблица2[[#This Row],[Grafik]]="#Н/Д",FALSE,TRUE)</f>
        <v>0</v>
      </c>
    </row>
    <row r="82" spans="1:28" ht="11.1" hidden="1" customHeight="1" x14ac:dyDescent="0.25">
      <c r="A82" s="93">
        <f t="shared" si="0"/>
        <v>43</v>
      </c>
      <c r="B82"/>
      <c r="C82" s="41" t="str">
        <f>IFERROR(VLOOKUP(B82,Baza[[№]:[Profit]],2,0),"")</f>
        <v/>
      </c>
      <c r="D8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2" s="43" t="str">
        <f>IFERROR(VLOOKUP(B82,Baza[[№]:[Profit]],3,0),"")</f>
        <v/>
      </c>
      <c r="G82" s="43" t="str">
        <f>IFERROR(VLOOKUP(B82,Baza[[№]:[Profit]],4,0),"")</f>
        <v/>
      </c>
      <c r="H82" s="43" t="str">
        <f>IFERROR(VLOOKUP(B82,Baza[[№]:[Profit]],5,0),"")</f>
        <v/>
      </c>
      <c r="I82" s="46" t="str">
        <f>IFERROR(VLOOKUP(B82,Baza[[№]:[Profit]],6,0),"")</f>
        <v/>
      </c>
      <c r="J82" s="49" t="str">
        <f>IFERROR(VLOOKUP(B82,Baza[[№]:[Profit]],7,0),"")</f>
        <v/>
      </c>
      <c r="K82" s="43" t="str">
        <f>IFERROR(VLOOKUP(B82,Baza[[№]:[Profit]],8,0),"")</f>
        <v/>
      </c>
      <c r="L82" s="43" t="str">
        <f>IFERROR(VLOOKUP(B82,Baza[[№]:[Profit]],9,0),"")</f>
        <v/>
      </c>
      <c r="M82" s="43" t="str">
        <f>IFERROR(VLOOKUP(B82,Baza[[№]:[Profit]],10,0),"")</f>
        <v/>
      </c>
      <c r="N82" s="43" t="str">
        <f>IFERROR(IF(VLOOKUP(B82,Baza[[№]:[Profit]],11,0)=0,"-",VLOOKUP(B82,Baza[[№]:[Profit]],11,0)),"")</f>
        <v/>
      </c>
      <c r="O82" s="43" t="str">
        <f>IFERROR(IF(VLOOKUP(B82,Baza[[№]:[Profit]],12,0)=0,"-",VLOOKUP(B82,Baza[[№]:[Profit]],12,0)),"")</f>
        <v/>
      </c>
      <c r="P82" s="43" t="str">
        <f>IFERROR(IF(VLOOKUP(B82,Baza[[№]:[Profit]],13,0)=0,"-",VLOOKUP(B82,Baza[[№]:[Profit]],13,0)),"")</f>
        <v/>
      </c>
      <c r="Q82" s="43" t="str">
        <f>IFERROR(IF(VLOOKUP(B82,Baza[[№]:[Profit]],15,0)=0,"-",VLOOKUP(B82,Baza[[№]:[Profit]],15,0)),"")</f>
        <v/>
      </c>
      <c r="R82" s="43" t="str">
        <f>IFERROR(IF(VLOOKUP(B82,Baza[[№]:[Profit]],16,0)=0,"-",VLOOKUP(B82,Baza[[№]:[Profit]],16,0)),"")</f>
        <v/>
      </c>
      <c r="S82" s="43" t="str">
        <f>IFERROR(IF(VLOOKUP(B82,Baza[[№]:[Profit]],17,0)=0,"-",VLOOKUP(B82,Baza[[№]:[Profit]],17,0)),"")</f>
        <v/>
      </c>
      <c r="T82" s="43" t="str">
        <f>IFERROR(IF(VLOOKUP(B82,Baza[[№]:[Profit]],18,0)=0,"-",VLOOKUP(B82,Baza[[№]:[Profit]],18,0)),"")</f>
        <v/>
      </c>
      <c r="U82" s="41" t="str">
        <f>IFERROR(IF(VLOOKUP(B82,Baza[[№]:[Profit]],19,0)=0,"-",VLOOKUP(B82,Baza[[№]:[Profit]],19,0)),"")</f>
        <v/>
      </c>
      <c r="V82" s="41" t="str">
        <f>IFERROR(VLOOKUP(B82,Baza[[№]:[Profit]],20,0),"")</f>
        <v/>
      </c>
      <c r="W82" s="41" t="str">
        <f>IFERROR(IF(VLOOKUP(B82,Baza[[№]:[Profit]],21,0)=0,"-",VLOOKUP(B82,Baza[[№]:[Profit]],21,0)),"")</f>
        <v/>
      </c>
      <c r="X82" s="45" t="str">
        <f>IFERROR(IF(VLOOKUP(B82,Baza[[№]:[Profit]],22,0)=0,"-",VLOOKUP(B82,Baza[[№]:[Profit]],22,0)),"")</f>
        <v/>
      </c>
      <c r="Y82" s="45" t="str">
        <f>IFERROR(VLOOKUP(B82,Baza[[№]:[Profit]],23,0),"")</f>
        <v/>
      </c>
      <c r="Z82" s="44" t="str">
        <f>IFERROR(VLOOKUP(B82,Baza[[№]:[AFS]],24,0),"")</f>
        <v/>
      </c>
      <c r="AA82" s="45" t="str">
        <f>IF(Таблица2[[#This Row],[Profit]]="","#Н/Д",SUM($Y$40:Y82))</f>
        <v>#Н/Д</v>
      </c>
      <c r="AB82" s="45" t="b">
        <f>IF(Таблица2[[#This Row],[Grafik]]="#Н/Д",FALSE,TRUE)</f>
        <v>0</v>
      </c>
    </row>
    <row r="83" spans="1:28" ht="11.1" hidden="1" customHeight="1" x14ac:dyDescent="0.25">
      <c r="A83" s="93">
        <f t="shared" si="0"/>
        <v>44</v>
      </c>
      <c r="B83"/>
      <c r="C83" s="41" t="str">
        <f>IFERROR(VLOOKUP(B83,Baza[[№]:[Profit]],2,0),"")</f>
        <v/>
      </c>
      <c r="D8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3" s="43" t="str">
        <f>IFERROR(VLOOKUP(B83,Baza[[№]:[Profit]],3,0),"")</f>
        <v/>
      </c>
      <c r="G83" s="43" t="str">
        <f>IFERROR(VLOOKUP(B83,Baza[[№]:[Profit]],4,0),"")</f>
        <v/>
      </c>
      <c r="H83" s="43" t="str">
        <f>IFERROR(VLOOKUP(B83,Baza[[№]:[Profit]],5,0),"")</f>
        <v/>
      </c>
      <c r="I83" s="46" t="str">
        <f>IFERROR(VLOOKUP(B83,Baza[[№]:[Profit]],6,0),"")</f>
        <v/>
      </c>
      <c r="J83" s="49" t="str">
        <f>IFERROR(VLOOKUP(B83,Baza[[№]:[Profit]],7,0),"")</f>
        <v/>
      </c>
      <c r="K83" s="43" t="str">
        <f>IFERROR(VLOOKUP(B83,Baza[[№]:[Profit]],8,0),"")</f>
        <v/>
      </c>
      <c r="L83" s="43" t="str">
        <f>IFERROR(VLOOKUP(B83,Baza[[№]:[Profit]],9,0),"")</f>
        <v/>
      </c>
      <c r="M83" s="43" t="str">
        <f>IFERROR(VLOOKUP(B83,Baza[[№]:[Profit]],10,0),"")</f>
        <v/>
      </c>
      <c r="N83" s="43" t="str">
        <f>IFERROR(IF(VLOOKUP(B83,Baza[[№]:[Profit]],11,0)=0,"-",VLOOKUP(B83,Baza[[№]:[Profit]],11,0)),"")</f>
        <v/>
      </c>
      <c r="O83" s="43" t="str">
        <f>IFERROR(IF(VLOOKUP(B83,Baza[[№]:[Profit]],12,0)=0,"-",VLOOKUP(B83,Baza[[№]:[Profit]],12,0)),"")</f>
        <v/>
      </c>
      <c r="P83" s="43" t="str">
        <f>IFERROR(IF(VLOOKUP(B83,Baza[[№]:[Profit]],13,0)=0,"-",VLOOKUP(B83,Baza[[№]:[Profit]],13,0)),"")</f>
        <v/>
      </c>
      <c r="Q83" s="43" t="str">
        <f>IFERROR(IF(VLOOKUP(B83,Baza[[№]:[Profit]],15,0)=0,"-",VLOOKUP(B83,Baza[[№]:[Profit]],15,0)),"")</f>
        <v/>
      </c>
      <c r="R83" s="43" t="str">
        <f>IFERROR(IF(VLOOKUP(B83,Baza[[№]:[Profit]],16,0)=0,"-",VLOOKUP(B83,Baza[[№]:[Profit]],16,0)),"")</f>
        <v/>
      </c>
      <c r="S83" s="43" t="str">
        <f>IFERROR(IF(VLOOKUP(B83,Baza[[№]:[Profit]],17,0)=0,"-",VLOOKUP(B83,Baza[[№]:[Profit]],17,0)),"")</f>
        <v/>
      </c>
      <c r="T83" s="43" t="str">
        <f>IFERROR(IF(VLOOKUP(B83,Baza[[№]:[Profit]],18,0)=0,"-",VLOOKUP(B83,Baza[[№]:[Profit]],18,0)),"")</f>
        <v/>
      </c>
      <c r="U83" s="41" t="str">
        <f>IFERROR(IF(VLOOKUP(B83,Baza[[№]:[Profit]],19,0)=0,"-",VLOOKUP(B83,Baza[[№]:[Profit]],19,0)),"")</f>
        <v/>
      </c>
      <c r="V83" s="41" t="str">
        <f>IFERROR(VLOOKUP(B83,Baza[[№]:[Profit]],20,0),"")</f>
        <v/>
      </c>
      <c r="W83" s="41" t="str">
        <f>IFERROR(IF(VLOOKUP(B83,Baza[[№]:[Profit]],21,0)=0,"-",VLOOKUP(B83,Baza[[№]:[Profit]],21,0)),"")</f>
        <v/>
      </c>
      <c r="X83" s="45" t="str">
        <f>IFERROR(IF(VLOOKUP(B83,Baza[[№]:[Profit]],22,0)=0,"-",VLOOKUP(B83,Baza[[№]:[Profit]],22,0)),"")</f>
        <v/>
      </c>
      <c r="Y83" s="45" t="str">
        <f>IFERROR(VLOOKUP(B83,Baza[[№]:[Profit]],23,0),"")</f>
        <v/>
      </c>
      <c r="Z83" s="44" t="str">
        <f>IFERROR(VLOOKUP(B83,Baza[[№]:[AFS]],24,0),"")</f>
        <v/>
      </c>
      <c r="AA83" s="45" t="str">
        <f>IF(Таблица2[[#This Row],[Profit]]="","#Н/Д",SUM($Y$40:Y83))</f>
        <v>#Н/Д</v>
      </c>
      <c r="AB83" s="45" t="b">
        <f>IF(Таблица2[[#This Row],[Grafik]]="#Н/Д",FALSE,TRUE)</f>
        <v>0</v>
      </c>
    </row>
    <row r="84" spans="1:28" ht="11.1" hidden="1" customHeight="1" x14ac:dyDescent="0.25">
      <c r="A84" s="93">
        <f t="shared" si="0"/>
        <v>45</v>
      </c>
      <c r="B84"/>
      <c r="C84" s="41" t="str">
        <f>IFERROR(VLOOKUP(B84,Baza[[№]:[Profit]],2,0),"")</f>
        <v/>
      </c>
      <c r="D8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4" s="43" t="str">
        <f>IFERROR(VLOOKUP(B84,Baza[[№]:[Profit]],3,0),"")</f>
        <v/>
      </c>
      <c r="G84" s="43" t="str">
        <f>IFERROR(VLOOKUP(B84,Baza[[№]:[Profit]],4,0),"")</f>
        <v/>
      </c>
      <c r="H84" s="43" t="str">
        <f>IFERROR(VLOOKUP(B84,Baza[[№]:[Profit]],5,0),"")</f>
        <v/>
      </c>
      <c r="I84" s="46" t="str">
        <f>IFERROR(VLOOKUP(B84,Baza[[№]:[Profit]],6,0),"")</f>
        <v/>
      </c>
      <c r="J84" s="49" t="str">
        <f>IFERROR(VLOOKUP(B84,Baza[[№]:[Profit]],7,0),"")</f>
        <v/>
      </c>
      <c r="K84" s="43" t="str">
        <f>IFERROR(VLOOKUP(B84,Baza[[№]:[Profit]],8,0),"")</f>
        <v/>
      </c>
      <c r="L84" s="43" t="str">
        <f>IFERROR(VLOOKUP(B84,Baza[[№]:[Profit]],9,0),"")</f>
        <v/>
      </c>
      <c r="M84" s="43" t="str">
        <f>IFERROR(VLOOKUP(B84,Baza[[№]:[Profit]],10,0),"")</f>
        <v/>
      </c>
      <c r="N84" s="43" t="str">
        <f>IFERROR(IF(VLOOKUP(B84,Baza[[№]:[Profit]],11,0)=0,"-",VLOOKUP(B84,Baza[[№]:[Profit]],11,0)),"")</f>
        <v/>
      </c>
      <c r="O84" s="43" t="str">
        <f>IFERROR(IF(VLOOKUP(B84,Baza[[№]:[Profit]],12,0)=0,"-",VLOOKUP(B84,Baza[[№]:[Profit]],12,0)),"")</f>
        <v/>
      </c>
      <c r="P84" s="43" t="str">
        <f>IFERROR(IF(VLOOKUP(B84,Baza[[№]:[Profit]],13,0)=0,"-",VLOOKUP(B84,Baza[[№]:[Profit]],13,0)),"")</f>
        <v/>
      </c>
      <c r="Q84" s="43" t="str">
        <f>IFERROR(IF(VLOOKUP(B84,Baza[[№]:[Profit]],15,0)=0,"-",VLOOKUP(B84,Baza[[№]:[Profit]],15,0)),"")</f>
        <v/>
      </c>
      <c r="R84" s="43" t="str">
        <f>IFERROR(IF(VLOOKUP(B84,Baza[[№]:[Profit]],16,0)=0,"-",VLOOKUP(B84,Baza[[№]:[Profit]],16,0)),"")</f>
        <v/>
      </c>
      <c r="S84" s="43" t="str">
        <f>IFERROR(IF(VLOOKUP(B84,Baza[[№]:[Profit]],17,0)=0,"-",VLOOKUP(B84,Baza[[№]:[Profit]],17,0)),"")</f>
        <v/>
      </c>
      <c r="T84" s="43" t="str">
        <f>IFERROR(IF(VLOOKUP(B84,Baza[[№]:[Profit]],18,0)=0,"-",VLOOKUP(B84,Baza[[№]:[Profit]],18,0)),"")</f>
        <v/>
      </c>
      <c r="U84" s="41" t="str">
        <f>IFERROR(IF(VLOOKUP(B84,Baza[[№]:[Profit]],19,0)=0,"-",VLOOKUP(B84,Baza[[№]:[Profit]],19,0)),"")</f>
        <v/>
      </c>
      <c r="V84" s="41" t="str">
        <f>IFERROR(VLOOKUP(B84,Baza[[№]:[Profit]],20,0),"")</f>
        <v/>
      </c>
      <c r="W84" s="41" t="str">
        <f>IFERROR(IF(VLOOKUP(B84,Baza[[№]:[Profit]],21,0)=0,"-",VLOOKUP(B84,Baza[[№]:[Profit]],21,0)),"")</f>
        <v/>
      </c>
      <c r="X84" s="45" t="str">
        <f>IFERROR(IF(VLOOKUP(B84,Baza[[№]:[Profit]],22,0)=0,"-",VLOOKUP(B84,Baza[[№]:[Profit]],22,0)),"")</f>
        <v/>
      </c>
      <c r="Y84" s="45" t="str">
        <f>IFERROR(VLOOKUP(B84,Baza[[№]:[Profit]],23,0),"")</f>
        <v/>
      </c>
      <c r="Z84" s="44" t="str">
        <f>IFERROR(VLOOKUP(B84,Baza[[№]:[AFS]],24,0),"")</f>
        <v/>
      </c>
      <c r="AA84" s="45" t="str">
        <f>IF(Таблица2[[#This Row],[Profit]]="","#Н/Д",SUM($Y$40:Y84))</f>
        <v>#Н/Д</v>
      </c>
      <c r="AB84" s="45" t="b">
        <f>IF(Таблица2[[#This Row],[Grafik]]="#Н/Д",FALSE,TRUE)</f>
        <v>0</v>
      </c>
    </row>
    <row r="85" spans="1:28" ht="11.1" hidden="1" customHeight="1" x14ac:dyDescent="0.25">
      <c r="A85" s="93">
        <f t="shared" si="0"/>
        <v>46</v>
      </c>
      <c r="B85"/>
      <c r="C85" s="41" t="str">
        <f>IFERROR(VLOOKUP(B85,Baza[[№]:[Profit]],2,0),"")</f>
        <v/>
      </c>
      <c r="D8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5" s="43" t="str">
        <f>IFERROR(VLOOKUP(B85,Baza[[№]:[Profit]],3,0),"")</f>
        <v/>
      </c>
      <c r="G85" s="43" t="str">
        <f>IFERROR(VLOOKUP(B85,Baza[[№]:[Profit]],4,0),"")</f>
        <v/>
      </c>
      <c r="H85" s="43" t="str">
        <f>IFERROR(VLOOKUP(B85,Baza[[№]:[Profit]],5,0),"")</f>
        <v/>
      </c>
      <c r="I85" s="46" t="str">
        <f>IFERROR(VLOOKUP(B85,Baza[[№]:[Profit]],6,0),"")</f>
        <v/>
      </c>
      <c r="J85" s="49" t="str">
        <f>IFERROR(VLOOKUP(B85,Baza[[№]:[Profit]],7,0),"")</f>
        <v/>
      </c>
      <c r="K85" s="43" t="str">
        <f>IFERROR(VLOOKUP(B85,Baza[[№]:[Profit]],8,0),"")</f>
        <v/>
      </c>
      <c r="L85" s="43" t="str">
        <f>IFERROR(VLOOKUP(B85,Baza[[№]:[Profit]],9,0),"")</f>
        <v/>
      </c>
      <c r="M85" s="43" t="str">
        <f>IFERROR(VLOOKUP(B85,Baza[[№]:[Profit]],10,0),"")</f>
        <v/>
      </c>
      <c r="N85" s="43" t="str">
        <f>IFERROR(IF(VLOOKUP(B85,Baza[[№]:[Profit]],11,0)=0,"-",VLOOKUP(B85,Baza[[№]:[Profit]],11,0)),"")</f>
        <v/>
      </c>
      <c r="O85" s="43" t="str">
        <f>IFERROR(IF(VLOOKUP(B85,Baza[[№]:[Profit]],12,0)=0,"-",VLOOKUP(B85,Baza[[№]:[Profit]],12,0)),"")</f>
        <v/>
      </c>
      <c r="P85" s="43" t="str">
        <f>IFERROR(IF(VLOOKUP(B85,Baza[[№]:[Profit]],13,0)=0,"-",VLOOKUP(B85,Baza[[№]:[Profit]],13,0)),"")</f>
        <v/>
      </c>
      <c r="Q85" s="43" t="str">
        <f>IFERROR(IF(VLOOKUP(B85,Baza[[№]:[Profit]],15,0)=0,"-",VLOOKUP(B85,Baza[[№]:[Profit]],15,0)),"")</f>
        <v/>
      </c>
      <c r="R85" s="43" t="str">
        <f>IFERROR(IF(VLOOKUP(B85,Baza[[№]:[Profit]],16,0)=0,"-",VLOOKUP(B85,Baza[[№]:[Profit]],16,0)),"")</f>
        <v/>
      </c>
      <c r="S85" s="43" t="str">
        <f>IFERROR(IF(VLOOKUP(B85,Baza[[№]:[Profit]],17,0)=0,"-",VLOOKUP(B85,Baza[[№]:[Profit]],17,0)),"")</f>
        <v/>
      </c>
      <c r="T85" s="43" t="str">
        <f>IFERROR(IF(VLOOKUP(B85,Baza[[№]:[Profit]],18,0)=0,"-",VLOOKUP(B85,Baza[[№]:[Profit]],18,0)),"")</f>
        <v/>
      </c>
      <c r="U85" s="41" t="str">
        <f>IFERROR(IF(VLOOKUP(B85,Baza[[№]:[Profit]],19,0)=0,"-",VLOOKUP(B85,Baza[[№]:[Profit]],19,0)),"")</f>
        <v/>
      </c>
      <c r="V85" s="41" t="str">
        <f>IFERROR(VLOOKUP(B85,Baza[[№]:[Profit]],20,0),"")</f>
        <v/>
      </c>
      <c r="W85" s="41" t="str">
        <f>IFERROR(IF(VLOOKUP(B85,Baza[[№]:[Profit]],21,0)=0,"-",VLOOKUP(B85,Baza[[№]:[Profit]],21,0)),"")</f>
        <v/>
      </c>
      <c r="X85" s="45" t="str">
        <f>IFERROR(IF(VLOOKUP(B85,Baza[[№]:[Profit]],22,0)=0,"-",VLOOKUP(B85,Baza[[№]:[Profit]],22,0)),"")</f>
        <v/>
      </c>
      <c r="Y85" s="45" t="str">
        <f>IFERROR(VLOOKUP(B85,Baza[[№]:[Profit]],23,0),"")</f>
        <v/>
      </c>
      <c r="Z85" s="44" t="str">
        <f>IFERROR(VLOOKUP(B85,Baza[[№]:[AFS]],24,0),"")</f>
        <v/>
      </c>
      <c r="AA85" s="45" t="str">
        <f>IF(Таблица2[[#This Row],[Profit]]="","#Н/Д",SUM($Y$40:Y85))</f>
        <v>#Н/Д</v>
      </c>
      <c r="AB85" s="45" t="b">
        <f>IF(Таблица2[[#This Row],[Grafik]]="#Н/Д",FALSE,TRUE)</f>
        <v>0</v>
      </c>
    </row>
    <row r="86" spans="1:28" ht="11.1" hidden="1" customHeight="1" x14ac:dyDescent="0.25">
      <c r="A86" s="93">
        <f t="shared" si="0"/>
        <v>47</v>
      </c>
      <c r="B86"/>
      <c r="C86" s="41" t="str">
        <f>IFERROR(VLOOKUP(B86,Baza[[№]:[Profit]],2,0),"")</f>
        <v/>
      </c>
      <c r="D8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6" s="43" t="str">
        <f>IFERROR(VLOOKUP(B86,Baza[[№]:[Profit]],3,0),"")</f>
        <v/>
      </c>
      <c r="G86" s="43" t="str">
        <f>IFERROR(VLOOKUP(B86,Baza[[№]:[Profit]],4,0),"")</f>
        <v/>
      </c>
      <c r="H86" s="43" t="str">
        <f>IFERROR(VLOOKUP(B86,Baza[[№]:[Profit]],5,0),"")</f>
        <v/>
      </c>
      <c r="I86" s="46" t="str">
        <f>IFERROR(VLOOKUP(B86,Baza[[№]:[Profit]],6,0),"")</f>
        <v/>
      </c>
      <c r="J86" s="49" t="str">
        <f>IFERROR(VLOOKUP(B86,Baza[[№]:[Profit]],7,0),"")</f>
        <v/>
      </c>
      <c r="K86" s="43" t="str">
        <f>IFERROR(VLOOKUP(B86,Baza[[№]:[Profit]],8,0),"")</f>
        <v/>
      </c>
      <c r="L86" s="43" t="str">
        <f>IFERROR(VLOOKUP(B86,Baza[[№]:[Profit]],9,0),"")</f>
        <v/>
      </c>
      <c r="M86" s="43" t="str">
        <f>IFERROR(VLOOKUP(B86,Baza[[№]:[Profit]],10,0),"")</f>
        <v/>
      </c>
      <c r="N86" s="43" t="str">
        <f>IFERROR(IF(VLOOKUP(B86,Baza[[№]:[Profit]],11,0)=0,"-",VLOOKUP(B86,Baza[[№]:[Profit]],11,0)),"")</f>
        <v/>
      </c>
      <c r="O86" s="43" t="str">
        <f>IFERROR(IF(VLOOKUP(B86,Baza[[№]:[Profit]],12,0)=0,"-",VLOOKUP(B86,Baza[[№]:[Profit]],12,0)),"")</f>
        <v/>
      </c>
      <c r="P86" s="43" t="str">
        <f>IFERROR(IF(VLOOKUP(B86,Baza[[№]:[Profit]],13,0)=0,"-",VLOOKUP(B86,Baza[[№]:[Profit]],13,0)),"")</f>
        <v/>
      </c>
      <c r="Q86" s="43" t="str">
        <f>IFERROR(IF(VLOOKUP(B86,Baza[[№]:[Profit]],15,0)=0,"-",VLOOKUP(B86,Baza[[№]:[Profit]],15,0)),"")</f>
        <v/>
      </c>
      <c r="R86" s="43" t="str">
        <f>IFERROR(IF(VLOOKUP(B86,Baza[[№]:[Profit]],16,0)=0,"-",VLOOKUP(B86,Baza[[№]:[Profit]],16,0)),"")</f>
        <v/>
      </c>
      <c r="S86" s="43" t="str">
        <f>IFERROR(IF(VLOOKUP(B86,Baza[[№]:[Profit]],17,0)=0,"-",VLOOKUP(B86,Baza[[№]:[Profit]],17,0)),"")</f>
        <v/>
      </c>
      <c r="T86" s="43" t="str">
        <f>IFERROR(IF(VLOOKUP(B86,Baza[[№]:[Profit]],18,0)=0,"-",VLOOKUP(B86,Baza[[№]:[Profit]],18,0)),"")</f>
        <v/>
      </c>
      <c r="U86" s="41" t="str">
        <f>IFERROR(IF(VLOOKUP(B86,Baza[[№]:[Profit]],19,0)=0,"-",VLOOKUP(B86,Baza[[№]:[Profit]],19,0)),"")</f>
        <v/>
      </c>
      <c r="V86" s="41" t="str">
        <f>IFERROR(VLOOKUP(B86,Baza[[№]:[Profit]],20,0),"")</f>
        <v/>
      </c>
      <c r="W86" s="41" t="str">
        <f>IFERROR(IF(VLOOKUP(B86,Baza[[№]:[Profit]],21,0)=0,"-",VLOOKUP(B86,Baza[[№]:[Profit]],21,0)),"")</f>
        <v/>
      </c>
      <c r="X86" s="45" t="str">
        <f>IFERROR(IF(VLOOKUP(B86,Baza[[№]:[Profit]],22,0)=0,"-",VLOOKUP(B86,Baza[[№]:[Profit]],22,0)),"")</f>
        <v/>
      </c>
      <c r="Y86" s="45" t="str">
        <f>IFERROR(VLOOKUP(B86,Baza[[№]:[Profit]],23,0),"")</f>
        <v/>
      </c>
      <c r="Z86" s="44" t="str">
        <f>IFERROR(VLOOKUP(B86,Baza[[№]:[AFS]],24,0),"")</f>
        <v/>
      </c>
      <c r="AA86" s="45" t="str">
        <f>IF(Таблица2[[#This Row],[Profit]]="","#Н/Д",SUM($Y$40:Y86))</f>
        <v>#Н/Д</v>
      </c>
      <c r="AB86" s="45" t="b">
        <f>IF(Таблица2[[#This Row],[Grafik]]="#Н/Д",FALSE,TRUE)</f>
        <v>0</v>
      </c>
    </row>
    <row r="87" spans="1:28" ht="11.1" hidden="1" customHeight="1" x14ac:dyDescent="0.25">
      <c r="A87" s="93">
        <f t="shared" si="0"/>
        <v>48</v>
      </c>
      <c r="B87"/>
      <c r="C87" s="41" t="str">
        <f>IFERROR(VLOOKUP(B87,Baza[[№]:[Profit]],2,0),"")</f>
        <v/>
      </c>
      <c r="D8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7" s="43" t="str">
        <f>IFERROR(VLOOKUP(B87,Baza[[№]:[Profit]],3,0),"")</f>
        <v/>
      </c>
      <c r="G87" s="43" t="str">
        <f>IFERROR(VLOOKUP(B87,Baza[[№]:[Profit]],4,0),"")</f>
        <v/>
      </c>
      <c r="H87" s="43" t="str">
        <f>IFERROR(VLOOKUP(B87,Baza[[№]:[Profit]],5,0),"")</f>
        <v/>
      </c>
      <c r="I87" s="46" t="str">
        <f>IFERROR(VLOOKUP(B87,Baza[[№]:[Profit]],6,0),"")</f>
        <v/>
      </c>
      <c r="J87" s="49" t="str">
        <f>IFERROR(VLOOKUP(B87,Baza[[№]:[Profit]],7,0),"")</f>
        <v/>
      </c>
      <c r="K87" s="43" t="str">
        <f>IFERROR(VLOOKUP(B87,Baza[[№]:[Profit]],8,0),"")</f>
        <v/>
      </c>
      <c r="L87" s="43" t="str">
        <f>IFERROR(VLOOKUP(B87,Baza[[№]:[Profit]],9,0),"")</f>
        <v/>
      </c>
      <c r="M87" s="43" t="str">
        <f>IFERROR(VLOOKUP(B87,Baza[[№]:[Profit]],10,0),"")</f>
        <v/>
      </c>
      <c r="N87" s="43" t="str">
        <f>IFERROR(IF(VLOOKUP(B87,Baza[[№]:[Profit]],11,0)=0,"-",VLOOKUP(B87,Baza[[№]:[Profit]],11,0)),"")</f>
        <v/>
      </c>
      <c r="O87" s="43" t="str">
        <f>IFERROR(IF(VLOOKUP(B87,Baza[[№]:[Profit]],12,0)=0,"-",VLOOKUP(B87,Baza[[№]:[Profit]],12,0)),"")</f>
        <v/>
      </c>
      <c r="P87" s="43" t="str">
        <f>IFERROR(IF(VLOOKUP(B87,Baza[[№]:[Profit]],13,0)=0,"-",VLOOKUP(B87,Baza[[№]:[Profit]],13,0)),"")</f>
        <v/>
      </c>
      <c r="Q87" s="43" t="str">
        <f>IFERROR(IF(VLOOKUP(B87,Baza[[№]:[Profit]],15,0)=0,"-",VLOOKUP(B87,Baza[[№]:[Profit]],15,0)),"")</f>
        <v/>
      </c>
      <c r="R87" s="43" t="str">
        <f>IFERROR(IF(VLOOKUP(B87,Baza[[№]:[Profit]],16,0)=0,"-",VLOOKUP(B87,Baza[[№]:[Profit]],16,0)),"")</f>
        <v/>
      </c>
      <c r="S87" s="43" t="str">
        <f>IFERROR(IF(VLOOKUP(B87,Baza[[№]:[Profit]],17,0)=0,"-",VLOOKUP(B87,Baza[[№]:[Profit]],17,0)),"")</f>
        <v/>
      </c>
      <c r="T87" s="43" t="str">
        <f>IFERROR(IF(VLOOKUP(B87,Baza[[№]:[Profit]],18,0)=0,"-",VLOOKUP(B87,Baza[[№]:[Profit]],18,0)),"")</f>
        <v/>
      </c>
      <c r="U87" s="41" t="str">
        <f>IFERROR(IF(VLOOKUP(B87,Baza[[№]:[Profit]],19,0)=0,"-",VLOOKUP(B87,Baza[[№]:[Profit]],19,0)),"")</f>
        <v/>
      </c>
      <c r="V87" s="41" t="str">
        <f>IFERROR(VLOOKUP(B87,Baza[[№]:[Profit]],20,0),"")</f>
        <v/>
      </c>
      <c r="W87" s="41" t="str">
        <f>IFERROR(IF(VLOOKUP(B87,Baza[[№]:[Profit]],21,0)=0,"-",VLOOKUP(B87,Baza[[№]:[Profit]],21,0)),"")</f>
        <v/>
      </c>
      <c r="X87" s="45" t="str">
        <f>IFERROR(IF(VLOOKUP(B87,Baza[[№]:[Profit]],22,0)=0,"-",VLOOKUP(B87,Baza[[№]:[Profit]],22,0)),"")</f>
        <v/>
      </c>
      <c r="Y87" s="45" t="str">
        <f>IFERROR(VLOOKUP(B87,Baza[[№]:[Profit]],23,0),"")</f>
        <v/>
      </c>
      <c r="Z87" s="44" t="str">
        <f>IFERROR(VLOOKUP(B87,Baza[[№]:[AFS]],24,0),"")</f>
        <v/>
      </c>
      <c r="AA87" s="45" t="str">
        <f>IF(Таблица2[[#This Row],[Profit]]="","#Н/Д",SUM($Y$40:Y87))</f>
        <v>#Н/Д</v>
      </c>
      <c r="AB87" s="45" t="b">
        <f>IF(Таблица2[[#This Row],[Grafik]]="#Н/Д",FALSE,TRUE)</f>
        <v>0</v>
      </c>
    </row>
    <row r="88" spans="1:28" ht="11.1" hidden="1" customHeight="1" x14ac:dyDescent="0.25">
      <c r="A88" s="93">
        <f t="shared" si="0"/>
        <v>49</v>
      </c>
      <c r="B88"/>
      <c r="C88" s="41" t="str">
        <f>IFERROR(VLOOKUP(B88,Baza[[№]:[Profit]],2,0),"")</f>
        <v/>
      </c>
      <c r="D8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8" s="43" t="str">
        <f>IFERROR(VLOOKUP(B88,Baza[[№]:[Profit]],3,0),"")</f>
        <v/>
      </c>
      <c r="G88" s="43" t="str">
        <f>IFERROR(VLOOKUP(B88,Baza[[№]:[Profit]],4,0),"")</f>
        <v/>
      </c>
      <c r="H88" s="43" t="str">
        <f>IFERROR(VLOOKUP(B88,Baza[[№]:[Profit]],5,0),"")</f>
        <v/>
      </c>
      <c r="I88" s="46" t="str">
        <f>IFERROR(VLOOKUP(B88,Baza[[№]:[Profit]],6,0),"")</f>
        <v/>
      </c>
      <c r="J88" s="49" t="str">
        <f>IFERROR(VLOOKUP(B88,Baza[[№]:[Profit]],7,0),"")</f>
        <v/>
      </c>
      <c r="K88" s="43" t="str">
        <f>IFERROR(VLOOKUP(B88,Baza[[№]:[Profit]],8,0),"")</f>
        <v/>
      </c>
      <c r="L88" s="43" t="str">
        <f>IFERROR(VLOOKUP(B88,Baza[[№]:[Profit]],9,0),"")</f>
        <v/>
      </c>
      <c r="M88" s="43" t="str">
        <f>IFERROR(VLOOKUP(B88,Baza[[№]:[Profit]],10,0),"")</f>
        <v/>
      </c>
      <c r="N88" s="43" t="str">
        <f>IFERROR(IF(VLOOKUP(B88,Baza[[№]:[Profit]],11,0)=0,"-",VLOOKUP(B88,Baza[[№]:[Profit]],11,0)),"")</f>
        <v/>
      </c>
      <c r="O88" s="43" t="str">
        <f>IFERROR(IF(VLOOKUP(B88,Baza[[№]:[Profit]],12,0)=0,"-",VLOOKUP(B88,Baza[[№]:[Profit]],12,0)),"")</f>
        <v/>
      </c>
      <c r="P88" s="43" t="str">
        <f>IFERROR(IF(VLOOKUP(B88,Baza[[№]:[Profit]],13,0)=0,"-",VLOOKUP(B88,Baza[[№]:[Profit]],13,0)),"")</f>
        <v/>
      </c>
      <c r="Q88" s="43" t="str">
        <f>IFERROR(IF(VLOOKUP(B88,Baza[[№]:[Profit]],15,0)=0,"-",VLOOKUP(B88,Baza[[№]:[Profit]],15,0)),"")</f>
        <v/>
      </c>
      <c r="R88" s="43" t="str">
        <f>IFERROR(IF(VLOOKUP(B88,Baza[[№]:[Profit]],16,0)=0,"-",VLOOKUP(B88,Baza[[№]:[Profit]],16,0)),"")</f>
        <v/>
      </c>
      <c r="S88" s="43" t="str">
        <f>IFERROR(IF(VLOOKUP(B88,Baza[[№]:[Profit]],17,0)=0,"-",VLOOKUP(B88,Baza[[№]:[Profit]],17,0)),"")</f>
        <v/>
      </c>
      <c r="T88" s="43" t="str">
        <f>IFERROR(IF(VLOOKUP(B88,Baza[[№]:[Profit]],18,0)=0,"-",VLOOKUP(B88,Baza[[№]:[Profit]],18,0)),"")</f>
        <v/>
      </c>
      <c r="U88" s="41" t="str">
        <f>IFERROR(IF(VLOOKUP(B88,Baza[[№]:[Profit]],19,0)=0,"-",VLOOKUP(B88,Baza[[№]:[Profit]],19,0)),"")</f>
        <v/>
      </c>
      <c r="V88" s="41" t="str">
        <f>IFERROR(VLOOKUP(B88,Baza[[№]:[Profit]],20,0),"")</f>
        <v/>
      </c>
      <c r="W88" s="41" t="str">
        <f>IFERROR(IF(VLOOKUP(B88,Baza[[№]:[Profit]],21,0)=0,"-",VLOOKUP(B88,Baza[[№]:[Profit]],21,0)),"")</f>
        <v/>
      </c>
      <c r="X88" s="45" t="str">
        <f>IFERROR(IF(VLOOKUP(B88,Baza[[№]:[Profit]],22,0)=0,"-",VLOOKUP(B88,Baza[[№]:[Profit]],22,0)),"")</f>
        <v/>
      </c>
      <c r="Y88" s="45" t="str">
        <f>IFERROR(VLOOKUP(B88,Baza[[№]:[Profit]],23,0),"")</f>
        <v/>
      </c>
      <c r="Z88" s="44" t="str">
        <f>IFERROR(VLOOKUP(B88,Baza[[№]:[AFS]],24,0),"")</f>
        <v/>
      </c>
      <c r="AA88" s="45" t="str">
        <f>IF(Таблица2[[#This Row],[Profit]]="","#Н/Д",SUM($Y$40:Y88))</f>
        <v>#Н/Д</v>
      </c>
      <c r="AB88" s="45" t="b">
        <f>IF(Таблица2[[#This Row],[Grafik]]="#Н/Д",FALSE,TRUE)</f>
        <v>0</v>
      </c>
    </row>
    <row r="89" spans="1:28" ht="11.1" hidden="1" customHeight="1" x14ac:dyDescent="0.25">
      <c r="A89" s="93">
        <f t="shared" si="0"/>
        <v>50</v>
      </c>
      <c r="B89"/>
      <c r="C89" s="41" t="str">
        <f>IFERROR(VLOOKUP(B89,Baza[[№]:[Profit]],2,0),"")</f>
        <v/>
      </c>
      <c r="D8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9" s="43" t="str">
        <f>IFERROR(VLOOKUP(B89,Baza[[№]:[Profit]],3,0),"")</f>
        <v/>
      </c>
      <c r="G89" s="43" t="str">
        <f>IFERROR(VLOOKUP(B89,Baza[[№]:[Profit]],4,0),"")</f>
        <v/>
      </c>
      <c r="H89" s="43" t="str">
        <f>IFERROR(VLOOKUP(B89,Baza[[№]:[Profit]],5,0),"")</f>
        <v/>
      </c>
      <c r="I89" s="46" t="str">
        <f>IFERROR(VLOOKUP(B89,Baza[[№]:[Profit]],6,0),"")</f>
        <v/>
      </c>
      <c r="J89" s="49" t="str">
        <f>IFERROR(VLOOKUP(B89,Baza[[№]:[Profit]],7,0),"")</f>
        <v/>
      </c>
      <c r="K89" s="43" t="str">
        <f>IFERROR(VLOOKUP(B89,Baza[[№]:[Profit]],8,0),"")</f>
        <v/>
      </c>
      <c r="L89" s="43" t="str">
        <f>IFERROR(VLOOKUP(B89,Baza[[№]:[Profit]],9,0),"")</f>
        <v/>
      </c>
      <c r="M89" s="43" t="str">
        <f>IFERROR(VLOOKUP(B89,Baza[[№]:[Profit]],10,0),"")</f>
        <v/>
      </c>
      <c r="N89" s="43" t="str">
        <f>IFERROR(IF(VLOOKUP(B89,Baza[[№]:[Profit]],11,0)=0,"-",VLOOKUP(B89,Baza[[№]:[Profit]],11,0)),"")</f>
        <v/>
      </c>
      <c r="O89" s="43" t="str">
        <f>IFERROR(IF(VLOOKUP(B89,Baza[[№]:[Profit]],12,0)=0,"-",VLOOKUP(B89,Baza[[№]:[Profit]],12,0)),"")</f>
        <v/>
      </c>
      <c r="P89" s="43" t="str">
        <f>IFERROR(IF(VLOOKUP(B89,Baza[[№]:[Profit]],13,0)=0,"-",VLOOKUP(B89,Baza[[№]:[Profit]],13,0)),"")</f>
        <v/>
      </c>
      <c r="Q89" s="43" t="str">
        <f>IFERROR(IF(VLOOKUP(B89,Baza[[№]:[Profit]],15,0)=0,"-",VLOOKUP(B89,Baza[[№]:[Profit]],15,0)),"")</f>
        <v/>
      </c>
      <c r="R89" s="43" t="str">
        <f>IFERROR(IF(VLOOKUP(B89,Baza[[№]:[Profit]],16,0)=0,"-",VLOOKUP(B89,Baza[[№]:[Profit]],16,0)),"")</f>
        <v/>
      </c>
      <c r="S89" s="43" t="str">
        <f>IFERROR(IF(VLOOKUP(B89,Baza[[№]:[Profit]],17,0)=0,"-",VLOOKUP(B89,Baza[[№]:[Profit]],17,0)),"")</f>
        <v/>
      </c>
      <c r="T89" s="43" t="str">
        <f>IFERROR(IF(VLOOKUP(B89,Baza[[№]:[Profit]],18,0)=0,"-",VLOOKUP(B89,Baza[[№]:[Profit]],18,0)),"")</f>
        <v/>
      </c>
      <c r="U89" s="41" t="str">
        <f>IFERROR(IF(VLOOKUP(B89,Baza[[№]:[Profit]],19,0)=0,"-",VLOOKUP(B89,Baza[[№]:[Profit]],19,0)),"")</f>
        <v/>
      </c>
      <c r="V89" s="41" t="str">
        <f>IFERROR(VLOOKUP(B89,Baza[[№]:[Profit]],20,0),"")</f>
        <v/>
      </c>
      <c r="W89" s="41" t="str">
        <f>IFERROR(IF(VLOOKUP(B89,Baza[[№]:[Profit]],21,0)=0,"-",VLOOKUP(B89,Baza[[№]:[Profit]],21,0)),"")</f>
        <v/>
      </c>
      <c r="X89" s="45" t="str">
        <f>IFERROR(IF(VLOOKUP(B89,Baza[[№]:[Profit]],22,0)=0,"-",VLOOKUP(B89,Baza[[№]:[Profit]],22,0)),"")</f>
        <v/>
      </c>
      <c r="Y89" s="45" t="str">
        <f>IFERROR(VLOOKUP(B89,Baza[[№]:[Profit]],23,0),"")</f>
        <v/>
      </c>
      <c r="Z89" s="44" t="str">
        <f>IFERROR(VLOOKUP(B89,Baza[[№]:[AFS]],24,0),"")</f>
        <v/>
      </c>
      <c r="AA89" s="45" t="str">
        <f>IF(Таблица2[[#This Row],[Profit]]="","#Н/Д",SUM($Y$40:Y89))</f>
        <v>#Н/Д</v>
      </c>
      <c r="AB89" s="45" t="b">
        <f>IF(Таблица2[[#This Row],[Grafik]]="#Н/Д",FALSE,TRUE)</f>
        <v>0</v>
      </c>
    </row>
    <row r="90" spans="1:28" ht="11.1" hidden="1" customHeight="1" x14ac:dyDescent="0.25">
      <c r="A90" s="93">
        <f t="shared" si="0"/>
        <v>51</v>
      </c>
      <c r="B90"/>
      <c r="C90" s="41" t="str">
        <f>IFERROR(VLOOKUP(B90,Baza[[№]:[Profit]],2,0),"")</f>
        <v/>
      </c>
      <c r="D9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0" s="43" t="str">
        <f>IFERROR(VLOOKUP(B90,Baza[[№]:[Profit]],3,0),"")</f>
        <v/>
      </c>
      <c r="G90" s="43" t="str">
        <f>IFERROR(VLOOKUP(B90,Baza[[№]:[Profit]],4,0),"")</f>
        <v/>
      </c>
      <c r="H90" s="43" t="str">
        <f>IFERROR(VLOOKUP(B90,Baza[[№]:[Profit]],5,0),"")</f>
        <v/>
      </c>
      <c r="I90" s="46" t="str">
        <f>IFERROR(VLOOKUP(B90,Baza[[№]:[Profit]],6,0),"")</f>
        <v/>
      </c>
      <c r="J90" s="49" t="str">
        <f>IFERROR(VLOOKUP(B90,Baza[[№]:[Profit]],7,0),"")</f>
        <v/>
      </c>
      <c r="K90" s="43" t="str">
        <f>IFERROR(VLOOKUP(B90,Baza[[№]:[Profit]],8,0),"")</f>
        <v/>
      </c>
      <c r="L90" s="43" t="str">
        <f>IFERROR(VLOOKUP(B90,Baza[[№]:[Profit]],9,0),"")</f>
        <v/>
      </c>
      <c r="M90" s="43" t="str">
        <f>IFERROR(VLOOKUP(B90,Baza[[№]:[Profit]],10,0),"")</f>
        <v/>
      </c>
      <c r="N90" s="43" t="str">
        <f>IFERROR(IF(VLOOKUP(B90,Baza[[№]:[Profit]],11,0)=0,"-",VLOOKUP(B90,Baza[[№]:[Profit]],11,0)),"")</f>
        <v/>
      </c>
      <c r="O90" s="43" t="str">
        <f>IFERROR(IF(VLOOKUP(B90,Baza[[№]:[Profit]],12,0)=0,"-",VLOOKUP(B90,Baza[[№]:[Profit]],12,0)),"")</f>
        <v/>
      </c>
      <c r="P90" s="43" t="str">
        <f>IFERROR(IF(VLOOKUP(B90,Baza[[№]:[Profit]],13,0)=0,"-",VLOOKUP(B90,Baza[[№]:[Profit]],13,0)),"")</f>
        <v/>
      </c>
      <c r="Q90" s="43" t="str">
        <f>IFERROR(IF(VLOOKUP(B90,Baza[[№]:[Profit]],15,0)=0,"-",VLOOKUP(B90,Baza[[№]:[Profit]],15,0)),"")</f>
        <v/>
      </c>
      <c r="R90" s="43" t="str">
        <f>IFERROR(IF(VLOOKUP(B90,Baza[[№]:[Profit]],16,0)=0,"-",VLOOKUP(B90,Baza[[№]:[Profit]],16,0)),"")</f>
        <v/>
      </c>
      <c r="S90" s="43" t="str">
        <f>IFERROR(IF(VLOOKUP(B90,Baza[[№]:[Profit]],17,0)=0,"-",VLOOKUP(B90,Baza[[№]:[Profit]],17,0)),"")</f>
        <v/>
      </c>
      <c r="T90" s="43" t="str">
        <f>IFERROR(IF(VLOOKUP(B90,Baza[[№]:[Profit]],18,0)=0,"-",VLOOKUP(B90,Baza[[№]:[Profit]],18,0)),"")</f>
        <v/>
      </c>
      <c r="U90" s="41" t="str">
        <f>IFERROR(IF(VLOOKUP(B90,Baza[[№]:[Profit]],19,0)=0,"-",VLOOKUP(B90,Baza[[№]:[Profit]],19,0)),"")</f>
        <v/>
      </c>
      <c r="V90" s="41" t="str">
        <f>IFERROR(VLOOKUP(B90,Baza[[№]:[Profit]],20,0),"")</f>
        <v/>
      </c>
      <c r="W90" s="41" t="str">
        <f>IFERROR(IF(VLOOKUP(B90,Baza[[№]:[Profit]],21,0)=0,"-",VLOOKUP(B90,Baza[[№]:[Profit]],21,0)),"")</f>
        <v/>
      </c>
      <c r="X90" s="45" t="str">
        <f>IFERROR(IF(VLOOKUP(B90,Baza[[№]:[Profit]],22,0)=0,"-",VLOOKUP(B90,Baza[[№]:[Profit]],22,0)),"")</f>
        <v/>
      </c>
      <c r="Y90" s="45" t="str">
        <f>IFERROR(VLOOKUP(B90,Baza[[№]:[Profit]],23,0),"")</f>
        <v/>
      </c>
      <c r="Z90" s="44" t="str">
        <f>IFERROR(VLOOKUP(B90,Baza[[№]:[AFS]],24,0),"")</f>
        <v/>
      </c>
      <c r="AA90" s="45" t="str">
        <f>IF(Таблица2[[#This Row],[Profit]]="","#Н/Д",SUM($Y$40:Y90))</f>
        <v>#Н/Д</v>
      </c>
      <c r="AB90" s="45" t="b">
        <f>IF(Таблица2[[#This Row],[Grafik]]="#Н/Д",FALSE,TRUE)</f>
        <v>0</v>
      </c>
    </row>
    <row r="91" spans="1:28" ht="11.1" hidden="1" customHeight="1" x14ac:dyDescent="0.25">
      <c r="A91" s="93">
        <f t="shared" si="0"/>
        <v>52</v>
      </c>
      <c r="B91"/>
      <c r="C91" s="41" t="str">
        <f>IFERROR(VLOOKUP(B91,Baza[[№]:[Profit]],2,0),"")</f>
        <v/>
      </c>
      <c r="D9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1" s="43" t="str">
        <f>IFERROR(VLOOKUP(B91,Baza[[№]:[Profit]],3,0),"")</f>
        <v/>
      </c>
      <c r="G91" s="43" t="str">
        <f>IFERROR(VLOOKUP(B91,Baza[[№]:[Profit]],4,0),"")</f>
        <v/>
      </c>
      <c r="H91" s="43" t="str">
        <f>IFERROR(VLOOKUP(B91,Baza[[№]:[Profit]],5,0),"")</f>
        <v/>
      </c>
      <c r="I91" s="46" t="str">
        <f>IFERROR(VLOOKUP(B91,Baza[[№]:[Profit]],6,0),"")</f>
        <v/>
      </c>
      <c r="J91" s="49" t="str">
        <f>IFERROR(VLOOKUP(B91,Baza[[№]:[Profit]],7,0),"")</f>
        <v/>
      </c>
      <c r="K91" s="43" t="str">
        <f>IFERROR(VLOOKUP(B91,Baza[[№]:[Profit]],8,0),"")</f>
        <v/>
      </c>
      <c r="L91" s="43" t="str">
        <f>IFERROR(VLOOKUP(B91,Baza[[№]:[Profit]],9,0),"")</f>
        <v/>
      </c>
      <c r="M91" s="43" t="str">
        <f>IFERROR(VLOOKUP(B91,Baza[[№]:[Profit]],10,0),"")</f>
        <v/>
      </c>
      <c r="N91" s="43" t="str">
        <f>IFERROR(IF(VLOOKUP(B91,Baza[[№]:[Profit]],11,0)=0,"-",VLOOKUP(B91,Baza[[№]:[Profit]],11,0)),"")</f>
        <v/>
      </c>
      <c r="O91" s="43" t="str">
        <f>IFERROR(IF(VLOOKUP(B91,Baza[[№]:[Profit]],12,0)=0,"-",VLOOKUP(B91,Baza[[№]:[Profit]],12,0)),"")</f>
        <v/>
      </c>
      <c r="P91" s="43" t="str">
        <f>IFERROR(IF(VLOOKUP(B91,Baza[[№]:[Profit]],13,0)=0,"-",VLOOKUP(B91,Baza[[№]:[Profit]],13,0)),"")</f>
        <v/>
      </c>
      <c r="Q91" s="43" t="str">
        <f>IFERROR(IF(VLOOKUP(B91,Baza[[№]:[Profit]],15,0)=0,"-",VLOOKUP(B91,Baza[[№]:[Profit]],15,0)),"")</f>
        <v/>
      </c>
      <c r="R91" s="43" t="str">
        <f>IFERROR(IF(VLOOKUP(B91,Baza[[№]:[Profit]],16,0)=0,"-",VLOOKUP(B91,Baza[[№]:[Profit]],16,0)),"")</f>
        <v/>
      </c>
      <c r="S91" s="43" t="str">
        <f>IFERROR(IF(VLOOKUP(B91,Baza[[№]:[Profit]],17,0)=0,"-",VLOOKUP(B91,Baza[[№]:[Profit]],17,0)),"")</f>
        <v/>
      </c>
      <c r="T91" s="43" t="str">
        <f>IFERROR(IF(VLOOKUP(B91,Baza[[№]:[Profit]],18,0)=0,"-",VLOOKUP(B91,Baza[[№]:[Profit]],18,0)),"")</f>
        <v/>
      </c>
      <c r="U91" s="41" t="str">
        <f>IFERROR(IF(VLOOKUP(B91,Baza[[№]:[Profit]],19,0)=0,"-",VLOOKUP(B91,Baza[[№]:[Profit]],19,0)),"")</f>
        <v/>
      </c>
      <c r="V91" s="41" t="str">
        <f>IFERROR(VLOOKUP(B91,Baza[[№]:[Profit]],20,0),"")</f>
        <v/>
      </c>
      <c r="W91" s="41" t="str">
        <f>IFERROR(IF(VLOOKUP(B91,Baza[[№]:[Profit]],21,0)=0,"-",VLOOKUP(B91,Baza[[№]:[Profit]],21,0)),"")</f>
        <v/>
      </c>
      <c r="X91" s="45" t="str">
        <f>IFERROR(IF(VLOOKUP(B91,Baza[[№]:[Profit]],22,0)=0,"-",VLOOKUP(B91,Baza[[№]:[Profit]],22,0)),"")</f>
        <v/>
      </c>
      <c r="Y91" s="45" t="str">
        <f>IFERROR(VLOOKUP(B91,Baza[[№]:[Profit]],23,0),"")</f>
        <v/>
      </c>
      <c r="Z91" s="44" t="str">
        <f>IFERROR(VLOOKUP(B91,Baza[[№]:[AFS]],24,0),"")</f>
        <v/>
      </c>
      <c r="AA91" s="45" t="str">
        <f>IF(Таблица2[[#This Row],[Profit]]="","#Н/Д",SUM($Y$40:Y91))</f>
        <v>#Н/Д</v>
      </c>
      <c r="AB91" s="45" t="b">
        <f>IF(Таблица2[[#This Row],[Grafik]]="#Н/Д",FALSE,TRUE)</f>
        <v>0</v>
      </c>
    </row>
    <row r="92" spans="1:28" ht="11.1" hidden="1" customHeight="1" x14ac:dyDescent="0.25">
      <c r="A92" s="93">
        <f t="shared" si="0"/>
        <v>53</v>
      </c>
      <c r="B92"/>
      <c r="C92" s="41" t="str">
        <f>IFERROR(VLOOKUP(B92,Baza[[№]:[Profit]],2,0),"")</f>
        <v/>
      </c>
      <c r="D9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2" s="43" t="str">
        <f>IFERROR(VLOOKUP(B92,Baza[[№]:[Profit]],3,0),"")</f>
        <v/>
      </c>
      <c r="G92" s="43" t="str">
        <f>IFERROR(VLOOKUP(B92,Baza[[№]:[Profit]],4,0),"")</f>
        <v/>
      </c>
      <c r="H92" s="43" t="str">
        <f>IFERROR(VLOOKUP(B92,Baza[[№]:[Profit]],5,0),"")</f>
        <v/>
      </c>
      <c r="I92" s="46" t="str">
        <f>IFERROR(VLOOKUP(B92,Baza[[№]:[Profit]],6,0),"")</f>
        <v/>
      </c>
      <c r="J92" s="49" t="str">
        <f>IFERROR(VLOOKUP(B92,Baza[[№]:[Profit]],7,0),"")</f>
        <v/>
      </c>
      <c r="K92" s="43" t="str">
        <f>IFERROR(VLOOKUP(B92,Baza[[№]:[Profit]],8,0),"")</f>
        <v/>
      </c>
      <c r="L92" s="43" t="str">
        <f>IFERROR(VLOOKUP(B92,Baza[[№]:[Profit]],9,0),"")</f>
        <v/>
      </c>
      <c r="M92" s="43" t="str">
        <f>IFERROR(VLOOKUP(B92,Baza[[№]:[Profit]],10,0),"")</f>
        <v/>
      </c>
      <c r="N92" s="43" t="str">
        <f>IFERROR(IF(VLOOKUP(B92,Baza[[№]:[Profit]],11,0)=0,"-",VLOOKUP(B92,Baza[[№]:[Profit]],11,0)),"")</f>
        <v/>
      </c>
      <c r="O92" s="43" t="str">
        <f>IFERROR(IF(VLOOKUP(B92,Baza[[№]:[Profit]],12,0)=0,"-",VLOOKUP(B92,Baza[[№]:[Profit]],12,0)),"")</f>
        <v/>
      </c>
      <c r="P92" s="43" t="str">
        <f>IFERROR(IF(VLOOKUP(B92,Baza[[№]:[Profit]],13,0)=0,"-",VLOOKUP(B92,Baza[[№]:[Profit]],13,0)),"")</f>
        <v/>
      </c>
      <c r="Q92" s="43" t="str">
        <f>IFERROR(IF(VLOOKUP(B92,Baza[[№]:[Profit]],15,0)=0,"-",VLOOKUP(B92,Baza[[№]:[Profit]],15,0)),"")</f>
        <v/>
      </c>
      <c r="R92" s="43" t="str">
        <f>IFERROR(IF(VLOOKUP(B92,Baza[[№]:[Profit]],16,0)=0,"-",VLOOKUP(B92,Baza[[№]:[Profit]],16,0)),"")</f>
        <v/>
      </c>
      <c r="S92" s="43" t="str">
        <f>IFERROR(IF(VLOOKUP(B92,Baza[[№]:[Profit]],17,0)=0,"-",VLOOKUP(B92,Baza[[№]:[Profit]],17,0)),"")</f>
        <v/>
      </c>
      <c r="T92" s="43" t="str">
        <f>IFERROR(IF(VLOOKUP(B92,Baza[[№]:[Profit]],18,0)=0,"-",VLOOKUP(B92,Baza[[№]:[Profit]],18,0)),"")</f>
        <v/>
      </c>
      <c r="U92" s="41" t="str">
        <f>IFERROR(IF(VLOOKUP(B92,Baza[[№]:[Profit]],19,0)=0,"-",VLOOKUP(B92,Baza[[№]:[Profit]],19,0)),"")</f>
        <v/>
      </c>
      <c r="V92" s="41" t="str">
        <f>IFERROR(VLOOKUP(B92,Baza[[№]:[Profit]],20,0),"")</f>
        <v/>
      </c>
      <c r="W92" s="41" t="str">
        <f>IFERROR(IF(VLOOKUP(B92,Baza[[№]:[Profit]],21,0)=0,"-",VLOOKUP(B92,Baza[[№]:[Profit]],21,0)),"")</f>
        <v/>
      </c>
      <c r="X92" s="45" t="str">
        <f>IFERROR(IF(VLOOKUP(B92,Baza[[№]:[Profit]],22,0)=0,"-",VLOOKUP(B92,Baza[[№]:[Profit]],22,0)),"")</f>
        <v/>
      </c>
      <c r="Y92" s="45" t="str">
        <f>IFERROR(VLOOKUP(B92,Baza[[№]:[Profit]],23,0),"")</f>
        <v/>
      </c>
      <c r="Z92" s="44" t="str">
        <f>IFERROR(VLOOKUP(B92,Baza[[№]:[AFS]],24,0),"")</f>
        <v/>
      </c>
      <c r="AA92" s="45" t="str">
        <f>IF(Таблица2[[#This Row],[Profit]]="","#Н/Д",SUM($Y$40:Y92))</f>
        <v>#Н/Д</v>
      </c>
      <c r="AB92" s="45" t="b">
        <f>IF(Таблица2[[#This Row],[Grafik]]="#Н/Д",FALSE,TRUE)</f>
        <v>0</v>
      </c>
    </row>
    <row r="93" spans="1:28" ht="11.1" hidden="1" customHeight="1" x14ac:dyDescent="0.25">
      <c r="A93" s="93">
        <f t="shared" si="0"/>
        <v>54</v>
      </c>
      <c r="B93"/>
      <c r="C93" s="41" t="str">
        <f>IFERROR(VLOOKUP(B93,Baza[[№]:[Profit]],2,0),"")</f>
        <v/>
      </c>
      <c r="D9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3" s="43" t="str">
        <f>IFERROR(VLOOKUP(B93,Baza[[№]:[Profit]],3,0),"")</f>
        <v/>
      </c>
      <c r="G93" s="43" t="str">
        <f>IFERROR(VLOOKUP(B93,Baza[[№]:[Profit]],4,0),"")</f>
        <v/>
      </c>
      <c r="H93" s="43" t="str">
        <f>IFERROR(VLOOKUP(B93,Baza[[№]:[Profit]],5,0),"")</f>
        <v/>
      </c>
      <c r="I93" s="46" t="str">
        <f>IFERROR(VLOOKUP(B93,Baza[[№]:[Profit]],6,0),"")</f>
        <v/>
      </c>
      <c r="J93" s="49" t="str">
        <f>IFERROR(VLOOKUP(B93,Baza[[№]:[Profit]],7,0),"")</f>
        <v/>
      </c>
      <c r="K93" s="43" t="str">
        <f>IFERROR(VLOOKUP(B93,Baza[[№]:[Profit]],8,0),"")</f>
        <v/>
      </c>
      <c r="L93" s="43" t="str">
        <f>IFERROR(VLOOKUP(B93,Baza[[№]:[Profit]],9,0),"")</f>
        <v/>
      </c>
      <c r="M93" s="43" t="str">
        <f>IFERROR(VLOOKUP(B93,Baza[[№]:[Profit]],10,0),"")</f>
        <v/>
      </c>
      <c r="N93" s="43" t="str">
        <f>IFERROR(IF(VLOOKUP(B93,Baza[[№]:[Profit]],11,0)=0,"-",VLOOKUP(B93,Baza[[№]:[Profit]],11,0)),"")</f>
        <v/>
      </c>
      <c r="O93" s="43" t="str">
        <f>IFERROR(IF(VLOOKUP(B93,Baza[[№]:[Profit]],12,0)=0,"-",VLOOKUP(B93,Baza[[№]:[Profit]],12,0)),"")</f>
        <v/>
      </c>
      <c r="P93" s="43" t="str">
        <f>IFERROR(IF(VLOOKUP(B93,Baza[[№]:[Profit]],13,0)=0,"-",VLOOKUP(B93,Baza[[№]:[Profit]],13,0)),"")</f>
        <v/>
      </c>
      <c r="Q93" s="43" t="str">
        <f>IFERROR(IF(VLOOKUP(B93,Baza[[№]:[Profit]],15,0)=0,"-",VLOOKUP(B93,Baza[[№]:[Profit]],15,0)),"")</f>
        <v/>
      </c>
      <c r="R93" s="43" t="str">
        <f>IFERROR(IF(VLOOKUP(B93,Baza[[№]:[Profit]],16,0)=0,"-",VLOOKUP(B93,Baza[[№]:[Profit]],16,0)),"")</f>
        <v/>
      </c>
      <c r="S93" s="43" t="str">
        <f>IFERROR(IF(VLOOKUP(B93,Baza[[№]:[Profit]],17,0)=0,"-",VLOOKUP(B93,Baza[[№]:[Profit]],17,0)),"")</f>
        <v/>
      </c>
      <c r="T93" s="43" t="str">
        <f>IFERROR(IF(VLOOKUP(B93,Baza[[№]:[Profit]],18,0)=0,"-",VLOOKUP(B93,Baza[[№]:[Profit]],18,0)),"")</f>
        <v/>
      </c>
      <c r="U93" s="41" t="str">
        <f>IFERROR(IF(VLOOKUP(B93,Baza[[№]:[Profit]],19,0)=0,"-",VLOOKUP(B93,Baza[[№]:[Profit]],19,0)),"")</f>
        <v/>
      </c>
      <c r="V93" s="41" t="str">
        <f>IFERROR(VLOOKUP(B93,Baza[[№]:[Profit]],20,0),"")</f>
        <v/>
      </c>
      <c r="W93" s="41" t="str">
        <f>IFERROR(IF(VLOOKUP(B93,Baza[[№]:[Profit]],21,0)=0,"-",VLOOKUP(B93,Baza[[№]:[Profit]],21,0)),"")</f>
        <v/>
      </c>
      <c r="X93" s="45" t="str">
        <f>IFERROR(IF(VLOOKUP(B93,Baza[[№]:[Profit]],22,0)=0,"-",VLOOKUP(B93,Baza[[№]:[Profit]],22,0)),"")</f>
        <v/>
      </c>
      <c r="Y93" s="45" t="str">
        <f>IFERROR(VLOOKUP(B93,Baza[[№]:[Profit]],23,0),"")</f>
        <v/>
      </c>
      <c r="Z93" s="44" t="str">
        <f>IFERROR(VLOOKUP(B93,Baza[[№]:[AFS]],24,0),"")</f>
        <v/>
      </c>
      <c r="AA93" s="45" t="str">
        <f>IF(Таблица2[[#This Row],[Profit]]="","#Н/Д",SUM($Y$40:Y93))</f>
        <v>#Н/Д</v>
      </c>
      <c r="AB93" s="45" t="b">
        <f>IF(Таблица2[[#This Row],[Grafik]]="#Н/Д",FALSE,TRUE)</f>
        <v>0</v>
      </c>
    </row>
    <row r="94" spans="1:28" ht="11.1" hidden="1" customHeight="1" x14ac:dyDescent="0.25">
      <c r="A94" s="93">
        <f t="shared" si="0"/>
        <v>55</v>
      </c>
      <c r="B94"/>
      <c r="C94" s="41" t="str">
        <f>IFERROR(VLOOKUP(B94,Baza[[№]:[Profit]],2,0),"")</f>
        <v/>
      </c>
      <c r="D9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4" s="43" t="str">
        <f>IFERROR(VLOOKUP(B94,Baza[[№]:[Profit]],3,0),"")</f>
        <v/>
      </c>
      <c r="G94" s="43" t="str">
        <f>IFERROR(VLOOKUP(B94,Baza[[№]:[Profit]],4,0),"")</f>
        <v/>
      </c>
      <c r="H94" s="43" t="str">
        <f>IFERROR(VLOOKUP(B94,Baza[[№]:[Profit]],5,0),"")</f>
        <v/>
      </c>
      <c r="I94" s="46" t="str">
        <f>IFERROR(VLOOKUP(B94,Baza[[№]:[Profit]],6,0),"")</f>
        <v/>
      </c>
      <c r="J94" s="49" t="str">
        <f>IFERROR(VLOOKUP(B94,Baza[[№]:[Profit]],7,0),"")</f>
        <v/>
      </c>
      <c r="K94" s="43" t="str">
        <f>IFERROR(VLOOKUP(B94,Baza[[№]:[Profit]],8,0),"")</f>
        <v/>
      </c>
      <c r="L94" s="43" t="str">
        <f>IFERROR(VLOOKUP(B94,Baza[[№]:[Profit]],9,0),"")</f>
        <v/>
      </c>
      <c r="M94" s="43" t="str">
        <f>IFERROR(VLOOKUP(B94,Baza[[№]:[Profit]],10,0),"")</f>
        <v/>
      </c>
      <c r="N94" s="43" t="str">
        <f>IFERROR(IF(VLOOKUP(B94,Baza[[№]:[Profit]],11,0)=0,"-",VLOOKUP(B94,Baza[[№]:[Profit]],11,0)),"")</f>
        <v/>
      </c>
      <c r="O94" s="43" t="str">
        <f>IFERROR(IF(VLOOKUP(B94,Baza[[№]:[Profit]],12,0)=0,"-",VLOOKUP(B94,Baza[[№]:[Profit]],12,0)),"")</f>
        <v/>
      </c>
      <c r="P94" s="43" t="str">
        <f>IFERROR(IF(VLOOKUP(B94,Baza[[№]:[Profit]],13,0)=0,"-",VLOOKUP(B94,Baza[[№]:[Profit]],13,0)),"")</f>
        <v/>
      </c>
      <c r="Q94" s="43" t="str">
        <f>IFERROR(IF(VLOOKUP(B94,Baza[[№]:[Profit]],15,0)=0,"-",VLOOKUP(B94,Baza[[№]:[Profit]],15,0)),"")</f>
        <v/>
      </c>
      <c r="R94" s="43" t="str">
        <f>IFERROR(IF(VLOOKUP(B94,Baza[[№]:[Profit]],16,0)=0,"-",VLOOKUP(B94,Baza[[№]:[Profit]],16,0)),"")</f>
        <v/>
      </c>
      <c r="S94" s="43" t="str">
        <f>IFERROR(IF(VLOOKUP(B94,Baza[[№]:[Profit]],17,0)=0,"-",VLOOKUP(B94,Baza[[№]:[Profit]],17,0)),"")</f>
        <v/>
      </c>
      <c r="T94" s="43" t="str">
        <f>IFERROR(IF(VLOOKUP(B94,Baza[[№]:[Profit]],18,0)=0,"-",VLOOKUP(B94,Baza[[№]:[Profit]],18,0)),"")</f>
        <v/>
      </c>
      <c r="U94" s="41" t="str">
        <f>IFERROR(IF(VLOOKUP(B94,Baza[[№]:[Profit]],19,0)=0,"-",VLOOKUP(B94,Baza[[№]:[Profit]],19,0)),"")</f>
        <v/>
      </c>
      <c r="V94" s="41" t="str">
        <f>IFERROR(VLOOKUP(B94,Baza[[№]:[Profit]],20,0),"")</f>
        <v/>
      </c>
      <c r="W94" s="41" t="str">
        <f>IFERROR(IF(VLOOKUP(B94,Baza[[№]:[Profit]],21,0)=0,"-",VLOOKUP(B94,Baza[[№]:[Profit]],21,0)),"")</f>
        <v/>
      </c>
      <c r="X94" s="45" t="str">
        <f>IFERROR(IF(VLOOKUP(B94,Baza[[№]:[Profit]],22,0)=0,"-",VLOOKUP(B94,Baza[[№]:[Profit]],22,0)),"")</f>
        <v/>
      </c>
      <c r="Y94" s="45" t="str">
        <f>IFERROR(VLOOKUP(B94,Baza[[№]:[Profit]],23,0),"")</f>
        <v/>
      </c>
      <c r="Z94" s="44" t="str">
        <f>IFERROR(VLOOKUP(B94,Baza[[№]:[AFS]],24,0),"")</f>
        <v/>
      </c>
      <c r="AA94" s="45" t="str">
        <f>IF(Таблица2[[#This Row],[Profit]]="","#Н/Д",SUM($Y$40:Y94))</f>
        <v>#Н/Д</v>
      </c>
      <c r="AB94" s="45" t="b">
        <f>IF(Таблица2[[#This Row],[Grafik]]="#Н/Д",FALSE,TRUE)</f>
        <v>0</v>
      </c>
    </row>
    <row r="95" spans="1:28" ht="11.1" hidden="1" customHeight="1" x14ac:dyDescent="0.25">
      <c r="A95" s="93">
        <f t="shared" si="0"/>
        <v>56</v>
      </c>
      <c r="B95"/>
      <c r="C95" s="41" t="str">
        <f>IFERROR(VLOOKUP(B95,Baza[[№]:[Profit]],2,0),"")</f>
        <v/>
      </c>
      <c r="D9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5" s="43" t="str">
        <f>IFERROR(VLOOKUP(B95,Baza[[№]:[Profit]],3,0),"")</f>
        <v/>
      </c>
      <c r="G95" s="43" t="str">
        <f>IFERROR(VLOOKUP(B95,Baza[[№]:[Profit]],4,0),"")</f>
        <v/>
      </c>
      <c r="H95" s="43" t="str">
        <f>IFERROR(VLOOKUP(B95,Baza[[№]:[Profit]],5,0),"")</f>
        <v/>
      </c>
      <c r="I95" s="46" t="str">
        <f>IFERROR(VLOOKUP(B95,Baza[[№]:[Profit]],6,0),"")</f>
        <v/>
      </c>
      <c r="J95" s="49" t="str">
        <f>IFERROR(VLOOKUP(B95,Baza[[№]:[Profit]],7,0),"")</f>
        <v/>
      </c>
      <c r="K95" s="43" t="str">
        <f>IFERROR(VLOOKUP(B95,Baza[[№]:[Profit]],8,0),"")</f>
        <v/>
      </c>
      <c r="L95" s="43" t="str">
        <f>IFERROR(VLOOKUP(B95,Baza[[№]:[Profit]],9,0),"")</f>
        <v/>
      </c>
      <c r="M95" s="43" t="str">
        <f>IFERROR(VLOOKUP(B95,Baza[[№]:[Profit]],10,0),"")</f>
        <v/>
      </c>
      <c r="N95" s="43" t="str">
        <f>IFERROR(IF(VLOOKUP(B95,Baza[[№]:[Profit]],11,0)=0,"-",VLOOKUP(B95,Baza[[№]:[Profit]],11,0)),"")</f>
        <v/>
      </c>
      <c r="O95" s="43" t="str">
        <f>IFERROR(IF(VLOOKUP(B95,Baza[[№]:[Profit]],12,0)=0,"-",VLOOKUP(B95,Baza[[№]:[Profit]],12,0)),"")</f>
        <v/>
      </c>
      <c r="P95" s="43" t="str">
        <f>IFERROR(IF(VLOOKUP(B95,Baza[[№]:[Profit]],13,0)=0,"-",VLOOKUP(B95,Baza[[№]:[Profit]],13,0)),"")</f>
        <v/>
      </c>
      <c r="Q95" s="43" t="str">
        <f>IFERROR(IF(VLOOKUP(B95,Baza[[№]:[Profit]],15,0)=0,"-",VLOOKUP(B95,Baza[[№]:[Profit]],15,0)),"")</f>
        <v/>
      </c>
      <c r="R95" s="43" t="str">
        <f>IFERROR(IF(VLOOKUP(B95,Baza[[№]:[Profit]],16,0)=0,"-",VLOOKUP(B95,Baza[[№]:[Profit]],16,0)),"")</f>
        <v/>
      </c>
      <c r="S95" s="43" t="str">
        <f>IFERROR(IF(VLOOKUP(B95,Baza[[№]:[Profit]],17,0)=0,"-",VLOOKUP(B95,Baza[[№]:[Profit]],17,0)),"")</f>
        <v/>
      </c>
      <c r="T95" s="43" t="str">
        <f>IFERROR(IF(VLOOKUP(B95,Baza[[№]:[Profit]],18,0)=0,"-",VLOOKUP(B95,Baza[[№]:[Profit]],18,0)),"")</f>
        <v/>
      </c>
      <c r="U95" s="41" t="str">
        <f>IFERROR(IF(VLOOKUP(B95,Baza[[№]:[Profit]],19,0)=0,"-",VLOOKUP(B95,Baza[[№]:[Profit]],19,0)),"")</f>
        <v/>
      </c>
      <c r="V95" s="41" t="str">
        <f>IFERROR(VLOOKUP(B95,Baza[[№]:[Profit]],20,0),"")</f>
        <v/>
      </c>
      <c r="W95" s="41" t="str">
        <f>IFERROR(IF(VLOOKUP(B95,Baza[[№]:[Profit]],21,0)=0,"-",VLOOKUP(B95,Baza[[№]:[Profit]],21,0)),"")</f>
        <v/>
      </c>
      <c r="X95" s="45" t="str">
        <f>IFERROR(IF(VLOOKUP(B95,Baza[[№]:[Profit]],22,0)=0,"-",VLOOKUP(B95,Baza[[№]:[Profit]],22,0)),"")</f>
        <v/>
      </c>
      <c r="Y95" s="45" t="str">
        <f>IFERROR(VLOOKUP(B95,Baza[[№]:[Profit]],23,0),"")</f>
        <v/>
      </c>
      <c r="Z95" s="44" t="str">
        <f>IFERROR(VLOOKUP(B95,Baza[[№]:[AFS]],24,0),"")</f>
        <v/>
      </c>
      <c r="AA95" s="45" t="str">
        <f>IF(Таблица2[[#This Row],[Profit]]="","#Н/Д",SUM($Y$40:Y95))</f>
        <v>#Н/Д</v>
      </c>
      <c r="AB95" s="45" t="b">
        <f>IF(Таблица2[[#This Row],[Grafik]]="#Н/Д",FALSE,TRUE)</f>
        <v>0</v>
      </c>
    </row>
    <row r="96" spans="1:28" ht="11.1" hidden="1" customHeight="1" x14ac:dyDescent="0.25">
      <c r="A96" s="93">
        <f t="shared" si="0"/>
        <v>57</v>
      </c>
      <c r="B96"/>
      <c r="C96" s="41" t="str">
        <f>IFERROR(VLOOKUP(B96,Baza[[№]:[Profit]],2,0),"")</f>
        <v/>
      </c>
      <c r="D9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6" s="43" t="str">
        <f>IFERROR(VLOOKUP(B96,Baza[[№]:[Profit]],3,0),"")</f>
        <v/>
      </c>
      <c r="G96" s="43" t="str">
        <f>IFERROR(VLOOKUP(B96,Baza[[№]:[Profit]],4,0),"")</f>
        <v/>
      </c>
      <c r="H96" s="43" t="str">
        <f>IFERROR(VLOOKUP(B96,Baza[[№]:[Profit]],5,0),"")</f>
        <v/>
      </c>
      <c r="I96" s="46" t="str">
        <f>IFERROR(VLOOKUP(B96,Baza[[№]:[Profit]],6,0),"")</f>
        <v/>
      </c>
      <c r="J96" s="49" t="str">
        <f>IFERROR(VLOOKUP(B96,Baza[[№]:[Profit]],7,0),"")</f>
        <v/>
      </c>
      <c r="K96" s="43" t="str">
        <f>IFERROR(VLOOKUP(B96,Baza[[№]:[Profit]],8,0),"")</f>
        <v/>
      </c>
      <c r="L96" s="43" t="str">
        <f>IFERROR(VLOOKUP(B96,Baza[[№]:[Profit]],9,0),"")</f>
        <v/>
      </c>
      <c r="M96" s="43" t="str">
        <f>IFERROR(VLOOKUP(B96,Baza[[№]:[Profit]],10,0),"")</f>
        <v/>
      </c>
      <c r="N96" s="43" t="str">
        <f>IFERROR(IF(VLOOKUP(B96,Baza[[№]:[Profit]],11,0)=0,"-",VLOOKUP(B96,Baza[[№]:[Profit]],11,0)),"")</f>
        <v/>
      </c>
      <c r="O96" s="43" t="str">
        <f>IFERROR(IF(VLOOKUP(B96,Baza[[№]:[Profit]],12,0)=0,"-",VLOOKUP(B96,Baza[[№]:[Profit]],12,0)),"")</f>
        <v/>
      </c>
      <c r="P96" s="43" t="str">
        <f>IFERROR(IF(VLOOKUP(B96,Baza[[№]:[Profit]],13,0)=0,"-",VLOOKUP(B96,Baza[[№]:[Profit]],13,0)),"")</f>
        <v/>
      </c>
      <c r="Q96" s="43" t="str">
        <f>IFERROR(IF(VLOOKUP(B96,Baza[[№]:[Profit]],15,0)=0,"-",VLOOKUP(B96,Baza[[№]:[Profit]],15,0)),"")</f>
        <v/>
      </c>
      <c r="R96" s="43" t="str">
        <f>IFERROR(IF(VLOOKUP(B96,Baza[[№]:[Profit]],16,0)=0,"-",VLOOKUP(B96,Baza[[№]:[Profit]],16,0)),"")</f>
        <v/>
      </c>
      <c r="S96" s="43" t="str">
        <f>IFERROR(IF(VLOOKUP(B96,Baza[[№]:[Profit]],17,0)=0,"-",VLOOKUP(B96,Baza[[№]:[Profit]],17,0)),"")</f>
        <v/>
      </c>
      <c r="T96" s="43" t="str">
        <f>IFERROR(IF(VLOOKUP(B96,Baza[[№]:[Profit]],18,0)=0,"-",VLOOKUP(B96,Baza[[№]:[Profit]],18,0)),"")</f>
        <v/>
      </c>
      <c r="U96" s="41" t="str">
        <f>IFERROR(IF(VLOOKUP(B96,Baza[[№]:[Profit]],19,0)=0,"-",VLOOKUP(B96,Baza[[№]:[Profit]],19,0)),"")</f>
        <v/>
      </c>
      <c r="V96" s="41" t="str">
        <f>IFERROR(VLOOKUP(B96,Baza[[№]:[Profit]],20,0),"")</f>
        <v/>
      </c>
      <c r="W96" s="41" t="str">
        <f>IFERROR(IF(VLOOKUP(B96,Baza[[№]:[Profit]],21,0)=0,"-",VLOOKUP(B96,Baza[[№]:[Profit]],21,0)),"")</f>
        <v/>
      </c>
      <c r="X96" s="45" t="str">
        <f>IFERROR(IF(VLOOKUP(B96,Baza[[№]:[Profit]],22,0)=0,"-",VLOOKUP(B96,Baza[[№]:[Profit]],22,0)),"")</f>
        <v/>
      </c>
      <c r="Y96" s="45" t="str">
        <f>IFERROR(VLOOKUP(B96,Baza[[№]:[Profit]],23,0),"")</f>
        <v/>
      </c>
      <c r="Z96" s="44" t="str">
        <f>IFERROR(VLOOKUP(B96,Baza[[№]:[AFS]],24,0),"")</f>
        <v/>
      </c>
      <c r="AA96" s="45" t="str">
        <f>IF(Таблица2[[#This Row],[Profit]]="","#Н/Д",SUM($Y$40:Y96))</f>
        <v>#Н/Д</v>
      </c>
      <c r="AB96" s="45" t="b">
        <f>IF(Таблица2[[#This Row],[Grafik]]="#Н/Д",FALSE,TRUE)</f>
        <v>0</v>
      </c>
    </row>
    <row r="97" spans="1:28" ht="11.1" hidden="1" customHeight="1" x14ac:dyDescent="0.25">
      <c r="A97" s="93">
        <f t="shared" si="0"/>
        <v>58</v>
      </c>
      <c r="B97"/>
      <c r="C97" s="41" t="str">
        <f>IFERROR(VLOOKUP(B97,Baza[[№]:[Profit]],2,0),"")</f>
        <v/>
      </c>
      <c r="D9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7" s="43" t="str">
        <f>IFERROR(VLOOKUP(B97,Baza[[№]:[Profit]],3,0),"")</f>
        <v/>
      </c>
      <c r="G97" s="43" t="str">
        <f>IFERROR(VLOOKUP(B97,Baza[[№]:[Profit]],4,0),"")</f>
        <v/>
      </c>
      <c r="H97" s="43" t="str">
        <f>IFERROR(VLOOKUP(B97,Baza[[№]:[Profit]],5,0),"")</f>
        <v/>
      </c>
      <c r="I97" s="46" t="str">
        <f>IFERROR(VLOOKUP(B97,Baza[[№]:[Profit]],6,0),"")</f>
        <v/>
      </c>
      <c r="J97" s="49" t="str">
        <f>IFERROR(VLOOKUP(B97,Baza[[№]:[Profit]],7,0),"")</f>
        <v/>
      </c>
      <c r="K97" s="43" t="str">
        <f>IFERROR(VLOOKUP(B97,Baza[[№]:[Profit]],8,0),"")</f>
        <v/>
      </c>
      <c r="L97" s="43" t="str">
        <f>IFERROR(VLOOKUP(B97,Baza[[№]:[Profit]],9,0),"")</f>
        <v/>
      </c>
      <c r="M97" s="43" t="str">
        <f>IFERROR(VLOOKUP(B97,Baza[[№]:[Profit]],10,0),"")</f>
        <v/>
      </c>
      <c r="N97" s="43" t="str">
        <f>IFERROR(IF(VLOOKUP(B97,Baza[[№]:[Profit]],11,0)=0,"-",VLOOKUP(B97,Baza[[№]:[Profit]],11,0)),"")</f>
        <v/>
      </c>
      <c r="O97" s="43" t="str">
        <f>IFERROR(IF(VLOOKUP(B97,Baza[[№]:[Profit]],12,0)=0,"-",VLOOKUP(B97,Baza[[№]:[Profit]],12,0)),"")</f>
        <v/>
      </c>
      <c r="P97" s="43" t="str">
        <f>IFERROR(IF(VLOOKUP(B97,Baza[[№]:[Profit]],13,0)=0,"-",VLOOKUP(B97,Baza[[№]:[Profit]],13,0)),"")</f>
        <v/>
      </c>
      <c r="Q97" s="43" t="str">
        <f>IFERROR(IF(VLOOKUP(B97,Baza[[№]:[Profit]],15,0)=0,"-",VLOOKUP(B97,Baza[[№]:[Profit]],15,0)),"")</f>
        <v/>
      </c>
      <c r="R97" s="43" t="str">
        <f>IFERROR(IF(VLOOKUP(B97,Baza[[№]:[Profit]],16,0)=0,"-",VLOOKUP(B97,Baza[[№]:[Profit]],16,0)),"")</f>
        <v/>
      </c>
      <c r="S97" s="43" t="str">
        <f>IFERROR(IF(VLOOKUP(B97,Baza[[№]:[Profit]],17,0)=0,"-",VLOOKUP(B97,Baza[[№]:[Profit]],17,0)),"")</f>
        <v/>
      </c>
      <c r="T97" s="43" t="str">
        <f>IFERROR(IF(VLOOKUP(B97,Baza[[№]:[Profit]],18,0)=0,"-",VLOOKUP(B97,Baza[[№]:[Profit]],18,0)),"")</f>
        <v/>
      </c>
      <c r="U97" s="41" t="str">
        <f>IFERROR(IF(VLOOKUP(B97,Baza[[№]:[Profit]],19,0)=0,"-",VLOOKUP(B97,Baza[[№]:[Profit]],19,0)),"")</f>
        <v/>
      </c>
      <c r="V97" s="41" t="str">
        <f>IFERROR(VLOOKUP(B97,Baza[[№]:[Profit]],20,0),"")</f>
        <v/>
      </c>
      <c r="W97" s="41" t="str">
        <f>IFERROR(IF(VLOOKUP(B97,Baza[[№]:[Profit]],21,0)=0,"-",VLOOKUP(B97,Baza[[№]:[Profit]],21,0)),"")</f>
        <v/>
      </c>
      <c r="X97" s="45" t="str">
        <f>IFERROR(IF(VLOOKUP(B97,Baza[[№]:[Profit]],22,0)=0,"-",VLOOKUP(B97,Baza[[№]:[Profit]],22,0)),"")</f>
        <v/>
      </c>
      <c r="Y97" s="45" t="str">
        <f>IFERROR(VLOOKUP(B97,Baza[[№]:[Profit]],23,0),"")</f>
        <v/>
      </c>
      <c r="Z97" s="44" t="str">
        <f>IFERROR(VLOOKUP(B97,Baza[[№]:[AFS]],24,0),"")</f>
        <v/>
      </c>
      <c r="AA97" s="45" t="str">
        <f>IF(Таблица2[[#This Row],[Profit]]="","#Н/Д",SUM($Y$40:Y97))</f>
        <v>#Н/Д</v>
      </c>
      <c r="AB97" s="45" t="b">
        <f>IF(Таблица2[[#This Row],[Grafik]]="#Н/Д",FALSE,TRUE)</f>
        <v>0</v>
      </c>
    </row>
    <row r="98" spans="1:28" ht="11.1" hidden="1" customHeight="1" x14ac:dyDescent="0.25">
      <c r="A98" s="93">
        <f t="shared" si="0"/>
        <v>59</v>
      </c>
      <c r="B98"/>
      <c r="C98" s="41" t="str">
        <f>IFERROR(VLOOKUP(B98,Baza[[№]:[Profit]],2,0),"")</f>
        <v/>
      </c>
      <c r="D9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8" s="43" t="str">
        <f>IFERROR(VLOOKUP(B98,Baza[[№]:[Profit]],3,0),"")</f>
        <v/>
      </c>
      <c r="G98" s="43" t="str">
        <f>IFERROR(VLOOKUP(B98,Baza[[№]:[Profit]],4,0),"")</f>
        <v/>
      </c>
      <c r="H98" s="43" t="str">
        <f>IFERROR(VLOOKUP(B98,Baza[[№]:[Profit]],5,0),"")</f>
        <v/>
      </c>
      <c r="I98" s="46" t="str">
        <f>IFERROR(VLOOKUP(B98,Baza[[№]:[Profit]],6,0),"")</f>
        <v/>
      </c>
      <c r="J98" s="49" t="str">
        <f>IFERROR(VLOOKUP(B98,Baza[[№]:[Profit]],7,0),"")</f>
        <v/>
      </c>
      <c r="K98" s="43" t="str">
        <f>IFERROR(VLOOKUP(B98,Baza[[№]:[Profit]],8,0),"")</f>
        <v/>
      </c>
      <c r="L98" s="43" t="str">
        <f>IFERROR(VLOOKUP(B98,Baza[[№]:[Profit]],9,0),"")</f>
        <v/>
      </c>
      <c r="M98" s="43" t="str">
        <f>IFERROR(VLOOKUP(B98,Baza[[№]:[Profit]],10,0),"")</f>
        <v/>
      </c>
      <c r="N98" s="43" t="str">
        <f>IFERROR(IF(VLOOKUP(B98,Baza[[№]:[Profit]],11,0)=0,"-",VLOOKUP(B98,Baza[[№]:[Profit]],11,0)),"")</f>
        <v/>
      </c>
      <c r="O98" s="43" t="str">
        <f>IFERROR(IF(VLOOKUP(B98,Baza[[№]:[Profit]],12,0)=0,"-",VLOOKUP(B98,Baza[[№]:[Profit]],12,0)),"")</f>
        <v/>
      </c>
      <c r="P98" s="43" t="str">
        <f>IFERROR(IF(VLOOKUP(B98,Baza[[№]:[Profit]],13,0)=0,"-",VLOOKUP(B98,Baza[[№]:[Profit]],13,0)),"")</f>
        <v/>
      </c>
      <c r="Q98" s="43" t="str">
        <f>IFERROR(IF(VLOOKUP(B98,Baza[[№]:[Profit]],15,0)=0,"-",VLOOKUP(B98,Baza[[№]:[Profit]],15,0)),"")</f>
        <v/>
      </c>
      <c r="R98" s="43" t="str">
        <f>IFERROR(IF(VLOOKUP(B98,Baza[[№]:[Profit]],16,0)=0,"-",VLOOKUP(B98,Baza[[№]:[Profit]],16,0)),"")</f>
        <v/>
      </c>
      <c r="S98" s="43" t="str">
        <f>IFERROR(IF(VLOOKUP(B98,Baza[[№]:[Profit]],17,0)=0,"-",VLOOKUP(B98,Baza[[№]:[Profit]],17,0)),"")</f>
        <v/>
      </c>
      <c r="T98" s="43" t="str">
        <f>IFERROR(IF(VLOOKUP(B98,Baza[[№]:[Profit]],18,0)=0,"-",VLOOKUP(B98,Baza[[№]:[Profit]],18,0)),"")</f>
        <v/>
      </c>
      <c r="U98" s="41" t="str">
        <f>IFERROR(IF(VLOOKUP(B98,Baza[[№]:[Profit]],19,0)=0,"-",VLOOKUP(B98,Baza[[№]:[Profit]],19,0)),"")</f>
        <v/>
      </c>
      <c r="V98" s="41" t="str">
        <f>IFERROR(VLOOKUP(B98,Baza[[№]:[Profit]],20,0),"")</f>
        <v/>
      </c>
      <c r="W98" s="41" t="str">
        <f>IFERROR(IF(VLOOKUP(B98,Baza[[№]:[Profit]],21,0)=0,"-",VLOOKUP(B98,Baza[[№]:[Profit]],21,0)),"")</f>
        <v/>
      </c>
      <c r="X98" s="45" t="str">
        <f>IFERROR(IF(VLOOKUP(B98,Baza[[№]:[Profit]],22,0)=0,"-",VLOOKUP(B98,Baza[[№]:[Profit]],22,0)),"")</f>
        <v/>
      </c>
      <c r="Y98" s="45" t="str">
        <f>IFERROR(VLOOKUP(B98,Baza[[№]:[Profit]],23,0),"")</f>
        <v/>
      </c>
      <c r="Z98" s="44" t="str">
        <f>IFERROR(VLOOKUP(B98,Baza[[№]:[AFS]],24,0),"")</f>
        <v/>
      </c>
      <c r="AA98" s="45" t="str">
        <f>IF(Таблица2[[#This Row],[Profit]]="","#Н/Д",SUM($Y$40:Y98))</f>
        <v>#Н/Д</v>
      </c>
      <c r="AB98" s="45" t="b">
        <f>IF(Таблица2[[#This Row],[Grafik]]="#Н/Д",FALSE,TRUE)</f>
        <v>0</v>
      </c>
    </row>
    <row r="99" spans="1:28" ht="11.1" hidden="1" customHeight="1" x14ac:dyDescent="0.25">
      <c r="A99" s="93">
        <f t="shared" si="0"/>
        <v>60</v>
      </c>
      <c r="B99"/>
      <c r="C99" s="41" t="str">
        <f>IFERROR(VLOOKUP(B99,Baza[[№]:[Profit]],2,0),"")</f>
        <v/>
      </c>
      <c r="D9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9" s="43" t="str">
        <f>IFERROR(VLOOKUP(B99,Baza[[№]:[Profit]],3,0),"")</f>
        <v/>
      </c>
      <c r="G99" s="43" t="str">
        <f>IFERROR(VLOOKUP(B99,Baza[[№]:[Profit]],4,0),"")</f>
        <v/>
      </c>
      <c r="H99" s="43" t="str">
        <f>IFERROR(VLOOKUP(B99,Baza[[№]:[Profit]],5,0),"")</f>
        <v/>
      </c>
      <c r="I99" s="46" t="str">
        <f>IFERROR(VLOOKUP(B99,Baza[[№]:[Profit]],6,0),"")</f>
        <v/>
      </c>
      <c r="J99" s="49" t="str">
        <f>IFERROR(VLOOKUP(B99,Baza[[№]:[Profit]],7,0),"")</f>
        <v/>
      </c>
      <c r="K99" s="43" t="str">
        <f>IFERROR(VLOOKUP(B99,Baza[[№]:[Profit]],8,0),"")</f>
        <v/>
      </c>
      <c r="L99" s="43" t="str">
        <f>IFERROR(VLOOKUP(B99,Baza[[№]:[Profit]],9,0),"")</f>
        <v/>
      </c>
      <c r="M99" s="43" t="str">
        <f>IFERROR(VLOOKUP(B99,Baza[[№]:[Profit]],10,0),"")</f>
        <v/>
      </c>
      <c r="N99" s="43" t="str">
        <f>IFERROR(IF(VLOOKUP(B99,Baza[[№]:[Profit]],11,0)=0,"-",VLOOKUP(B99,Baza[[№]:[Profit]],11,0)),"")</f>
        <v/>
      </c>
      <c r="O99" s="43" t="str">
        <f>IFERROR(IF(VLOOKUP(B99,Baza[[№]:[Profit]],12,0)=0,"-",VLOOKUP(B99,Baza[[№]:[Profit]],12,0)),"")</f>
        <v/>
      </c>
      <c r="P99" s="43" t="str">
        <f>IFERROR(IF(VLOOKUP(B99,Baza[[№]:[Profit]],13,0)=0,"-",VLOOKUP(B99,Baza[[№]:[Profit]],13,0)),"")</f>
        <v/>
      </c>
      <c r="Q99" s="43" t="str">
        <f>IFERROR(IF(VLOOKUP(B99,Baza[[№]:[Profit]],15,0)=0,"-",VLOOKUP(B99,Baza[[№]:[Profit]],15,0)),"")</f>
        <v/>
      </c>
      <c r="R99" s="43" t="str">
        <f>IFERROR(IF(VLOOKUP(B99,Baza[[№]:[Profit]],16,0)=0,"-",VLOOKUP(B99,Baza[[№]:[Profit]],16,0)),"")</f>
        <v/>
      </c>
      <c r="S99" s="43" t="str">
        <f>IFERROR(IF(VLOOKUP(B99,Baza[[№]:[Profit]],17,0)=0,"-",VLOOKUP(B99,Baza[[№]:[Profit]],17,0)),"")</f>
        <v/>
      </c>
      <c r="T99" s="43" t="str">
        <f>IFERROR(IF(VLOOKUP(B99,Baza[[№]:[Profit]],18,0)=0,"-",VLOOKUP(B99,Baza[[№]:[Profit]],18,0)),"")</f>
        <v/>
      </c>
      <c r="U99" s="41" t="str">
        <f>IFERROR(IF(VLOOKUP(B99,Baza[[№]:[Profit]],19,0)=0,"-",VLOOKUP(B99,Baza[[№]:[Profit]],19,0)),"")</f>
        <v/>
      </c>
      <c r="V99" s="41" t="str">
        <f>IFERROR(VLOOKUP(B99,Baza[[№]:[Profit]],20,0),"")</f>
        <v/>
      </c>
      <c r="W99" s="41" t="str">
        <f>IFERROR(IF(VLOOKUP(B99,Baza[[№]:[Profit]],21,0)=0,"-",VLOOKUP(B99,Baza[[№]:[Profit]],21,0)),"")</f>
        <v/>
      </c>
      <c r="X99" s="45" t="str">
        <f>IFERROR(IF(VLOOKUP(B99,Baza[[№]:[Profit]],22,0)=0,"-",VLOOKUP(B99,Baza[[№]:[Profit]],22,0)),"")</f>
        <v/>
      </c>
      <c r="Y99" s="45" t="str">
        <f>IFERROR(VLOOKUP(B99,Baza[[№]:[Profit]],23,0),"")</f>
        <v/>
      </c>
      <c r="Z99" s="44" t="str">
        <f>IFERROR(VLOOKUP(B99,Baza[[№]:[AFS]],24,0),"")</f>
        <v/>
      </c>
      <c r="AA99" s="45" t="str">
        <f>IF(Таблица2[[#This Row],[Profit]]="","#Н/Д",SUM($Y$40:Y99))</f>
        <v>#Н/Д</v>
      </c>
      <c r="AB99" s="45" t="b">
        <f>IF(Таблица2[[#This Row],[Grafik]]="#Н/Д",FALSE,TRUE)</f>
        <v>0</v>
      </c>
    </row>
    <row r="100" spans="1:28" ht="11.1" hidden="1" customHeight="1" x14ac:dyDescent="0.25">
      <c r="A100" s="93">
        <f t="shared" si="0"/>
        <v>61</v>
      </c>
      <c r="B100"/>
      <c r="C100" s="41" t="str">
        <f>IFERROR(VLOOKUP(B100,Baza[[№]:[Profit]],2,0),"")</f>
        <v/>
      </c>
      <c r="D10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0" s="43" t="str">
        <f>IFERROR(VLOOKUP(B100,Baza[[№]:[Profit]],3,0),"")</f>
        <v/>
      </c>
      <c r="G100" s="43" t="str">
        <f>IFERROR(VLOOKUP(B100,Baza[[№]:[Profit]],4,0),"")</f>
        <v/>
      </c>
      <c r="H100" s="43" t="str">
        <f>IFERROR(VLOOKUP(B100,Baza[[№]:[Profit]],5,0),"")</f>
        <v/>
      </c>
      <c r="I100" s="46" t="str">
        <f>IFERROR(VLOOKUP(B100,Baza[[№]:[Profit]],6,0),"")</f>
        <v/>
      </c>
      <c r="J100" s="49" t="str">
        <f>IFERROR(VLOOKUP(B100,Baza[[№]:[Profit]],7,0),"")</f>
        <v/>
      </c>
      <c r="K100" s="43" t="str">
        <f>IFERROR(VLOOKUP(B100,Baza[[№]:[Profit]],8,0),"")</f>
        <v/>
      </c>
      <c r="L100" s="43" t="str">
        <f>IFERROR(VLOOKUP(B100,Baza[[№]:[Profit]],9,0),"")</f>
        <v/>
      </c>
      <c r="M100" s="43" t="str">
        <f>IFERROR(VLOOKUP(B100,Baza[[№]:[Profit]],10,0),"")</f>
        <v/>
      </c>
      <c r="N100" s="43" t="str">
        <f>IFERROR(IF(VLOOKUP(B100,Baza[[№]:[Profit]],11,0)=0,"-",VLOOKUP(B100,Baza[[№]:[Profit]],11,0)),"")</f>
        <v/>
      </c>
      <c r="O100" s="43" t="str">
        <f>IFERROR(IF(VLOOKUP(B100,Baza[[№]:[Profit]],12,0)=0,"-",VLOOKUP(B100,Baza[[№]:[Profit]],12,0)),"")</f>
        <v/>
      </c>
      <c r="P100" s="43" t="str">
        <f>IFERROR(IF(VLOOKUP(B100,Baza[[№]:[Profit]],13,0)=0,"-",VLOOKUP(B100,Baza[[№]:[Profit]],13,0)),"")</f>
        <v/>
      </c>
      <c r="Q100" s="43" t="str">
        <f>IFERROR(IF(VLOOKUP(B100,Baza[[№]:[Profit]],15,0)=0,"-",VLOOKUP(B100,Baza[[№]:[Profit]],15,0)),"")</f>
        <v/>
      </c>
      <c r="R100" s="43" t="str">
        <f>IFERROR(IF(VLOOKUP(B100,Baza[[№]:[Profit]],16,0)=0,"-",VLOOKUP(B100,Baza[[№]:[Profit]],16,0)),"")</f>
        <v/>
      </c>
      <c r="S100" s="43" t="str">
        <f>IFERROR(IF(VLOOKUP(B100,Baza[[№]:[Profit]],17,0)=0,"-",VLOOKUP(B100,Baza[[№]:[Profit]],17,0)),"")</f>
        <v/>
      </c>
      <c r="T100" s="43" t="str">
        <f>IFERROR(IF(VLOOKUP(B100,Baza[[№]:[Profit]],18,0)=0,"-",VLOOKUP(B100,Baza[[№]:[Profit]],18,0)),"")</f>
        <v/>
      </c>
      <c r="U100" s="41" t="str">
        <f>IFERROR(IF(VLOOKUP(B100,Baza[[№]:[Profit]],19,0)=0,"-",VLOOKUP(B100,Baza[[№]:[Profit]],19,0)),"")</f>
        <v/>
      </c>
      <c r="V100" s="41" t="str">
        <f>IFERROR(VLOOKUP(B100,Baza[[№]:[Profit]],20,0),"")</f>
        <v/>
      </c>
      <c r="W100" s="41" t="str">
        <f>IFERROR(IF(VLOOKUP(B100,Baza[[№]:[Profit]],21,0)=0,"-",VLOOKUP(B100,Baza[[№]:[Profit]],21,0)),"")</f>
        <v/>
      </c>
      <c r="X100" s="45" t="str">
        <f>IFERROR(IF(VLOOKUP(B100,Baza[[№]:[Profit]],22,0)=0,"-",VLOOKUP(B100,Baza[[№]:[Profit]],22,0)),"")</f>
        <v/>
      </c>
      <c r="Y100" s="45" t="str">
        <f>IFERROR(VLOOKUP(B100,Baza[[№]:[Profit]],23,0),"")</f>
        <v/>
      </c>
      <c r="Z100" s="44" t="str">
        <f>IFERROR(VLOOKUP(B100,Baza[[№]:[AFS]],24,0),"")</f>
        <v/>
      </c>
      <c r="AA100" s="45" t="str">
        <f>IF(Таблица2[[#This Row],[Profit]]="","#Н/Д",SUM($Y$40:Y100))</f>
        <v>#Н/Д</v>
      </c>
      <c r="AB100" s="45" t="b">
        <f>IF(Таблица2[[#This Row],[Grafik]]="#Н/Д",FALSE,TRUE)</f>
        <v>0</v>
      </c>
    </row>
    <row r="101" spans="1:28" ht="11.1" hidden="1" customHeight="1" x14ac:dyDescent="0.25">
      <c r="A101" s="93">
        <f t="shared" si="0"/>
        <v>62</v>
      </c>
      <c r="B101"/>
      <c r="C101" s="41" t="str">
        <f>IFERROR(VLOOKUP(B101,Baza[[№]:[Profit]],2,0),"")</f>
        <v/>
      </c>
      <c r="D10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1" s="43" t="str">
        <f>IFERROR(VLOOKUP(B101,Baza[[№]:[Profit]],3,0),"")</f>
        <v/>
      </c>
      <c r="G101" s="43" t="str">
        <f>IFERROR(VLOOKUP(B101,Baza[[№]:[Profit]],4,0),"")</f>
        <v/>
      </c>
      <c r="H101" s="43" t="str">
        <f>IFERROR(VLOOKUP(B101,Baza[[№]:[Profit]],5,0),"")</f>
        <v/>
      </c>
      <c r="I101" s="46" t="str">
        <f>IFERROR(VLOOKUP(B101,Baza[[№]:[Profit]],6,0),"")</f>
        <v/>
      </c>
      <c r="J101" s="49" t="str">
        <f>IFERROR(VLOOKUP(B101,Baza[[№]:[Profit]],7,0),"")</f>
        <v/>
      </c>
      <c r="K101" s="43" t="str">
        <f>IFERROR(VLOOKUP(B101,Baza[[№]:[Profit]],8,0),"")</f>
        <v/>
      </c>
      <c r="L101" s="43" t="str">
        <f>IFERROR(VLOOKUP(B101,Baza[[№]:[Profit]],9,0),"")</f>
        <v/>
      </c>
      <c r="M101" s="43" t="str">
        <f>IFERROR(VLOOKUP(B101,Baza[[№]:[Profit]],10,0),"")</f>
        <v/>
      </c>
      <c r="N101" s="43" t="str">
        <f>IFERROR(IF(VLOOKUP(B101,Baza[[№]:[Profit]],11,0)=0,"-",VLOOKUP(B101,Baza[[№]:[Profit]],11,0)),"")</f>
        <v/>
      </c>
      <c r="O101" s="43" t="str">
        <f>IFERROR(IF(VLOOKUP(B101,Baza[[№]:[Profit]],12,0)=0,"-",VLOOKUP(B101,Baza[[№]:[Profit]],12,0)),"")</f>
        <v/>
      </c>
      <c r="P101" s="43" t="str">
        <f>IFERROR(IF(VLOOKUP(B101,Baza[[№]:[Profit]],13,0)=0,"-",VLOOKUP(B101,Baza[[№]:[Profit]],13,0)),"")</f>
        <v/>
      </c>
      <c r="Q101" s="43" t="str">
        <f>IFERROR(IF(VLOOKUP(B101,Baza[[№]:[Profit]],15,0)=0,"-",VLOOKUP(B101,Baza[[№]:[Profit]],15,0)),"")</f>
        <v/>
      </c>
      <c r="R101" s="43" t="str">
        <f>IFERROR(IF(VLOOKUP(B101,Baza[[№]:[Profit]],16,0)=0,"-",VLOOKUP(B101,Baza[[№]:[Profit]],16,0)),"")</f>
        <v/>
      </c>
      <c r="S101" s="43" t="str">
        <f>IFERROR(IF(VLOOKUP(B101,Baza[[№]:[Profit]],17,0)=0,"-",VLOOKUP(B101,Baza[[№]:[Profit]],17,0)),"")</f>
        <v/>
      </c>
      <c r="T101" s="43" t="str">
        <f>IFERROR(IF(VLOOKUP(B101,Baza[[№]:[Profit]],18,0)=0,"-",VLOOKUP(B101,Baza[[№]:[Profit]],18,0)),"")</f>
        <v/>
      </c>
      <c r="U101" s="41" t="str">
        <f>IFERROR(IF(VLOOKUP(B101,Baza[[№]:[Profit]],19,0)=0,"-",VLOOKUP(B101,Baza[[№]:[Profit]],19,0)),"")</f>
        <v/>
      </c>
      <c r="V101" s="41" t="str">
        <f>IFERROR(VLOOKUP(B101,Baza[[№]:[Profit]],20,0),"")</f>
        <v/>
      </c>
      <c r="W101" s="41" t="str">
        <f>IFERROR(IF(VLOOKUP(B101,Baza[[№]:[Profit]],21,0)=0,"-",VLOOKUP(B101,Baza[[№]:[Profit]],21,0)),"")</f>
        <v/>
      </c>
      <c r="X101" s="45" t="str">
        <f>IFERROR(IF(VLOOKUP(B101,Baza[[№]:[Profit]],22,0)=0,"-",VLOOKUP(B101,Baza[[№]:[Profit]],22,0)),"")</f>
        <v/>
      </c>
      <c r="Y101" s="45" t="str">
        <f>IFERROR(VLOOKUP(B101,Baza[[№]:[Profit]],23,0),"")</f>
        <v/>
      </c>
      <c r="Z101" s="44" t="str">
        <f>IFERROR(VLOOKUP(B101,Baza[[№]:[AFS]],24,0),"")</f>
        <v/>
      </c>
      <c r="AA101" s="45" t="str">
        <f>IF(Таблица2[[#This Row],[Profit]]="","#Н/Д",SUM($Y$40:Y101))</f>
        <v>#Н/Д</v>
      </c>
      <c r="AB101" s="45" t="b">
        <f>IF(Таблица2[[#This Row],[Grafik]]="#Н/Д",FALSE,TRUE)</f>
        <v>0</v>
      </c>
    </row>
    <row r="102" spans="1:28" ht="11.1" hidden="1" customHeight="1" x14ac:dyDescent="0.25">
      <c r="A102" s="93">
        <f t="shared" si="0"/>
        <v>63</v>
      </c>
      <c r="B102"/>
      <c r="C102" s="41" t="str">
        <f>IFERROR(VLOOKUP(B102,Baza[[№]:[Profit]],2,0),"")</f>
        <v/>
      </c>
      <c r="D10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2" s="43" t="str">
        <f>IFERROR(VLOOKUP(B102,Baza[[№]:[Profit]],3,0),"")</f>
        <v/>
      </c>
      <c r="G102" s="43" t="str">
        <f>IFERROR(VLOOKUP(B102,Baza[[№]:[Profit]],4,0),"")</f>
        <v/>
      </c>
      <c r="H102" s="43" t="str">
        <f>IFERROR(VLOOKUP(B102,Baza[[№]:[Profit]],5,0),"")</f>
        <v/>
      </c>
      <c r="I102" s="46" t="str">
        <f>IFERROR(VLOOKUP(B102,Baza[[№]:[Profit]],6,0),"")</f>
        <v/>
      </c>
      <c r="J102" s="49" t="str">
        <f>IFERROR(VLOOKUP(B102,Baza[[№]:[Profit]],7,0),"")</f>
        <v/>
      </c>
      <c r="K102" s="43" t="str">
        <f>IFERROR(VLOOKUP(B102,Baza[[№]:[Profit]],8,0),"")</f>
        <v/>
      </c>
      <c r="L102" s="43" t="str">
        <f>IFERROR(VLOOKUP(B102,Baza[[№]:[Profit]],9,0),"")</f>
        <v/>
      </c>
      <c r="M102" s="43" t="str">
        <f>IFERROR(VLOOKUP(B102,Baza[[№]:[Profit]],10,0),"")</f>
        <v/>
      </c>
      <c r="N102" s="43" t="str">
        <f>IFERROR(IF(VLOOKUP(B102,Baza[[№]:[Profit]],11,0)=0,"-",VLOOKUP(B102,Baza[[№]:[Profit]],11,0)),"")</f>
        <v/>
      </c>
      <c r="O102" s="43" t="str">
        <f>IFERROR(IF(VLOOKUP(B102,Baza[[№]:[Profit]],12,0)=0,"-",VLOOKUP(B102,Baza[[№]:[Profit]],12,0)),"")</f>
        <v/>
      </c>
      <c r="P102" s="43" t="str">
        <f>IFERROR(IF(VLOOKUP(B102,Baza[[№]:[Profit]],13,0)=0,"-",VLOOKUP(B102,Baza[[№]:[Profit]],13,0)),"")</f>
        <v/>
      </c>
      <c r="Q102" s="43" t="str">
        <f>IFERROR(IF(VLOOKUP(B102,Baza[[№]:[Profit]],15,0)=0,"-",VLOOKUP(B102,Baza[[№]:[Profit]],15,0)),"")</f>
        <v/>
      </c>
      <c r="R102" s="43" t="str">
        <f>IFERROR(IF(VLOOKUP(B102,Baza[[№]:[Profit]],16,0)=0,"-",VLOOKUP(B102,Baza[[№]:[Profit]],16,0)),"")</f>
        <v/>
      </c>
      <c r="S102" s="43" t="str">
        <f>IFERROR(IF(VLOOKUP(B102,Baza[[№]:[Profit]],17,0)=0,"-",VLOOKUP(B102,Baza[[№]:[Profit]],17,0)),"")</f>
        <v/>
      </c>
      <c r="T102" s="43" t="str">
        <f>IFERROR(IF(VLOOKUP(B102,Baza[[№]:[Profit]],18,0)=0,"-",VLOOKUP(B102,Baza[[№]:[Profit]],18,0)),"")</f>
        <v/>
      </c>
      <c r="U102" s="41" t="str">
        <f>IFERROR(IF(VLOOKUP(B102,Baza[[№]:[Profit]],19,0)=0,"-",VLOOKUP(B102,Baza[[№]:[Profit]],19,0)),"")</f>
        <v/>
      </c>
      <c r="V102" s="41" t="str">
        <f>IFERROR(VLOOKUP(B102,Baza[[№]:[Profit]],20,0),"")</f>
        <v/>
      </c>
      <c r="W102" s="41" t="str">
        <f>IFERROR(IF(VLOOKUP(B102,Baza[[№]:[Profit]],21,0)=0,"-",VLOOKUP(B102,Baza[[№]:[Profit]],21,0)),"")</f>
        <v/>
      </c>
      <c r="X102" s="45" t="str">
        <f>IFERROR(IF(VLOOKUP(B102,Baza[[№]:[Profit]],22,0)=0,"-",VLOOKUP(B102,Baza[[№]:[Profit]],22,0)),"")</f>
        <v/>
      </c>
      <c r="Y102" s="45" t="str">
        <f>IFERROR(VLOOKUP(B102,Baza[[№]:[Profit]],23,0),"")</f>
        <v/>
      </c>
      <c r="Z102" s="44" t="str">
        <f>IFERROR(VLOOKUP(B102,Baza[[№]:[AFS]],24,0),"")</f>
        <v/>
      </c>
      <c r="AA102" s="45" t="str">
        <f>IF(Таблица2[[#This Row],[Profit]]="","#Н/Д",SUM($Y$40:Y102))</f>
        <v>#Н/Д</v>
      </c>
      <c r="AB102" s="45" t="b">
        <f>IF(Таблица2[[#This Row],[Grafik]]="#Н/Д",FALSE,TRUE)</f>
        <v>0</v>
      </c>
    </row>
    <row r="103" spans="1:28" ht="11.1" hidden="1" customHeight="1" x14ac:dyDescent="0.25">
      <c r="A103" s="93">
        <f t="shared" si="0"/>
        <v>64</v>
      </c>
      <c r="B103"/>
      <c r="C103" s="41" t="str">
        <f>IFERROR(VLOOKUP(B103,Baza[[№]:[Profit]],2,0),"")</f>
        <v/>
      </c>
      <c r="D10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3" s="43" t="str">
        <f>IFERROR(VLOOKUP(B103,Baza[[№]:[Profit]],3,0),"")</f>
        <v/>
      </c>
      <c r="G103" s="43" t="str">
        <f>IFERROR(VLOOKUP(B103,Baza[[№]:[Profit]],4,0),"")</f>
        <v/>
      </c>
      <c r="H103" s="43" t="str">
        <f>IFERROR(VLOOKUP(B103,Baza[[№]:[Profit]],5,0),"")</f>
        <v/>
      </c>
      <c r="I103" s="46" t="str">
        <f>IFERROR(VLOOKUP(B103,Baza[[№]:[Profit]],6,0),"")</f>
        <v/>
      </c>
      <c r="J103" s="49" t="str">
        <f>IFERROR(VLOOKUP(B103,Baza[[№]:[Profit]],7,0),"")</f>
        <v/>
      </c>
      <c r="K103" s="43" t="str">
        <f>IFERROR(VLOOKUP(B103,Baza[[№]:[Profit]],8,0),"")</f>
        <v/>
      </c>
      <c r="L103" s="43" t="str">
        <f>IFERROR(VLOOKUP(B103,Baza[[№]:[Profit]],9,0),"")</f>
        <v/>
      </c>
      <c r="M103" s="43" t="str">
        <f>IFERROR(VLOOKUP(B103,Baza[[№]:[Profit]],10,0),"")</f>
        <v/>
      </c>
      <c r="N103" s="43" t="str">
        <f>IFERROR(IF(VLOOKUP(B103,Baza[[№]:[Profit]],11,0)=0,"-",VLOOKUP(B103,Baza[[№]:[Profit]],11,0)),"")</f>
        <v/>
      </c>
      <c r="O103" s="43" t="str">
        <f>IFERROR(IF(VLOOKUP(B103,Baza[[№]:[Profit]],12,0)=0,"-",VLOOKUP(B103,Baza[[№]:[Profit]],12,0)),"")</f>
        <v/>
      </c>
      <c r="P103" s="43" t="str">
        <f>IFERROR(IF(VLOOKUP(B103,Baza[[№]:[Profit]],13,0)=0,"-",VLOOKUP(B103,Baza[[№]:[Profit]],13,0)),"")</f>
        <v/>
      </c>
      <c r="Q103" s="43" t="str">
        <f>IFERROR(IF(VLOOKUP(B103,Baza[[№]:[Profit]],15,0)=0,"-",VLOOKUP(B103,Baza[[№]:[Profit]],15,0)),"")</f>
        <v/>
      </c>
      <c r="R103" s="43" t="str">
        <f>IFERROR(IF(VLOOKUP(B103,Baza[[№]:[Profit]],16,0)=0,"-",VLOOKUP(B103,Baza[[№]:[Profit]],16,0)),"")</f>
        <v/>
      </c>
      <c r="S103" s="43" t="str">
        <f>IFERROR(IF(VLOOKUP(B103,Baza[[№]:[Profit]],17,0)=0,"-",VLOOKUP(B103,Baza[[№]:[Profit]],17,0)),"")</f>
        <v/>
      </c>
      <c r="T103" s="43" t="str">
        <f>IFERROR(IF(VLOOKUP(B103,Baza[[№]:[Profit]],18,0)=0,"-",VLOOKUP(B103,Baza[[№]:[Profit]],18,0)),"")</f>
        <v/>
      </c>
      <c r="U103" s="41" t="str">
        <f>IFERROR(IF(VLOOKUP(B103,Baza[[№]:[Profit]],19,0)=0,"-",VLOOKUP(B103,Baza[[№]:[Profit]],19,0)),"")</f>
        <v/>
      </c>
      <c r="V103" s="41" t="str">
        <f>IFERROR(VLOOKUP(B103,Baza[[№]:[Profit]],20,0),"")</f>
        <v/>
      </c>
      <c r="W103" s="41" t="str">
        <f>IFERROR(IF(VLOOKUP(B103,Baza[[№]:[Profit]],21,0)=0,"-",VLOOKUP(B103,Baza[[№]:[Profit]],21,0)),"")</f>
        <v/>
      </c>
      <c r="X103" s="45" t="str">
        <f>IFERROR(IF(VLOOKUP(B103,Baza[[№]:[Profit]],22,0)=0,"-",VLOOKUP(B103,Baza[[№]:[Profit]],22,0)),"")</f>
        <v/>
      </c>
      <c r="Y103" s="45" t="str">
        <f>IFERROR(VLOOKUP(B103,Baza[[№]:[Profit]],23,0),"")</f>
        <v/>
      </c>
      <c r="Z103" s="44" t="str">
        <f>IFERROR(VLOOKUP(B103,Baza[[№]:[AFS]],24,0),"")</f>
        <v/>
      </c>
      <c r="AA103" s="45" t="str">
        <f>IF(Таблица2[[#This Row],[Profit]]="","#Н/Д",SUM($Y$40:Y103))</f>
        <v>#Н/Д</v>
      </c>
      <c r="AB103" s="45" t="b">
        <f>IF(Таблица2[[#This Row],[Grafik]]="#Н/Д",FALSE,TRUE)</f>
        <v>0</v>
      </c>
    </row>
    <row r="104" spans="1:28" ht="11.1" hidden="1" customHeight="1" x14ac:dyDescent="0.25">
      <c r="A104" s="93">
        <f t="shared" si="0"/>
        <v>65</v>
      </c>
      <c r="B104"/>
      <c r="C104" s="41" t="str">
        <f>IFERROR(VLOOKUP(B104,Baza[[№]:[Profit]],2,0),"")</f>
        <v/>
      </c>
      <c r="D10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4" s="43" t="str">
        <f>IFERROR(VLOOKUP(B104,Baza[[№]:[Profit]],3,0),"")</f>
        <v/>
      </c>
      <c r="G104" s="43" t="str">
        <f>IFERROR(VLOOKUP(B104,Baza[[№]:[Profit]],4,0),"")</f>
        <v/>
      </c>
      <c r="H104" s="43" t="str">
        <f>IFERROR(VLOOKUP(B104,Baza[[№]:[Profit]],5,0),"")</f>
        <v/>
      </c>
      <c r="I104" s="46" t="str">
        <f>IFERROR(VLOOKUP(B104,Baza[[№]:[Profit]],6,0),"")</f>
        <v/>
      </c>
      <c r="J104" s="49" t="str">
        <f>IFERROR(VLOOKUP(B104,Baza[[№]:[Profit]],7,0),"")</f>
        <v/>
      </c>
      <c r="K104" s="43" t="str">
        <f>IFERROR(VLOOKUP(B104,Baza[[№]:[Profit]],8,0),"")</f>
        <v/>
      </c>
      <c r="L104" s="43" t="str">
        <f>IFERROR(VLOOKUP(B104,Baza[[№]:[Profit]],9,0),"")</f>
        <v/>
      </c>
      <c r="M104" s="43" t="str">
        <f>IFERROR(VLOOKUP(B104,Baza[[№]:[Profit]],10,0),"")</f>
        <v/>
      </c>
      <c r="N104" s="43" t="str">
        <f>IFERROR(IF(VLOOKUP(B104,Baza[[№]:[Profit]],11,0)=0,"-",VLOOKUP(B104,Baza[[№]:[Profit]],11,0)),"")</f>
        <v/>
      </c>
      <c r="O104" s="43" t="str">
        <f>IFERROR(IF(VLOOKUP(B104,Baza[[№]:[Profit]],12,0)=0,"-",VLOOKUP(B104,Baza[[№]:[Profit]],12,0)),"")</f>
        <v/>
      </c>
      <c r="P104" s="43" t="str">
        <f>IFERROR(IF(VLOOKUP(B104,Baza[[№]:[Profit]],13,0)=0,"-",VLOOKUP(B104,Baza[[№]:[Profit]],13,0)),"")</f>
        <v/>
      </c>
      <c r="Q104" s="43" t="str">
        <f>IFERROR(IF(VLOOKUP(B104,Baza[[№]:[Profit]],15,0)=0,"-",VLOOKUP(B104,Baza[[№]:[Profit]],15,0)),"")</f>
        <v/>
      </c>
      <c r="R104" s="43" t="str">
        <f>IFERROR(IF(VLOOKUP(B104,Baza[[№]:[Profit]],16,0)=0,"-",VLOOKUP(B104,Baza[[№]:[Profit]],16,0)),"")</f>
        <v/>
      </c>
      <c r="S104" s="43" t="str">
        <f>IFERROR(IF(VLOOKUP(B104,Baza[[№]:[Profit]],17,0)=0,"-",VLOOKUP(B104,Baza[[№]:[Profit]],17,0)),"")</f>
        <v/>
      </c>
      <c r="T104" s="43" t="str">
        <f>IFERROR(IF(VLOOKUP(B104,Baza[[№]:[Profit]],18,0)=0,"-",VLOOKUP(B104,Baza[[№]:[Profit]],18,0)),"")</f>
        <v/>
      </c>
      <c r="U104" s="41" t="str">
        <f>IFERROR(IF(VLOOKUP(B104,Baza[[№]:[Profit]],19,0)=0,"-",VLOOKUP(B104,Baza[[№]:[Profit]],19,0)),"")</f>
        <v/>
      </c>
      <c r="V104" s="41" t="str">
        <f>IFERROR(VLOOKUP(B104,Baza[[№]:[Profit]],20,0),"")</f>
        <v/>
      </c>
      <c r="W104" s="41" t="str">
        <f>IFERROR(IF(VLOOKUP(B104,Baza[[№]:[Profit]],21,0)=0,"-",VLOOKUP(B104,Baza[[№]:[Profit]],21,0)),"")</f>
        <v/>
      </c>
      <c r="X104" s="45" t="str">
        <f>IFERROR(IF(VLOOKUP(B104,Baza[[№]:[Profit]],22,0)=0,"-",VLOOKUP(B104,Baza[[№]:[Profit]],22,0)),"")</f>
        <v/>
      </c>
      <c r="Y104" s="45" t="str">
        <f>IFERROR(VLOOKUP(B104,Baza[[№]:[Profit]],23,0),"")</f>
        <v/>
      </c>
      <c r="Z104" s="44" t="str">
        <f>IFERROR(VLOOKUP(B104,Baza[[№]:[AFS]],24,0),"")</f>
        <v/>
      </c>
      <c r="AA104" s="45" t="str">
        <f>IF(Таблица2[[#This Row],[Profit]]="","#Н/Д",SUM($Y$40:Y104))</f>
        <v>#Н/Д</v>
      </c>
      <c r="AB104" s="45" t="b">
        <f>IF(Таблица2[[#This Row],[Grafik]]="#Н/Д",FALSE,TRUE)</f>
        <v>0</v>
      </c>
    </row>
    <row r="105" spans="1:28" ht="11.1" hidden="1" customHeight="1" x14ac:dyDescent="0.25">
      <c r="A105" s="93">
        <f t="shared" ref="A105:A168" si="1">A104+1</f>
        <v>66</v>
      </c>
      <c r="B105"/>
      <c r="C105" s="41" t="str">
        <f>IFERROR(VLOOKUP(B105,Baza[[№]:[Profit]],2,0),"")</f>
        <v/>
      </c>
      <c r="D10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5" s="43" t="str">
        <f>IFERROR(VLOOKUP(B105,Baza[[№]:[Profit]],3,0),"")</f>
        <v/>
      </c>
      <c r="G105" s="43" t="str">
        <f>IFERROR(VLOOKUP(B105,Baza[[№]:[Profit]],4,0),"")</f>
        <v/>
      </c>
      <c r="H105" s="43" t="str">
        <f>IFERROR(VLOOKUP(B105,Baza[[№]:[Profit]],5,0),"")</f>
        <v/>
      </c>
      <c r="I105" s="46" t="str">
        <f>IFERROR(VLOOKUP(B105,Baza[[№]:[Profit]],6,0),"")</f>
        <v/>
      </c>
      <c r="J105" s="49" t="str">
        <f>IFERROR(VLOOKUP(B105,Baza[[№]:[Profit]],7,0),"")</f>
        <v/>
      </c>
      <c r="K105" s="43" t="str">
        <f>IFERROR(VLOOKUP(B105,Baza[[№]:[Profit]],8,0),"")</f>
        <v/>
      </c>
      <c r="L105" s="43" t="str">
        <f>IFERROR(VLOOKUP(B105,Baza[[№]:[Profit]],9,0),"")</f>
        <v/>
      </c>
      <c r="M105" s="43" t="str">
        <f>IFERROR(VLOOKUP(B105,Baza[[№]:[Profit]],10,0),"")</f>
        <v/>
      </c>
      <c r="N105" s="43" t="str">
        <f>IFERROR(IF(VLOOKUP(B105,Baza[[№]:[Profit]],11,0)=0,"-",VLOOKUP(B105,Baza[[№]:[Profit]],11,0)),"")</f>
        <v/>
      </c>
      <c r="O105" s="43" t="str">
        <f>IFERROR(IF(VLOOKUP(B105,Baza[[№]:[Profit]],12,0)=0,"-",VLOOKUP(B105,Baza[[№]:[Profit]],12,0)),"")</f>
        <v/>
      </c>
      <c r="P105" s="43" t="str">
        <f>IFERROR(IF(VLOOKUP(B105,Baza[[№]:[Profit]],13,0)=0,"-",VLOOKUP(B105,Baza[[№]:[Profit]],13,0)),"")</f>
        <v/>
      </c>
      <c r="Q105" s="43" t="str">
        <f>IFERROR(IF(VLOOKUP(B105,Baza[[№]:[Profit]],15,0)=0,"-",VLOOKUP(B105,Baza[[№]:[Profit]],15,0)),"")</f>
        <v/>
      </c>
      <c r="R105" s="43" t="str">
        <f>IFERROR(IF(VLOOKUP(B105,Baza[[№]:[Profit]],16,0)=0,"-",VLOOKUP(B105,Baza[[№]:[Profit]],16,0)),"")</f>
        <v/>
      </c>
      <c r="S105" s="43" t="str">
        <f>IFERROR(IF(VLOOKUP(B105,Baza[[№]:[Profit]],17,0)=0,"-",VLOOKUP(B105,Baza[[№]:[Profit]],17,0)),"")</f>
        <v/>
      </c>
      <c r="T105" s="43" t="str">
        <f>IFERROR(IF(VLOOKUP(B105,Baza[[№]:[Profit]],18,0)=0,"-",VLOOKUP(B105,Baza[[№]:[Profit]],18,0)),"")</f>
        <v/>
      </c>
      <c r="U105" s="41" t="str">
        <f>IFERROR(IF(VLOOKUP(B105,Baza[[№]:[Profit]],19,0)=0,"-",VLOOKUP(B105,Baza[[№]:[Profit]],19,0)),"")</f>
        <v/>
      </c>
      <c r="V105" s="41" t="str">
        <f>IFERROR(VLOOKUP(B105,Baza[[№]:[Profit]],20,0),"")</f>
        <v/>
      </c>
      <c r="W105" s="41" t="str">
        <f>IFERROR(IF(VLOOKUP(B105,Baza[[№]:[Profit]],21,0)=0,"-",VLOOKUP(B105,Baza[[№]:[Profit]],21,0)),"")</f>
        <v/>
      </c>
      <c r="X105" s="45" t="str">
        <f>IFERROR(IF(VLOOKUP(B105,Baza[[№]:[Profit]],22,0)=0,"-",VLOOKUP(B105,Baza[[№]:[Profit]],22,0)),"")</f>
        <v/>
      </c>
      <c r="Y105" s="45" t="str">
        <f>IFERROR(VLOOKUP(B105,Baza[[№]:[Profit]],23,0),"")</f>
        <v/>
      </c>
      <c r="Z105" s="44" t="str">
        <f>IFERROR(VLOOKUP(B105,Baza[[№]:[AFS]],24,0),"")</f>
        <v/>
      </c>
      <c r="AA105" s="45" t="str">
        <f>IF(Таблица2[[#This Row],[Profit]]="","#Н/Д",SUM($Y$40:Y105))</f>
        <v>#Н/Д</v>
      </c>
      <c r="AB105" s="45" t="b">
        <f>IF(Таблица2[[#This Row],[Grafik]]="#Н/Д",FALSE,TRUE)</f>
        <v>0</v>
      </c>
    </row>
    <row r="106" spans="1:28" ht="11.1" hidden="1" customHeight="1" x14ac:dyDescent="0.25">
      <c r="A106" s="93">
        <f t="shared" si="1"/>
        <v>67</v>
      </c>
      <c r="B106"/>
      <c r="C106" s="41" t="str">
        <f>IFERROR(VLOOKUP(B106,Baza[[№]:[Profit]],2,0),"")</f>
        <v/>
      </c>
      <c r="D10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6" s="43" t="str">
        <f>IFERROR(VLOOKUP(B106,Baza[[№]:[Profit]],3,0),"")</f>
        <v/>
      </c>
      <c r="G106" s="43" t="str">
        <f>IFERROR(VLOOKUP(B106,Baza[[№]:[Profit]],4,0),"")</f>
        <v/>
      </c>
      <c r="H106" s="43" t="str">
        <f>IFERROR(VLOOKUP(B106,Baza[[№]:[Profit]],5,0),"")</f>
        <v/>
      </c>
      <c r="I106" s="46" t="str">
        <f>IFERROR(VLOOKUP(B106,Baza[[№]:[Profit]],6,0),"")</f>
        <v/>
      </c>
      <c r="J106" s="49" t="str">
        <f>IFERROR(VLOOKUP(B106,Baza[[№]:[Profit]],7,0),"")</f>
        <v/>
      </c>
      <c r="K106" s="43" t="str">
        <f>IFERROR(VLOOKUP(B106,Baza[[№]:[Profit]],8,0),"")</f>
        <v/>
      </c>
      <c r="L106" s="43" t="str">
        <f>IFERROR(VLOOKUP(B106,Baza[[№]:[Profit]],9,0),"")</f>
        <v/>
      </c>
      <c r="M106" s="43" t="str">
        <f>IFERROR(VLOOKUP(B106,Baza[[№]:[Profit]],10,0),"")</f>
        <v/>
      </c>
      <c r="N106" s="43" t="str">
        <f>IFERROR(IF(VLOOKUP(B106,Baza[[№]:[Profit]],11,0)=0,"-",VLOOKUP(B106,Baza[[№]:[Profit]],11,0)),"")</f>
        <v/>
      </c>
      <c r="O106" s="43" t="str">
        <f>IFERROR(IF(VLOOKUP(B106,Baza[[№]:[Profit]],12,0)=0,"-",VLOOKUP(B106,Baza[[№]:[Profit]],12,0)),"")</f>
        <v/>
      </c>
      <c r="P106" s="43" t="str">
        <f>IFERROR(IF(VLOOKUP(B106,Baza[[№]:[Profit]],13,0)=0,"-",VLOOKUP(B106,Baza[[№]:[Profit]],13,0)),"")</f>
        <v/>
      </c>
      <c r="Q106" s="43" t="str">
        <f>IFERROR(IF(VLOOKUP(B106,Baza[[№]:[Profit]],15,0)=0,"-",VLOOKUP(B106,Baza[[№]:[Profit]],15,0)),"")</f>
        <v/>
      </c>
      <c r="R106" s="43" t="str">
        <f>IFERROR(IF(VLOOKUP(B106,Baza[[№]:[Profit]],16,0)=0,"-",VLOOKUP(B106,Baza[[№]:[Profit]],16,0)),"")</f>
        <v/>
      </c>
      <c r="S106" s="43" t="str">
        <f>IFERROR(IF(VLOOKUP(B106,Baza[[№]:[Profit]],17,0)=0,"-",VLOOKUP(B106,Baza[[№]:[Profit]],17,0)),"")</f>
        <v/>
      </c>
      <c r="T106" s="43" t="str">
        <f>IFERROR(IF(VLOOKUP(B106,Baza[[№]:[Profit]],18,0)=0,"-",VLOOKUP(B106,Baza[[№]:[Profit]],18,0)),"")</f>
        <v/>
      </c>
      <c r="U106" s="41" t="str">
        <f>IFERROR(IF(VLOOKUP(B106,Baza[[№]:[Profit]],19,0)=0,"-",VLOOKUP(B106,Baza[[№]:[Profit]],19,0)),"")</f>
        <v/>
      </c>
      <c r="V106" s="41" t="str">
        <f>IFERROR(VLOOKUP(B106,Baza[[№]:[Profit]],20,0),"")</f>
        <v/>
      </c>
      <c r="W106" s="41" t="str">
        <f>IFERROR(IF(VLOOKUP(B106,Baza[[№]:[Profit]],21,0)=0,"-",VLOOKUP(B106,Baza[[№]:[Profit]],21,0)),"")</f>
        <v/>
      </c>
      <c r="X106" s="45" t="str">
        <f>IFERROR(IF(VLOOKUP(B106,Baza[[№]:[Profit]],22,0)=0,"-",VLOOKUP(B106,Baza[[№]:[Profit]],22,0)),"")</f>
        <v/>
      </c>
      <c r="Y106" s="45" t="str">
        <f>IFERROR(VLOOKUP(B106,Baza[[№]:[Profit]],23,0),"")</f>
        <v/>
      </c>
      <c r="Z106" s="44" t="str">
        <f>IFERROR(VLOOKUP(B106,Baza[[№]:[AFS]],24,0),"")</f>
        <v/>
      </c>
      <c r="AA106" s="45" t="str">
        <f>IF(Таблица2[[#This Row],[Profit]]="","#Н/Д",SUM($Y$40:Y106))</f>
        <v>#Н/Д</v>
      </c>
      <c r="AB106" s="45" t="b">
        <f>IF(Таблица2[[#This Row],[Grafik]]="#Н/Д",FALSE,TRUE)</f>
        <v>0</v>
      </c>
    </row>
    <row r="107" spans="1:28" ht="11.1" hidden="1" customHeight="1" x14ac:dyDescent="0.25">
      <c r="A107" s="93">
        <f t="shared" si="1"/>
        <v>68</v>
      </c>
      <c r="B107"/>
      <c r="C107" s="41" t="str">
        <f>IFERROR(VLOOKUP(B107,Baza[[№]:[Profit]],2,0),"")</f>
        <v/>
      </c>
      <c r="D10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7" s="43" t="str">
        <f>IFERROR(VLOOKUP(B107,Baza[[№]:[Profit]],3,0),"")</f>
        <v/>
      </c>
      <c r="G107" s="43" t="str">
        <f>IFERROR(VLOOKUP(B107,Baza[[№]:[Profit]],4,0),"")</f>
        <v/>
      </c>
      <c r="H107" s="43" t="str">
        <f>IFERROR(VLOOKUP(B107,Baza[[№]:[Profit]],5,0),"")</f>
        <v/>
      </c>
      <c r="I107" s="46" t="str">
        <f>IFERROR(VLOOKUP(B107,Baza[[№]:[Profit]],6,0),"")</f>
        <v/>
      </c>
      <c r="J107" s="49" t="str">
        <f>IFERROR(VLOOKUP(B107,Baza[[№]:[Profit]],7,0),"")</f>
        <v/>
      </c>
      <c r="K107" s="43" t="str">
        <f>IFERROR(VLOOKUP(B107,Baza[[№]:[Profit]],8,0),"")</f>
        <v/>
      </c>
      <c r="L107" s="43" t="str">
        <f>IFERROR(VLOOKUP(B107,Baza[[№]:[Profit]],9,0),"")</f>
        <v/>
      </c>
      <c r="M107" s="43" t="str">
        <f>IFERROR(VLOOKUP(B107,Baza[[№]:[Profit]],10,0),"")</f>
        <v/>
      </c>
      <c r="N107" s="43" t="str">
        <f>IFERROR(IF(VLOOKUP(B107,Baza[[№]:[Profit]],11,0)=0,"-",VLOOKUP(B107,Baza[[№]:[Profit]],11,0)),"")</f>
        <v/>
      </c>
      <c r="O107" s="43" t="str">
        <f>IFERROR(IF(VLOOKUP(B107,Baza[[№]:[Profit]],12,0)=0,"-",VLOOKUP(B107,Baza[[№]:[Profit]],12,0)),"")</f>
        <v/>
      </c>
      <c r="P107" s="43" t="str">
        <f>IFERROR(IF(VLOOKUP(B107,Baza[[№]:[Profit]],13,0)=0,"-",VLOOKUP(B107,Baza[[№]:[Profit]],13,0)),"")</f>
        <v/>
      </c>
      <c r="Q107" s="43" t="str">
        <f>IFERROR(IF(VLOOKUP(B107,Baza[[№]:[Profit]],15,0)=0,"-",VLOOKUP(B107,Baza[[№]:[Profit]],15,0)),"")</f>
        <v/>
      </c>
      <c r="R107" s="43" t="str">
        <f>IFERROR(IF(VLOOKUP(B107,Baza[[№]:[Profit]],16,0)=0,"-",VLOOKUP(B107,Baza[[№]:[Profit]],16,0)),"")</f>
        <v/>
      </c>
      <c r="S107" s="43" t="str">
        <f>IFERROR(IF(VLOOKUP(B107,Baza[[№]:[Profit]],17,0)=0,"-",VLOOKUP(B107,Baza[[№]:[Profit]],17,0)),"")</f>
        <v/>
      </c>
      <c r="T107" s="43" t="str">
        <f>IFERROR(IF(VLOOKUP(B107,Baza[[№]:[Profit]],18,0)=0,"-",VLOOKUP(B107,Baza[[№]:[Profit]],18,0)),"")</f>
        <v/>
      </c>
      <c r="U107" s="41" t="str">
        <f>IFERROR(IF(VLOOKUP(B107,Baza[[№]:[Profit]],19,0)=0,"-",VLOOKUP(B107,Baza[[№]:[Profit]],19,0)),"")</f>
        <v/>
      </c>
      <c r="V107" s="41" t="str">
        <f>IFERROR(VLOOKUP(B107,Baza[[№]:[Profit]],20,0),"")</f>
        <v/>
      </c>
      <c r="W107" s="41" t="str">
        <f>IFERROR(IF(VLOOKUP(B107,Baza[[№]:[Profit]],21,0)=0,"-",VLOOKUP(B107,Baza[[№]:[Profit]],21,0)),"")</f>
        <v/>
      </c>
      <c r="X107" s="45" t="str">
        <f>IFERROR(IF(VLOOKUP(B107,Baza[[№]:[Profit]],22,0)=0,"-",VLOOKUP(B107,Baza[[№]:[Profit]],22,0)),"")</f>
        <v/>
      </c>
      <c r="Y107" s="45" t="str">
        <f>IFERROR(VLOOKUP(B107,Baza[[№]:[Profit]],23,0),"")</f>
        <v/>
      </c>
      <c r="Z107" s="44" t="str">
        <f>IFERROR(VLOOKUP(B107,Baza[[№]:[AFS]],24,0),"")</f>
        <v/>
      </c>
      <c r="AA107" s="45" t="str">
        <f>IF(Таблица2[[#This Row],[Profit]]="","#Н/Д",SUM($Y$40:Y107))</f>
        <v>#Н/Д</v>
      </c>
      <c r="AB107" s="45" t="b">
        <f>IF(Таблица2[[#This Row],[Grafik]]="#Н/Д",FALSE,TRUE)</f>
        <v>0</v>
      </c>
    </row>
    <row r="108" spans="1:28" ht="11.1" hidden="1" customHeight="1" x14ac:dyDescent="0.25">
      <c r="A108" s="93">
        <f t="shared" si="1"/>
        <v>69</v>
      </c>
      <c r="B108"/>
      <c r="C108" s="41" t="str">
        <f>IFERROR(VLOOKUP(B108,Baza[[№]:[Profit]],2,0),"")</f>
        <v/>
      </c>
      <c r="D10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8" s="43" t="str">
        <f>IFERROR(VLOOKUP(B108,Baza[[№]:[Profit]],3,0),"")</f>
        <v/>
      </c>
      <c r="G108" s="43" t="str">
        <f>IFERROR(VLOOKUP(B108,Baza[[№]:[Profit]],4,0),"")</f>
        <v/>
      </c>
      <c r="H108" s="43" t="str">
        <f>IFERROR(VLOOKUP(B108,Baza[[№]:[Profit]],5,0),"")</f>
        <v/>
      </c>
      <c r="I108" s="46" t="str">
        <f>IFERROR(VLOOKUP(B108,Baza[[№]:[Profit]],6,0),"")</f>
        <v/>
      </c>
      <c r="J108" s="49" t="str">
        <f>IFERROR(VLOOKUP(B108,Baza[[№]:[Profit]],7,0),"")</f>
        <v/>
      </c>
      <c r="K108" s="43" t="str">
        <f>IFERROR(VLOOKUP(B108,Baza[[№]:[Profit]],8,0),"")</f>
        <v/>
      </c>
      <c r="L108" s="43" t="str">
        <f>IFERROR(VLOOKUP(B108,Baza[[№]:[Profit]],9,0),"")</f>
        <v/>
      </c>
      <c r="M108" s="43" t="str">
        <f>IFERROR(VLOOKUP(B108,Baza[[№]:[Profit]],10,0),"")</f>
        <v/>
      </c>
      <c r="N108" s="43" t="str">
        <f>IFERROR(IF(VLOOKUP(B108,Baza[[№]:[Profit]],11,0)=0,"-",VLOOKUP(B108,Baza[[№]:[Profit]],11,0)),"")</f>
        <v/>
      </c>
      <c r="O108" s="43" t="str">
        <f>IFERROR(IF(VLOOKUP(B108,Baza[[№]:[Profit]],12,0)=0,"-",VLOOKUP(B108,Baza[[№]:[Profit]],12,0)),"")</f>
        <v/>
      </c>
      <c r="P108" s="43" t="str">
        <f>IFERROR(IF(VLOOKUP(B108,Baza[[№]:[Profit]],13,0)=0,"-",VLOOKUP(B108,Baza[[№]:[Profit]],13,0)),"")</f>
        <v/>
      </c>
      <c r="Q108" s="43" t="str">
        <f>IFERROR(IF(VLOOKUP(B108,Baza[[№]:[Profit]],15,0)=0,"-",VLOOKUP(B108,Baza[[№]:[Profit]],15,0)),"")</f>
        <v/>
      </c>
      <c r="R108" s="43" t="str">
        <f>IFERROR(IF(VLOOKUP(B108,Baza[[№]:[Profit]],16,0)=0,"-",VLOOKUP(B108,Baza[[№]:[Profit]],16,0)),"")</f>
        <v/>
      </c>
      <c r="S108" s="43" t="str">
        <f>IFERROR(IF(VLOOKUP(B108,Baza[[№]:[Profit]],17,0)=0,"-",VLOOKUP(B108,Baza[[№]:[Profit]],17,0)),"")</f>
        <v/>
      </c>
      <c r="T108" s="43" t="str">
        <f>IFERROR(IF(VLOOKUP(B108,Baza[[№]:[Profit]],18,0)=0,"-",VLOOKUP(B108,Baza[[№]:[Profit]],18,0)),"")</f>
        <v/>
      </c>
      <c r="U108" s="41" t="str">
        <f>IFERROR(IF(VLOOKUP(B108,Baza[[№]:[Profit]],19,0)=0,"-",VLOOKUP(B108,Baza[[№]:[Profit]],19,0)),"")</f>
        <v/>
      </c>
      <c r="V108" s="41" t="str">
        <f>IFERROR(VLOOKUP(B108,Baza[[№]:[Profit]],20,0),"")</f>
        <v/>
      </c>
      <c r="W108" s="41" t="str">
        <f>IFERROR(IF(VLOOKUP(B108,Baza[[№]:[Profit]],21,0)=0,"-",VLOOKUP(B108,Baza[[№]:[Profit]],21,0)),"")</f>
        <v/>
      </c>
      <c r="X108" s="45" t="str">
        <f>IFERROR(IF(VLOOKUP(B108,Baza[[№]:[Profit]],22,0)=0,"-",VLOOKUP(B108,Baza[[№]:[Profit]],22,0)),"")</f>
        <v/>
      </c>
      <c r="Y108" s="45" t="str">
        <f>IFERROR(VLOOKUP(B108,Baza[[№]:[Profit]],23,0),"")</f>
        <v/>
      </c>
      <c r="Z108" s="44" t="str">
        <f>IFERROR(VLOOKUP(B108,Baza[[№]:[AFS]],24,0),"")</f>
        <v/>
      </c>
      <c r="AA108" s="45" t="str">
        <f>IF(Таблица2[[#This Row],[Profit]]="","#Н/Д",SUM($Y$40:Y108))</f>
        <v>#Н/Д</v>
      </c>
      <c r="AB108" s="45" t="b">
        <f>IF(Таблица2[[#This Row],[Grafik]]="#Н/Д",FALSE,TRUE)</f>
        <v>0</v>
      </c>
    </row>
    <row r="109" spans="1:28" ht="11.1" hidden="1" customHeight="1" x14ac:dyDescent="0.25">
      <c r="A109" s="93">
        <f t="shared" si="1"/>
        <v>70</v>
      </c>
      <c r="B109"/>
      <c r="C109" s="41" t="str">
        <f>IFERROR(VLOOKUP(B109,Baza[[№]:[Profit]],2,0),"")</f>
        <v/>
      </c>
      <c r="D10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9" s="43" t="str">
        <f>IFERROR(VLOOKUP(B109,Baza[[№]:[Profit]],3,0),"")</f>
        <v/>
      </c>
      <c r="G109" s="43" t="str">
        <f>IFERROR(VLOOKUP(B109,Baza[[№]:[Profit]],4,0),"")</f>
        <v/>
      </c>
      <c r="H109" s="43" t="str">
        <f>IFERROR(VLOOKUP(B109,Baza[[№]:[Profit]],5,0),"")</f>
        <v/>
      </c>
      <c r="I109" s="46" t="str">
        <f>IFERROR(VLOOKUP(B109,Baza[[№]:[Profit]],6,0),"")</f>
        <v/>
      </c>
      <c r="J109" s="49" t="str">
        <f>IFERROR(VLOOKUP(B109,Baza[[№]:[Profit]],7,0),"")</f>
        <v/>
      </c>
      <c r="K109" s="43" t="str">
        <f>IFERROR(VLOOKUP(B109,Baza[[№]:[Profit]],8,0),"")</f>
        <v/>
      </c>
      <c r="L109" s="43" t="str">
        <f>IFERROR(VLOOKUP(B109,Baza[[№]:[Profit]],9,0),"")</f>
        <v/>
      </c>
      <c r="M109" s="43" t="str">
        <f>IFERROR(VLOOKUP(B109,Baza[[№]:[Profit]],10,0),"")</f>
        <v/>
      </c>
      <c r="N109" s="43" t="str">
        <f>IFERROR(IF(VLOOKUP(B109,Baza[[№]:[Profit]],11,0)=0,"-",VLOOKUP(B109,Baza[[№]:[Profit]],11,0)),"")</f>
        <v/>
      </c>
      <c r="O109" s="43" t="str">
        <f>IFERROR(IF(VLOOKUP(B109,Baza[[№]:[Profit]],12,0)=0,"-",VLOOKUP(B109,Baza[[№]:[Profit]],12,0)),"")</f>
        <v/>
      </c>
      <c r="P109" s="43" t="str">
        <f>IFERROR(IF(VLOOKUP(B109,Baza[[№]:[Profit]],13,0)=0,"-",VLOOKUP(B109,Baza[[№]:[Profit]],13,0)),"")</f>
        <v/>
      </c>
      <c r="Q109" s="43" t="str">
        <f>IFERROR(IF(VLOOKUP(B109,Baza[[№]:[Profit]],15,0)=0,"-",VLOOKUP(B109,Baza[[№]:[Profit]],15,0)),"")</f>
        <v/>
      </c>
      <c r="R109" s="43" t="str">
        <f>IFERROR(IF(VLOOKUP(B109,Baza[[№]:[Profit]],16,0)=0,"-",VLOOKUP(B109,Baza[[№]:[Profit]],16,0)),"")</f>
        <v/>
      </c>
      <c r="S109" s="43" t="str">
        <f>IFERROR(IF(VLOOKUP(B109,Baza[[№]:[Profit]],17,0)=0,"-",VLOOKUP(B109,Baza[[№]:[Profit]],17,0)),"")</f>
        <v/>
      </c>
      <c r="T109" s="43" t="str">
        <f>IFERROR(IF(VLOOKUP(B109,Baza[[№]:[Profit]],18,0)=0,"-",VLOOKUP(B109,Baza[[№]:[Profit]],18,0)),"")</f>
        <v/>
      </c>
      <c r="U109" s="41" t="str">
        <f>IFERROR(IF(VLOOKUP(B109,Baza[[№]:[Profit]],19,0)=0,"-",VLOOKUP(B109,Baza[[№]:[Profit]],19,0)),"")</f>
        <v/>
      </c>
      <c r="V109" s="41" t="str">
        <f>IFERROR(VLOOKUP(B109,Baza[[№]:[Profit]],20,0),"")</f>
        <v/>
      </c>
      <c r="W109" s="41" t="str">
        <f>IFERROR(IF(VLOOKUP(B109,Baza[[№]:[Profit]],21,0)=0,"-",VLOOKUP(B109,Baza[[№]:[Profit]],21,0)),"")</f>
        <v/>
      </c>
      <c r="X109" s="45" t="str">
        <f>IFERROR(IF(VLOOKUP(B109,Baza[[№]:[Profit]],22,0)=0,"-",VLOOKUP(B109,Baza[[№]:[Profit]],22,0)),"")</f>
        <v/>
      </c>
      <c r="Y109" s="45" t="str">
        <f>IFERROR(VLOOKUP(B109,Baza[[№]:[Profit]],23,0),"")</f>
        <v/>
      </c>
      <c r="Z109" s="44" t="str">
        <f>IFERROR(VLOOKUP(B109,Baza[[№]:[AFS]],24,0),"")</f>
        <v/>
      </c>
      <c r="AA109" s="45" t="str">
        <f>IF(Таблица2[[#This Row],[Profit]]="","#Н/Д",SUM($Y$40:Y109))</f>
        <v>#Н/Д</v>
      </c>
      <c r="AB109" s="45" t="b">
        <f>IF(Таблица2[[#This Row],[Grafik]]="#Н/Д",FALSE,TRUE)</f>
        <v>0</v>
      </c>
    </row>
    <row r="110" spans="1:28" ht="11.1" hidden="1" customHeight="1" x14ac:dyDescent="0.25">
      <c r="A110" s="93">
        <f t="shared" si="1"/>
        <v>71</v>
      </c>
      <c r="B110"/>
      <c r="C110" s="41" t="str">
        <f>IFERROR(VLOOKUP(B110,Baza[[№]:[Profit]],2,0),"")</f>
        <v/>
      </c>
      <c r="D11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1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10" s="43" t="str">
        <f>IFERROR(VLOOKUP(B110,Baza[[№]:[Profit]],3,0),"")</f>
        <v/>
      </c>
      <c r="G110" s="43" t="str">
        <f>IFERROR(VLOOKUP(B110,Baza[[№]:[Profit]],4,0),"")</f>
        <v/>
      </c>
      <c r="H110" s="43" t="str">
        <f>IFERROR(VLOOKUP(B110,Baza[[№]:[Profit]],5,0),"")</f>
        <v/>
      </c>
      <c r="I110" s="46" t="str">
        <f>IFERROR(VLOOKUP(B110,Baza[[№]:[Profit]],6,0),"")</f>
        <v/>
      </c>
      <c r="J110" s="49" t="str">
        <f>IFERROR(VLOOKUP(B110,Baza[[№]:[Profit]],7,0),"")</f>
        <v/>
      </c>
      <c r="K110" s="43" t="str">
        <f>IFERROR(VLOOKUP(B110,Baza[[№]:[Profit]],8,0),"")</f>
        <v/>
      </c>
      <c r="L110" s="43" t="str">
        <f>IFERROR(VLOOKUP(B110,Baza[[№]:[Profit]],9,0),"")</f>
        <v/>
      </c>
      <c r="M110" s="43" t="str">
        <f>IFERROR(VLOOKUP(B110,Baza[[№]:[Profit]],10,0),"")</f>
        <v/>
      </c>
      <c r="N110" s="43" t="str">
        <f>IFERROR(IF(VLOOKUP(B110,Baza[[№]:[Profit]],11,0)=0,"-",VLOOKUP(B110,Baza[[№]:[Profit]],11,0)),"")</f>
        <v/>
      </c>
      <c r="O110" s="43" t="str">
        <f>IFERROR(IF(VLOOKUP(B110,Baza[[№]:[Profit]],12,0)=0,"-",VLOOKUP(B110,Baza[[№]:[Profit]],12,0)),"")</f>
        <v/>
      </c>
      <c r="P110" s="43" t="str">
        <f>IFERROR(IF(VLOOKUP(B110,Baza[[№]:[Profit]],13,0)=0,"-",VLOOKUP(B110,Baza[[№]:[Profit]],13,0)),"")</f>
        <v/>
      </c>
      <c r="Q110" s="43" t="str">
        <f>IFERROR(IF(VLOOKUP(B110,Baza[[№]:[Profit]],15,0)=0,"-",VLOOKUP(B110,Baza[[№]:[Profit]],15,0)),"")</f>
        <v/>
      </c>
      <c r="R110" s="43" t="str">
        <f>IFERROR(IF(VLOOKUP(B110,Baza[[№]:[Profit]],16,0)=0,"-",VLOOKUP(B110,Baza[[№]:[Profit]],16,0)),"")</f>
        <v/>
      </c>
      <c r="S110" s="43" t="str">
        <f>IFERROR(IF(VLOOKUP(B110,Baza[[№]:[Profit]],17,0)=0,"-",VLOOKUP(B110,Baza[[№]:[Profit]],17,0)),"")</f>
        <v/>
      </c>
      <c r="T110" s="43" t="str">
        <f>IFERROR(IF(VLOOKUP(B110,Baza[[№]:[Profit]],18,0)=0,"-",VLOOKUP(B110,Baza[[№]:[Profit]],18,0)),"")</f>
        <v/>
      </c>
      <c r="U110" s="41" t="str">
        <f>IFERROR(IF(VLOOKUP(B110,Baza[[№]:[Profit]],19,0)=0,"-",VLOOKUP(B110,Baza[[№]:[Profit]],19,0)),"")</f>
        <v/>
      </c>
      <c r="V110" s="41" t="str">
        <f>IFERROR(VLOOKUP(B110,Baza[[№]:[Profit]],20,0),"")</f>
        <v/>
      </c>
      <c r="W110" s="41" t="str">
        <f>IFERROR(IF(VLOOKUP(B110,Baza[[№]:[Profit]],21,0)=0,"-",VLOOKUP(B110,Baza[[№]:[Profit]],21,0)),"")</f>
        <v/>
      </c>
      <c r="X110" s="45" t="str">
        <f>IFERROR(IF(VLOOKUP(B110,Baza[[№]:[Profit]],22,0)=0,"-",VLOOKUP(B110,Baza[[№]:[Profit]],22,0)),"")</f>
        <v/>
      </c>
      <c r="Y110" s="45" t="str">
        <f>IFERROR(VLOOKUP(B110,Baza[[№]:[Profit]],23,0),"")</f>
        <v/>
      </c>
      <c r="Z110" s="44" t="str">
        <f>IFERROR(VLOOKUP(B110,Baza[[№]:[AFS]],24,0),"")</f>
        <v/>
      </c>
      <c r="AA110" s="45" t="str">
        <f>IF(Таблица2[[#This Row],[Profit]]="","#Н/Д",SUM($Y$40:Y110))</f>
        <v>#Н/Д</v>
      </c>
      <c r="AB110" s="45" t="b">
        <f>IF(Таблица2[[#This Row],[Grafik]]="#Н/Д",FALSE,TRUE)</f>
        <v>0</v>
      </c>
    </row>
    <row r="111" spans="1:28" ht="11.1" hidden="1" customHeight="1" x14ac:dyDescent="0.25">
      <c r="A111" s="93">
        <f t="shared" si="1"/>
        <v>72</v>
      </c>
      <c r="B111"/>
      <c r="C111" s="41" t="str">
        <f>IFERROR(VLOOKUP(B111,Baza[[№]:[Profit]],2,0),"")</f>
        <v/>
      </c>
      <c r="D11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1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11" s="43" t="str">
        <f>IFERROR(VLOOKUP(B111,Baza[[№]:[Profit]],3,0),"")</f>
        <v/>
      </c>
      <c r="G111" s="43" t="str">
        <f>IFERROR(VLOOKUP(B111,Baza[[№]:[Profit]],4,0),"")</f>
        <v/>
      </c>
      <c r="H111" s="43" t="str">
        <f>IFERROR(VLOOKUP(B111,Baza[[№]:[Profit]],5,0),"")</f>
        <v/>
      </c>
      <c r="I111" s="46" t="str">
        <f>IFERROR(VLOOKUP(B111,Baza[[№]:[Profit]],6,0),"")</f>
        <v/>
      </c>
      <c r="J111" s="49" t="str">
        <f>IFERROR(VLOOKUP(B111,Baza[[№]:[Profit]],7,0),"")</f>
        <v/>
      </c>
      <c r="K111" s="43" t="str">
        <f>IFERROR(VLOOKUP(B111,Baza[[№]:[Profit]],8,0),"")</f>
        <v/>
      </c>
      <c r="L111" s="43" t="str">
        <f>IFERROR(VLOOKUP(B111,Baza[[№]:[Profit]],9,0),"")</f>
        <v/>
      </c>
      <c r="M111" s="43" t="str">
        <f>IFERROR(VLOOKUP(B111,Baza[[№]:[Profit]],10,0),"")</f>
        <v/>
      </c>
      <c r="N111" s="43" t="str">
        <f>IFERROR(IF(VLOOKUP(B111,Baza[[№]:[Profit]],11,0)=0,"-",VLOOKUP(B111,Baza[[№]:[Profit]],11,0)),"")</f>
        <v/>
      </c>
      <c r="O111" s="43" t="str">
        <f>IFERROR(IF(VLOOKUP(B111,Baza[[№]:[Profit]],12,0)=0,"-",VLOOKUP(B111,Baza[[№]:[Profit]],12,0)),"")</f>
        <v/>
      </c>
      <c r="P111" s="43" t="str">
        <f>IFERROR(IF(VLOOKUP(B111,Baza[[№]:[Profit]],13,0)=0,"-",VLOOKUP(B111,Baza[[№]:[Profit]],13,0)),"")</f>
        <v/>
      </c>
      <c r="Q111" s="43" t="str">
        <f>IFERROR(IF(VLOOKUP(B111,Baza[[№]:[Profit]],15,0)=0,"-",VLOOKUP(B111,Baza[[№]:[Profit]],15,0)),"")</f>
        <v/>
      </c>
      <c r="R111" s="43" t="str">
        <f>IFERROR(IF(VLOOKUP(B111,Baza[[№]:[Profit]],16,0)=0,"-",VLOOKUP(B111,Baza[[№]:[Profit]],16,0)),"")</f>
        <v/>
      </c>
      <c r="S111" s="43" t="str">
        <f>IFERROR(IF(VLOOKUP(B111,Baza[[№]:[Profit]],17,0)=0,"-",VLOOKUP(B111,Baza[[№]:[Profit]],17,0)),"")</f>
        <v/>
      </c>
      <c r="T111" s="43" t="str">
        <f>IFERROR(IF(VLOOKUP(B111,Baza[[№]:[Profit]],18,0)=0,"-",VLOOKUP(B111,Baza[[№]:[Profit]],18,0)),"")</f>
        <v/>
      </c>
      <c r="U111" s="41" t="str">
        <f>IFERROR(IF(VLOOKUP(B111,Baza[[№]:[Profit]],19,0)=0,"-",VLOOKUP(B111,Baza[[№]:[Profit]],19,0)),"")</f>
        <v/>
      </c>
      <c r="V111" s="41" t="str">
        <f>IFERROR(VLOOKUP(B111,Baza[[№]:[Profit]],20,0),"")</f>
        <v/>
      </c>
      <c r="W111" s="41" t="str">
        <f>IFERROR(IF(VLOOKUP(B111,Baza[[№]:[Profit]],21,0)=0,"-",VLOOKUP(B111,Baza[[№]:[Profit]],21,0)),"")</f>
        <v/>
      </c>
      <c r="X111" s="45" t="str">
        <f>IFERROR(IF(VLOOKUP(B111,Baza[[№]:[Profit]],22,0)=0,"-",VLOOKUP(B111,Baza[[№]:[Profit]],22,0)),"")</f>
        <v/>
      </c>
      <c r="Y111" s="45" t="str">
        <f>IFERROR(VLOOKUP(B111,Baza[[№]:[Profit]],23,0),"")</f>
        <v/>
      </c>
      <c r="Z111" s="44" t="str">
        <f>IFERROR(VLOOKUP(B111,Baza[[№]:[AFS]],24,0),"")</f>
        <v/>
      </c>
      <c r="AA111" s="45" t="str">
        <f>IF(Таблица2[[#This Row],[Profit]]="","#Н/Д",SUM($Y$40:Y111))</f>
        <v>#Н/Д</v>
      </c>
      <c r="AB111" s="45" t="b">
        <f>IF(Таблица2[[#This Row],[Grafik]]="#Н/Д",FALSE,TRUE)</f>
        <v>0</v>
      </c>
    </row>
    <row r="112" spans="1:28" ht="11.1" hidden="1" customHeight="1" x14ac:dyDescent="0.25">
      <c r="A112" s="93">
        <f t="shared" si="1"/>
        <v>73</v>
      </c>
      <c r="B112"/>
      <c r="C112" s="41" t="str">
        <f>IFERROR(VLOOKUP(B112,Baza[[№]:[Profit]],2,0),"")</f>
        <v/>
      </c>
      <c r="D11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1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12" s="43" t="str">
        <f>IFERROR(VLOOKUP(B112,Baza[[№]:[Profit]],3,0),"")</f>
        <v/>
      </c>
      <c r="G112" s="43" t="str">
        <f>IFERROR(VLOOKUP(B112,Baza[[№]:[Profit]],4,0),"")</f>
        <v/>
      </c>
      <c r="H112" s="43" t="str">
        <f>IFERROR(VLOOKUP(B112,Baza[[№]:[Profit]],5,0),"")</f>
        <v/>
      </c>
      <c r="I112" s="46" t="str">
        <f>IFERROR(VLOOKUP(B112,Baza[[№]:[Profit]],6,0),"")</f>
        <v/>
      </c>
      <c r="J112" s="49" t="str">
        <f>IFERROR(VLOOKUP(B112,Baza[[№]:[Profit]],7,0),"")</f>
        <v/>
      </c>
      <c r="K112" s="43" t="str">
        <f>IFERROR(VLOOKUP(B112,Baza[[№]:[Profit]],8,0),"")</f>
        <v/>
      </c>
      <c r="L112" s="43" t="str">
        <f>IFERROR(VLOOKUP(B112,Baza[[№]:[Profit]],9,0),"")</f>
        <v/>
      </c>
      <c r="M112" s="43" t="str">
        <f>IFERROR(VLOOKUP(B112,Baza[[№]:[Profit]],10,0),"")</f>
        <v/>
      </c>
      <c r="N112" s="43" t="str">
        <f>IFERROR(IF(VLOOKUP(B112,Baza[[№]:[Profit]],11,0)=0,"-",VLOOKUP(B112,Baza[[№]:[Profit]],11,0)),"")</f>
        <v/>
      </c>
      <c r="O112" s="43" t="str">
        <f>IFERROR(IF(VLOOKUP(B112,Baza[[№]:[Profit]],12,0)=0,"-",VLOOKUP(B112,Baza[[№]:[Profit]],12,0)),"")</f>
        <v/>
      </c>
      <c r="P112" s="43" t="str">
        <f>IFERROR(IF(VLOOKUP(B112,Baza[[№]:[Profit]],13,0)=0,"-",VLOOKUP(B112,Baza[[№]:[Profit]],13,0)),"")</f>
        <v/>
      </c>
      <c r="Q112" s="43" t="str">
        <f>IFERROR(IF(VLOOKUP(B112,Baza[[№]:[Profit]],15,0)=0,"-",VLOOKUP(B112,Baza[[№]:[Profit]],15,0)),"")</f>
        <v/>
      </c>
      <c r="R112" s="43" t="str">
        <f>IFERROR(IF(VLOOKUP(B112,Baza[[№]:[Profit]],16,0)=0,"-",VLOOKUP(B112,Baza[[№]:[Profit]],16,0)),"")</f>
        <v/>
      </c>
      <c r="S112" s="43" t="str">
        <f>IFERROR(IF(VLOOKUP(B112,Baza[[№]:[Profit]],17,0)=0,"-",VLOOKUP(B112,Baza[[№]:[Profit]],17,0)),"")</f>
        <v/>
      </c>
      <c r="T112" s="43" t="str">
        <f>IFERROR(IF(VLOOKUP(B112,Baza[[№]:[Profit]],18,0)=0,"-",VLOOKUP(B112,Baza[[№]:[Profit]],18,0)),"")</f>
        <v/>
      </c>
      <c r="U112" s="41" t="str">
        <f>IFERROR(IF(VLOOKUP(B112,Baza[[№]:[Profit]],19,0)=0,"-",VLOOKUP(B112,Baza[[№]:[Profit]],19,0)),"")</f>
        <v/>
      </c>
      <c r="V112" s="41" t="str">
        <f>IFERROR(VLOOKUP(B112,Baza[[№]:[Profit]],20,0),"")</f>
        <v/>
      </c>
      <c r="W112" s="41" t="str">
        <f>IFERROR(IF(VLOOKUP(B112,Baza[[№]:[Profit]],21,0)=0,"-",VLOOKUP(B112,Baza[[№]:[Profit]],21,0)),"")</f>
        <v/>
      </c>
      <c r="X112" s="45" t="str">
        <f>IFERROR(IF(VLOOKUP(B112,Baza[[№]:[Profit]],22,0)=0,"-",VLOOKUP(B112,Baza[[№]:[Profit]],22,0)),"")</f>
        <v/>
      </c>
      <c r="Y112" s="45" t="str">
        <f>IFERROR(VLOOKUP(B112,Baza[[№]:[Profit]],23,0),"")</f>
        <v/>
      </c>
      <c r="Z112" s="44" t="str">
        <f>IFERROR(VLOOKUP(B112,Baza[[№]:[AFS]],24,0),"")</f>
        <v/>
      </c>
      <c r="AA112" s="45" t="str">
        <f>IF(Таблица2[[#This Row],[Profit]]="","#Н/Д",SUM($Y$40:Y112))</f>
        <v>#Н/Д</v>
      </c>
      <c r="AB112" s="45" t="b">
        <f>IF(Таблица2[[#This Row],[Grafik]]="#Н/Д",FALSE,TRUE)</f>
        <v>0</v>
      </c>
    </row>
    <row r="113" spans="1:28" ht="11.1" hidden="1" customHeight="1" x14ac:dyDescent="0.25">
      <c r="A113" s="93">
        <f t="shared" si="1"/>
        <v>74</v>
      </c>
      <c r="B113"/>
      <c r="C113" s="41" t="str">
        <f>IFERROR(VLOOKUP(B113,Baza[[№]:[Profit]],2,0),"")</f>
        <v/>
      </c>
      <c r="D11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1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13" s="43" t="str">
        <f>IFERROR(VLOOKUP(B113,Baza[[№]:[Profit]],3,0),"")</f>
        <v/>
      </c>
      <c r="G113" s="43" t="str">
        <f>IFERROR(VLOOKUP(B113,Baza[[№]:[Profit]],4,0),"")</f>
        <v/>
      </c>
      <c r="H113" s="43" t="str">
        <f>IFERROR(VLOOKUP(B113,Baza[[№]:[Profit]],5,0),"")</f>
        <v/>
      </c>
      <c r="I113" s="46" t="str">
        <f>IFERROR(VLOOKUP(B113,Baza[[№]:[Profit]],6,0),"")</f>
        <v/>
      </c>
      <c r="J113" s="49" t="str">
        <f>IFERROR(VLOOKUP(B113,Baza[[№]:[Profit]],7,0),"")</f>
        <v/>
      </c>
      <c r="K113" s="43" t="str">
        <f>IFERROR(VLOOKUP(B113,Baza[[№]:[Profit]],8,0),"")</f>
        <v/>
      </c>
      <c r="L113" s="43" t="str">
        <f>IFERROR(VLOOKUP(B113,Baza[[№]:[Profit]],9,0),"")</f>
        <v/>
      </c>
      <c r="M113" s="43" t="str">
        <f>IFERROR(VLOOKUP(B113,Baza[[№]:[Profit]],10,0),"")</f>
        <v/>
      </c>
      <c r="N113" s="43" t="str">
        <f>IFERROR(IF(VLOOKUP(B113,Baza[[№]:[Profit]],11,0)=0,"-",VLOOKUP(B113,Baza[[№]:[Profit]],11,0)),"")</f>
        <v/>
      </c>
      <c r="O113" s="43" t="str">
        <f>IFERROR(IF(VLOOKUP(B113,Baza[[№]:[Profit]],12,0)=0,"-",VLOOKUP(B113,Baza[[№]:[Profit]],12,0)),"")</f>
        <v/>
      </c>
      <c r="P113" s="43" t="str">
        <f>IFERROR(IF(VLOOKUP(B113,Baza[[№]:[Profit]],13,0)=0,"-",VLOOKUP(B113,Baza[[№]:[Profit]],13,0)),"")</f>
        <v/>
      </c>
      <c r="Q113" s="43" t="str">
        <f>IFERROR(IF(VLOOKUP(B113,Baza[[№]:[Profit]],15,0)=0,"-",VLOOKUP(B113,Baza[[№]:[Profit]],15,0)),"")</f>
        <v/>
      </c>
      <c r="R113" s="43" t="str">
        <f>IFERROR(IF(VLOOKUP(B113,Baza[[№]:[Profit]],16,0)=0,"-",VLOOKUP(B113,Baza[[№]:[Profit]],16,0)),"")</f>
        <v/>
      </c>
      <c r="S113" s="43" t="str">
        <f>IFERROR(IF(VLOOKUP(B113,Baza[[№]:[Profit]],17,0)=0,"-",VLOOKUP(B113,Baza[[№]:[Profit]],17,0)),"")</f>
        <v/>
      </c>
      <c r="T113" s="43" t="str">
        <f>IFERROR(IF(VLOOKUP(B113,Baza[[№]:[Profit]],18,0)=0,"-",VLOOKUP(B113,Baza[[№]:[Profit]],18,0)),"")</f>
        <v/>
      </c>
      <c r="U113" s="41" t="str">
        <f>IFERROR(IF(VLOOKUP(B113,Baza[[№]:[Profit]],19,0)=0,"-",VLOOKUP(B113,Baza[[№]:[Profit]],19,0)),"")</f>
        <v/>
      </c>
      <c r="V113" s="41" t="str">
        <f>IFERROR(VLOOKUP(B113,Baza[[№]:[Profit]],20,0),"")</f>
        <v/>
      </c>
      <c r="W113" s="41" t="str">
        <f>IFERROR(IF(VLOOKUP(B113,Baza[[№]:[Profit]],21,0)=0,"-",VLOOKUP(B113,Baza[[№]:[Profit]],21,0)),"")</f>
        <v/>
      </c>
      <c r="X113" s="45" t="str">
        <f>IFERROR(IF(VLOOKUP(B113,Baza[[№]:[Profit]],22,0)=0,"-",VLOOKUP(B113,Baza[[№]:[Profit]],22,0)),"")</f>
        <v/>
      </c>
      <c r="Y113" s="45" t="str">
        <f>IFERROR(VLOOKUP(B113,Baza[[№]:[Profit]],23,0),"")</f>
        <v/>
      </c>
      <c r="Z113" s="44" t="str">
        <f>IFERROR(VLOOKUP(B113,Baza[[№]:[AFS]],24,0),"")</f>
        <v/>
      </c>
      <c r="AA113" s="45" t="str">
        <f>IF(Таблица2[[#This Row],[Profit]]="","#Н/Д",SUM($Y$40:Y113))</f>
        <v>#Н/Д</v>
      </c>
      <c r="AB113" s="45" t="b">
        <f>IF(Таблица2[[#This Row],[Grafik]]="#Н/Д",FALSE,TRUE)</f>
        <v>0</v>
      </c>
    </row>
    <row r="114" spans="1:28" ht="11.1" hidden="1" customHeight="1" x14ac:dyDescent="0.25">
      <c r="A114" s="93">
        <f t="shared" si="1"/>
        <v>75</v>
      </c>
      <c r="B114"/>
      <c r="C114" s="41" t="str">
        <f>IFERROR(VLOOKUP(B114,Baza[[№]:[Profit]],2,0),"")</f>
        <v/>
      </c>
      <c r="D11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1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14" s="43" t="str">
        <f>IFERROR(VLOOKUP(B114,Baza[[№]:[Profit]],3,0),"")</f>
        <v/>
      </c>
      <c r="G114" s="43" t="str">
        <f>IFERROR(VLOOKUP(B114,Baza[[№]:[Profit]],4,0),"")</f>
        <v/>
      </c>
      <c r="H114" s="43" t="str">
        <f>IFERROR(VLOOKUP(B114,Baza[[№]:[Profit]],5,0),"")</f>
        <v/>
      </c>
      <c r="I114" s="46" t="str">
        <f>IFERROR(VLOOKUP(B114,Baza[[№]:[Profit]],6,0),"")</f>
        <v/>
      </c>
      <c r="J114" s="49" t="str">
        <f>IFERROR(VLOOKUP(B114,Baza[[№]:[Profit]],7,0),"")</f>
        <v/>
      </c>
      <c r="K114" s="43" t="str">
        <f>IFERROR(VLOOKUP(B114,Baza[[№]:[Profit]],8,0),"")</f>
        <v/>
      </c>
      <c r="L114" s="43" t="str">
        <f>IFERROR(VLOOKUP(B114,Baza[[№]:[Profit]],9,0),"")</f>
        <v/>
      </c>
      <c r="M114" s="43" t="str">
        <f>IFERROR(VLOOKUP(B114,Baza[[№]:[Profit]],10,0),"")</f>
        <v/>
      </c>
      <c r="N114" s="43" t="str">
        <f>IFERROR(IF(VLOOKUP(B114,Baza[[№]:[Profit]],11,0)=0,"-",VLOOKUP(B114,Baza[[№]:[Profit]],11,0)),"")</f>
        <v/>
      </c>
      <c r="O114" s="43" t="str">
        <f>IFERROR(IF(VLOOKUP(B114,Baza[[№]:[Profit]],12,0)=0,"-",VLOOKUP(B114,Baza[[№]:[Profit]],12,0)),"")</f>
        <v/>
      </c>
      <c r="P114" s="43" t="str">
        <f>IFERROR(IF(VLOOKUP(B114,Baza[[№]:[Profit]],13,0)=0,"-",VLOOKUP(B114,Baza[[№]:[Profit]],13,0)),"")</f>
        <v/>
      </c>
      <c r="Q114" s="43" t="str">
        <f>IFERROR(IF(VLOOKUP(B114,Baza[[№]:[Profit]],15,0)=0,"-",VLOOKUP(B114,Baza[[№]:[Profit]],15,0)),"")</f>
        <v/>
      </c>
      <c r="R114" s="43" t="str">
        <f>IFERROR(IF(VLOOKUP(B114,Baza[[№]:[Profit]],16,0)=0,"-",VLOOKUP(B114,Baza[[№]:[Profit]],16,0)),"")</f>
        <v/>
      </c>
      <c r="S114" s="43" t="str">
        <f>IFERROR(IF(VLOOKUP(B114,Baza[[№]:[Profit]],17,0)=0,"-",VLOOKUP(B114,Baza[[№]:[Profit]],17,0)),"")</f>
        <v/>
      </c>
      <c r="T114" s="43" t="str">
        <f>IFERROR(IF(VLOOKUP(B114,Baza[[№]:[Profit]],18,0)=0,"-",VLOOKUP(B114,Baza[[№]:[Profit]],18,0)),"")</f>
        <v/>
      </c>
      <c r="U114" s="41" t="str">
        <f>IFERROR(IF(VLOOKUP(B114,Baza[[№]:[Profit]],19,0)=0,"-",VLOOKUP(B114,Baza[[№]:[Profit]],19,0)),"")</f>
        <v/>
      </c>
      <c r="V114" s="41" t="str">
        <f>IFERROR(VLOOKUP(B114,Baza[[№]:[Profit]],20,0),"")</f>
        <v/>
      </c>
      <c r="W114" s="41" t="str">
        <f>IFERROR(IF(VLOOKUP(B114,Baza[[№]:[Profit]],21,0)=0,"-",VLOOKUP(B114,Baza[[№]:[Profit]],21,0)),"")</f>
        <v/>
      </c>
      <c r="X114" s="45" t="str">
        <f>IFERROR(IF(VLOOKUP(B114,Baza[[№]:[Profit]],22,0)=0,"-",VLOOKUP(B114,Baza[[№]:[Profit]],22,0)),"")</f>
        <v/>
      </c>
      <c r="Y114" s="45" t="str">
        <f>IFERROR(VLOOKUP(B114,Baza[[№]:[Profit]],23,0),"")</f>
        <v/>
      </c>
      <c r="Z114" s="44" t="str">
        <f>IFERROR(VLOOKUP(B114,Baza[[№]:[AFS]],24,0),"")</f>
        <v/>
      </c>
      <c r="AA114" s="45" t="str">
        <f>IF(Таблица2[[#This Row],[Profit]]="","#Н/Д",SUM($Y$40:Y114))</f>
        <v>#Н/Д</v>
      </c>
      <c r="AB114" s="45" t="b">
        <f>IF(Таблица2[[#This Row],[Grafik]]="#Н/Д",FALSE,TRUE)</f>
        <v>0</v>
      </c>
    </row>
    <row r="115" spans="1:28" ht="11.1" hidden="1" customHeight="1" x14ac:dyDescent="0.25">
      <c r="A115" s="93">
        <f t="shared" si="1"/>
        <v>76</v>
      </c>
      <c r="B115"/>
      <c r="C115" s="41" t="str">
        <f>IFERROR(VLOOKUP(B115,Baza[[№]:[Profit]],2,0),"")</f>
        <v/>
      </c>
      <c r="D11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1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15" s="43" t="str">
        <f>IFERROR(VLOOKUP(B115,Baza[[№]:[Profit]],3,0),"")</f>
        <v/>
      </c>
      <c r="G115" s="43" t="str">
        <f>IFERROR(VLOOKUP(B115,Baza[[№]:[Profit]],4,0),"")</f>
        <v/>
      </c>
      <c r="H115" s="43" t="str">
        <f>IFERROR(VLOOKUP(B115,Baza[[№]:[Profit]],5,0),"")</f>
        <v/>
      </c>
      <c r="I115" s="46" t="str">
        <f>IFERROR(VLOOKUP(B115,Baza[[№]:[Profit]],6,0),"")</f>
        <v/>
      </c>
      <c r="J115" s="49" t="str">
        <f>IFERROR(VLOOKUP(B115,Baza[[№]:[Profit]],7,0),"")</f>
        <v/>
      </c>
      <c r="K115" s="43" t="str">
        <f>IFERROR(VLOOKUP(B115,Baza[[№]:[Profit]],8,0),"")</f>
        <v/>
      </c>
      <c r="L115" s="43" t="str">
        <f>IFERROR(VLOOKUP(B115,Baza[[№]:[Profit]],9,0),"")</f>
        <v/>
      </c>
      <c r="M115" s="43" t="str">
        <f>IFERROR(VLOOKUP(B115,Baza[[№]:[Profit]],10,0),"")</f>
        <v/>
      </c>
      <c r="N115" s="43" t="str">
        <f>IFERROR(IF(VLOOKUP(B115,Baza[[№]:[Profit]],11,0)=0,"-",VLOOKUP(B115,Baza[[№]:[Profit]],11,0)),"")</f>
        <v/>
      </c>
      <c r="O115" s="43" t="str">
        <f>IFERROR(IF(VLOOKUP(B115,Baza[[№]:[Profit]],12,0)=0,"-",VLOOKUP(B115,Baza[[№]:[Profit]],12,0)),"")</f>
        <v/>
      </c>
      <c r="P115" s="43" t="str">
        <f>IFERROR(IF(VLOOKUP(B115,Baza[[№]:[Profit]],13,0)=0,"-",VLOOKUP(B115,Baza[[№]:[Profit]],13,0)),"")</f>
        <v/>
      </c>
      <c r="Q115" s="43" t="str">
        <f>IFERROR(IF(VLOOKUP(B115,Baza[[№]:[Profit]],15,0)=0,"-",VLOOKUP(B115,Baza[[№]:[Profit]],15,0)),"")</f>
        <v/>
      </c>
      <c r="R115" s="43" t="str">
        <f>IFERROR(IF(VLOOKUP(B115,Baza[[№]:[Profit]],16,0)=0,"-",VLOOKUP(B115,Baza[[№]:[Profit]],16,0)),"")</f>
        <v/>
      </c>
      <c r="S115" s="43" t="str">
        <f>IFERROR(IF(VLOOKUP(B115,Baza[[№]:[Profit]],17,0)=0,"-",VLOOKUP(B115,Baza[[№]:[Profit]],17,0)),"")</f>
        <v/>
      </c>
      <c r="T115" s="43" t="str">
        <f>IFERROR(IF(VLOOKUP(B115,Baza[[№]:[Profit]],18,0)=0,"-",VLOOKUP(B115,Baza[[№]:[Profit]],18,0)),"")</f>
        <v/>
      </c>
      <c r="U115" s="41" t="str">
        <f>IFERROR(IF(VLOOKUP(B115,Baza[[№]:[Profit]],19,0)=0,"-",VLOOKUP(B115,Baza[[№]:[Profit]],19,0)),"")</f>
        <v/>
      </c>
      <c r="V115" s="41" t="str">
        <f>IFERROR(VLOOKUP(B115,Baza[[№]:[Profit]],20,0),"")</f>
        <v/>
      </c>
      <c r="W115" s="41" t="str">
        <f>IFERROR(IF(VLOOKUP(B115,Baza[[№]:[Profit]],21,0)=0,"-",VLOOKUP(B115,Baza[[№]:[Profit]],21,0)),"")</f>
        <v/>
      </c>
      <c r="X115" s="45" t="str">
        <f>IFERROR(IF(VLOOKUP(B115,Baza[[№]:[Profit]],22,0)=0,"-",VLOOKUP(B115,Baza[[№]:[Profit]],22,0)),"")</f>
        <v/>
      </c>
      <c r="Y115" s="45" t="str">
        <f>IFERROR(VLOOKUP(B115,Baza[[№]:[Profit]],23,0),"")</f>
        <v/>
      </c>
      <c r="Z115" s="44" t="str">
        <f>IFERROR(VLOOKUP(B115,Baza[[№]:[AFS]],24,0),"")</f>
        <v/>
      </c>
      <c r="AA115" s="45" t="str">
        <f>IF(Таблица2[[#This Row],[Profit]]="","#Н/Д",SUM($Y$40:Y115))</f>
        <v>#Н/Д</v>
      </c>
      <c r="AB115" s="45" t="b">
        <f>IF(Таблица2[[#This Row],[Grafik]]="#Н/Д",FALSE,TRUE)</f>
        <v>0</v>
      </c>
    </row>
    <row r="116" spans="1:28" ht="11.1" hidden="1" customHeight="1" x14ac:dyDescent="0.25">
      <c r="A116" s="93">
        <f t="shared" si="1"/>
        <v>77</v>
      </c>
      <c r="B116"/>
      <c r="C116" s="41" t="str">
        <f>IFERROR(VLOOKUP(B116,Baza[[№]:[Profit]],2,0),"")</f>
        <v/>
      </c>
      <c r="D11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1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16" s="43" t="str">
        <f>IFERROR(VLOOKUP(B116,Baza[[№]:[Profit]],3,0),"")</f>
        <v/>
      </c>
      <c r="G116" s="43" t="str">
        <f>IFERROR(VLOOKUP(B116,Baza[[№]:[Profit]],4,0),"")</f>
        <v/>
      </c>
      <c r="H116" s="43" t="str">
        <f>IFERROR(VLOOKUP(B116,Baza[[№]:[Profit]],5,0),"")</f>
        <v/>
      </c>
      <c r="I116" s="46" t="str">
        <f>IFERROR(VLOOKUP(B116,Baza[[№]:[Profit]],6,0),"")</f>
        <v/>
      </c>
      <c r="J116" s="49" t="str">
        <f>IFERROR(VLOOKUP(B116,Baza[[№]:[Profit]],7,0),"")</f>
        <v/>
      </c>
      <c r="K116" s="43" t="str">
        <f>IFERROR(VLOOKUP(B116,Baza[[№]:[Profit]],8,0),"")</f>
        <v/>
      </c>
      <c r="L116" s="43" t="str">
        <f>IFERROR(VLOOKUP(B116,Baza[[№]:[Profit]],9,0),"")</f>
        <v/>
      </c>
      <c r="M116" s="43" t="str">
        <f>IFERROR(VLOOKUP(B116,Baza[[№]:[Profit]],10,0),"")</f>
        <v/>
      </c>
      <c r="N116" s="43" t="str">
        <f>IFERROR(IF(VLOOKUP(B116,Baza[[№]:[Profit]],11,0)=0,"-",VLOOKUP(B116,Baza[[№]:[Profit]],11,0)),"")</f>
        <v/>
      </c>
      <c r="O116" s="43" t="str">
        <f>IFERROR(IF(VLOOKUP(B116,Baza[[№]:[Profit]],12,0)=0,"-",VLOOKUP(B116,Baza[[№]:[Profit]],12,0)),"")</f>
        <v/>
      </c>
      <c r="P116" s="43" t="str">
        <f>IFERROR(IF(VLOOKUP(B116,Baza[[№]:[Profit]],13,0)=0,"-",VLOOKUP(B116,Baza[[№]:[Profit]],13,0)),"")</f>
        <v/>
      </c>
      <c r="Q116" s="43" t="str">
        <f>IFERROR(IF(VLOOKUP(B116,Baza[[№]:[Profit]],15,0)=0,"-",VLOOKUP(B116,Baza[[№]:[Profit]],15,0)),"")</f>
        <v/>
      </c>
      <c r="R116" s="43" t="str">
        <f>IFERROR(IF(VLOOKUP(B116,Baza[[№]:[Profit]],16,0)=0,"-",VLOOKUP(B116,Baza[[№]:[Profit]],16,0)),"")</f>
        <v/>
      </c>
      <c r="S116" s="43" t="str">
        <f>IFERROR(IF(VLOOKUP(B116,Baza[[№]:[Profit]],17,0)=0,"-",VLOOKUP(B116,Baza[[№]:[Profit]],17,0)),"")</f>
        <v/>
      </c>
      <c r="T116" s="43" t="str">
        <f>IFERROR(IF(VLOOKUP(B116,Baza[[№]:[Profit]],18,0)=0,"-",VLOOKUP(B116,Baza[[№]:[Profit]],18,0)),"")</f>
        <v/>
      </c>
      <c r="U116" s="41" t="str">
        <f>IFERROR(IF(VLOOKUP(B116,Baza[[№]:[Profit]],19,0)=0,"-",VLOOKUP(B116,Baza[[№]:[Profit]],19,0)),"")</f>
        <v/>
      </c>
      <c r="V116" s="41" t="str">
        <f>IFERROR(VLOOKUP(B116,Baza[[№]:[Profit]],20,0),"")</f>
        <v/>
      </c>
      <c r="W116" s="41" t="str">
        <f>IFERROR(IF(VLOOKUP(B116,Baza[[№]:[Profit]],21,0)=0,"-",VLOOKUP(B116,Baza[[№]:[Profit]],21,0)),"")</f>
        <v/>
      </c>
      <c r="X116" s="45" t="str">
        <f>IFERROR(IF(VLOOKUP(B116,Baza[[№]:[Profit]],22,0)=0,"-",VLOOKUP(B116,Baza[[№]:[Profit]],22,0)),"")</f>
        <v/>
      </c>
      <c r="Y116" s="45" t="str">
        <f>IFERROR(VLOOKUP(B116,Baza[[№]:[Profit]],23,0),"")</f>
        <v/>
      </c>
      <c r="Z116" s="44" t="str">
        <f>IFERROR(VLOOKUP(B116,Baza[[№]:[AFS]],24,0),"")</f>
        <v/>
      </c>
      <c r="AA116" s="45" t="str">
        <f>IF(Таблица2[[#This Row],[Profit]]="","#Н/Д",SUM($Y$40:Y116))</f>
        <v>#Н/Д</v>
      </c>
      <c r="AB116" s="45" t="b">
        <f>IF(Таблица2[[#This Row],[Grafik]]="#Н/Д",FALSE,TRUE)</f>
        <v>0</v>
      </c>
    </row>
    <row r="117" spans="1:28" ht="11.1" hidden="1" customHeight="1" x14ac:dyDescent="0.25">
      <c r="A117" s="93">
        <f t="shared" si="1"/>
        <v>78</v>
      </c>
      <c r="B117"/>
      <c r="C117" s="41" t="str">
        <f>IFERROR(VLOOKUP(B117,Baza[[№]:[Profit]],2,0),"")</f>
        <v/>
      </c>
      <c r="D11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1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17" s="43" t="str">
        <f>IFERROR(VLOOKUP(B117,Baza[[№]:[Profit]],3,0),"")</f>
        <v/>
      </c>
      <c r="G117" s="43" t="str">
        <f>IFERROR(VLOOKUP(B117,Baza[[№]:[Profit]],4,0),"")</f>
        <v/>
      </c>
      <c r="H117" s="43" t="str">
        <f>IFERROR(VLOOKUP(B117,Baza[[№]:[Profit]],5,0),"")</f>
        <v/>
      </c>
      <c r="I117" s="46" t="str">
        <f>IFERROR(VLOOKUP(B117,Baza[[№]:[Profit]],6,0),"")</f>
        <v/>
      </c>
      <c r="J117" s="49" t="str">
        <f>IFERROR(VLOOKUP(B117,Baza[[№]:[Profit]],7,0),"")</f>
        <v/>
      </c>
      <c r="K117" s="43" t="str">
        <f>IFERROR(VLOOKUP(B117,Baza[[№]:[Profit]],8,0),"")</f>
        <v/>
      </c>
      <c r="L117" s="43" t="str">
        <f>IFERROR(VLOOKUP(B117,Baza[[№]:[Profit]],9,0),"")</f>
        <v/>
      </c>
      <c r="M117" s="43" t="str">
        <f>IFERROR(VLOOKUP(B117,Baza[[№]:[Profit]],10,0),"")</f>
        <v/>
      </c>
      <c r="N117" s="43" t="str">
        <f>IFERROR(IF(VLOOKUP(B117,Baza[[№]:[Profit]],11,0)=0,"-",VLOOKUP(B117,Baza[[№]:[Profit]],11,0)),"")</f>
        <v/>
      </c>
      <c r="O117" s="43" t="str">
        <f>IFERROR(IF(VLOOKUP(B117,Baza[[№]:[Profit]],12,0)=0,"-",VLOOKUP(B117,Baza[[№]:[Profit]],12,0)),"")</f>
        <v/>
      </c>
      <c r="P117" s="43" t="str">
        <f>IFERROR(IF(VLOOKUP(B117,Baza[[№]:[Profit]],13,0)=0,"-",VLOOKUP(B117,Baza[[№]:[Profit]],13,0)),"")</f>
        <v/>
      </c>
      <c r="Q117" s="43" t="str">
        <f>IFERROR(IF(VLOOKUP(B117,Baza[[№]:[Profit]],15,0)=0,"-",VLOOKUP(B117,Baza[[№]:[Profit]],15,0)),"")</f>
        <v/>
      </c>
      <c r="R117" s="43" t="str">
        <f>IFERROR(IF(VLOOKUP(B117,Baza[[№]:[Profit]],16,0)=0,"-",VLOOKUP(B117,Baza[[№]:[Profit]],16,0)),"")</f>
        <v/>
      </c>
      <c r="S117" s="43" t="str">
        <f>IFERROR(IF(VLOOKUP(B117,Baza[[№]:[Profit]],17,0)=0,"-",VLOOKUP(B117,Baza[[№]:[Profit]],17,0)),"")</f>
        <v/>
      </c>
      <c r="T117" s="43" t="str">
        <f>IFERROR(IF(VLOOKUP(B117,Baza[[№]:[Profit]],18,0)=0,"-",VLOOKUP(B117,Baza[[№]:[Profit]],18,0)),"")</f>
        <v/>
      </c>
      <c r="U117" s="41" t="str">
        <f>IFERROR(IF(VLOOKUP(B117,Baza[[№]:[Profit]],19,0)=0,"-",VLOOKUP(B117,Baza[[№]:[Profit]],19,0)),"")</f>
        <v/>
      </c>
      <c r="V117" s="41" t="str">
        <f>IFERROR(VLOOKUP(B117,Baza[[№]:[Profit]],20,0),"")</f>
        <v/>
      </c>
      <c r="W117" s="41" t="str">
        <f>IFERROR(IF(VLOOKUP(B117,Baza[[№]:[Profit]],21,0)=0,"-",VLOOKUP(B117,Baza[[№]:[Profit]],21,0)),"")</f>
        <v/>
      </c>
      <c r="X117" s="45" t="str">
        <f>IFERROR(IF(VLOOKUP(B117,Baza[[№]:[Profit]],22,0)=0,"-",VLOOKUP(B117,Baza[[№]:[Profit]],22,0)),"")</f>
        <v/>
      </c>
      <c r="Y117" s="45" t="str">
        <f>IFERROR(VLOOKUP(B117,Baza[[№]:[Profit]],23,0),"")</f>
        <v/>
      </c>
      <c r="Z117" s="44" t="str">
        <f>IFERROR(VLOOKUP(B117,Baza[[№]:[AFS]],24,0),"")</f>
        <v/>
      </c>
      <c r="AA117" s="45" t="str">
        <f>IF(Таблица2[[#This Row],[Profit]]="","#Н/Д",SUM($Y$40:Y117))</f>
        <v>#Н/Д</v>
      </c>
      <c r="AB117" s="45" t="b">
        <f>IF(Таблица2[[#This Row],[Grafik]]="#Н/Д",FALSE,TRUE)</f>
        <v>0</v>
      </c>
    </row>
    <row r="118" spans="1:28" ht="11.1" hidden="1" customHeight="1" x14ac:dyDescent="0.25">
      <c r="A118" s="93">
        <f t="shared" si="1"/>
        <v>79</v>
      </c>
      <c r="B118"/>
      <c r="C118" s="41" t="str">
        <f>IFERROR(VLOOKUP(B118,Baza[[№]:[Profit]],2,0),"")</f>
        <v/>
      </c>
      <c r="D11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1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18" s="43" t="str">
        <f>IFERROR(VLOOKUP(B118,Baza[[№]:[Profit]],3,0),"")</f>
        <v/>
      </c>
      <c r="G118" s="43" t="str">
        <f>IFERROR(VLOOKUP(B118,Baza[[№]:[Profit]],4,0),"")</f>
        <v/>
      </c>
      <c r="H118" s="43" t="str">
        <f>IFERROR(VLOOKUP(B118,Baza[[№]:[Profit]],5,0),"")</f>
        <v/>
      </c>
      <c r="I118" s="46" t="str">
        <f>IFERROR(VLOOKUP(B118,Baza[[№]:[Profit]],6,0),"")</f>
        <v/>
      </c>
      <c r="J118" s="49" t="str">
        <f>IFERROR(VLOOKUP(B118,Baza[[№]:[Profit]],7,0),"")</f>
        <v/>
      </c>
      <c r="K118" s="43" t="str">
        <f>IFERROR(VLOOKUP(B118,Baza[[№]:[Profit]],8,0),"")</f>
        <v/>
      </c>
      <c r="L118" s="43" t="str">
        <f>IFERROR(VLOOKUP(B118,Baza[[№]:[Profit]],9,0),"")</f>
        <v/>
      </c>
      <c r="M118" s="43" t="str">
        <f>IFERROR(VLOOKUP(B118,Baza[[№]:[Profit]],10,0),"")</f>
        <v/>
      </c>
      <c r="N118" s="43" t="str">
        <f>IFERROR(IF(VLOOKUP(B118,Baza[[№]:[Profit]],11,0)=0,"-",VLOOKUP(B118,Baza[[№]:[Profit]],11,0)),"")</f>
        <v/>
      </c>
      <c r="O118" s="43" t="str">
        <f>IFERROR(IF(VLOOKUP(B118,Baza[[№]:[Profit]],12,0)=0,"-",VLOOKUP(B118,Baza[[№]:[Profit]],12,0)),"")</f>
        <v/>
      </c>
      <c r="P118" s="43" t="str">
        <f>IFERROR(IF(VLOOKUP(B118,Baza[[№]:[Profit]],13,0)=0,"-",VLOOKUP(B118,Baza[[№]:[Profit]],13,0)),"")</f>
        <v/>
      </c>
      <c r="Q118" s="43" t="str">
        <f>IFERROR(IF(VLOOKUP(B118,Baza[[№]:[Profit]],15,0)=0,"-",VLOOKUP(B118,Baza[[№]:[Profit]],15,0)),"")</f>
        <v/>
      </c>
      <c r="R118" s="43" t="str">
        <f>IFERROR(IF(VLOOKUP(B118,Baza[[№]:[Profit]],16,0)=0,"-",VLOOKUP(B118,Baza[[№]:[Profit]],16,0)),"")</f>
        <v/>
      </c>
      <c r="S118" s="43" t="str">
        <f>IFERROR(IF(VLOOKUP(B118,Baza[[№]:[Profit]],17,0)=0,"-",VLOOKUP(B118,Baza[[№]:[Profit]],17,0)),"")</f>
        <v/>
      </c>
      <c r="T118" s="43" t="str">
        <f>IFERROR(IF(VLOOKUP(B118,Baza[[№]:[Profit]],18,0)=0,"-",VLOOKUP(B118,Baza[[№]:[Profit]],18,0)),"")</f>
        <v/>
      </c>
      <c r="U118" s="41" t="str">
        <f>IFERROR(IF(VLOOKUP(B118,Baza[[№]:[Profit]],19,0)=0,"-",VLOOKUP(B118,Baza[[№]:[Profit]],19,0)),"")</f>
        <v/>
      </c>
      <c r="V118" s="41" t="str">
        <f>IFERROR(VLOOKUP(B118,Baza[[№]:[Profit]],20,0),"")</f>
        <v/>
      </c>
      <c r="W118" s="41" t="str">
        <f>IFERROR(IF(VLOOKUP(B118,Baza[[№]:[Profit]],21,0)=0,"-",VLOOKUP(B118,Baza[[№]:[Profit]],21,0)),"")</f>
        <v/>
      </c>
      <c r="X118" s="45" t="str">
        <f>IFERROR(IF(VLOOKUP(B118,Baza[[№]:[Profit]],22,0)=0,"-",VLOOKUP(B118,Baza[[№]:[Profit]],22,0)),"")</f>
        <v/>
      </c>
      <c r="Y118" s="45" t="str">
        <f>IFERROR(VLOOKUP(B118,Baza[[№]:[Profit]],23,0),"")</f>
        <v/>
      </c>
      <c r="Z118" s="44" t="str">
        <f>IFERROR(VLOOKUP(B118,Baza[[№]:[AFS]],24,0),"")</f>
        <v/>
      </c>
      <c r="AA118" s="45" t="str">
        <f>IF(Таблица2[[#This Row],[Profit]]="","#Н/Д",SUM($Y$40:Y118))</f>
        <v>#Н/Д</v>
      </c>
      <c r="AB118" s="45" t="b">
        <f>IF(Таблица2[[#This Row],[Grafik]]="#Н/Д",FALSE,TRUE)</f>
        <v>0</v>
      </c>
    </row>
    <row r="119" spans="1:28" ht="11.1" hidden="1" customHeight="1" x14ac:dyDescent="0.25">
      <c r="A119" s="93">
        <f t="shared" si="1"/>
        <v>80</v>
      </c>
      <c r="B119"/>
      <c r="C119" s="41" t="str">
        <f>IFERROR(VLOOKUP(B119,Baza[[№]:[Profit]],2,0),"")</f>
        <v/>
      </c>
      <c r="D11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1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19" s="43" t="str">
        <f>IFERROR(VLOOKUP(B119,Baza[[№]:[Profit]],3,0),"")</f>
        <v/>
      </c>
      <c r="G119" s="43" t="str">
        <f>IFERROR(VLOOKUP(B119,Baza[[№]:[Profit]],4,0),"")</f>
        <v/>
      </c>
      <c r="H119" s="43" t="str">
        <f>IFERROR(VLOOKUP(B119,Baza[[№]:[Profit]],5,0),"")</f>
        <v/>
      </c>
      <c r="I119" s="46" t="str">
        <f>IFERROR(VLOOKUP(B119,Baza[[№]:[Profit]],6,0),"")</f>
        <v/>
      </c>
      <c r="J119" s="49" t="str">
        <f>IFERROR(VLOOKUP(B119,Baza[[№]:[Profit]],7,0),"")</f>
        <v/>
      </c>
      <c r="K119" s="43" t="str">
        <f>IFERROR(VLOOKUP(B119,Baza[[№]:[Profit]],8,0),"")</f>
        <v/>
      </c>
      <c r="L119" s="43" t="str">
        <f>IFERROR(VLOOKUP(B119,Baza[[№]:[Profit]],9,0),"")</f>
        <v/>
      </c>
      <c r="M119" s="43" t="str">
        <f>IFERROR(VLOOKUP(B119,Baza[[№]:[Profit]],10,0),"")</f>
        <v/>
      </c>
      <c r="N119" s="43" t="str">
        <f>IFERROR(IF(VLOOKUP(B119,Baza[[№]:[Profit]],11,0)=0,"-",VLOOKUP(B119,Baza[[№]:[Profit]],11,0)),"")</f>
        <v/>
      </c>
      <c r="O119" s="43" t="str">
        <f>IFERROR(IF(VLOOKUP(B119,Baza[[№]:[Profit]],12,0)=0,"-",VLOOKUP(B119,Baza[[№]:[Profit]],12,0)),"")</f>
        <v/>
      </c>
      <c r="P119" s="43" t="str">
        <f>IFERROR(IF(VLOOKUP(B119,Baza[[№]:[Profit]],13,0)=0,"-",VLOOKUP(B119,Baza[[№]:[Profit]],13,0)),"")</f>
        <v/>
      </c>
      <c r="Q119" s="43" t="str">
        <f>IFERROR(IF(VLOOKUP(B119,Baza[[№]:[Profit]],15,0)=0,"-",VLOOKUP(B119,Baza[[№]:[Profit]],15,0)),"")</f>
        <v/>
      </c>
      <c r="R119" s="43" t="str">
        <f>IFERROR(IF(VLOOKUP(B119,Baza[[№]:[Profit]],16,0)=0,"-",VLOOKUP(B119,Baza[[№]:[Profit]],16,0)),"")</f>
        <v/>
      </c>
      <c r="S119" s="43" t="str">
        <f>IFERROR(IF(VLOOKUP(B119,Baza[[№]:[Profit]],17,0)=0,"-",VLOOKUP(B119,Baza[[№]:[Profit]],17,0)),"")</f>
        <v/>
      </c>
      <c r="T119" s="43" t="str">
        <f>IFERROR(IF(VLOOKUP(B119,Baza[[№]:[Profit]],18,0)=0,"-",VLOOKUP(B119,Baza[[№]:[Profit]],18,0)),"")</f>
        <v/>
      </c>
      <c r="U119" s="41" t="str">
        <f>IFERROR(IF(VLOOKUP(B119,Baza[[№]:[Profit]],19,0)=0,"-",VLOOKUP(B119,Baza[[№]:[Profit]],19,0)),"")</f>
        <v/>
      </c>
      <c r="V119" s="41" t="str">
        <f>IFERROR(VLOOKUP(B119,Baza[[№]:[Profit]],20,0),"")</f>
        <v/>
      </c>
      <c r="W119" s="41" t="str">
        <f>IFERROR(IF(VLOOKUP(B119,Baza[[№]:[Profit]],21,0)=0,"-",VLOOKUP(B119,Baza[[№]:[Profit]],21,0)),"")</f>
        <v/>
      </c>
      <c r="X119" s="45" t="str">
        <f>IFERROR(IF(VLOOKUP(B119,Baza[[№]:[Profit]],22,0)=0,"-",VLOOKUP(B119,Baza[[№]:[Profit]],22,0)),"")</f>
        <v/>
      </c>
      <c r="Y119" s="45" t="str">
        <f>IFERROR(VLOOKUP(B119,Baza[[№]:[Profit]],23,0),"")</f>
        <v/>
      </c>
      <c r="Z119" s="44" t="str">
        <f>IFERROR(VLOOKUP(B119,Baza[[№]:[AFS]],24,0),"")</f>
        <v/>
      </c>
      <c r="AA119" s="45" t="str">
        <f>IF(Таблица2[[#This Row],[Profit]]="","#Н/Д",SUM($Y$40:Y119))</f>
        <v>#Н/Д</v>
      </c>
      <c r="AB119" s="45" t="b">
        <f>IF(Таблица2[[#This Row],[Grafik]]="#Н/Д",FALSE,TRUE)</f>
        <v>0</v>
      </c>
    </row>
    <row r="120" spans="1:28" ht="11.1" hidden="1" customHeight="1" x14ac:dyDescent="0.25">
      <c r="A120" s="93">
        <f t="shared" si="1"/>
        <v>81</v>
      </c>
      <c r="B120"/>
      <c r="C120" s="41" t="str">
        <f>IFERROR(VLOOKUP(B120,Baza[[№]:[Profit]],2,0),"")</f>
        <v/>
      </c>
      <c r="D12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2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20" s="43" t="str">
        <f>IFERROR(VLOOKUP(B120,Baza[[№]:[Profit]],3,0),"")</f>
        <v/>
      </c>
      <c r="G120" s="43" t="str">
        <f>IFERROR(VLOOKUP(B120,Baza[[№]:[Profit]],4,0),"")</f>
        <v/>
      </c>
      <c r="H120" s="43" t="str">
        <f>IFERROR(VLOOKUP(B120,Baza[[№]:[Profit]],5,0),"")</f>
        <v/>
      </c>
      <c r="I120" s="46" t="str">
        <f>IFERROR(VLOOKUP(B120,Baza[[№]:[Profit]],6,0),"")</f>
        <v/>
      </c>
      <c r="J120" s="49" t="str">
        <f>IFERROR(VLOOKUP(B120,Baza[[№]:[Profit]],7,0),"")</f>
        <v/>
      </c>
      <c r="K120" s="43" t="str">
        <f>IFERROR(VLOOKUP(B120,Baza[[№]:[Profit]],8,0),"")</f>
        <v/>
      </c>
      <c r="L120" s="43" t="str">
        <f>IFERROR(VLOOKUP(B120,Baza[[№]:[Profit]],9,0),"")</f>
        <v/>
      </c>
      <c r="M120" s="43" t="str">
        <f>IFERROR(VLOOKUP(B120,Baza[[№]:[Profit]],10,0),"")</f>
        <v/>
      </c>
      <c r="N120" s="43" t="str">
        <f>IFERROR(IF(VLOOKUP(B120,Baza[[№]:[Profit]],11,0)=0,"-",VLOOKUP(B120,Baza[[№]:[Profit]],11,0)),"")</f>
        <v/>
      </c>
      <c r="O120" s="43" t="str">
        <f>IFERROR(IF(VLOOKUP(B120,Baza[[№]:[Profit]],12,0)=0,"-",VLOOKUP(B120,Baza[[№]:[Profit]],12,0)),"")</f>
        <v/>
      </c>
      <c r="P120" s="43" t="str">
        <f>IFERROR(IF(VLOOKUP(B120,Baza[[№]:[Profit]],13,0)=0,"-",VLOOKUP(B120,Baza[[№]:[Profit]],13,0)),"")</f>
        <v/>
      </c>
      <c r="Q120" s="43" t="str">
        <f>IFERROR(IF(VLOOKUP(B120,Baza[[№]:[Profit]],15,0)=0,"-",VLOOKUP(B120,Baza[[№]:[Profit]],15,0)),"")</f>
        <v/>
      </c>
      <c r="R120" s="43" t="str">
        <f>IFERROR(IF(VLOOKUP(B120,Baza[[№]:[Profit]],16,0)=0,"-",VLOOKUP(B120,Baza[[№]:[Profit]],16,0)),"")</f>
        <v/>
      </c>
      <c r="S120" s="43" t="str">
        <f>IFERROR(IF(VLOOKUP(B120,Baza[[№]:[Profit]],17,0)=0,"-",VLOOKUP(B120,Baza[[№]:[Profit]],17,0)),"")</f>
        <v/>
      </c>
      <c r="T120" s="43" t="str">
        <f>IFERROR(IF(VLOOKUP(B120,Baza[[№]:[Profit]],18,0)=0,"-",VLOOKUP(B120,Baza[[№]:[Profit]],18,0)),"")</f>
        <v/>
      </c>
      <c r="U120" s="41" t="str">
        <f>IFERROR(IF(VLOOKUP(B120,Baza[[№]:[Profit]],19,0)=0,"-",VLOOKUP(B120,Baza[[№]:[Profit]],19,0)),"")</f>
        <v/>
      </c>
      <c r="V120" s="41" t="str">
        <f>IFERROR(VLOOKUP(B120,Baza[[№]:[Profit]],20,0),"")</f>
        <v/>
      </c>
      <c r="W120" s="41" t="str">
        <f>IFERROR(IF(VLOOKUP(B120,Baza[[№]:[Profit]],21,0)=0,"-",VLOOKUP(B120,Baza[[№]:[Profit]],21,0)),"")</f>
        <v/>
      </c>
      <c r="X120" s="45" t="str">
        <f>IFERROR(IF(VLOOKUP(B120,Baza[[№]:[Profit]],22,0)=0,"-",VLOOKUP(B120,Baza[[№]:[Profit]],22,0)),"")</f>
        <v/>
      </c>
      <c r="Y120" s="45" t="str">
        <f>IFERROR(VLOOKUP(B120,Baza[[№]:[Profit]],23,0),"")</f>
        <v/>
      </c>
      <c r="Z120" s="44" t="str">
        <f>IFERROR(VLOOKUP(B120,Baza[[№]:[AFS]],24,0),"")</f>
        <v/>
      </c>
      <c r="AA120" s="45" t="str">
        <f>IF(Таблица2[[#This Row],[Profit]]="","#Н/Д",SUM($Y$40:Y120))</f>
        <v>#Н/Д</v>
      </c>
      <c r="AB120" s="45" t="b">
        <f>IF(Таблица2[[#This Row],[Grafik]]="#Н/Д",FALSE,TRUE)</f>
        <v>0</v>
      </c>
    </row>
    <row r="121" spans="1:28" ht="11.1" hidden="1" customHeight="1" x14ac:dyDescent="0.25">
      <c r="A121" s="93">
        <f t="shared" si="1"/>
        <v>82</v>
      </c>
      <c r="B121"/>
      <c r="C121" s="41" t="str">
        <f>IFERROR(VLOOKUP(B121,Baza[[№]:[Profit]],2,0),"")</f>
        <v/>
      </c>
      <c r="D12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2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21" s="43" t="str">
        <f>IFERROR(VLOOKUP(B121,Baza[[№]:[Profit]],3,0),"")</f>
        <v/>
      </c>
      <c r="G121" s="43" t="str">
        <f>IFERROR(VLOOKUP(B121,Baza[[№]:[Profit]],4,0),"")</f>
        <v/>
      </c>
      <c r="H121" s="43" t="str">
        <f>IFERROR(VLOOKUP(B121,Baza[[№]:[Profit]],5,0),"")</f>
        <v/>
      </c>
      <c r="I121" s="46" t="str">
        <f>IFERROR(VLOOKUP(B121,Baza[[№]:[Profit]],6,0),"")</f>
        <v/>
      </c>
      <c r="J121" s="49" t="str">
        <f>IFERROR(VLOOKUP(B121,Baza[[№]:[Profit]],7,0),"")</f>
        <v/>
      </c>
      <c r="K121" s="43" t="str">
        <f>IFERROR(VLOOKUP(B121,Baza[[№]:[Profit]],8,0),"")</f>
        <v/>
      </c>
      <c r="L121" s="43" t="str">
        <f>IFERROR(VLOOKUP(B121,Baza[[№]:[Profit]],9,0),"")</f>
        <v/>
      </c>
      <c r="M121" s="43" t="str">
        <f>IFERROR(VLOOKUP(B121,Baza[[№]:[Profit]],10,0),"")</f>
        <v/>
      </c>
      <c r="N121" s="43" t="str">
        <f>IFERROR(IF(VLOOKUP(B121,Baza[[№]:[Profit]],11,0)=0,"-",VLOOKUP(B121,Baza[[№]:[Profit]],11,0)),"")</f>
        <v/>
      </c>
      <c r="O121" s="43" t="str">
        <f>IFERROR(IF(VLOOKUP(B121,Baza[[№]:[Profit]],12,0)=0,"-",VLOOKUP(B121,Baza[[№]:[Profit]],12,0)),"")</f>
        <v/>
      </c>
      <c r="P121" s="43" t="str">
        <f>IFERROR(IF(VLOOKUP(B121,Baza[[№]:[Profit]],13,0)=0,"-",VLOOKUP(B121,Baza[[№]:[Profit]],13,0)),"")</f>
        <v/>
      </c>
      <c r="Q121" s="43" t="str">
        <f>IFERROR(IF(VLOOKUP(B121,Baza[[№]:[Profit]],15,0)=0,"-",VLOOKUP(B121,Baza[[№]:[Profit]],15,0)),"")</f>
        <v/>
      </c>
      <c r="R121" s="43" t="str">
        <f>IFERROR(IF(VLOOKUP(B121,Baza[[№]:[Profit]],16,0)=0,"-",VLOOKUP(B121,Baza[[№]:[Profit]],16,0)),"")</f>
        <v/>
      </c>
      <c r="S121" s="43" t="str">
        <f>IFERROR(IF(VLOOKUP(B121,Baza[[№]:[Profit]],17,0)=0,"-",VLOOKUP(B121,Baza[[№]:[Profit]],17,0)),"")</f>
        <v/>
      </c>
      <c r="T121" s="43" t="str">
        <f>IFERROR(IF(VLOOKUP(B121,Baza[[№]:[Profit]],18,0)=0,"-",VLOOKUP(B121,Baza[[№]:[Profit]],18,0)),"")</f>
        <v/>
      </c>
      <c r="U121" s="41" t="str">
        <f>IFERROR(IF(VLOOKUP(B121,Baza[[№]:[Profit]],19,0)=0,"-",VLOOKUP(B121,Baza[[№]:[Profit]],19,0)),"")</f>
        <v/>
      </c>
      <c r="V121" s="41" t="str">
        <f>IFERROR(VLOOKUP(B121,Baza[[№]:[Profit]],20,0),"")</f>
        <v/>
      </c>
      <c r="W121" s="41" t="str">
        <f>IFERROR(IF(VLOOKUP(B121,Baza[[№]:[Profit]],21,0)=0,"-",VLOOKUP(B121,Baza[[№]:[Profit]],21,0)),"")</f>
        <v/>
      </c>
      <c r="X121" s="45" t="str">
        <f>IFERROR(IF(VLOOKUP(B121,Baza[[№]:[Profit]],22,0)=0,"-",VLOOKUP(B121,Baza[[№]:[Profit]],22,0)),"")</f>
        <v/>
      </c>
      <c r="Y121" s="45" t="str">
        <f>IFERROR(VLOOKUP(B121,Baza[[№]:[Profit]],23,0),"")</f>
        <v/>
      </c>
      <c r="Z121" s="44" t="str">
        <f>IFERROR(VLOOKUP(B121,Baza[[№]:[AFS]],24,0),"")</f>
        <v/>
      </c>
      <c r="AA121" s="45" t="str">
        <f>IF(Таблица2[[#This Row],[Profit]]="","#Н/Д",SUM($Y$40:Y121))</f>
        <v>#Н/Д</v>
      </c>
      <c r="AB121" s="45" t="b">
        <f>IF(Таблица2[[#This Row],[Grafik]]="#Н/Д",FALSE,TRUE)</f>
        <v>0</v>
      </c>
    </row>
    <row r="122" spans="1:28" ht="11.1" hidden="1" customHeight="1" x14ac:dyDescent="0.25">
      <c r="A122" s="93">
        <f t="shared" si="1"/>
        <v>83</v>
      </c>
      <c r="B122"/>
      <c r="C122" s="41" t="str">
        <f>IFERROR(VLOOKUP(B122,Baza[[№]:[Profit]],2,0),"")</f>
        <v/>
      </c>
      <c r="D12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2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22" s="43" t="str">
        <f>IFERROR(VLOOKUP(B122,Baza[[№]:[Profit]],3,0),"")</f>
        <v/>
      </c>
      <c r="G122" s="43" t="str">
        <f>IFERROR(VLOOKUP(B122,Baza[[№]:[Profit]],4,0),"")</f>
        <v/>
      </c>
      <c r="H122" s="43" t="str">
        <f>IFERROR(VLOOKUP(B122,Baza[[№]:[Profit]],5,0),"")</f>
        <v/>
      </c>
      <c r="I122" s="46" t="str">
        <f>IFERROR(VLOOKUP(B122,Baza[[№]:[Profit]],6,0),"")</f>
        <v/>
      </c>
      <c r="J122" s="49" t="str">
        <f>IFERROR(VLOOKUP(B122,Baza[[№]:[Profit]],7,0),"")</f>
        <v/>
      </c>
      <c r="K122" s="43" t="str">
        <f>IFERROR(VLOOKUP(B122,Baza[[№]:[Profit]],8,0),"")</f>
        <v/>
      </c>
      <c r="L122" s="43" t="str">
        <f>IFERROR(VLOOKUP(B122,Baza[[№]:[Profit]],9,0),"")</f>
        <v/>
      </c>
      <c r="M122" s="43" t="str">
        <f>IFERROR(VLOOKUP(B122,Baza[[№]:[Profit]],10,0),"")</f>
        <v/>
      </c>
      <c r="N122" s="43" t="str">
        <f>IFERROR(IF(VLOOKUP(B122,Baza[[№]:[Profit]],11,0)=0,"-",VLOOKUP(B122,Baza[[№]:[Profit]],11,0)),"")</f>
        <v/>
      </c>
      <c r="O122" s="43" t="str">
        <f>IFERROR(IF(VLOOKUP(B122,Baza[[№]:[Profit]],12,0)=0,"-",VLOOKUP(B122,Baza[[№]:[Profit]],12,0)),"")</f>
        <v/>
      </c>
      <c r="P122" s="43" t="str">
        <f>IFERROR(IF(VLOOKUP(B122,Baza[[№]:[Profit]],13,0)=0,"-",VLOOKUP(B122,Baza[[№]:[Profit]],13,0)),"")</f>
        <v/>
      </c>
      <c r="Q122" s="43" t="str">
        <f>IFERROR(IF(VLOOKUP(B122,Baza[[№]:[Profit]],15,0)=0,"-",VLOOKUP(B122,Baza[[№]:[Profit]],15,0)),"")</f>
        <v/>
      </c>
      <c r="R122" s="43" t="str">
        <f>IFERROR(IF(VLOOKUP(B122,Baza[[№]:[Profit]],16,0)=0,"-",VLOOKUP(B122,Baza[[№]:[Profit]],16,0)),"")</f>
        <v/>
      </c>
      <c r="S122" s="43" t="str">
        <f>IFERROR(IF(VLOOKUP(B122,Baza[[№]:[Profit]],17,0)=0,"-",VLOOKUP(B122,Baza[[№]:[Profit]],17,0)),"")</f>
        <v/>
      </c>
      <c r="T122" s="43" t="str">
        <f>IFERROR(IF(VLOOKUP(B122,Baza[[№]:[Profit]],18,0)=0,"-",VLOOKUP(B122,Baza[[№]:[Profit]],18,0)),"")</f>
        <v/>
      </c>
      <c r="U122" s="41" t="str">
        <f>IFERROR(IF(VLOOKUP(B122,Baza[[№]:[Profit]],19,0)=0,"-",VLOOKUP(B122,Baza[[№]:[Profit]],19,0)),"")</f>
        <v/>
      </c>
      <c r="V122" s="41" t="str">
        <f>IFERROR(VLOOKUP(B122,Baza[[№]:[Profit]],20,0),"")</f>
        <v/>
      </c>
      <c r="W122" s="41" t="str">
        <f>IFERROR(IF(VLOOKUP(B122,Baza[[№]:[Profit]],21,0)=0,"-",VLOOKUP(B122,Baza[[№]:[Profit]],21,0)),"")</f>
        <v/>
      </c>
      <c r="X122" s="45" t="str">
        <f>IFERROR(IF(VLOOKUP(B122,Baza[[№]:[Profit]],22,0)=0,"-",VLOOKUP(B122,Baza[[№]:[Profit]],22,0)),"")</f>
        <v/>
      </c>
      <c r="Y122" s="45" t="str">
        <f>IFERROR(VLOOKUP(B122,Baza[[№]:[Profit]],23,0),"")</f>
        <v/>
      </c>
      <c r="Z122" s="44" t="str">
        <f>IFERROR(VLOOKUP(B122,Baza[[№]:[AFS]],24,0),"")</f>
        <v/>
      </c>
      <c r="AA122" s="45" t="str">
        <f>IF(Таблица2[[#This Row],[Profit]]="","#Н/Д",SUM($Y$40:Y122))</f>
        <v>#Н/Д</v>
      </c>
      <c r="AB122" s="45" t="b">
        <f>IF(Таблица2[[#This Row],[Grafik]]="#Н/Д",FALSE,TRUE)</f>
        <v>0</v>
      </c>
    </row>
    <row r="123" spans="1:28" ht="11.1" hidden="1" customHeight="1" x14ac:dyDescent="0.25">
      <c r="A123" s="93">
        <f t="shared" si="1"/>
        <v>84</v>
      </c>
      <c r="B123"/>
      <c r="C123" s="41" t="str">
        <f>IFERROR(VLOOKUP(B123,Baza[[№]:[Profit]],2,0),"")</f>
        <v/>
      </c>
      <c r="D12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2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23" s="43" t="str">
        <f>IFERROR(VLOOKUP(B123,Baza[[№]:[Profit]],3,0),"")</f>
        <v/>
      </c>
      <c r="G123" s="43" t="str">
        <f>IFERROR(VLOOKUP(B123,Baza[[№]:[Profit]],4,0),"")</f>
        <v/>
      </c>
      <c r="H123" s="43" t="str">
        <f>IFERROR(VLOOKUP(B123,Baza[[№]:[Profit]],5,0),"")</f>
        <v/>
      </c>
      <c r="I123" s="46" t="str">
        <f>IFERROR(VLOOKUP(B123,Baza[[№]:[Profit]],6,0),"")</f>
        <v/>
      </c>
      <c r="J123" s="49" t="str">
        <f>IFERROR(VLOOKUP(B123,Baza[[№]:[Profit]],7,0),"")</f>
        <v/>
      </c>
      <c r="K123" s="43" t="str">
        <f>IFERROR(VLOOKUP(B123,Baza[[№]:[Profit]],8,0),"")</f>
        <v/>
      </c>
      <c r="L123" s="43" t="str">
        <f>IFERROR(VLOOKUP(B123,Baza[[№]:[Profit]],9,0),"")</f>
        <v/>
      </c>
      <c r="M123" s="43" t="str">
        <f>IFERROR(VLOOKUP(B123,Baza[[№]:[Profit]],10,0),"")</f>
        <v/>
      </c>
      <c r="N123" s="43" t="str">
        <f>IFERROR(IF(VLOOKUP(B123,Baza[[№]:[Profit]],11,0)=0,"-",VLOOKUP(B123,Baza[[№]:[Profit]],11,0)),"")</f>
        <v/>
      </c>
      <c r="O123" s="43" t="str">
        <f>IFERROR(IF(VLOOKUP(B123,Baza[[№]:[Profit]],12,0)=0,"-",VLOOKUP(B123,Baza[[№]:[Profit]],12,0)),"")</f>
        <v/>
      </c>
      <c r="P123" s="43" t="str">
        <f>IFERROR(IF(VLOOKUP(B123,Baza[[№]:[Profit]],13,0)=0,"-",VLOOKUP(B123,Baza[[№]:[Profit]],13,0)),"")</f>
        <v/>
      </c>
      <c r="Q123" s="43" t="str">
        <f>IFERROR(IF(VLOOKUP(B123,Baza[[№]:[Profit]],15,0)=0,"-",VLOOKUP(B123,Baza[[№]:[Profit]],15,0)),"")</f>
        <v/>
      </c>
      <c r="R123" s="43" t="str">
        <f>IFERROR(IF(VLOOKUP(B123,Baza[[№]:[Profit]],16,0)=0,"-",VLOOKUP(B123,Baza[[№]:[Profit]],16,0)),"")</f>
        <v/>
      </c>
      <c r="S123" s="43" t="str">
        <f>IFERROR(IF(VLOOKUP(B123,Baza[[№]:[Profit]],17,0)=0,"-",VLOOKUP(B123,Baza[[№]:[Profit]],17,0)),"")</f>
        <v/>
      </c>
      <c r="T123" s="43" t="str">
        <f>IFERROR(IF(VLOOKUP(B123,Baza[[№]:[Profit]],18,0)=0,"-",VLOOKUP(B123,Baza[[№]:[Profit]],18,0)),"")</f>
        <v/>
      </c>
      <c r="U123" s="41" t="str">
        <f>IFERROR(IF(VLOOKUP(B123,Baza[[№]:[Profit]],19,0)=0,"-",VLOOKUP(B123,Baza[[№]:[Profit]],19,0)),"")</f>
        <v/>
      </c>
      <c r="V123" s="41" t="str">
        <f>IFERROR(VLOOKUP(B123,Baza[[№]:[Profit]],20,0),"")</f>
        <v/>
      </c>
      <c r="W123" s="41" t="str">
        <f>IFERROR(IF(VLOOKUP(B123,Baza[[№]:[Profit]],21,0)=0,"-",VLOOKUP(B123,Baza[[№]:[Profit]],21,0)),"")</f>
        <v/>
      </c>
      <c r="X123" s="45" t="str">
        <f>IFERROR(IF(VLOOKUP(B123,Baza[[№]:[Profit]],22,0)=0,"-",VLOOKUP(B123,Baza[[№]:[Profit]],22,0)),"")</f>
        <v/>
      </c>
      <c r="Y123" s="45" t="str">
        <f>IFERROR(VLOOKUP(B123,Baza[[№]:[Profit]],23,0),"")</f>
        <v/>
      </c>
      <c r="Z123" s="44" t="str">
        <f>IFERROR(VLOOKUP(B123,Baza[[№]:[AFS]],24,0),"")</f>
        <v/>
      </c>
      <c r="AA123" s="45" t="str">
        <f>IF(Таблица2[[#This Row],[Profit]]="","#Н/Д",SUM($Y$40:Y123))</f>
        <v>#Н/Д</v>
      </c>
      <c r="AB123" s="45" t="b">
        <f>IF(Таблица2[[#This Row],[Grafik]]="#Н/Д",FALSE,TRUE)</f>
        <v>0</v>
      </c>
    </row>
    <row r="124" spans="1:28" ht="11.1" hidden="1" customHeight="1" x14ac:dyDescent="0.25">
      <c r="A124" s="93">
        <f t="shared" si="1"/>
        <v>85</v>
      </c>
      <c r="B124"/>
      <c r="C124" s="41" t="str">
        <f>IFERROR(VLOOKUP(B124,Baza[[№]:[Profit]],2,0),"")</f>
        <v/>
      </c>
      <c r="D12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2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24" s="43" t="str">
        <f>IFERROR(VLOOKUP(B124,Baza[[№]:[Profit]],3,0),"")</f>
        <v/>
      </c>
      <c r="G124" s="43" t="str">
        <f>IFERROR(VLOOKUP(B124,Baza[[№]:[Profit]],4,0),"")</f>
        <v/>
      </c>
      <c r="H124" s="43" t="str">
        <f>IFERROR(VLOOKUP(B124,Baza[[№]:[Profit]],5,0),"")</f>
        <v/>
      </c>
      <c r="I124" s="46" t="str">
        <f>IFERROR(VLOOKUP(B124,Baza[[№]:[Profit]],6,0),"")</f>
        <v/>
      </c>
      <c r="J124" s="49" t="str">
        <f>IFERROR(VLOOKUP(B124,Baza[[№]:[Profit]],7,0),"")</f>
        <v/>
      </c>
      <c r="K124" s="43" t="str">
        <f>IFERROR(VLOOKUP(B124,Baza[[№]:[Profit]],8,0),"")</f>
        <v/>
      </c>
      <c r="L124" s="43" t="str">
        <f>IFERROR(VLOOKUP(B124,Baza[[№]:[Profit]],9,0),"")</f>
        <v/>
      </c>
      <c r="M124" s="43" t="str">
        <f>IFERROR(VLOOKUP(B124,Baza[[№]:[Profit]],10,0),"")</f>
        <v/>
      </c>
      <c r="N124" s="43" t="str">
        <f>IFERROR(IF(VLOOKUP(B124,Baza[[№]:[Profit]],11,0)=0,"-",VLOOKUP(B124,Baza[[№]:[Profit]],11,0)),"")</f>
        <v/>
      </c>
      <c r="O124" s="43" t="str">
        <f>IFERROR(IF(VLOOKUP(B124,Baza[[№]:[Profit]],12,0)=0,"-",VLOOKUP(B124,Baza[[№]:[Profit]],12,0)),"")</f>
        <v/>
      </c>
      <c r="P124" s="43" t="str">
        <f>IFERROR(IF(VLOOKUP(B124,Baza[[№]:[Profit]],13,0)=0,"-",VLOOKUP(B124,Baza[[№]:[Profit]],13,0)),"")</f>
        <v/>
      </c>
      <c r="Q124" s="43" t="str">
        <f>IFERROR(IF(VLOOKUP(B124,Baza[[№]:[Profit]],15,0)=0,"-",VLOOKUP(B124,Baza[[№]:[Profit]],15,0)),"")</f>
        <v/>
      </c>
      <c r="R124" s="43" t="str">
        <f>IFERROR(IF(VLOOKUP(B124,Baza[[№]:[Profit]],16,0)=0,"-",VLOOKUP(B124,Baza[[№]:[Profit]],16,0)),"")</f>
        <v/>
      </c>
      <c r="S124" s="43" t="str">
        <f>IFERROR(IF(VLOOKUP(B124,Baza[[№]:[Profit]],17,0)=0,"-",VLOOKUP(B124,Baza[[№]:[Profit]],17,0)),"")</f>
        <v/>
      </c>
      <c r="T124" s="43" t="str">
        <f>IFERROR(IF(VLOOKUP(B124,Baza[[№]:[Profit]],18,0)=0,"-",VLOOKUP(B124,Baza[[№]:[Profit]],18,0)),"")</f>
        <v/>
      </c>
      <c r="U124" s="41" t="str">
        <f>IFERROR(IF(VLOOKUP(B124,Baza[[№]:[Profit]],19,0)=0,"-",VLOOKUP(B124,Baza[[№]:[Profit]],19,0)),"")</f>
        <v/>
      </c>
      <c r="V124" s="41" t="str">
        <f>IFERROR(VLOOKUP(B124,Baza[[№]:[Profit]],20,0),"")</f>
        <v/>
      </c>
      <c r="W124" s="41" t="str">
        <f>IFERROR(IF(VLOOKUP(B124,Baza[[№]:[Profit]],21,0)=0,"-",VLOOKUP(B124,Baza[[№]:[Profit]],21,0)),"")</f>
        <v/>
      </c>
      <c r="X124" s="45" t="str">
        <f>IFERROR(IF(VLOOKUP(B124,Baza[[№]:[Profit]],22,0)=0,"-",VLOOKUP(B124,Baza[[№]:[Profit]],22,0)),"")</f>
        <v/>
      </c>
      <c r="Y124" s="45" t="str">
        <f>IFERROR(VLOOKUP(B124,Baza[[№]:[Profit]],23,0),"")</f>
        <v/>
      </c>
      <c r="Z124" s="44" t="str">
        <f>IFERROR(VLOOKUP(B124,Baza[[№]:[AFS]],24,0),"")</f>
        <v/>
      </c>
      <c r="AA124" s="45" t="str">
        <f>IF(Таблица2[[#This Row],[Profit]]="","#Н/Д",SUM($Y$40:Y124))</f>
        <v>#Н/Д</v>
      </c>
      <c r="AB124" s="45" t="b">
        <f>IF(Таблица2[[#This Row],[Grafik]]="#Н/Д",FALSE,TRUE)</f>
        <v>0</v>
      </c>
    </row>
    <row r="125" spans="1:28" ht="11.1" hidden="1" customHeight="1" x14ac:dyDescent="0.25">
      <c r="A125" s="93">
        <f t="shared" si="1"/>
        <v>86</v>
      </c>
      <c r="B125"/>
      <c r="C125" s="41" t="str">
        <f>IFERROR(VLOOKUP(B125,Baza[[№]:[Profit]],2,0),"")</f>
        <v/>
      </c>
      <c r="D12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2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25" s="43" t="str">
        <f>IFERROR(VLOOKUP(B125,Baza[[№]:[Profit]],3,0),"")</f>
        <v/>
      </c>
      <c r="G125" s="43" t="str">
        <f>IFERROR(VLOOKUP(B125,Baza[[№]:[Profit]],4,0),"")</f>
        <v/>
      </c>
      <c r="H125" s="43" t="str">
        <f>IFERROR(VLOOKUP(B125,Baza[[№]:[Profit]],5,0),"")</f>
        <v/>
      </c>
      <c r="I125" s="46" t="str">
        <f>IFERROR(VLOOKUP(B125,Baza[[№]:[Profit]],6,0),"")</f>
        <v/>
      </c>
      <c r="J125" s="49" t="str">
        <f>IFERROR(VLOOKUP(B125,Baza[[№]:[Profit]],7,0),"")</f>
        <v/>
      </c>
      <c r="K125" s="43" t="str">
        <f>IFERROR(VLOOKUP(B125,Baza[[№]:[Profit]],8,0),"")</f>
        <v/>
      </c>
      <c r="L125" s="43" t="str">
        <f>IFERROR(VLOOKUP(B125,Baza[[№]:[Profit]],9,0),"")</f>
        <v/>
      </c>
      <c r="M125" s="43" t="str">
        <f>IFERROR(VLOOKUP(B125,Baza[[№]:[Profit]],10,0),"")</f>
        <v/>
      </c>
      <c r="N125" s="43" t="str">
        <f>IFERROR(IF(VLOOKUP(B125,Baza[[№]:[Profit]],11,0)=0,"-",VLOOKUP(B125,Baza[[№]:[Profit]],11,0)),"")</f>
        <v/>
      </c>
      <c r="O125" s="43" t="str">
        <f>IFERROR(IF(VLOOKUP(B125,Baza[[№]:[Profit]],12,0)=0,"-",VLOOKUP(B125,Baza[[№]:[Profit]],12,0)),"")</f>
        <v/>
      </c>
      <c r="P125" s="43" t="str">
        <f>IFERROR(IF(VLOOKUP(B125,Baza[[№]:[Profit]],13,0)=0,"-",VLOOKUP(B125,Baza[[№]:[Profit]],13,0)),"")</f>
        <v/>
      </c>
      <c r="Q125" s="43" t="str">
        <f>IFERROR(IF(VLOOKUP(B125,Baza[[№]:[Profit]],15,0)=0,"-",VLOOKUP(B125,Baza[[№]:[Profit]],15,0)),"")</f>
        <v/>
      </c>
      <c r="R125" s="43" t="str">
        <f>IFERROR(IF(VLOOKUP(B125,Baza[[№]:[Profit]],16,0)=0,"-",VLOOKUP(B125,Baza[[№]:[Profit]],16,0)),"")</f>
        <v/>
      </c>
      <c r="S125" s="43" t="str">
        <f>IFERROR(IF(VLOOKUP(B125,Baza[[№]:[Profit]],17,0)=0,"-",VLOOKUP(B125,Baza[[№]:[Profit]],17,0)),"")</f>
        <v/>
      </c>
      <c r="T125" s="43" t="str">
        <f>IFERROR(IF(VLOOKUP(B125,Baza[[№]:[Profit]],18,0)=0,"-",VLOOKUP(B125,Baza[[№]:[Profit]],18,0)),"")</f>
        <v/>
      </c>
      <c r="U125" s="41" t="str">
        <f>IFERROR(IF(VLOOKUP(B125,Baza[[№]:[Profit]],19,0)=0,"-",VLOOKUP(B125,Baza[[№]:[Profit]],19,0)),"")</f>
        <v/>
      </c>
      <c r="V125" s="41" t="str">
        <f>IFERROR(VLOOKUP(B125,Baza[[№]:[Profit]],20,0),"")</f>
        <v/>
      </c>
      <c r="W125" s="41" t="str">
        <f>IFERROR(IF(VLOOKUP(B125,Baza[[№]:[Profit]],21,0)=0,"-",VLOOKUP(B125,Baza[[№]:[Profit]],21,0)),"")</f>
        <v/>
      </c>
      <c r="X125" s="45" t="str">
        <f>IFERROR(IF(VLOOKUP(B125,Baza[[№]:[Profit]],22,0)=0,"-",VLOOKUP(B125,Baza[[№]:[Profit]],22,0)),"")</f>
        <v/>
      </c>
      <c r="Y125" s="45" t="str">
        <f>IFERROR(VLOOKUP(B125,Baza[[№]:[Profit]],23,0),"")</f>
        <v/>
      </c>
      <c r="Z125" s="44" t="str">
        <f>IFERROR(VLOOKUP(B125,Baza[[№]:[AFS]],24,0),"")</f>
        <v/>
      </c>
      <c r="AA125" s="45" t="str">
        <f>IF(Таблица2[[#This Row],[Profit]]="","#Н/Д",SUM($Y$40:Y125))</f>
        <v>#Н/Д</v>
      </c>
      <c r="AB125" s="45" t="b">
        <f>IF(Таблица2[[#This Row],[Grafik]]="#Н/Д",FALSE,TRUE)</f>
        <v>0</v>
      </c>
    </row>
    <row r="126" spans="1:28" ht="11.1" hidden="1" customHeight="1" x14ac:dyDescent="0.25">
      <c r="A126" s="93">
        <f t="shared" si="1"/>
        <v>87</v>
      </c>
      <c r="B126"/>
      <c r="C126" s="41" t="str">
        <f>IFERROR(VLOOKUP(B126,Baza[[№]:[Profit]],2,0),"")</f>
        <v/>
      </c>
      <c r="D12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2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26" s="43" t="str">
        <f>IFERROR(VLOOKUP(B126,Baza[[№]:[Profit]],3,0),"")</f>
        <v/>
      </c>
      <c r="G126" s="43" t="str">
        <f>IFERROR(VLOOKUP(B126,Baza[[№]:[Profit]],4,0),"")</f>
        <v/>
      </c>
      <c r="H126" s="43" t="str">
        <f>IFERROR(VLOOKUP(B126,Baza[[№]:[Profit]],5,0),"")</f>
        <v/>
      </c>
      <c r="I126" s="46" t="str">
        <f>IFERROR(VLOOKUP(B126,Baza[[№]:[Profit]],6,0),"")</f>
        <v/>
      </c>
      <c r="J126" s="49" t="str">
        <f>IFERROR(VLOOKUP(B126,Baza[[№]:[Profit]],7,0),"")</f>
        <v/>
      </c>
      <c r="K126" s="43" t="str">
        <f>IFERROR(VLOOKUP(B126,Baza[[№]:[Profit]],8,0),"")</f>
        <v/>
      </c>
      <c r="L126" s="43" t="str">
        <f>IFERROR(VLOOKUP(B126,Baza[[№]:[Profit]],9,0),"")</f>
        <v/>
      </c>
      <c r="M126" s="43" t="str">
        <f>IFERROR(VLOOKUP(B126,Baza[[№]:[Profit]],10,0),"")</f>
        <v/>
      </c>
      <c r="N126" s="43" t="str">
        <f>IFERROR(IF(VLOOKUP(B126,Baza[[№]:[Profit]],11,0)=0,"-",VLOOKUP(B126,Baza[[№]:[Profit]],11,0)),"")</f>
        <v/>
      </c>
      <c r="O126" s="43" t="str">
        <f>IFERROR(IF(VLOOKUP(B126,Baza[[№]:[Profit]],12,0)=0,"-",VLOOKUP(B126,Baza[[№]:[Profit]],12,0)),"")</f>
        <v/>
      </c>
      <c r="P126" s="43" t="str">
        <f>IFERROR(IF(VLOOKUP(B126,Baza[[№]:[Profit]],13,0)=0,"-",VLOOKUP(B126,Baza[[№]:[Profit]],13,0)),"")</f>
        <v/>
      </c>
      <c r="Q126" s="43" t="str">
        <f>IFERROR(IF(VLOOKUP(B126,Baza[[№]:[Profit]],15,0)=0,"-",VLOOKUP(B126,Baza[[№]:[Profit]],15,0)),"")</f>
        <v/>
      </c>
      <c r="R126" s="43" t="str">
        <f>IFERROR(IF(VLOOKUP(B126,Baza[[№]:[Profit]],16,0)=0,"-",VLOOKUP(B126,Baza[[№]:[Profit]],16,0)),"")</f>
        <v/>
      </c>
      <c r="S126" s="43" t="str">
        <f>IFERROR(IF(VLOOKUP(B126,Baza[[№]:[Profit]],17,0)=0,"-",VLOOKUP(B126,Baza[[№]:[Profit]],17,0)),"")</f>
        <v/>
      </c>
      <c r="T126" s="43" t="str">
        <f>IFERROR(IF(VLOOKUP(B126,Baza[[№]:[Profit]],18,0)=0,"-",VLOOKUP(B126,Baza[[№]:[Profit]],18,0)),"")</f>
        <v/>
      </c>
      <c r="U126" s="41" t="str">
        <f>IFERROR(IF(VLOOKUP(B126,Baza[[№]:[Profit]],19,0)=0,"-",VLOOKUP(B126,Baza[[№]:[Profit]],19,0)),"")</f>
        <v/>
      </c>
      <c r="V126" s="41" t="str">
        <f>IFERROR(VLOOKUP(B126,Baza[[№]:[Profit]],20,0),"")</f>
        <v/>
      </c>
      <c r="W126" s="41" t="str">
        <f>IFERROR(IF(VLOOKUP(B126,Baza[[№]:[Profit]],21,0)=0,"-",VLOOKUP(B126,Baza[[№]:[Profit]],21,0)),"")</f>
        <v/>
      </c>
      <c r="X126" s="45" t="str">
        <f>IFERROR(IF(VLOOKUP(B126,Baza[[№]:[Profit]],22,0)=0,"-",VLOOKUP(B126,Baza[[№]:[Profit]],22,0)),"")</f>
        <v/>
      </c>
      <c r="Y126" s="45" t="str">
        <f>IFERROR(VLOOKUP(B126,Baza[[№]:[Profit]],23,0),"")</f>
        <v/>
      </c>
      <c r="Z126" s="44" t="str">
        <f>IFERROR(VLOOKUP(B126,Baza[[№]:[AFS]],24,0),"")</f>
        <v/>
      </c>
      <c r="AA126" s="45" t="str">
        <f>IF(Таблица2[[#This Row],[Profit]]="","#Н/Д",SUM($Y$40:Y126))</f>
        <v>#Н/Д</v>
      </c>
      <c r="AB126" s="45" t="b">
        <f>IF(Таблица2[[#This Row],[Grafik]]="#Н/Д",FALSE,TRUE)</f>
        <v>0</v>
      </c>
    </row>
    <row r="127" spans="1:28" ht="11.1" hidden="1" customHeight="1" x14ac:dyDescent="0.25">
      <c r="A127" s="93">
        <f t="shared" si="1"/>
        <v>88</v>
      </c>
      <c r="B127"/>
      <c r="C127" s="41" t="str">
        <f>IFERROR(VLOOKUP(B127,Baza[[№]:[Profit]],2,0),"")</f>
        <v/>
      </c>
      <c r="D12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2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27" s="43" t="str">
        <f>IFERROR(VLOOKUP(B127,Baza[[№]:[Profit]],3,0),"")</f>
        <v/>
      </c>
      <c r="G127" s="43" t="str">
        <f>IFERROR(VLOOKUP(B127,Baza[[№]:[Profit]],4,0),"")</f>
        <v/>
      </c>
      <c r="H127" s="43" t="str">
        <f>IFERROR(VLOOKUP(B127,Baza[[№]:[Profit]],5,0),"")</f>
        <v/>
      </c>
      <c r="I127" s="46" t="str">
        <f>IFERROR(VLOOKUP(B127,Baza[[№]:[Profit]],6,0),"")</f>
        <v/>
      </c>
      <c r="J127" s="49" t="str">
        <f>IFERROR(VLOOKUP(B127,Baza[[№]:[Profit]],7,0),"")</f>
        <v/>
      </c>
      <c r="K127" s="43" t="str">
        <f>IFERROR(VLOOKUP(B127,Baza[[№]:[Profit]],8,0),"")</f>
        <v/>
      </c>
      <c r="L127" s="43" t="str">
        <f>IFERROR(VLOOKUP(B127,Baza[[№]:[Profit]],9,0),"")</f>
        <v/>
      </c>
      <c r="M127" s="43" t="str">
        <f>IFERROR(VLOOKUP(B127,Baza[[№]:[Profit]],10,0),"")</f>
        <v/>
      </c>
      <c r="N127" s="43" t="str">
        <f>IFERROR(IF(VLOOKUP(B127,Baza[[№]:[Profit]],11,0)=0,"-",VLOOKUP(B127,Baza[[№]:[Profit]],11,0)),"")</f>
        <v/>
      </c>
      <c r="O127" s="43" t="str">
        <f>IFERROR(IF(VLOOKUP(B127,Baza[[№]:[Profit]],12,0)=0,"-",VLOOKUP(B127,Baza[[№]:[Profit]],12,0)),"")</f>
        <v/>
      </c>
      <c r="P127" s="43" t="str">
        <f>IFERROR(IF(VLOOKUP(B127,Baza[[№]:[Profit]],13,0)=0,"-",VLOOKUP(B127,Baza[[№]:[Profit]],13,0)),"")</f>
        <v/>
      </c>
      <c r="Q127" s="43" t="str">
        <f>IFERROR(IF(VLOOKUP(B127,Baza[[№]:[Profit]],15,0)=0,"-",VLOOKUP(B127,Baza[[№]:[Profit]],15,0)),"")</f>
        <v/>
      </c>
      <c r="R127" s="43" t="str">
        <f>IFERROR(IF(VLOOKUP(B127,Baza[[№]:[Profit]],16,0)=0,"-",VLOOKUP(B127,Baza[[№]:[Profit]],16,0)),"")</f>
        <v/>
      </c>
      <c r="S127" s="43" t="str">
        <f>IFERROR(IF(VLOOKUP(B127,Baza[[№]:[Profit]],17,0)=0,"-",VLOOKUP(B127,Baza[[№]:[Profit]],17,0)),"")</f>
        <v/>
      </c>
      <c r="T127" s="43" t="str">
        <f>IFERROR(IF(VLOOKUP(B127,Baza[[№]:[Profit]],18,0)=0,"-",VLOOKUP(B127,Baza[[№]:[Profit]],18,0)),"")</f>
        <v/>
      </c>
      <c r="U127" s="41" t="str">
        <f>IFERROR(IF(VLOOKUP(B127,Baza[[№]:[Profit]],19,0)=0,"-",VLOOKUP(B127,Baza[[№]:[Profit]],19,0)),"")</f>
        <v/>
      </c>
      <c r="V127" s="41" t="str">
        <f>IFERROR(VLOOKUP(B127,Baza[[№]:[Profit]],20,0),"")</f>
        <v/>
      </c>
      <c r="W127" s="41" t="str">
        <f>IFERROR(IF(VLOOKUP(B127,Baza[[№]:[Profit]],21,0)=0,"-",VLOOKUP(B127,Baza[[№]:[Profit]],21,0)),"")</f>
        <v/>
      </c>
      <c r="X127" s="45" t="str">
        <f>IFERROR(IF(VLOOKUP(B127,Baza[[№]:[Profit]],22,0)=0,"-",VLOOKUP(B127,Baza[[№]:[Profit]],22,0)),"")</f>
        <v/>
      </c>
      <c r="Y127" s="45" t="str">
        <f>IFERROR(VLOOKUP(B127,Baza[[№]:[Profit]],23,0),"")</f>
        <v/>
      </c>
      <c r="Z127" s="44" t="str">
        <f>IFERROR(VLOOKUP(B127,Baza[[№]:[AFS]],24,0),"")</f>
        <v/>
      </c>
      <c r="AA127" s="45" t="str">
        <f>IF(Таблица2[[#This Row],[Profit]]="","#Н/Д",SUM($Y$40:Y127))</f>
        <v>#Н/Д</v>
      </c>
      <c r="AB127" s="45" t="b">
        <f>IF(Таблица2[[#This Row],[Grafik]]="#Н/Д",FALSE,TRUE)</f>
        <v>0</v>
      </c>
    </row>
    <row r="128" spans="1:28" ht="11.1" hidden="1" customHeight="1" x14ac:dyDescent="0.25">
      <c r="A128" s="93">
        <f t="shared" si="1"/>
        <v>89</v>
      </c>
      <c r="B128"/>
      <c r="C128" s="41" t="str">
        <f>IFERROR(VLOOKUP(B128,Baza[[№]:[Profit]],2,0),"")</f>
        <v/>
      </c>
      <c r="D12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2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28" s="43" t="str">
        <f>IFERROR(VLOOKUP(B128,Baza[[№]:[Profit]],3,0),"")</f>
        <v/>
      </c>
      <c r="G128" s="43" t="str">
        <f>IFERROR(VLOOKUP(B128,Baza[[№]:[Profit]],4,0),"")</f>
        <v/>
      </c>
      <c r="H128" s="43" t="str">
        <f>IFERROR(VLOOKUP(B128,Baza[[№]:[Profit]],5,0),"")</f>
        <v/>
      </c>
      <c r="I128" s="46" t="str">
        <f>IFERROR(VLOOKUP(B128,Baza[[№]:[Profit]],6,0),"")</f>
        <v/>
      </c>
      <c r="J128" s="49" t="str">
        <f>IFERROR(VLOOKUP(B128,Baza[[№]:[Profit]],7,0),"")</f>
        <v/>
      </c>
      <c r="K128" s="43" t="str">
        <f>IFERROR(VLOOKUP(B128,Baza[[№]:[Profit]],8,0),"")</f>
        <v/>
      </c>
      <c r="L128" s="43" t="str">
        <f>IFERROR(VLOOKUP(B128,Baza[[№]:[Profit]],9,0),"")</f>
        <v/>
      </c>
      <c r="M128" s="43" t="str">
        <f>IFERROR(VLOOKUP(B128,Baza[[№]:[Profit]],10,0),"")</f>
        <v/>
      </c>
      <c r="N128" s="43" t="str">
        <f>IFERROR(IF(VLOOKUP(B128,Baza[[№]:[Profit]],11,0)=0,"-",VLOOKUP(B128,Baza[[№]:[Profit]],11,0)),"")</f>
        <v/>
      </c>
      <c r="O128" s="43" t="str">
        <f>IFERROR(IF(VLOOKUP(B128,Baza[[№]:[Profit]],12,0)=0,"-",VLOOKUP(B128,Baza[[№]:[Profit]],12,0)),"")</f>
        <v/>
      </c>
      <c r="P128" s="43" t="str">
        <f>IFERROR(IF(VLOOKUP(B128,Baza[[№]:[Profit]],13,0)=0,"-",VLOOKUP(B128,Baza[[№]:[Profit]],13,0)),"")</f>
        <v/>
      </c>
      <c r="Q128" s="43" t="str">
        <f>IFERROR(IF(VLOOKUP(B128,Baza[[№]:[Profit]],15,0)=0,"-",VLOOKUP(B128,Baza[[№]:[Profit]],15,0)),"")</f>
        <v/>
      </c>
      <c r="R128" s="43" t="str">
        <f>IFERROR(IF(VLOOKUP(B128,Baza[[№]:[Profit]],16,0)=0,"-",VLOOKUP(B128,Baza[[№]:[Profit]],16,0)),"")</f>
        <v/>
      </c>
      <c r="S128" s="43" t="str">
        <f>IFERROR(IF(VLOOKUP(B128,Baza[[№]:[Profit]],17,0)=0,"-",VLOOKUP(B128,Baza[[№]:[Profit]],17,0)),"")</f>
        <v/>
      </c>
      <c r="T128" s="43" t="str">
        <f>IFERROR(IF(VLOOKUP(B128,Baza[[№]:[Profit]],18,0)=0,"-",VLOOKUP(B128,Baza[[№]:[Profit]],18,0)),"")</f>
        <v/>
      </c>
      <c r="U128" s="41" t="str">
        <f>IFERROR(IF(VLOOKUP(B128,Baza[[№]:[Profit]],19,0)=0,"-",VLOOKUP(B128,Baza[[№]:[Profit]],19,0)),"")</f>
        <v/>
      </c>
      <c r="V128" s="41" t="str">
        <f>IFERROR(VLOOKUP(B128,Baza[[№]:[Profit]],20,0),"")</f>
        <v/>
      </c>
      <c r="W128" s="41" t="str">
        <f>IFERROR(IF(VLOOKUP(B128,Baza[[№]:[Profit]],21,0)=0,"-",VLOOKUP(B128,Baza[[№]:[Profit]],21,0)),"")</f>
        <v/>
      </c>
      <c r="X128" s="45" t="str">
        <f>IFERROR(IF(VLOOKUP(B128,Baza[[№]:[Profit]],22,0)=0,"-",VLOOKUP(B128,Baza[[№]:[Profit]],22,0)),"")</f>
        <v/>
      </c>
      <c r="Y128" s="45" t="str">
        <f>IFERROR(VLOOKUP(B128,Baza[[№]:[Profit]],23,0),"")</f>
        <v/>
      </c>
      <c r="Z128" s="44" t="str">
        <f>IFERROR(VLOOKUP(B128,Baza[[№]:[AFS]],24,0),"")</f>
        <v/>
      </c>
      <c r="AA128" s="45" t="str">
        <f>IF(Таблица2[[#This Row],[Profit]]="","#Н/Д",SUM($Y$40:Y128))</f>
        <v>#Н/Д</v>
      </c>
      <c r="AB128" s="45" t="b">
        <f>IF(Таблица2[[#This Row],[Grafik]]="#Н/Д",FALSE,TRUE)</f>
        <v>0</v>
      </c>
    </row>
    <row r="129" spans="1:28" ht="11.1" hidden="1" customHeight="1" x14ac:dyDescent="0.25">
      <c r="A129" s="93">
        <f t="shared" si="1"/>
        <v>90</v>
      </c>
      <c r="B129"/>
      <c r="C129" s="41" t="str">
        <f>IFERROR(VLOOKUP(B129,Baza[[№]:[Profit]],2,0),"")</f>
        <v/>
      </c>
      <c r="D12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2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29" s="43" t="str">
        <f>IFERROR(VLOOKUP(B129,Baza[[№]:[Profit]],3,0),"")</f>
        <v/>
      </c>
      <c r="G129" s="43" t="str">
        <f>IFERROR(VLOOKUP(B129,Baza[[№]:[Profit]],4,0),"")</f>
        <v/>
      </c>
      <c r="H129" s="43" t="str">
        <f>IFERROR(VLOOKUP(B129,Baza[[№]:[Profit]],5,0),"")</f>
        <v/>
      </c>
      <c r="I129" s="46" t="str">
        <f>IFERROR(VLOOKUP(B129,Baza[[№]:[Profit]],6,0),"")</f>
        <v/>
      </c>
      <c r="J129" s="49" t="str">
        <f>IFERROR(VLOOKUP(B129,Baza[[№]:[Profit]],7,0),"")</f>
        <v/>
      </c>
      <c r="K129" s="43" t="str">
        <f>IFERROR(VLOOKUP(B129,Baza[[№]:[Profit]],8,0),"")</f>
        <v/>
      </c>
      <c r="L129" s="43" t="str">
        <f>IFERROR(VLOOKUP(B129,Baza[[№]:[Profit]],9,0),"")</f>
        <v/>
      </c>
      <c r="M129" s="43" t="str">
        <f>IFERROR(VLOOKUP(B129,Baza[[№]:[Profit]],10,0),"")</f>
        <v/>
      </c>
      <c r="N129" s="43" t="str">
        <f>IFERROR(IF(VLOOKUP(B129,Baza[[№]:[Profit]],11,0)=0,"-",VLOOKUP(B129,Baza[[№]:[Profit]],11,0)),"")</f>
        <v/>
      </c>
      <c r="O129" s="43" t="str">
        <f>IFERROR(IF(VLOOKUP(B129,Baza[[№]:[Profit]],12,0)=0,"-",VLOOKUP(B129,Baza[[№]:[Profit]],12,0)),"")</f>
        <v/>
      </c>
      <c r="P129" s="43" t="str">
        <f>IFERROR(IF(VLOOKUP(B129,Baza[[№]:[Profit]],13,0)=0,"-",VLOOKUP(B129,Baza[[№]:[Profit]],13,0)),"")</f>
        <v/>
      </c>
      <c r="Q129" s="43" t="str">
        <f>IFERROR(IF(VLOOKUP(B129,Baza[[№]:[Profit]],15,0)=0,"-",VLOOKUP(B129,Baza[[№]:[Profit]],15,0)),"")</f>
        <v/>
      </c>
      <c r="R129" s="43" t="str">
        <f>IFERROR(IF(VLOOKUP(B129,Baza[[№]:[Profit]],16,0)=0,"-",VLOOKUP(B129,Baza[[№]:[Profit]],16,0)),"")</f>
        <v/>
      </c>
      <c r="S129" s="43" t="str">
        <f>IFERROR(IF(VLOOKUP(B129,Baza[[№]:[Profit]],17,0)=0,"-",VLOOKUP(B129,Baza[[№]:[Profit]],17,0)),"")</f>
        <v/>
      </c>
      <c r="T129" s="43" t="str">
        <f>IFERROR(IF(VLOOKUP(B129,Baza[[№]:[Profit]],18,0)=0,"-",VLOOKUP(B129,Baza[[№]:[Profit]],18,0)),"")</f>
        <v/>
      </c>
      <c r="U129" s="41" t="str">
        <f>IFERROR(IF(VLOOKUP(B129,Baza[[№]:[Profit]],19,0)=0,"-",VLOOKUP(B129,Baza[[№]:[Profit]],19,0)),"")</f>
        <v/>
      </c>
      <c r="V129" s="41" t="str">
        <f>IFERROR(VLOOKUP(B129,Baza[[№]:[Profit]],20,0),"")</f>
        <v/>
      </c>
      <c r="W129" s="41" t="str">
        <f>IFERROR(IF(VLOOKUP(B129,Baza[[№]:[Profit]],21,0)=0,"-",VLOOKUP(B129,Baza[[№]:[Profit]],21,0)),"")</f>
        <v/>
      </c>
      <c r="X129" s="45" t="str">
        <f>IFERROR(IF(VLOOKUP(B129,Baza[[№]:[Profit]],22,0)=0,"-",VLOOKUP(B129,Baza[[№]:[Profit]],22,0)),"")</f>
        <v/>
      </c>
      <c r="Y129" s="45" t="str">
        <f>IFERROR(VLOOKUP(B129,Baza[[№]:[Profit]],23,0),"")</f>
        <v/>
      </c>
      <c r="Z129" s="44" t="str">
        <f>IFERROR(VLOOKUP(B129,Baza[[№]:[AFS]],24,0),"")</f>
        <v/>
      </c>
      <c r="AA129" s="45" t="str">
        <f>IF(Таблица2[[#This Row],[Profit]]="","#Н/Д",SUM($Y$40:Y129))</f>
        <v>#Н/Д</v>
      </c>
      <c r="AB129" s="45" t="b">
        <f>IF(Таблица2[[#This Row],[Grafik]]="#Н/Д",FALSE,TRUE)</f>
        <v>0</v>
      </c>
    </row>
    <row r="130" spans="1:28" ht="11.1" hidden="1" customHeight="1" x14ac:dyDescent="0.25">
      <c r="A130" s="93">
        <f t="shared" si="1"/>
        <v>91</v>
      </c>
      <c r="B130"/>
      <c r="C130" s="41" t="str">
        <f>IFERROR(VLOOKUP(B130,Baza[[№]:[Profit]],2,0),"")</f>
        <v/>
      </c>
      <c r="D13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3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30" s="43" t="str">
        <f>IFERROR(VLOOKUP(B130,Baza[[№]:[Profit]],3,0),"")</f>
        <v/>
      </c>
      <c r="G130" s="43" t="str">
        <f>IFERROR(VLOOKUP(B130,Baza[[№]:[Profit]],4,0),"")</f>
        <v/>
      </c>
      <c r="H130" s="43" t="str">
        <f>IFERROR(VLOOKUP(B130,Baza[[№]:[Profit]],5,0),"")</f>
        <v/>
      </c>
      <c r="I130" s="46" t="str">
        <f>IFERROR(VLOOKUP(B130,Baza[[№]:[Profit]],6,0),"")</f>
        <v/>
      </c>
      <c r="J130" s="49" t="str">
        <f>IFERROR(VLOOKUP(B130,Baza[[№]:[Profit]],7,0),"")</f>
        <v/>
      </c>
      <c r="K130" s="43" t="str">
        <f>IFERROR(VLOOKUP(B130,Baza[[№]:[Profit]],8,0),"")</f>
        <v/>
      </c>
      <c r="L130" s="43" t="str">
        <f>IFERROR(VLOOKUP(B130,Baza[[№]:[Profit]],9,0),"")</f>
        <v/>
      </c>
      <c r="M130" s="43" t="str">
        <f>IFERROR(VLOOKUP(B130,Baza[[№]:[Profit]],10,0),"")</f>
        <v/>
      </c>
      <c r="N130" s="43" t="str">
        <f>IFERROR(IF(VLOOKUP(B130,Baza[[№]:[Profit]],11,0)=0,"-",VLOOKUP(B130,Baza[[№]:[Profit]],11,0)),"")</f>
        <v/>
      </c>
      <c r="O130" s="43" t="str">
        <f>IFERROR(IF(VLOOKUP(B130,Baza[[№]:[Profit]],12,0)=0,"-",VLOOKUP(B130,Baza[[№]:[Profit]],12,0)),"")</f>
        <v/>
      </c>
      <c r="P130" s="43" t="str">
        <f>IFERROR(IF(VLOOKUP(B130,Baza[[№]:[Profit]],13,0)=0,"-",VLOOKUP(B130,Baza[[№]:[Profit]],13,0)),"")</f>
        <v/>
      </c>
      <c r="Q130" s="43" t="str">
        <f>IFERROR(IF(VLOOKUP(B130,Baza[[№]:[Profit]],15,0)=0,"-",VLOOKUP(B130,Baza[[№]:[Profit]],15,0)),"")</f>
        <v/>
      </c>
      <c r="R130" s="43" t="str">
        <f>IFERROR(IF(VLOOKUP(B130,Baza[[№]:[Profit]],16,0)=0,"-",VLOOKUP(B130,Baza[[№]:[Profit]],16,0)),"")</f>
        <v/>
      </c>
      <c r="S130" s="43" t="str">
        <f>IFERROR(IF(VLOOKUP(B130,Baza[[№]:[Profit]],17,0)=0,"-",VLOOKUP(B130,Baza[[№]:[Profit]],17,0)),"")</f>
        <v/>
      </c>
      <c r="T130" s="43" t="str">
        <f>IFERROR(IF(VLOOKUP(B130,Baza[[№]:[Profit]],18,0)=0,"-",VLOOKUP(B130,Baza[[№]:[Profit]],18,0)),"")</f>
        <v/>
      </c>
      <c r="U130" s="41" t="str">
        <f>IFERROR(IF(VLOOKUP(B130,Baza[[№]:[Profit]],19,0)=0,"-",VLOOKUP(B130,Baza[[№]:[Profit]],19,0)),"")</f>
        <v/>
      </c>
      <c r="V130" s="41" t="str">
        <f>IFERROR(VLOOKUP(B130,Baza[[№]:[Profit]],20,0),"")</f>
        <v/>
      </c>
      <c r="W130" s="41" t="str">
        <f>IFERROR(IF(VLOOKUP(B130,Baza[[№]:[Profit]],21,0)=0,"-",VLOOKUP(B130,Baza[[№]:[Profit]],21,0)),"")</f>
        <v/>
      </c>
      <c r="X130" s="45" t="str">
        <f>IFERROR(IF(VLOOKUP(B130,Baza[[№]:[Profit]],22,0)=0,"-",VLOOKUP(B130,Baza[[№]:[Profit]],22,0)),"")</f>
        <v/>
      </c>
      <c r="Y130" s="45" t="str">
        <f>IFERROR(VLOOKUP(B130,Baza[[№]:[Profit]],23,0),"")</f>
        <v/>
      </c>
      <c r="Z130" s="44" t="str">
        <f>IFERROR(VLOOKUP(B130,Baza[[№]:[AFS]],24,0),"")</f>
        <v/>
      </c>
      <c r="AA130" s="45" t="str">
        <f>IF(Таблица2[[#This Row],[Profit]]="","#Н/Д",SUM($Y$40:Y130))</f>
        <v>#Н/Д</v>
      </c>
      <c r="AB130" s="45" t="b">
        <f>IF(Таблица2[[#This Row],[Grafik]]="#Н/Д",FALSE,TRUE)</f>
        <v>0</v>
      </c>
    </row>
    <row r="131" spans="1:28" ht="11.1" hidden="1" customHeight="1" x14ac:dyDescent="0.25">
      <c r="A131" s="93">
        <f t="shared" si="1"/>
        <v>92</v>
      </c>
      <c r="B131"/>
      <c r="C131" s="41" t="str">
        <f>IFERROR(VLOOKUP(B131,Baza[[№]:[Profit]],2,0),"")</f>
        <v/>
      </c>
      <c r="D13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3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31" s="43" t="str">
        <f>IFERROR(VLOOKUP(B131,Baza[[№]:[Profit]],3,0),"")</f>
        <v/>
      </c>
      <c r="G131" s="43" t="str">
        <f>IFERROR(VLOOKUP(B131,Baza[[№]:[Profit]],4,0),"")</f>
        <v/>
      </c>
      <c r="H131" s="43" t="str">
        <f>IFERROR(VLOOKUP(B131,Baza[[№]:[Profit]],5,0),"")</f>
        <v/>
      </c>
      <c r="I131" s="46" t="str">
        <f>IFERROR(VLOOKUP(B131,Baza[[№]:[Profit]],6,0),"")</f>
        <v/>
      </c>
      <c r="J131" s="49" t="str">
        <f>IFERROR(VLOOKUP(B131,Baza[[№]:[Profit]],7,0),"")</f>
        <v/>
      </c>
      <c r="K131" s="43" t="str">
        <f>IFERROR(VLOOKUP(B131,Baza[[№]:[Profit]],8,0),"")</f>
        <v/>
      </c>
      <c r="L131" s="43" t="str">
        <f>IFERROR(VLOOKUP(B131,Baza[[№]:[Profit]],9,0),"")</f>
        <v/>
      </c>
      <c r="M131" s="43" t="str">
        <f>IFERROR(VLOOKUP(B131,Baza[[№]:[Profit]],10,0),"")</f>
        <v/>
      </c>
      <c r="N131" s="43" t="str">
        <f>IFERROR(IF(VLOOKUP(B131,Baza[[№]:[Profit]],11,0)=0,"-",VLOOKUP(B131,Baza[[№]:[Profit]],11,0)),"")</f>
        <v/>
      </c>
      <c r="O131" s="43" t="str">
        <f>IFERROR(IF(VLOOKUP(B131,Baza[[№]:[Profit]],12,0)=0,"-",VLOOKUP(B131,Baza[[№]:[Profit]],12,0)),"")</f>
        <v/>
      </c>
      <c r="P131" s="43" t="str">
        <f>IFERROR(IF(VLOOKUP(B131,Baza[[№]:[Profit]],13,0)=0,"-",VLOOKUP(B131,Baza[[№]:[Profit]],13,0)),"")</f>
        <v/>
      </c>
      <c r="Q131" s="43" t="str">
        <f>IFERROR(IF(VLOOKUP(B131,Baza[[№]:[Profit]],15,0)=0,"-",VLOOKUP(B131,Baza[[№]:[Profit]],15,0)),"")</f>
        <v/>
      </c>
      <c r="R131" s="43" t="str">
        <f>IFERROR(IF(VLOOKUP(B131,Baza[[№]:[Profit]],16,0)=0,"-",VLOOKUP(B131,Baza[[№]:[Profit]],16,0)),"")</f>
        <v/>
      </c>
      <c r="S131" s="43" t="str">
        <f>IFERROR(IF(VLOOKUP(B131,Baza[[№]:[Profit]],17,0)=0,"-",VLOOKUP(B131,Baza[[№]:[Profit]],17,0)),"")</f>
        <v/>
      </c>
      <c r="T131" s="43" t="str">
        <f>IFERROR(IF(VLOOKUP(B131,Baza[[№]:[Profit]],18,0)=0,"-",VLOOKUP(B131,Baza[[№]:[Profit]],18,0)),"")</f>
        <v/>
      </c>
      <c r="U131" s="41" t="str">
        <f>IFERROR(IF(VLOOKUP(B131,Baza[[№]:[Profit]],19,0)=0,"-",VLOOKUP(B131,Baza[[№]:[Profit]],19,0)),"")</f>
        <v/>
      </c>
      <c r="V131" s="41" t="str">
        <f>IFERROR(VLOOKUP(B131,Baza[[№]:[Profit]],20,0),"")</f>
        <v/>
      </c>
      <c r="W131" s="41" t="str">
        <f>IFERROR(IF(VLOOKUP(B131,Baza[[№]:[Profit]],21,0)=0,"-",VLOOKUP(B131,Baza[[№]:[Profit]],21,0)),"")</f>
        <v/>
      </c>
      <c r="X131" s="45" t="str">
        <f>IFERROR(IF(VLOOKUP(B131,Baza[[№]:[Profit]],22,0)=0,"-",VLOOKUP(B131,Baza[[№]:[Profit]],22,0)),"")</f>
        <v/>
      </c>
      <c r="Y131" s="45" t="str">
        <f>IFERROR(VLOOKUP(B131,Baza[[№]:[Profit]],23,0),"")</f>
        <v/>
      </c>
      <c r="Z131" s="44" t="str">
        <f>IFERROR(VLOOKUP(B131,Baza[[№]:[AFS]],24,0),"")</f>
        <v/>
      </c>
      <c r="AA131" s="45" t="str">
        <f>IF(Таблица2[[#This Row],[Profit]]="","#Н/Д",SUM($Y$40:Y131))</f>
        <v>#Н/Д</v>
      </c>
      <c r="AB131" s="45" t="b">
        <f>IF(Таблица2[[#This Row],[Grafik]]="#Н/Д",FALSE,TRUE)</f>
        <v>0</v>
      </c>
    </row>
    <row r="132" spans="1:28" ht="11.1" hidden="1" customHeight="1" x14ac:dyDescent="0.25">
      <c r="A132" s="93">
        <f t="shared" si="1"/>
        <v>93</v>
      </c>
      <c r="B132"/>
      <c r="C132" s="41" t="str">
        <f>IFERROR(VLOOKUP(B132,Baza[[№]:[Profit]],2,0),"")</f>
        <v/>
      </c>
      <c r="D13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3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32" s="43" t="str">
        <f>IFERROR(VLOOKUP(B132,Baza[[№]:[Profit]],3,0),"")</f>
        <v/>
      </c>
      <c r="G132" s="43" t="str">
        <f>IFERROR(VLOOKUP(B132,Baza[[№]:[Profit]],4,0),"")</f>
        <v/>
      </c>
      <c r="H132" s="43" t="str">
        <f>IFERROR(VLOOKUP(B132,Baza[[№]:[Profit]],5,0),"")</f>
        <v/>
      </c>
      <c r="I132" s="46" t="str">
        <f>IFERROR(VLOOKUP(B132,Baza[[№]:[Profit]],6,0),"")</f>
        <v/>
      </c>
      <c r="J132" s="49" t="str">
        <f>IFERROR(VLOOKUP(B132,Baza[[№]:[Profit]],7,0),"")</f>
        <v/>
      </c>
      <c r="K132" s="43" t="str">
        <f>IFERROR(VLOOKUP(B132,Baza[[№]:[Profit]],8,0),"")</f>
        <v/>
      </c>
      <c r="L132" s="43" t="str">
        <f>IFERROR(VLOOKUP(B132,Baza[[№]:[Profit]],9,0),"")</f>
        <v/>
      </c>
      <c r="M132" s="43" t="str">
        <f>IFERROR(VLOOKUP(B132,Baza[[№]:[Profit]],10,0),"")</f>
        <v/>
      </c>
      <c r="N132" s="43" t="str">
        <f>IFERROR(IF(VLOOKUP(B132,Baza[[№]:[Profit]],11,0)=0,"-",VLOOKUP(B132,Baza[[№]:[Profit]],11,0)),"")</f>
        <v/>
      </c>
      <c r="O132" s="43" t="str">
        <f>IFERROR(IF(VLOOKUP(B132,Baza[[№]:[Profit]],12,0)=0,"-",VLOOKUP(B132,Baza[[№]:[Profit]],12,0)),"")</f>
        <v/>
      </c>
      <c r="P132" s="43" t="str">
        <f>IFERROR(IF(VLOOKUP(B132,Baza[[№]:[Profit]],13,0)=0,"-",VLOOKUP(B132,Baza[[№]:[Profit]],13,0)),"")</f>
        <v/>
      </c>
      <c r="Q132" s="43" t="str">
        <f>IFERROR(IF(VLOOKUP(B132,Baza[[№]:[Profit]],15,0)=0,"-",VLOOKUP(B132,Baza[[№]:[Profit]],15,0)),"")</f>
        <v/>
      </c>
      <c r="R132" s="43" t="str">
        <f>IFERROR(IF(VLOOKUP(B132,Baza[[№]:[Profit]],16,0)=0,"-",VLOOKUP(B132,Baza[[№]:[Profit]],16,0)),"")</f>
        <v/>
      </c>
      <c r="S132" s="43" t="str">
        <f>IFERROR(IF(VLOOKUP(B132,Baza[[№]:[Profit]],17,0)=0,"-",VLOOKUP(B132,Baza[[№]:[Profit]],17,0)),"")</f>
        <v/>
      </c>
      <c r="T132" s="43" t="str">
        <f>IFERROR(IF(VLOOKUP(B132,Baza[[№]:[Profit]],18,0)=0,"-",VLOOKUP(B132,Baza[[№]:[Profit]],18,0)),"")</f>
        <v/>
      </c>
      <c r="U132" s="41" t="str">
        <f>IFERROR(IF(VLOOKUP(B132,Baza[[№]:[Profit]],19,0)=0,"-",VLOOKUP(B132,Baza[[№]:[Profit]],19,0)),"")</f>
        <v/>
      </c>
      <c r="V132" s="41" t="str">
        <f>IFERROR(VLOOKUP(B132,Baza[[№]:[Profit]],20,0),"")</f>
        <v/>
      </c>
      <c r="W132" s="41" t="str">
        <f>IFERROR(IF(VLOOKUP(B132,Baza[[№]:[Profit]],21,0)=0,"-",VLOOKUP(B132,Baza[[№]:[Profit]],21,0)),"")</f>
        <v/>
      </c>
      <c r="X132" s="45" t="str">
        <f>IFERROR(IF(VLOOKUP(B132,Baza[[№]:[Profit]],22,0)=0,"-",VLOOKUP(B132,Baza[[№]:[Profit]],22,0)),"")</f>
        <v/>
      </c>
      <c r="Y132" s="45" t="str">
        <f>IFERROR(VLOOKUP(B132,Baza[[№]:[Profit]],23,0),"")</f>
        <v/>
      </c>
      <c r="Z132" s="44" t="str">
        <f>IFERROR(VLOOKUP(B132,Baza[[№]:[AFS]],24,0),"")</f>
        <v/>
      </c>
      <c r="AA132" s="45" t="str">
        <f>IF(Таблица2[[#This Row],[Profit]]="","#Н/Д",SUM($Y$40:Y132))</f>
        <v>#Н/Д</v>
      </c>
      <c r="AB132" s="45" t="b">
        <f>IF(Таблица2[[#This Row],[Grafik]]="#Н/Д",FALSE,TRUE)</f>
        <v>0</v>
      </c>
    </row>
    <row r="133" spans="1:28" ht="11.1" hidden="1" customHeight="1" x14ac:dyDescent="0.25">
      <c r="A133" s="93">
        <f t="shared" si="1"/>
        <v>94</v>
      </c>
      <c r="B133"/>
      <c r="C133" s="41" t="str">
        <f>IFERROR(VLOOKUP(B133,Baza[[№]:[Profit]],2,0),"")</f>
        <v/>
      </c>
      <c r="D13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3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33" s="43" t="str">
        <f>IFERROR(VLOOKUP(B133,Baza[[№]:[Profit]],3,0),"")</f>
        <v/>
      </c>
      <c r="G133" s="43" t="str">
        <f>IFERROR(VLOOKUP(B133,Baza[[№]:[Profit]],4,0),"")</f>
        <v/>
      </c>
      <c r="H133" s="43" t="str">
        <f>IFERROR(VLOOKUP(B133,Baza[[№]:[Profit]],5,0),"")</f>
        <v/>
      </c>
      <c r="I133" s="46" t="str">
        <f>IFERROR(VLOOKUP(B133,Baza[[№]:[Profit]],6,0),"")</f>
        <v/>
      </c>
      <c r="J133" s="49" t="str">
        <f>IFERROR(VLOOKUP(B133,Baza[[№]:[Profit]],7,0),"")</f>
        <v/>
      </c>
      <c r="K133" s="43" t="str">
        <f>IFERROR(VLOOKUP(B133,Baza[[№]:[Profit]],8,0),"")</f>
        <v/>
      </c>
      <c r="L133" s="43" t="str">
        <f>IFERROR(VLOOKUP(B133,Baza[[№]:[Profit]],9,0),"")</f>
        <v/>
      </c>
      <c r="M133" s="43" t="str">
        <f>IFERROR(VLOOKUP(B133,Baza[[№]:[Profit]],10,0),"")</f>
        <v/>
      </c>
      <c r="N133" s="43" t="str">
        <f>IFERROR(IF(VLOOKUP(B133,Baza[[№]:[Profit]],11,0)=0,"-",VLOOKUP(B133,Baza[[№]:[Profit]],11,0)),"")</f>
        <v/>
      </c>
      <c r="O133" s="43" t="str">
        <f>IFERROR(IF(VLOOKUP(B133,Baza[[№]:[Profit]],12,0)=0,"-",VLOOKUP(B133,Baza[[№]:[Profit]],12,0)),"")</f>
        <v/>
      </c>
      <c r="P133" s="43" t="str">
        <f>IFERROR(IF(VLOOKUP(B133,Baza[[№]:[Profit]],13,0)=0,"-",VLOOKUP(B133,Baza[[№]:[Profit]],13,0)),"")</f>
        <v/>
      </c>
      <c r="Q133" s="43" t="str">
        <f>IFERROR(IF(VLOOKUP(B133,Baza[[№]:[Profit]],15,0)=0,"-",VLOOKUP(B133,Baza[[№]:[Profit]],15,0)),"")</f>
        <v/>
      </c>
      <c r="R133" s="43" t="str">
        <f>IFERROR(IF(VLOOKUP(B133,Baza[[№]:[Profit]],16,0)=0,"-",VLOOKUP(B133,Baza[[№]:[Profit]],16,0)),"")</f>
        <v/>
      </c>
      <c r="S133" s="43" t="str">
        <f>IFERROR(IF(VLOOKUP(B133,Baza[[№]:[Profit]],17,0)=0,"-",VLOOKUP(B133,Baza[[№]:[Profit]],17,0)),"")</f>
        <v/>
      </c>
      <c r="T133" s="43" t="str">
        <f>IFERROR(IF(VLOOKUP(B133,Baza[[№]:[Profit]],18,0)=0,"-",VLOOKUP(B133,Baza[[№]:[Profit]],18,0)),"")</f>
        <v/>
      </c>
      <c r="U133" s="41" t="str">
        <f>IFERROR(IF(VLOOKUP(B133,Baza[[№]:[Profit]],19,0)=0,"-",VLOOKUP(B133,Baza[[№]:[Profit]],19,0)),"")</f>
        <v/>
      </c>
      <c r="V133" s="41" t="str">
        <f>IFERROR(VLOOKUP(B133,Baza[[№]:[Profit]],20,0),"")</f>
        <v/>
      </c>
      <c r="W133" s="41" t="str">
        <f>IFERROR(IF(VLOOKUP(B133,Baza[[№]:[Profit]],21,0)=0,"-",VLOOKUP(B133,Baza[[№]:[Profit]],21,0)),"")</f>
        <v/>
      </c>
      <c r="X133" s="45" t="str">
        <f>IFERROR(IF(VLOOKUP(B133,Baza[[№]:[Profit]],22,0)=0,"-",VLOOKUP(B133,Baza[[№]:[Profit]],22,0)),"")</f>
        <v/>
      </c>
      <c r="Y133" s="45" t="str">
        <f>IFERROR(VLOOKUP(B133,Baza[[№]:[Profit]],23,0),"")</f>
        <v/>
      </c>
      <c r="Z133" s="44" t="str">
        <f>IFERROR(VLOOKUP(B133,Baza[[№]:[AFS]],24,0),"")</f>
        <v/>
      </c>
      <c r="AA133" s="45" t="str">
        <f>IF(Таблица2[[#This Row],[Profit]]="","#Н/Д",SUM($Y$40:Y133))</f>
        <v>#Н/Д</v>
      </c>
      <c r="AB133" s="45" t="b">
        <f>IF(Таблица2[[#This Row],[Grafik]]="#Н/Д",FALSE,TRUE)</f>
        <v>0</v>
      </c>
    </row>
    <row r="134" spans="1:28" ht="11.1" hidden="1" customHeight="1" x14ac:dyDescent="0.25">
      <c r="A134" s="93">
        <f t="shared" si="1"/>
        <v>95</v>
      </c>
      <c r="B134"/>
      <c r="C134" s="41" t="str">
        <f>IFERROR(VLOOKUP(B134,Baza[[№]:[Profit]],2,0),"")</f>
        <v/>
      </c>
      <c r="D13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3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34" s="43" t="str">
        <f>IFERROR(VLOOKUP(B134,Baza[[№]:[Profit]],3,0),"")</f>
        <v/>
      </c>
      <c r="G134" s="43" t="str">
        <f>IFERROR(VLOOKUP(B134,Baza[[№]:[Profit]],4,0),"")</f>
        <v/>
      </c>
      <c r="H134" s="43" t="str">
        <f>IFERROR(VLOOKUP(B134,Baza[[№]:[Profit]],5,0),"")</f>
        <v/>
      </c>
      <c r="I134" s="46" t="str">
        <f>IFERROR(VLOOKUP(B134,Baza[[№]:[Profit]],6,0),"")</f>
        <v/>
      </c>
      <c r="J134" s="49" t="str">
        <f>IFERROR(VLOOKUP(B134,Baza[[№]:[Profit]],7,0),"")</f>
        <v/>
      </c>
      <c r="K134" s="43" t="str">
        <f>IFERROR(VLOOKUP(B134,Baza[[№]:[Profit]],8,0),"")</f>
        <v/>
      </c>
      <c r="L134" s="43" t="str">
        <f>IFERROR(VLOOKUP(B134,Baza[[№]:[Profit]],9,0),"")</f>
        <v/>
      </c>
      <c r="M134" s="43" t="str">
        <f>IFERROR(VLOOKUP(B134,Baza[[№]:[Profit]],10,0),"")</f>
        <v/>
      </c>
      <c r="N134" s="43" t="str">
        <f>IFERROR(IF(VLOOKUP(B134,Baza[[№]:[Profit]],11,0)=0,"-",VLOOKUP(B134,Baza[[№]:[Profit]],11,0)),"")</f>
        <v/>
      </c>
      <c r="O134" s="43" t="str">
        <f>IFERROR(IF(VLOOKUP(B134,Baza[[№]:[Profit]],12,0)=0,"-",VLOOKUP(B134,Baza[[№]:[Profit]],12,0)),"")</f>
        <v/>
      </c>
      <c r="P134" s="43" t="str">
        <f>IFERROR(IF(VLOOKUP(B134,Baza[[№]:[Profit]],13,0)=0,"-",VLOOKUP(B134,Baza[[№]:[Profit]],13,0)),"")</f>
        <v/>
      </c>
      <c r="Q134" s="43" t="str">
        <f>IFERROR(IF(VLOOKUP(B134,Baza[[№]:[Profit]],15,0)=0,"-",VLOOKUP(B134,Baza[[№]:[Profit]],15,0)),"")</f>
        <v/>
      </c>
      <c r="R134" s="43" t="str">
        <f>IFERROR(IF(VLOOKUP(B134,Baza[[№]:[Profit]],16,0)=0,"-",VLOOKUP(B134,Baza[[№]:[Profit]],16,0)),"")</f>
        <v/>
      </c>
      <c r="S134" s="43" t="str">
        <f>IFERROR(IF(VLOOKUP(B134,Baza[[№]:[Profit]],17,0)=0,"-",VLOOKUP(B134,Baza[[№]:[Profit]],17,0)),"")</f>
        <v/>
      </c>
      <c r="T134" s="43" t="str">
        <f>IFERROR(IF(VLOOKUP(B134,Baza[[№]:[Profit]],18,0)=0,"-",VLOOKUP(B134,Baza[[№]:[Profit]],18,0)),"")</f>
        <v/>
      </c>
      <c r="U134" s="41" t="str">
        <f>IFERROR(IF(VLOOKUP(B134,Baza[[№]:[Profit]],19,0)=0,"-",VLOOKUP(B134,Baza[[№]:[Profit]],19,0)),"")</f>
        <v/>
      </c>
      <c r="V134" s="41" t="str">
        <f>IFERROR(VLOOKUP(B134,Baza[[№]:[Profit]],20,0),"")</f>
        <v/>
      </c>
      <c r="W134" s="41" t="str">
        <f>IFERROR(IF(VLOOKUP(B134,Baza[[№]:[Profit]],21,0)=0,"-",VLOOKUP(B134,Baza[[№]:[Profit]],21,0)),"")</f>
        <v/>
      </c>
      <c r="X134" s="45" t="str">
        <f>IFERROR(IF(VLOOKUP(B134,Baza[[№]:[Profit]],22,0)=0,"-",VLOOKUP(B134,Baza[[№]:[Profit]],22,0)),"")</f>
        <v/>
      </c>
      <c r="Y134" s="45" t="str">
        <f>IFERROR(VLOOKUP(B134,Baza[[№]:[Profit]],23,0),"")</f>
        <v/>
      </c>
      <c r="Z134" s="44" t="str">
        <f>IFERROR(VLOOKUP(B134,Baza[[№]:[AFS]],24,0),"")</f>
        <v/>
      </c>
      <c r="AA134" s="45" t="str">
        <f>IF(Таблица2[[#This Row],[Profit]]="","#Н/Д",SUM($Y$40:Y134))</f>
        <v>#Н/Д</v>
      </c>
      <c r="AB134" s="45" t="b">
        <f>IF(Таблица2[[#This Row],[Grafik]]="#Н/Д",FALSE,TRUE)</f>
        <v>0</v>
      </c>
    </row>
    <row r="135" spans="1:28" ht="11.1" hidden="1" customHeight="1" x14ac:dyDescent="0.25">
      <c r="A135" s="93">
        <f t="shared" si="1"/>
        <v>96</v>
      </c>
      <c r="B135"/>
      <c r="C135" s="41" t="str">
        <f>IFERROR(VLOOKUP(B135,Baza[[№]:[Profit]],2,0),"")</f>
        <v/>
      </c>
      <c r="D13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3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35" s="43" t="str">
        <f>IFERROR(VLOOKUP(B135,Baza[[№]:[Profit]],3,0),"")</f>
        <v/>
      </c>
      <c r="G135" s="43" t="str">
        <f>IFERROR(VLOOKUP(B135,Baza[[№]:[Profit]],4,0),"")</f>
        <v/>
      </c>
      <c r="H135" s="43" t="str">
        <f>IFERROR(VLOOKUP(B135,Baza[[№]:[Profit]],5,0),"")</f>
        <v/>
      </c>
      <c r="I135" s="46" t="str">
        <f>IFERROR(VLOOKUP(B135,Baza[[№]:[Profit]],6,0),"")</f>
        <v/>
      </c>
      <c r="J135" s="49" t="str">
        <f>IFERROR(VLOOKUP(B135,Baza[[№]:[Profit]],7,0),"")</f>
        <v/>
      </c>
      <c r="K135" s="43" t="str">
        <f>IFERROR(VLOOKUP(B135,Baza[[№]:[Profit]],8,0),"")</f>
        <v/>
      </c>
      <c r="L135" s="43" t="str">
        <f>IFERROR(VLOOKUP(B135,Baza[[№]:[Profit]],9,0),"")</f>
        <v/>
      </c>
      <c r="M135" s="43" t="str">
        <f>IFERROR(VLOOKUP(B135,Baza[[№]:[Profit]],10,0),"")</f>
        <v/>
      </c>
      <c r="N135" s="43" t="str">
        <f>IFERROR(IF(VLOOKUP(B135,Baza[[№]:[Profit]],11,0)=0,"-",VLOOKUP(B135,Baza[[№]:[Profit]],11,0)),"")</f>
        <v/>
      </c>
      <c r="O135" s="43" t="str">
        <f>IFERROR(IF(VLOOKUP(B135,Baza[[№]:[Profit]],12,0)=0,"-",VLOOKUP(B135,Baza[[№]:[Profit]],12,0)),"")</f>
        <v/>
      </c>
      <c r="P135" s="43" t="str">
        <f>IFERROR(IF(VLOOKUP(B135,Baza[[№]:[Profit]],13,0)=0,"-",VLOOKUP(B135,Baza[[№]:[Profit]],13,0)),"")</f>
        <v/>
      </c>
      <c r="Q135" s="43" t="str">
        <f>IFERROR(IF(VLOOKUP(B135,Baza[[№]:[Profit]],15,0)=0,"-",VLOOKUP(B135,Baza[[№]:[Profit]],15,0)),"")</f>
        <v/>
      </c>
      <c r="R135" s="43" t="str">
        <f>IFERROR(IF(VLOOKUP(B135,Baza[[№]:[Profit]],16,0)=0,"-",VLOOKUP(B135,Baza[[№]:[Profit]],16,0)),"")</f>
        <v/>
      </c>
      <c r="S135" s="43" t="str">
        <f>IFERROR(IF(VLOOKUP(B135,Baza[[№]:[Profit]],17,0)=0,"-",VLOOKUP(B135,Baza[[№]:[Profit]],17,0)),"")</f>
        <v/>
      </c>
      <c r="T135" s="43" t="str">
        <f>IFERROR(IF(VLOOKUP(B135,Baza[[№]:[Profit]],18,0)=0,"-",VLOOKUP(B135,Baza[[№]:[Profit]],18,0)),"")</f>
        <v/>
      </c>
      <c r="U135" s="41" t="str">
        <f>IFERROR(IF(VLOOKUP(B135,Baza[[№]:[Profit]],19,0)=0,"-",VLOOKUP(B135,Baza[[№]:[Profit]],19,0)),"")</f>
        <v/>
      </c>
      <c r="V135" s="41" t="str">
        <f>IFERROR(VLOOKUP(B135,Baza[[№]:[Profit]],20,0),"")</f>
        <v/>
      </c>
      <c r="W135" s="41" t="str">
        <f>IFERROR(IF(VLOOKUP(B135,Baza[[№]:[Profit]],21,0)=0,"-",VLOOKUP(B135,Baza[[№]:[Profit]],21,0)),"")</f>
        <v/>
      </c>
      <c r="X135" s="45" t="str">
        <f>IFERROR(IF(VLOOKUP(B135,Baza[[№]:[Profit]],22,0)=0,"-",VLOOKUP(B135,Baza[[№]:[Profit]],22,0)),"")</f>
        <v/>
      </c>
      <c r="Y135" s="45" t="str">
        <f>IFERROR(VLOOKUP(B135,Baza[[№]:[Profit]],23,0),"")</f>
        <v/>
      </c>
      <c r="Z135" s="44" t="str">
        <f>IFERROR(VLOOKUP(B135,Baza[[№]:[AFS]],24,0),"")</f>
        <v/>
      </c>
      <c r="AA135" s="45" t="str">
        <f>IF(Таблица2[[#This Row],[Profit]]="","#Н/Д",SUM($Y$40:Y135))</f>
        <v>#Н/Д</v>
      </c>
      <c r="AB135" s="45" t="b">
        <f>IF(Таблица2[[#This Row],[Grafik]]="#Н/Д",FALSE,TRUE)</f>
        <v>0</v>
      </c>
    </row>
    <row r="136" spans="1:28" ht="11.1" hidden="1" customHeight="1" x14ac:dyDescent="0.25">
      <c r="A136" s="93">
        <f t="shared" si="1"/>
        <v>97</v>
      </c>
      <c r="B136"/>
      <c r="C136" s="41" t="str">
        <f>IFERROR(VLOOKUP(B136,Baza[[№]:[Profit]],2,0),"")</f>
        <v/>
      </c>
      <c r="D13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3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36" s="43" t="str">
        <f>IFERROR(VLOOKUP(B136,Baza[[№]:[Profit]],3,0),"")</f>
        <v/>
      </c>
      <c r="G136" s="43" t="str">
        <f>IFERROR(VLOOKUP(B136,Baza[[№]:[Profit]],4,0),"")</f>
        <v/>
      </c>
      <c r="H136" s="43" t="str">
        <f>IFERROR(VLOOKUP(B136,Baza[[№]:[Profit]],5,0),"")</f>
        <v/>
      </c>
      <c r="I136" s="46" t="str">
        <f>IFERROR(VLOOKUP(B136,Baza[[№]:[Profit]],6,0),"")</f>
        <v/>
      </c>
      <c r="J136" s="49" t="str">
        <f>IFERROR(VLOOKUP(B136,Baza[[№]:[Profit]],7,0),"")</f>
        <v/>
      </c>
      <c r="K136" s="43" t="str">
        <f>IFERROR(VLOOKUP(B136,Baza[[№]:[Profit]],8,0),"")</f>
        <v/>
      </c>
      <c r="L136" s="43" t="str">
        <f>IFERROR(VLOOKUP(B136,Baza[[№]:[Profit]],9,0),"")</f>
        <v/>
      </c>
      <c r="M136" s="43" t="str">
        <f>IFERROR(VLOOKUP(B136,Baza[[№]:[Profit]],10,0),"")</f>
        <v/>
      </c>
      <c r="N136" s="43" t="str">
        <f>IFERROR(IF(VLOOKUP(B136,Baza[[№]:[Profit]],11,0)=0,"-",VLOOKUP(B136,Baza[[№]:[Profit]],11,0)),"")</f>
        <v/>
      </c>
      <c r="O136" s="43" t="str">
        <f>IFERROR(IF(VLOOKUP(B136,Baza[[№]:[Profit]],12,0)=0,"-",VLOOKUP(B136,Baza[[№]:[Profit]],12,0)),"")</f>
        <v/>
      </c>
      <c r="P136" s="43" t="str">
        <f>IFERROR(IF(VLOOKUP(B136,Baza[[№]:[Profit]],13,0)=0,"-",VLOOKUP(B136,Baza[[№]:[Profit]],13,0)),"")</f>
        <v/>
      </c>
      <c r="Q136" s="43" t="str">
        <f>IFERROR(IF(VLOOKUP(B136,Baza[[№]:[Profit]],15,0)=0,"-",VLOOKUP(B136,Baza[[№]:[Profit]],15,0)),"")</f>
        <v/>
      </c>
      <c r="R136" s="43" t="str">
        <f>IFERROR(IF(VLOOKUP(B136,Baza[[№]:[Profit]],16,0)=0,"-",VLOOKUP(B136,Baza[[№]:[Profit]],16,0)),"")</f>
        <v/>
      </c>
      <c r="S136" s="43" t="str">
        <f>IFERROR(IF(VLOOKUP(B136,Baza[[№]:[Profit]],17,0)=0,"-",VLOOKUP(B136,Baza[[№]:[Profit]],17,0)),"")</f>
        <v/>
      </c>
      <c r="T136" s="43" t="str">
        <f>IFERROR(IF(VLOOKUP(B136,Baza[[№]:[Profit]],18,0)=0,"-",VLOOKUP(B136,Baza[[№]:[Profit]],18,0)),"")</f>
        <v/>
      </c>
      <c r="U136" s="41" t="str">
        <f>IFERROR(IF(VLOOKUP(B136,Baza[[№]:[Profit]],19,0)=0,"-",VLOOKUP(B136,Baza[[№]:[Profit]],19,0)),"")</f>
        <v/>
      </c>
      <c r="V136" s="41" t="str">
        <f>IFERROR(VLOOKUP(B136,Baza[[№]:[Profit]],20,0),"")</f>
        <v/>
      </c>
      <c r="W136" s="41" t="str">
        <f>IFERROR(IF(VLOOKUP(B136,Baza[[№]:[Profit]],21,0)=0,"-",VLOOKUP(B136,Baza[[№]:[Profit]],21,0)),"")</f>
        <v/>
      </c>
      <c r="X136" s="45" t="str">
        <f>IFERROR(IF(VLOOKUP(B136,Baza[[№]:[Profit]],22,0)=0,"-",VLOOKUP(B136,Baza[[№]:[Profit]],22,0)),"")</f>
        <v/>
      </c>
      <c r="Y136" s="45" t="str">
        <f>IFERROR(VLOOKUP(B136,Baza[[№]:[Profit]],23,0),"")</f>
        <v/>
      </c>
      <c r="Z136" s="44" t="str">
        <f>IFERROR(VLOOKUP(B136,Baza[[№]:[AFS]],24,0),"")</f>
        <v/>
      </c>
      <c r="AA136" s="45" t="str">
        <f>IF(Таблица2[[#This Row],[Profit]]="","#Н/Д",SUM($Y$40:Y136))</f>
        <v>#Н/Д</v>
      </c>
      <c r="AB136" s="45" t="b">
        <f>IF(Таблица2[[#This Row],[Grafik]]="#Н/Д",FALSE,TRUE)</f>
        <v>0</v>
      </c>
    </row>
    <row r="137" spans="1:28" ht="11.1" hidden="1" customHeight="1" x14ac:dyDescent="0.25">
      <c r="A137" s="93">
        <f t="shared" si="1"/>
        <v>98</v>
      </c>
      <c r="B137"/>
      <c r="C137" s="41" t="str">
        <f>IFERROR(VLOOKUP(B137,Baza[[№]:[Profit]],2,0),"")</f>
        <v/>
      </c>
      <c r="D13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3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37" s="43" t="str">
        <f>IFERROR(VLOOKUP(B137,Baza[[№]:[Profit]],3,0),"")</f>
        <v/>
      </c>
      <c r="G137" s="43" t="str">
        <f>IFERROR(VLOOKUP(B137,Baza[[№]:[Profit]],4,0),"")</f>
        <v/>
      </c>
      <c r="H137" s="43" t="str">
        <f>IFERROR(VLOOKUP(B137,Baza[[№]:[Profit]],5,0),"")</f>
        <v/>
      </c>
      <c r="I137" s="46" t="str">
        <f>IFERROR(VLOOKUP(B137,Baza[[№]:[Profit]],6,0),"")</f>
        <v/>
      </c>
      <c r="J137" s="49" t="str">
        <f>IFERROR(VLOOKUP(B137,Baza[[№]:[Profit]],7,0),"")</f>
        <v/>
      </c>
      <c r="K137" s="43" t="str">
        <f>IFERROR(VLOOKUP(B137,Baza[[№]:[Profit]],8,0),"")</f>
        <v/>
      </c>
      <c r="L137" s="43" t="str">
        <f>IFERROR(VLOOKUP(B137,Baza[[№]:[Profit]],9,0),"")</f>
        <v/>
      </c>
      <c r="M137" s="43" t="str">
        <f>IFERROR(VLOOKUP(B137,Baza[[№]:[Profit]],10,0),"")</f>
        <v/>
      </c>
      <c r="N137" s="43" t="str">
        <f>IFERROR(IF(VLOOKUP(B137,Baza[[№]:[Profit]],11,0)=0,"-",VLOOKUP(B137,Baza[[№]:[Profit]],11,0)),"")</f>
        <v/>
      </c>
      <c r="O137" s="43" t="str">
        <f>IFERROR(IF(VLOOKUP(B137,Baza[[№]:[Profit]],12,0)=0,"-",VLOOKUP(B137,Baza[[№]:[Profit]],12,0)),"")</f>
        <v/>
      </c>
      <c r="P137" s="43" t="str">
        <f>IFERROR(IF(VLOOKUP(B137,Baza[[№]:[Profit]],13,0)=0,"-",VLOOKUP(B137,Baza[[№]:[Profit]],13,0)),"")</f>
        <v/>
      </c>
      <c r="Q137" s="43" t="str">
        <f>IFERROR(IF(VLOOKUP(B137,Baza[[№]:[Profit]],15,0)=0,"-",VLOOKUP(B137,Baza[[№]:[Profit]],15,0)),"")</f>
        <v/>
      </c>
      <c r="R137" s="43" t="str">
        <f>IFERROR(IF(VLOOKUP(B137,Baza[[№]:[Profit]],16,0)=0,"-",VLOOKUP(B137,Baza[[№]:[Profit]],16,0)),"")</f>
        <v/>
      </c>
      <c r="S137" s="43" t="str">
        <f>IFERROR(IF(VLOOKUP(B137,Baza[[№]:[Profit]],17,0)=0,"-",VLOOKUP(B137,Baza[[№]:[Profit]],17,0)),"")</f>
        <v/>
      </c>
      <c r="T137" s="43" t="str">
        <f>IFERROR(IF(VLOOKUP(B137,Baza[[№]:[Profit]],18,0)=0,"-",VLOOKUP(B137,Baza[[№]:[Profit]],18,0)),"")</f>
        <v/>
      </c>
      <c r="U137" s="41" t="str">
        <f>IFERROR(IF(VLOOKUP(B137,Baza[[№]:[Profit]],19,0)=0,"-",VLOOKUP(B137,Baza[[№]:[Profit]],19,0)),"")</f>
        <v/>
      </c>
      <c r="V137" s="41" t="str">
        <f>IFERROR(VLOOKUP(B137,Baza[[№]:[Profit]],20,0),"")</f>
        <v/>
      </c>
      <c r="W137" s="41" t="str">
        <f>IFERROR(IF(VLOOKUP(B137,Baza[[№]:[Profit]],21,0)=0,"-",VLOOKUP(B137,Baza[[№]:[Profit]],21,0)),"")</f>
        <v/>
      </c>
      <c r="X137" s="45" t="str">
        <f>IFERROR(IF(VLOOKUP(B137,Baza[[№]:[Profit]],22,0)=0,"-",VLOOKUP(B137,Baza[[№]:[Profit]],22,0)),"")</f>
        <v/>
      </c>
      <c r="Y137" s="45" t="str">
        <f>IFERROR(VLOOKUP(B137,Baza[[№]:[Profit]],23,0),"")</f>
        <v/>
      </c>
      <c r="Z137" s="44" t="str">
        <f>IFERROR(VLOOKUP(B137,Baza[[№]:[AFS]],24,0),"")</f>
        <v/>
      </c>
      <c r="AA137" s="45" t="str">
        <f>IF(Таблица2[[#This Row],[Profit]]="","#Н/Д",SUM($Y$40:Y137))</f>
        <v>#Н/Д</v>
      </c>
      <c r="AB137" s="45" t="b">
        <f>IF(Таблица2[[#This Row],[Grafik]]="#Н/Д",FALSE,TRUE)</f>
        <v>0</v>
      </c>
    </row>
    <row r="138" spans="1:28" ht="11.1" hidden="1" customHeight="1" x14ac:dyDescent="0.25">
      <c r="A138" s="93">
        <f t="shared" si="1"/>
        <v>99</v>
      </c>
      <c r="B138"/>
      <c r="C138" s="41" t="str">
        <f>IFERROR(VLOOKUP(B138,Baza[[№]:[Profit]],2,0),"")</f>
        <v/>
      </c>
      <c r="D13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3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38" s="43" t="str">
        <f>IFERROR(VLOOKUP(B138,Baza[[№]:[Profit]],3,0),"")</f>
        <v/>
      </c>
      <c r="G138" s="43" t="str">
        <f>IFERROR(VLOOKUP(B138,Baza[[№]:[Profit]],4,0),"")</f>
        <v/>
      </c>
      <c r="H138" s="43" t="str">
        <f>IFERROR(VLOOKUP(B138,Baza[[№]:[Profit]],5,0),"")</f>
        <v/>
      </c>
      <c r="I138" s="46" t="str">
        <f>IFERROR(VLOOKUP(B138,Baza[[№]:[Profit]],6,0),"")</f>
        <v/>
      </c>
      <c r="J138" s="49" t="str">
        <f>IFERROR(VLOOKUP(B138,Baza[[№]:[Profit]],7,0),"")</f>
        <v/>
      </c>
      <c r="K138" s="43" t="str">
        <f>IFERROR(VLOOKUP(B138,Baza[[№]:[Profit]],8,0),"")</f>
        <v/>
      </c>
      <c r="L138" s="43" t="str">
        <f>IFERROR(VLOOKUP(B138,Baza[[№]:[Profit]],9,0),"")</f>
        <v/>
      </c>
      <c r="M138" s="43" t="str">
        <f>IFERROR(VLOOKUP(B138,Baza[[№]:[Profit]],10,0),"")</f>
        <v/>
      </c>
      <c r="N138" s="43" t="str">
        <f>IFERROR(IF(VLOOKUP(B138,Baza[[№]:[Profit]],11,0)=0,"-",VLOOKUP(B138,Baza[[№]:[Profit]],11,0)),"")</f>
        <v/>
      </c>
      <c r="O138" s="43" t="str">
        <f>IFERROR(IF(VLOOKUP(B138,Baza[[№]:[Profit]],12,0)=0,"-",VLOOKUP(B138,Baza[[№]:[Profit]],12,0)),"")</f>
        <v/>
      </c>
      <c r="P138" s="43" t="str">
        <f>IFERROR(IF(VLOOKUP(B138,Baza[[№]:[Profit]],13,0)=0,"-",VLOOKUP(B138,Baza[[№]:[Profit]],13,0)),"")</f>
        <v/>
      </c>
      <c r="Q138" s="43" t="str">
        <f>IFERROR(IF(VLOOKUP(B138,Baza[[№]:[Profit]],15,0)=0,"-",VLOOKUP(B138,Baza[[№]:[Profit]],15,0)),"")</f>
        <v/>
      </c>
      <c r="R138" s="43" t="str">
        <f>IFERROR(IF(VLOOKUP(B138,Baza[[№]:[Profit]],16,0)=0,"-",VLOOKUP(B138,Baza[[№]:[Profit]],16,0)),"")</f>
        <v/>
      </c>
      <c r="S138" s="43" t="str">
        <f>IFERROR(IF(VLOOKUP(B138,Baza[[№]:[Profit]],17,0)=0,"-",VLOOKUP(B138,Baza[[№]:[Profit]],17,0)),"")</f>
        <v/>
      </c>
      <c r="T138" s="43" t="str">
        <f>IFERROR(IF(VLOOKUP(B138,Baza[[№]:[Profit]],18,0)=0,"-",VLOOKUP(B138,Baza[[№]:[Profit]],18,0)),"")</f>
        <v/>
      </c>
      <c r="U138" s="41" t="str">
        <f>IFERROR(IF(VLOOKUP(B138,Baza[[№]:[Profit]],19,0)=0,"-",VLOOKUP(B138,Baza[[№]:[Profit]],19,0)),"")</f>
        <v/>
      </c>
      <c r="V138" s="41" t="str">
        <f>IFERROR(VLOOKUP(B138,Baza[[№]:[Profit]],20,0),"")</f>
        <v/>
      </c>
      <c r="W138" s="41" t="str">
        <f>IFERROR(IF(VLOOKUP(B138,Baza[[№]:[Profit]],21,0)=0,"-",VLOOKUP(B138,Baza[[№]:[Profit]],21,0)),"")</f>
        <v/>
      </c>
      <c r="X138" s="45" t="str">
        <f>IFERROR(IF(VLOOKUP(B138,Baza[[№]:[Profit]],22,0)=0,"-",VLOOKUP(B138,Baza[[№]:[Profit]],22,0)),"")</f>
        <v/>
      </c>
      <c r="Y138" s="45" t="str">
        <f>IFERROR(VLOOKUP(B138,Baza[[№]:[Profit]],23,0),"")</f>
        <v/>
      </c>
      <c r="Z138" s="44" t="str">
        <f>IFERROR(VLOOKUP(B138,Baza[[№]:[AFS]],24,0),"")</f>
        <v/>
      </c>
      <c r="AA138" s="45" t="str">
        <f>IF(Таблица2[[#This Row],[Profit]]="","#Н/Д",SUM($Y$40:Y138))</f>
        <v>#Н/Д</v>
      </c>
      <c r="AB138" s="45" t="b">
        <f>IF(Таблица2[[#This Row],[Grafik]]="#Н/Д",FALSE,TRUE)</f>
        <v>0</v>
      </c>
    </row>
    <row r="139" spans="1:28" ht="11.1" hidden="1" customHeight="1" x14ac:dyDescent="0.25">
      <c r="A139" s="93">
        <f t="shared" si="1"/>
        <v>100</v>
      </c>
      <c r="B139"/>
      <c r="C139" s="41" t="str">
        <f>IFERROR(VLOOKUP(B139,Baza[[№]:[Profit]],2,0),"")</f>
        <v/>
      </c>
      <c r="D13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3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39" s="43" t="str">
        <f>IFERROR(VLOOKUP(B139,Baza[[№]:[Profit]],3,0),"")</f>
        <v/>
      </c>
      <c r="G139" s="43" t="str">
        <f>IFERROR(VLOOKUP(B139,Baza[[№]:[Profit]],4,0),"")</f>
        <v/>
      </c>
      <c r="H139" s="43" t="str">
        <f>IFERROR(VLOOKUP(B139,Baza[[№]:[Profit]],5,0),"")</f>
        <v/>
      </c>
      <c r="I139" s="46" t="str">
        <f>IFERROR(VLOOKUP(B139,Baza[[№]:[Profit]],6,0),"")</f>
        <v/>
      </c>
      <c r="J139" s="49" t="str">
        <f>IFERROR(VLOOKUP(B139,Baza[[№]:[Profit]],7,0),"")</f>
        <v/>
      </c>
      <c r="K139" s="43" t="str">
        <f>IFERROR(VLOOKUP(B139,Baza[[№]:[Profit]],8,0),"")</f>
        <v/>
      </c>
      <c r="L139" s="43" t="str">
        <f>IFERROR(VLOOKUP(B139,Baza[[№]:[Profit]],9,0),"")</f>
        <v/>
      </c>
      <c r="M139" s="43" t="str">
        <f>IFERROR(VLOOKUP(B139,Baza[[№]:[Profit]],10,0),"")</f>
        <v/>
      </c>
      <c r="N139" s="43" t="str">
        <f>IFERROR(IF(VLOOKUP(B139,Baza[[№]:[Profit]],11,0)=0,"-",VLOOKUP(B139,Baza[[№]:[Profit]],11,0)),"")</f>
        <v/>
      </c>
      <c r="O139" s="43" t="str">
        <f>IFERROR(IF(VLOOKUP(B139,Baza[[№]:[Profit]],12,0)=0,"-",VLOOKUP(B139,Baza[[№]:[Profit]],12,0)),"")</f>
        <v/>
      </c>
      <c r="P139" s="43" t="str">
        <f>IFERROR(IF(VLOOKUP(B139,Baza[[№]:[Profit]],13,0)=0,"-",VLOOKUP(B139,Baza[[№]:[Profit]],13,0)),"")</f>
        <v/>
      </c>
      <c r="Q139" s="43" t="str">
        <f>IFERROR(IF(VLOOKUP(B139,Baza[[№]:[Profit]],15,0)=0,"-",VLOOKUP(B139,Baza[[№]:[Profit]],15,0)),"")</f>
        <v/>
      </c>
      <c r="R139" s="43" t="str">
        <f>IFERROR(IF(VLOOKUP(B139,Baza[[№]:[Profit]],16,0)=0,"-",VLOOKUP(B139,Baza[[№]:[Profit]],16,0)),"")</f>
        <v/>
      </c>
      <c r="S139" s="43" t="str">
        <f>IFERROR(IF(VLOOKUP(B139,Baza[[№]:[Profit]],17,0)=0,"-",VLOOKUP(B139,Baza[[№]:[Profit]],17,0)),"")</f>
        <v/>
      </c>
      <c r="T139" s="43" t="str">
        <f>IFERROR(IF(VLOOKUP(B139,Baza[[№]:[Profit]],18,0)=0,"-",VLOOKUP(B139,Baza[[№]:[Profit]],18,0)),"")</f>
        <v/>
      </c>
      <c r="U139" s="41" t="str">
        <f>IFERROR(IF(VLOOKUP(B139,Baza[[№]:[Profit]],19,0)=0,"-",VLOOKUP(B139,Baza[[№]:[Profit]],19,0)),"")</f>
        <v/>
      </c>
      <c r="V139" s="41" t="str">
        <f>IFERROR(VLOOKUP(B139,Baza[[№]:[Profit]],20,0),"")</f>
        <v/>
      </c>
      <c r="W139" s="41" t="str">
        <f>IFERROR(IF(VLOOKUP(B139,Baza[[№]:[Profit]],21,0)=0,"-",VLOOKUP(B139,Baza[[№]:[Profit]],21,0)),"")</f>
        <v/>
      </c>
      <c r="X139" s="45" t="str">
        <f>IFERROR(IF(VLOOKUP(B139,Baza[[№]:[Profit]],22,0)=0,"-",VLOOKUP(B139,Baza[[№]:[Profit]],22,0)),"")</f>
        <v/>
      </c>
      <c r="Y139" s="45" t="str">
        <f>IFERROR(VLOOKUP(B139,Baza[[№]:[Profit]],23,0),"")</f>
        <v/>
      </c>
      <c r="Z139" s="44" t="str">
        <f>IFERROR(VLOOKUP(B139,Baza[[№]:[AFS]],24,0),"")</f>
        <v/>
      </c>
      <c r="AA139" s="45" t="str">
        <f>IF(Таблица2[[#This Row],[Profit]]="","#Н/Д",SUM($Y$40:Y139))</f>
        <v>#Н/Д</v>
      </c>
      <c r="AB139" s="45" t="b">
        <f>IF(Таблица2[[#This Row],[Grafik]]="#Н/Д",FALSE,TRUE)</f>
        <v>0</v>
      </c>
    </row>
    <row r="140" spans="1:28" ht="11.1" hidden="1" customHeight="1" x14ac:dyDescent="0.25">
      <c r="A140" s="93">
        <f t="shared" si="1"/>
        <v>101</v>
      </c>
      <c r="B140"/>
      <c r="C140" s="41" t="str">
        <f>IFERROR(VLOOKUP(B140,Baza[[№]:[Profit]],2,0),"")</f>
        <v/>
      </c>
      <c r="D14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4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40" s="43" t="str">
        <f>IFERROR(VLOOKUP(B140,Baza[[№]:[Profit]],3,0),"")</f>
        <v/>
      </c>
      <c r="G140" s="43" t="str">
        <f>IFERROR(VLOOKUP(B140,Baza[[№]:[Profit]],4,0),"")</f>
        <v/>
      </c>
      <c r="H140" s="43" t="str">
        <f>IFERROR(VLOOKUP(B140,Baza[[№]:[Profit]],5,0),"")</f>
        <v/>
      </c>
      <c r="I140" s="46" t="str">
        <f>IFERROR(VLOOKUP(B140,Baza[[№]:[Profit]],6,0),"")</f>
        <v/>
      </c>
      <c r="J140" s="49" t="str">
        <f>IFERROR(VLOOKUP(B140,Baza[[№]:[Profit]],7,0),"")</f>
        <v/>
      </c>
      <c r="K140" s="43" t="str">
        <f>IFERROR(VLOOKUP(B140,Baza[[№]:[Profit]],8,0),"")</f>
        <v/>
      </c>
      <c r="L140" s="43" t="str">
        <f>IFERROR(VLOOKUP(B140,Baza[[№]:[Profit]],9,0),"")</f>
        <v/>
      </c>
      <c r="M140" s="43" t="str">
        <f>IFERROR(VLOOKUP(B140,Baza[[№]:[Profit]],10,0),"")</f>
        <v/>
      </c>
      <c r="N140" s="43" t="str">
        <f>IFERROR(IF(VLOOKUP(B140,Baza[[№]:[Profit]],11,0)=0,"-",VLOOKUP(B140,Baza[[№]:[Profit]],11,0)),"")</f>
        <v/>
      </c>
      <c r="O140" s="43" t="str">
        <f>IFERROR(IF(VLOOKUP(B140,Baza[[№]:[Profit]],12,0)=0,"-",VLOOKUP(B140,Baza[[№]:[Profit]],12,0)),"")</f>
        <v/>
      </c>
      <c r="P140" s="43" t="str">
        <f>IFERROR(IF(VLOOKUP(B140,Baza[[№]:[Profit]],13,0)=0,"-",VLOOKUP(B140,Baza[[№]:[Profit]],13,0)),"")</f>
        <v/>
      </c>
      <c r="Q140" s="43" t="str">
        <f>IFERROR(IF(VLOOKUP(B140,Baza[[№]:[Profit]],15,0)=0,"-",VLOOKUP(B140,Baza[[№]:[Profit]],15,0)),"")</f>
        <v/>
      </c>
      <c r="R140" s="43" t="str">
        <f>IFERROR(IF(VLOOKUP(B140,Baza[[№]:[Profit]],16,0)=0,"-",VLOOKUP(B140,Baza[[№]:[Profit]],16,0)),"")</f>
        <v/>
      </c>
      <c r="S140" s="43" t="str">
        <f>IFERROR(IF(VLOOKUP(B140,Baza[[№]:[Profit]],17,0)=0,"-",VLOOKUP(B140,Baza[[№]:[Profit]],17,0)),"")</f>
        <v/>
      </c>
      <c r="T140" s="43" t="str">
        <f>IFERROR(IF(VLOOKUP(B140,Baza[[№]:[Profit]],18,0)=0,"-",VLOOKUP(B140,Baza[[№]:[Profit]],18,0)),"")</f>
        <v/>
      </c>
      <c r="U140" s="41" t="str">
        <f>IFERROR(IF(VLOOKUP(B140,Baza[[№]:[Profit]],19,0)=0,"-",VLOOKUP(B140,Baza[[№]:[Profit]],19,0)),"")</f>
        <v/>
      </c>
      <c r="V140" s="41" t="str">
        <f>IFERROR(VLOOKUP(B140,Baza[[№]:[Profit]],20,0),"")</f>
        <v/>
      </c>
      <c r="W140" s="41" t="str">
        <f>IFERROR(IF(VLOOKUP(B140,Baza[[№]:[Profit]],21,0)=0,"-",VLOOKUP(B140,Baza[[№]:[Profit]],21,0)),"")</f>
        <v/>
      </c>
      <c r="X140" s="45" t="str">
        <f>IFERROR(IF(VLOOKUP(B140,Baza[[№]:[Profit]],22,0)=0,"-",VLOOKUP(B140,Baza[[№]:[Profit]],22,0)),"")</f>
        <v/>
      </c>
      <c r="Y140" s="45" t="str">
        <f>IFERROR(VLOOKUP(B140,Baza[[№]:[Profit]],23,0),"")</f>
        <v/>
      </c>
      <c r="Z140" s="44" t="str">
        <f>IFERROR(VLOOKUP(B140,Baza[[№]:[AFS]],24,0),"")</f>
        <v/>
      </c>
      <c r="AA140" s="45" t="str">
        <f>IF(Таблица2[[#This Row],[Profit]]="","#Н/Д",SUM($Y$40:Y140))</f>
        <v>#Н/Д</v>
      </c>
      <c r="AB140" s="45" t="b">
        <f>IF(Таблица2[[#This Row],[Grafik]]="#Н/Д",FALSE,TRUE)</f>
        <v>0</v>
      </c>
    </row>
    <row r="141" spans="1:28" ht="11.1" hidden="1" customHeight="1" x14ac:dyDescent="0.25">
      <c r="A141" s="93">
        <f t="shared" si="1"/>
        <v>102</v>
      </c>
      <c r="B141"/>
      <c r="C141" s="41" t="str">
        <f>IFERROR(VLOOKUP(B141,Baza[[№]:[Profit]],2,0),"")</f>
        <v/>
      </c>
      <c r="D14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4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41" s="43" t="str">
        <f>IFERROR(VLOOKUP(B141,Baza[[№]:[Profit]],3,0),"")</f>
        <v/>
      </c>
      <c r="G141" s="43" t="str">
        <f>IFERROR(VLOOKUP(B141,Baza[[№]:[Profit]],4,0),"")</f>
        <v/>
      </c>
      <c r="H141" s="43" t="str">
        <f>IFERROR(VLOOKUP(B141,Baza[[№]:[Profit]],5,0),"")</f>
        <v/>
      </c>
      <c r="I141" s="46" t="str">
        <f>IFERROR(VLOOKUP(B141,Baza[[№]:[Profit]],6,0),"")</f>
        <v/>
      </c>
      <c r="J141" s="49" t="str">
        <f>IFERROR(VLOOKUP(B141,Baza[[№]:[Profit]],7,0),"")</f>
        <v/>
      </c>
      <c r="K141" s="43" t="str">
        <f>IFERROR(VLOOKUP(B141,Baza[[№]:[Profit]],8,0),"")</f>
        <v/>
      </c>
      <c r="L141" s="43" t="str">
        <f>IFERROR(VLOOKUP(B141,Baza[[№]:[Profit]],9,0),"")</f>
        <v/>
      </c>
      <c r="M141" s="43" t="str">
        <f>IFERROR(VLOOKUP(B141,Baza[[№]:[Profit]],10,0),"")</f>
        <v/>
      </c>
      <c r="N141" s="43" t="str">
        <f>IFERROR(IF(VLOOKUP(B141,Baza[[№]:[Profit]],11,0)=0,"-",VLOOKUP(B141,Baza[[№]:[Profit]],11,0)),"")</f>
        <v/>
      </c>
      <c r="O141" s="43" t="str">
        <f>IFERROR(IF(VLOOKUP(B141,Baza[[№]:[Profit]],12,0)=0,"-",VLOOKUP(B141,Baza[[№]:[Profit]],12,0)),"")</f>
        <v/>
      </c>
      <c r="P141" s="43" t="str">
        <f>IFERROR(IF(VLOOKUP(B141,Baza[[№]:[Profit]],13,0)=0,"-",VLOOKUP(B141,Baza[[№]:[Profit]],13,0)),"")</f>
        <v/>
      </c>
      <c r="Q141" s="43" t="str">
        <f>IFERROR(IF(VLOOKUP(B141,Baza[[№]:[Profit]],15,0)=0,"-",VLOOKUP(B141,Baza[[№]:[Profit]],15,0)),"")</f>
        <v/>
      </c>
      <c r="R141" s="43" t="str">
        <f>IFERROR(IF(VLOOKUP(B141,Baza[[№]:[Profit]],16,0)=0,"-",VLOOKUP(B141,Baza[[№]:[Profit]],16,0)),"")</f>
        <v/>
      </c>
      <c r="S141" s="43" t="str">
        <f>IFERROR(IF(VLOOKUP(B141,Baza[[№]:[Profit]],17,0)=0,"-",VLOOKUP(B141,Baza[[№]:[Profit]],17,0)),"")</f>
        <v/>
      </c>
      <c r="T141" s="43" t="str">
        <f>IFERROR(IF(VLOOKUP(B141,Baza[[№]:[Profit]],18,0)=0,"-",VLOOKUP(B141,Baza[[№]:[Profit]],18,0)),"")</f>
        <v/>
      </c>
      <c r="U141" s="41" t="str">
        <f>IFERROR(IF(VLOOKUP(B141,Baza[[№]:[Profit]],19,0)=0,"-",VLOOKUP(B141,Baza[[№]:[Profit]],19,0)),"")</f>
        <v/>
      </c>
      <c r="V141" s="41" t="str">
        <f>IFERROR(VLOOKUP(B141,Baza[[№]:[Profit]],20,0),"")</f>
        <v/>
      </c>
      <c r="W141" s="41" t="str">
        <f>IFERROR(IF(VLOOKUP(B141,Baza[[№]:[Profit]],21,0)=0,"-",VLOOKUP(B141,Baza[[№]:[Profit]],21,0)),"")</f>
        <v/>
      </c>
      <c r="X141" s="45" t="str">
        <f>IFERROR(IF(VLOOKUP(B141,Baza[[№]:[Profit]],22,0)=0,"-",VLOOKUP(B141,Baza[[№]:[Profit]],22,0)),"")</f>
        <v/>
      </c>
      <c r="Y141" s="45" t="str">
        <f>IFERROR(VLOOKUP(B141,Baza[[№]:[Profit]],23,0),"")</f>
        <v/>
      </c>
      <c r="Z141" s="44" t="str">
        <f>IFERROR(VLOOKUP(B141,Baza[[№]:[AFS]],24,0),"")</f>
        <v/>
      </c>
      <c r="AA141" s="45" t="str">
        <f>IF(Таблица2[[#This Row],[Profit]]="","#Н/Д",SUM($Y$40:Y141))</f>
        <v>#Н/Д</v>
      </c>
      <c r="AB141" s="45" t="b">
        <f>IF(Таблица2[[#This Row],[Grafik]]="#Н/Д",FALSE,TRUE)</f>
        <v>0</v>
      </c>
    </row>
    <row r="142" spans="1:28" ht="11.1" hidden="1" customHeight="1" x14ac:dyDescent="0.25">
      <c r="A142" s="93">
        <f t="shared" si="1"/>
        <v>103</v>
      </c>
      <c r="B142"/>
      <c r="C142" s="41" t="str">
        <f>IFERROR(VLOOKUP(B142,Baza[[№]:[Profit]],2,0),"")</f>
        <v/>
      </c>
      <c r="D14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4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42" s="43" t="str">
        <f>IFERROR(VLOOKUP(B142,Baza[[№]:[Profit]],3,0),"")</f>
        <v/>
      </c>
      <c r="G142" s="43" t="str">
        <f>IFERROR(VLOOKUP(B142,Baza[[№]:[Profit]],4,0),"")</f>
        <v/>
      </c>
      <c r="H142" s="43" t="str">
        <f>IFERROR(VLOOKUP(B142,Baza[[№]:[Profit]],5,0),"")</f>
        <v/>
      </c>
      <c r="I142" s="46" t="str">
        <f>IFERROR(VLOOKUP(B142,Baza[[№]:[Profit]],6,0),"")</f>
        <v/>
      </c>
      <c r="J142" s="49" t="str">
        <f>IFERROR(VLOOKUP(B142,Baza[[№]:[Profit]],7,0),"")</f>
        <v/>
      </c>
      <c r="K142" s="43" t="str">
        <f>IFERROR(VLOOKUP(B142,Baza[[№]:[Profit]],8,0),"")</f>
        <v/>
      </c>
      <c r="L142" s="43" t="str">
        <f>IFERROR(VLOOKUP(B142,Baza[[№]:[Profit]],9,0),"")</f>
        <v/>
      </c>
      <c r="M142" s="43" t="str">
        <f>IFERROR(VLOOKUP(B142,Baza[[№]:[Profit]],10,0),"")</f>
        <v/>
      </c>
      <c r="N142" s="43" t="str">
        <f>IFERROR(IF(VLOOKUP(B142,Baza[[№]:[Profit]],11,0)=0,"-",VLOOKUP(B142,Baza[[№]:[Profit]],11,0)),"")</f>
        <v/>
      </c>
      <c r="O142" s="43" t="str">
        <f>IFERROR(IF(VLOOKUP(B142,Baza[[№]:[Profit]],12,0)=0,"-",VLOOKUP(B142,Baza[[№]:[Profit]],12,0)),"")</f>
        <v/>
      </c>
      <c r="P142" s="43" t="str">
        <f>IFERROR(IF(VLOOKUP(B142,Baza[[№]:[Profit]],13,0)=0,"-",VLOOKUP(B142,Baza[[№]:[Profit]],13,0)),"")</f>
        <v/>
      </c>
      <c r="Q142" s="43" t="str">
        <f>IFERROR(IF(VLOOKUP(B142,Baza[[№]:[Profit]],15,0)=0,"-",VLOOKUP(B142,Baza[[№]:[Profit]],15,0)),"")</f>
        <v/>
      </c>
      <c r="R142" s="43" t="str">
        <f>IFERROR(IF(VLOOKUP(B142,Baza[[№]:[Profit]],16,0)=0,"-",VLOOKUP(B142,Baza[[№]:[Profit]],16,0)),"")</f>
        <v/>
      </c>
      <c r="S142" s="43" t="str">
        <f>IFERROR(IF(VLOOKUP(B142,Baza[[№]:[Profit]],17,0)=0,"-",VLOOKUP(B142,Baza[[№]:[Profit]],17,0)),"")</f>
        <v/>
      </c>
      <c r="T142" s="43" t="str">
        <f>IFERROR(IF(VLOOKUP(B142,Baza[[№]:[Profit]],18,0)=0,"-",VLOOKUP(B142,Baza[[№]:[Profit]],18,0)),"")</f>
        <v/>
      </c>
      <c r="U142" s="41" t="str">
        <f>IFERROR(IF(VLOOKUP(B142,Baza[[№]:[Profit]],19,0)=0,"-",VLOOKUP(B142,Baza[[№]:[Profit]],19,0)),"")</f>
        <v/>
      </c>
      <c r="V142" s="41" t="str">
        <f>IFERROR(VLOOKUP(B142,Baza[[№]:[Profit]],20,0),"")</f>
        <v/>
      </c>
      <c r="W142" s="41" t="str">
        <f>IFERROR(IF(VLOOKUP(B142,Baza[[№]:[Profit]],21,0)=0,"-",VLOOKUP(B142,Baza[[№]:[Profit]],21,0)),"")</f>
        <v/>
      </c>
      <c r="X142" s="45" t="str">
        <f>IFERROR(IF(VLOOKUP(B142,Baza[[№]:[Profit]],22,0)=0,"-",VLOOKUP(B142,Baza[[№]:[Profit]],22,0)),"")</f>
        <v/>
      </c>
      <c r="Y142" s="45" t="str">
        <f>IFERROR(VLOOKUP(B142,Baza[[№]:[Profit]],23,0),"")</f>
        <v/>
      </c>
      <c r="Z142" s="44" t="str">
        <f>IFERROR(VLOOKUP(B142,Baza[[№]:[AFS]],24,0),"")</f>
        <v/>
      </c>
      <c r="AA142" s="45" t="str">
        <f>IF(Таблица2[[#This Row],[Profit]]="","#Н/Д",SUM($Y$40:Y142))</f>
        <v>#Н/Д</v>
      </c>
      <c r="AB142" s="45" t="b">
        <f>IF(Таблица2[[#This Row],[Grafik]]="#Н/Д",FALSE,TRUE)</f>
        <v>0</v>
      </c>
    </row>
    <row r="143" spans="1:28" ht="11.1" hidden="1" customHeight="1" x14ac:dyDescent="0.25">
      <c r="A143" s="93">
        <f t="shared" si="1"/>
        <v>104</v>
      </c>
      <c r="B143"/>
      <c r="C143" s="41" t="str">
        <f>IFERROR(VLOOKUP(B143,Baza[[№]:[Profit]],2,0),"")</f>
        <v/>
      </c>
      <c r="D14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4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43" s="43" t="str">
        <f>IFERROR(VLOOKUP(B143,Baza[[№]:[Profit]],3,0),"")</f>
        <v/>
      </c>
      <c r="G143" s="43" t="str">
        <f>IFERROR(VLOOKUP(B143,Baza[[№]:[Profit]],4,0),"")</f>
        <v/>
      </c>
      <c r="H143" s="43" t="str">
        <f>IFERROR(VLOOKUP(B143,Baza[[№]:[Profit]],5,0),"")</f>
        <v/>
      </c>
      <c r="I143" s="46" t="str">
        <f>IFERROR(VLOOKUP(B143,Baza[[№]:[Profit]],6,0),"")</f>
        <v/>
      </c>
      <c r="J143" s="49" t="str">
        <f>IFERROR(VLOOKUP(B143,Baza[[№]:[Profit]],7,0),"")</f>
        <v/>
      </c>
      <c r="K143" s="43" t="str">
        <f>IFERROR(VLOOKUP(B143,Baza[[№]:[Profit]],8,0),"")</f>
        <v/>
      </c>
      <c r="L143" s="43" t="str">
        <f>IFERROR(VLOOKUP(B143,Baza[[№]:[Profit]],9,0),"")</f>
        <v/>
      </c>
      <c r="M143" s="43" t="str">
        <f>IFERROR(VLOOKUP(B143,Baza[[№]:[Profit]],10,0),"")</f>
        <v/>
      </c>
      <c r="N143" s="43" t="str">
        <f>IFERROR(IF(VLOOKUP(B143,Baza[[№]:[Profit]],11,0)=0,"-",VLOOKUP(B143,Baza[[№]:[Profit]],11,0)),"")</f>
        <v/>
      </c>
      <c r="O143" s="43" t="str">
        <f>IFERROR(IF(VLOOKUP(B143,Baza[[№]:[Profit]],12,0)=0,"-",VLOOKUP(B143,Baza[[№]:[Profit]],12,0)),"")</f>
        <v/>
      </c>
      <c r="P143" s="43" t="str">
        <f>IFERROR(IF(VLOOKUP(B143,Baza[[№]:[Profit]],13,0)=0,"-",VLOOKUP(B143,Baza[[№]:[Profit]],13,0)),"")</f>
        <v/>
      </c>
      <c r="Q143" s="43" t="str">
        <f>IFERROR(IF(VLOOKUP(B143,Baza[[№]:[Profit]],15,0)=0,"-",VLOOKUP(B143,Baza[[№]:[Profit]],15,0)),"")</f>
        <v/>
      </c>
      <c r="R143" s="43" t="str">
        <f>IFERROR(IF(VLOOKUP(B143,Baza[[№]:[Profit]],16,0)=0,"-",VLOOKUP(B143,Baza[[№]:[Profit]],16,0)),"")</f>
        <v/>
      </c>
      <c r="S143" s="43" t="str">
        <f>IFERROR(IF(VLOOKUP(B143,Baza[[№]:[Profit]],17,0)=0,"-",VLOOKUP(B143,Baza[[№]:[Profit]],17,0)),"")</f>
        <v/>
      </c>
      <c r="T143" s="43" t="str">
        <f>IFERROR(IF(VLOOKUP(B143,Baza[[№]:[Profit]],18,0)=0,"-",VLOOKUP(B143,Baza[[№]:[Profit]],18,0)),"")</f>
        <v/>
      </c>
      <c r="U143" s="41" t="str">
        <f>IFERROR(IF(VLOOKUP(B143,Baza[[№]:[Profit]],19,0)=0,"-",VLOOKUP(B143,Baza[[№]:[Profit]],19,0)),"")</f>
        <v/>
      </c>
      <c r="V143" s="41" t="str">
        <f>IFERROR(VLOOKUP(B143,Baza[[№]:[Profit]],20,0),"")</f>
        <v/>
      </c>
      <c r="W143" s="41" t="str">
        <f>IFERROR(IF(VLOOKUP(B143,Baza[[№]:[Profit]],21,0)=0,"-",VLOOKUP(B143,Baza[[№]:[Profit]],21,0)),"")</f>
        <v/>
      </c>
      <c r="X143" s="45" t="str">
        <f>IFERROR(IF(VLOOKUP(B143,Baza[[№]:[Profit]],22,0)=0,"-",VLOOKUP(B143,Baza[[№]:[Profit]],22,0)),"")</f>
        <v/>
      </c>
      <c r="Y143" s="45" t="str">
        <f>IFERROR(VLOOKUP(B143,Baza[[№]:[Profit]],23,0),"")</f>
        <v/>
      </c>
      <c r="Z143" s="44" t="str">
        <f>IFERROR(VLOOKUP(B143,Baza[[№]:[AFS]],24,0),"")</f>
        <v/>
      </c>
      <c r="AA143" s="45" t="str">
        <f>IF(Таблица2[[#This Row],[Profit]]="","#Н/Д",SUM($Y$40:Y143))</f>
        <v>#Н/Д</v>
      </c>
      <c r="AB143" s="45" t="b">
        <f>IF(Таблица2[[#This Row],[Grafik]]="#Н/Д",FALSE,TRUE)</f>
        <v>0</v>
      </c>
    </row>
    <row r="144" spans="1:28" ht="11.1" hidden="1" customHeight="1" x14ac:dyDescent="0.25">
      <c r="A144" s="93">
        <f t="shared" si="1"/>
        <v>105</v>
      </c>
      <c r="B144"/>
      <c r="C144" s="41" t="str">
        <f>IFERROR(VLOOKUP(B144,Baza[[№]:[Profit]],2,0),"")</f>
        <v/>
      </c>
      <c r="D14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4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44" s="43" t="str">
        <f>IFERROR(VLOOKUP(B144,Baza[[№]:[Profit]],3,0),"")</f>
        <v/>
      </c>
      <c r="G144" s="43" t="str">
        <f>IFERROR(VLOOKUP(B144,Baza[[№]:[Profit]],4,0),"")</f>
        <v/>
      </c>
      <c r="H144" s="43" t="str">
        <f>IFERROR(VLOOKUP(B144,Baza[[№]:[Profit]],5,0),"")</f>
        <v/>
      </c>
      <c r="I144" s="46" t="str">
        <f>IFERROR(VLOOKUP(B144,Baza[[№]:[Profit]],6,0),"")</f>
        <v/>
      </c>
      <c r="J144" s="49" t="str">
        <f>IFERROR(VLOOKUP(B144,Baza[[№]:[Profit]],7,0),"")</f>
        <v/>
      </c>
      <c r="K144" s="43" t="str">
        <f>IFERROR(VLOOKUP(B144,Baza[[№]:[Profit]],8,0),"")</f>
        <v/>
      </c>
      <c r="L144" s="43" t="str">
        <f>IFERROR(VLOOKUP(B144,Baza[[№]:[Profit]],9,0),"")</f>
        <v/>
      </c>
      <c r="M144" s="43" t="str">
        <f>IFERROR(VLOOKUP(B144,Baza[[№]:[Profit]],10,0),"")</f>
        <v/>
      </c>
      <c r="N144" s="43" t="str">
        <f>IFERROR(IF(VLOOKUP(B144,Baza[[№]:[Profit]],11,0)=0,"-",VLOOKUP(B144,Baza[[№]:[Profit]],11,0)),"")</f>
        <v/>
      </c>
      <c r="O144" s="43" t="str">
        <f>IFERROR(IF(VLOOKUP(B144,Baza[[№]:[Profit]],12,0)=0,"-",VLOOKUP(B144,Baza[[№]:[Profit]],12,0)),"")</f>
        <v/>
      </c>
      <c r="P144" s="43" t="str">
        <f>IFERROR(IF(VLOOKUP(B144,Baza[[№]:[Profit]],13,0)=0,"-",VLOOKUP(B144,Baza[[№]:[Profit]],13,0)),"")</f>
        <v/>
      </c>
      <c r="Q144" s="43" t="str">
        <f>IFERROR(IF(VLOOKUP(B144,Baza[[№]:[Profit]],15,0)=0,"-",VLOOKUP(B144,Baza[[№]:[Profit]],15,0)),"")</f>
        <v/>
      </c>
      <c r="R144" s="43" t="str">
        <f>IFERROR(IF(VLOOKUP(B144,Baza[[№]:[Profit]],16,0)=0,"-",VLOOKUP(B144,Baza[[№]:[Profit]],16,0)),"")</f>
        <v/>
      </c>
      <c r="S144" s="43" t="str">
        <f>IFERROR(IF(VLOOKUP(B144,Baza[[№]:[Profit]],17,0)=0,"-",VLOOKUP(B144,Baza[[№]:[Profit]],17,0)),"")</f>
        <v/>
      </c>
      <c r="T144" s="43" t="str">
        <f>IFERROR(IF(VLOOKUP(B144,Baza[[№]:[Profit]],18,0)=0,"-",VLOOKUP(B144,Baza[[№]:[Profit]],18,0)),"")</f>
        <v/>
      </c>
      <c r="U144" s="41" t="str">
        <f>IFERROR(IF(VLOOKUP(B144,Baza[[№]:[Profit]],19,0)=0,"-",VLOOKUP(B144,Baza[[№]:[Profit]],19,0)),"")</f>
        <v/>
      </c>
      <c r="V144" s="41" t="str">
        <f>IFERROR(VLOOKUP(B144,Baza[[№]:[Profit]],20,0),"")</f>
        <v/>
      </c>
      <c r="W144" s="41" t="str">
        <f>IFERROR(IF(VLOOKUP(B144,Baza[[№]:[Profit]],21,0)=0,"-",VLOOKUP(B144,Baza[[№]:[Profit]],21,0)),"")</f>
        <v/>
      </c>
      <c r="X144" s="45" t="str">
        <f>IFERROR(IF(VLOOKUP(B144,Baza[[№]:[Profit]],22,0)=0,"-",VLOOKUP(B144,Baza[[№]:[Profit]],22,0)),"")</f>
        <v/>
      </c>
      <c r="Y144" s="45" t="str">
        <f>IFERROR(VLOOKUP(B144,Baza[[№]:[Profit]],23,0),"")</f>
        <v/>
      </c>
      <c r="Z144" s="44" t="str">
        <f>IFERROR(VLOOKUP(B144,Baza[[№]:[AFS]],24,0),"")</f>
        <v/>
      </c>
      <c r="AA144" s="45" t="str">
        <f>IF(Таблица2[[#This Row],[Profit]]="","#Н/Д",SUM($Y$40:Y144))</f>
        <v>#Н/Д</v>
      </c>
      <c r="AB144" s="45" t="b">
        <f>IF(Таблица2[[#This Row],[Grafik]]="#Н/Д",FALSE,TRUE)</f>
        <v>0</v>
      </c>
    </row>
    <row r="145" spans="1:28" ht="11.1" hidden="1" customHeight="1" x14ac:dyDescent="0.25">
      <c r="A145" s="93">
        <f t="shared" si="1"/>
        <v>106</v>
      </c>
      <c r="B145"/>
      <c r="C145" s="41" t="str">
        <f>IFERROR(VLOOKUP(B145,Baza[[№]:[Profit]],2,0),"")</f>
        <v/>
      </c>
      <c r="D14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4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45" s="43" t="str">
        <f>IFERROR(VLOOKUP(B145,Baza[[№]:[Profit]],3,0),"")</f>
        <v/>
      </c>
      <c r="G145" s="43" t="str">
        <f>IFERROR(VLOOKUP(B145,Baza[[№]:[Profit]],4,0),"")</f>
        <v/>
      </c>
      <c r="H145" s="43" t="str">
        <f>IFERROR(VLOOKUP(B145,Baza[[№]:[Profit]],5,0),"")</f>
        <v/>
      </c>
      <c r="I145" s="46" t="str">
        <f>IFERROR(VLOOKUP(B145,Baza[[№]:[Profit]],6,0),"")</f>
        <v/>
      </c>
      <c r="J145" s="49" t="str">
        <f>IFERROR(VLOOKUP(B145,Baza[[№]:[Profit]],7,0),"")</f>
        <v/>
      </c>
      <c r="K145" s="43" t="str">
        <f>IFERROR(VLOOKUP(B145,Baza[[№]:[Profit]],8,0),"")</f>
        <v/>
      </c>
      <c r="L145" s="43" t="str">
        <f>IFERROR(VLOOKUP(B145,Baza[[№]:[Profit]],9,0),"")</f>
        <v/>
      </c>
      <c r="M145" s="43" t="str">
        <f>IFERROR(VLOOKUP(B145,Baza[[№]:[Profit]],10,0),"")</f>
        <v/>
      </c>
      <c r="N145" s="43" t="str">
        <f>IFERROR(IF(VLOOKUP(B145,Baza[[№]:[Profit]],11,0)=0,"-",VLOOKUP(B145,Baza[[№]:[Profit]],11,0)),"")</f>
        <v/>
      </c>
      <c r="O145" s="43" t="str">
        <f>IFERROR(IF(VLOOKUP(B145,Baza[[№]:[Profit]],12,0)=0,"-",VLOOKUP(B145,Baza[[№]:[Profit]],12,0)),"")</f>
        <v/>
      </c>
      <c r="P145" s="43" t="str">
        <f>IFERROR(IF(VLOOKUP(B145,Baza[[№]:[Profit]],13,0)=0,"-",VLOOKUP(B145,Baza[[№]:[Profit]],13,0)),"")</f>
        <v/>
      </c>
      <c r="Q145" s="43" t="str">
        <f>IFERROR(IF(VLOOKUP(B145,Baza[[№]:[Profit]],15,0)=0,"-",VLOOKUP(B145,Baza[[№]:[Profit]],15,0)),"")</f>
        <v/>
      </c>
      <c r="R145" s="43" t="str">
        <f>IFERROR(IF(VLOOKUP(B145,Baza[[№]:[Profit]],16,0)=0,"-",VLOOKUP(B145,Baza[[№]:[Profit]],16,0)),"")</f>
        <v/>
      </c>
      <c r="S145" s="43" t="str">
        <f>IFERROR(IF(VLOOKUP(B145,Baza[[№]:[Profit]],17,0)=0,"-",VLOOKUP(B145,Baza[[№]:[Profit]],17,0)),"")</f>
        <v/>
      </c>
      <c r="T145" s="43" t="str">
        <f>IFERROR(IF(VLOOKUP(B145,Baza[[№]:[Profit]],18,0)=0,"-",VLOOKUP(B145,Baza[[№]:[Profit]],18,0)),"")</f>
        <v/>
      </c>
      <c r="U145" s="41" t="str">
        <f>IFERROR(IF(VLOOKUP(B145,Baza[[№]:[Profit]],19,0)=0,"-",VLOOKUP(B145,Baza[[№]:[Profit]],19,0)),"")</f>
        <v/>
      </c>
      <c r="V145" s="41" t="str">
        <f>IFERROR(VLOOKUP(B145,Baza[[№]:[Profit]],20,0),"")</f>
        <v/>
      </c>
      <c r="W145" s="41" t="str">
        <f>IFERROR(IF(VLOOKUP(B145,Baza[[№]:[Profit]],21,0)=0,"-",VLOOKUP(B145,Baza[[№]:[Profit]],21,0)),"")</f>
        <v/>
      </c>
      <c r="X145" s="45" t="str">
        <f>IFERROR(IF(VLOOKUP(B145,Baza[[№]:[Profit]],22,0)=0,"-",VLOOKUP(B145,Baza[[№]:[Profit]],22,0)),"")</f>
        <v/>
      </c>
      <c r="Y145" s="45" t="str">
        <f>IFERROR(VLOOKUP(B145,Baza[[№]:[Profit]],23,0),"")</f>
        <v/>
      </c>
      <c r="Z145" s="44" t="str">
        <f>IFERROR(VLOOKUP(B145,Baza[[№]:[AFS]],24,0),"")</f>
        <v/>
      </c>
      <c r="AA145" s="45" t="str">
        <f>IF(Таблица2[[#This Row],[Profit]]="","#Н/Д",SUM($Y$40:Y145))</f>
        <v>#Н/Д</v>
      </c>
      <c r="AB145" s="45" t="b">
        <f>IF(Таблица2[[#This Row],[Grafik]]="#Н/Д",FALSE,TRUE)</f>
        <v>0</v>
      </c>
    </row>
    <row r="146" spans="1:28" ht="11.1" hidden="1" customHeight="1" x14ac:dyDescent="0.25">
      <c r="A146" s="93">
        <f t="shared" si="1"/>
        <v>107</v>
      </c>
      <c r="B146"/>
      <c r="C146" s="41" t="str">
        <f>IFERROR(VLOOKUP(B146,Baza[[№]:[Profit]],2,0),"")</f>
        <v/>
      </c>
      <c r="D14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4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46" s="43" t="str">
        <f>IFERROR(VLOOKUP(B146,Baza[[№]:[Profit]],3,0),"")</f>
        <v/>
      </c>
      <c r="G146" s="43" t="str">
        <f>IFERROR(VLOOKUP(B146,Baza[[№]:[Profit]],4,0),"")</f>
        <v/>
      </c>
      <c r="H146" s="43" t="str">
        <f>IFERROR(VLOOKUP(B146,Baza[[№]:[Profit]],5,0),"")</f>
        <v/>
      </c>
      <c r="I146" s="46" t="str">
        <f>IFERROR(VLOOKUP(B146,Baza[[№]:[Profit]],6,0),"")</f>
        <v/>
      </c>
      <c r="J146" s="49" t="str">
        <f>IFERROR(VLOOKUP(B146,Baza[[№]:[Profit]],7,0),"")</f>
        <v/>
      </c>
      <c r="K146" s="43" t="str">
        <f>IFERROR(VLOOKUP(B146,Baza[[№]:[Profit]],8,0),"")</f>
        <v/>
      </c>
      <c r="L146" s="43" t="str">
        <f>IFERROR(VLOOKUP(B146,Baza[[№]:[Profit]],9,0),"")</f>
        <v/>
      </c>
      <c r="M146" s="43" t="str">
        <f>IFERROR(VLOOKUP(B146,Baza[[№]:[Profit]],10,0),"")</f>
        <v/>
      </c>
      <c r="N146" s="43" t="str">
        <f>IFERROR(IF(VLOOKUP(B146,Baza[[№]:[Profit]],11,0)=0,"-",VLOOKUP(B146,Baza[[№]:[Profit]],11,0)),"")</f>
        <v/>
      </c>
      <c r="O146" s="43" t="str">
        <f>IFERROR(IF(VLOOKUP(B146,Baza[[№]:[Profit]],12,0)=0,"-",VLOOKUP(B146,Baza[[№]:[Profit]],12,0)),"")</f>
        <v/>
      </c>
      <c r="P146" s="43" t="str">
        <f>IFERROR(IF(VLOOKUP(B146,Baza[[№]:[Profit]],13,0)=0,"-",VLOOKUP(B146,Baza[[№]:[Profit]],13,0)),"")</f>
        <v/>
      </c>
      <c r="Q146" s="43" t="str">
        <f>IFERROR(IF(VLOOKUP(B146,Baza[[№]:[Profit]],15,0)=0,"-",VLOOKUP(B146,Baza[[№]:[Profit]],15,0)),"")</f>
        <v/>
      </c>
      <c r="R146" s="43" t="str">
        <f>IFERROR(IF(VLOOKUP(B146,Baza[[№]:[Profit]],16,0)=0,"-",VLOOKUP(B146,Baza[[№]:[Profit]],16,0)),"")</f>
        <v/>
      </c>
      <c r="S146" s="43" t="str">
        <f>IFERROR(IF(VLOOKUP(B146,Baza[[№]:[Profit]],17,0)=0,"-",VLOOKUP(B146,Baza[[№]:[Profit]],17,0)),"")</f>
        <v/>
      </c>
      <c r="T146" s="43" t="str">
        <f>IFERROR(IF(VLOOKUP(B146,Baza[[№]:[Profit]],18,0)=0,"-",VLOOKUP(B146,Baza[[№]:[Profit]],18,0)),"")</f>
        <v/>
      </c>
      <c r="U146" s="41" t="str">
        <f>IFERROR(IF(VLOOKUP(B146,Baza[[№]:[Profit]],19,0)=0,"-",VLOOKUP(B146,Baza[[№]:[Profit]],19,0)),"")</f>
        <v/>
      </c>
      <c r="V146" s="41" t="str">
        <f>IFERROR(VLOOKUP(B146,Baza[[№]:[Profit]],20,0),"")</f>
        <v/>
      </c>
      <c r="W146" s="41" t="str">
        <f>IFERROR(IF(VLOOKUP(B146,Baza[[№]:[Profit]],21,0)=0,"-",VLOOKUP(B146,Baza[[№]:[Profit]],21,0)),"")</f>
        <v/>
      </c>
      <c r="X146" s="45" t="str">
        <f>IFERROR(IF(VLOOKUP(B146,Baza[[№]:[Profit]],22,0)=0,"-",VLOOKUP(B146,Baza[[№]:[Profit]],22,0)),"")</f>
        <v/>
      </c>
      <c r="Y146" s="45" t="str">
        <f>IFERROR(VLOOKUP(B146,Baza[[№]:[Profit]],23,0),"")</f>
        <v/>
      </c>
      <c r="Z146" s="44" t="str">
        <f>IFERROR(VLOOKUP(B146,Baza[[№]:[AFS]],24,0),"")</f>
        <v/>
      </c>
      <c r="AA146" s="45" t="str">
        <f>IF(Таблица2[[#This Row],[Profit]]="","#Н/Д",SUM($Y$40:Y146))</f>
        <v>#Н/Д</v>
      </c>
      <c r="AB146" s="45" t="b">
        <f>IF(Таблица2[[#This Row],[Grafik]]="#Н/Д",FALSE,TRUE)</f>
        <v>0</v>
      </c>
    </row>
    <row r="147" spans="1:28" ht="11.1" hidden="1" customHeight="1" x14ac:dyDescent="0.25">
      <c r="A147" s="93">
        <f t="shared" si="1"/>
        <v>108</v>
      </c>
      <c r="B147"/>
      <c r="C147" s="41" t="str">
        <f>IFERROR(VLOOKUP(B147,Baza[[№]:[Profit]],2,0),"")</f>
        <v/>
      </c>
      <c r="D14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4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47" s="43" t="str">
        <f>IFERROR(VLOOKUP(B147,Baza[[№]:[Profit]],3,0),"")</f>
        <v/>
      </c>
      <c r="G147" s="43" t="str">
        <f>IFERROR(VLOOKUP(B147,Baza[[№]:[Profit]],4,0),"")</f>
        <v/>
      </c>
      <c r="H147" s="43" t="str">
        <f>IFERROR(VLOOKUP(B147,Baza[[№]:[Profit]],5,0),"")</f>
        <v/>
      </c>
      <c r="I147" s="46" t="str">
        <f>IFERROR(VLOOKUP(B147,Baza[[№]:[Profit]],6,0),"")</f>
        <v/>
      </c>
      <c r="J147" s="49" t="str">
        <f>IFERROR(VLOOKUP(B147,Baza[[№]:[Profit]],7,0),"")</f>
        <v/>
      </c>
      <c r="K147" s="43" t="str">
        <f>IFERROR(VLOOKUP(B147,Baza[[№]:[Profit]],8,0),"")</f>
        <v/>
      </c>
      <c r="L147" s="43" t="str">
        <f>IFERROR(VLOOKUP(B147,Baza[[№]:[Profit]],9,0),"")</f>
        <v/>
      </c>
      <c r="M147" s="43" t="str">
        <f>IFERROR(VLOOKUP(B147,Baza[[№]:[Profit]],10,0),"")</f>
        <v/>
      </c>
      <c r="N147" s="43" t="str">
        <f>IFERROR(IF(VLOOKUP(B147,Baza[[№]:[Profit]],11,0)=0,"-",VLOOKUP(B147,Baza[[№]:[Profit]],11,0)),"")</f>
        <v/>
      </c>
      <c r="O147" s="43" t="str">
        <f>IFERROR(IF(VLOOKUP(B147,Baza[[№]:[Profit]],12,0)=0,"-",VLOOKUP(B147,Baza[[№]:[Profit]],12,0)),"")</f>
        <v/>
      </c>
      <c r="P147" s="43" t="str">
        <f>IFERROR(IF(VLOOKUP(B147,Baza[[№]:[Profit]],13,0)=0,"-",VLOOKUP(B147,Baza[[№]:[Profit]],13,0)),"")</f>
        <v/>
      </c>
      <c r="Q147" s="43" t="str">
        <f>IFERROR(IF(VLOOKUP(B147,Baza[[№]:[Profit]],15,0)=0,"-",VLOOKUP(B147,Baza[[№]:[Profit]],15,0)),"")</f>
        <v/>
      </c>
      <c r="R147" s="43" t="str">
        <f>IFERROR(IF(VLOOKUP(B147,Baza[[№]:[Profit]],16,0)=0,"-",VLOOKUP(B147,Baza[[№]:[Profit]],16,0)),"")</f>
        <v/>
      </c>
      <c r="S147" s="43" t="str">
        <f>IFERROR(IF(VLOOKUP(B147,Baza[[№]:[Profit]],17,0)=0,"-",VLOOKUP(B147,Baza[[№]:[Profit]],17,0)),"")</f>
        <v/>
      </c>
      <c r="T147" s="43" t="str">
        <f>IFERROR(IF(VLOOKUP(B147,Baza[[№]:[Profit]],18,0)=0,"-",VLOOKUP(B147,Baza[[№]:[Profit]],18,0)),"")</f>
        <v/>
      </c>
      <c r="U147" s="41" t="str">
        <f>IFERROR(IF(VLOOKUP(B147,Baza[[№]:[Profit]],19,0)=0,"-",VLOOKUP(B147,Baza[[№]:[Profit]],19,0)),"")</f>
        <v/>
      </c>
      <c r="V147" s="41" t="str">
        <f>IFERROR(VLOOKUP(B147,Baza[[№]:[Profit]],20,0),"")</f>
        <v/>
      </c>
      <c r="W147" s="41" t="str">
        <f>IFERROR(IF(VLOOKUP(B147,Baza[[№]:[Profit]],21,0)=0,"-",VLOOKUP(B147,Baza[[№]:[Profit]],21,0)),"")</f>
        <v/>
      </c>
      <c r="X147" s="45" t="str">
        <f>IFERROR(IF(VLOOKUP(B147,Baza[[№]:[Profit]],22,0)=0,"-",VLOOKUP(B147,Baza[[№]:[Profit]],22,0)),"")</f>
        <v/>
      </c>
      <c r="Y147" s="45" t="str">
        <f>IFERROR(VLOOKUP(B147,Baza[[№]:[Profit]],23,0),"")</f>
        <v/>
      </c>
      <c r="Z147" s="44" t="str">
        <f>IFERROR(VLOOKUP(B147,Baza[[№]:[AFS]],24,0),"")</f>
        <v/>
      </c>
      <c r="AA147" s="45" t="str">
        <f>IF(Таблица2[[#This Row],[Profit]]="","#Н/Д",SUM($Y$40:Y147))</f>
        <v>#Н/Д</v>
      </c>
      <c r="AB147" s="45" t="b">
        <f>IF(Таблица2[[#This Row],[Grafik]]="#Н/Д",FALSE,TRUE)</f>
        <v>0</v>
      </c>
    </row>
    <row r="148" spans="1:28" ht="11.1" hidden="1" customHeight="1" x14ac:dyDescent="0.25">
      <c r="A148" s="93">
        <f t="shared" si="1"/>
        <v>109</v>
      </c>
      <c r="B148"/>
      <c r="C148" s="41" t="str">
        <f>IFERROR(VLOOKUP(B148,Baza[[№]:[Profit]],2,0),"")</f>
        <v/>
      </c>
      <c r="D14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4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48" s="43" t="str">
        <f>IFERROR(VLOOKUP(B148,Baza[[№]:[Profit]],3,0),"")</f>
        <v/>
      </c>
      <c r="G148" s="43" t="str">
        <f>IFERROR(VLOOKUP(B148,Baza[[№]:[Profit]],4,0),"")</f>
        <v/>
      </c>
      <c r="H148" s="43" t="str">
        <f>IFERROR(VLOOKUP(B148,Baza[[№]:[Profit]],5,0),"")</f>
        <v/>
      </c>
      <c r="I148" s="46" t="str">
        <f>IFERROR(VLOOKUP(B148,Baza[[№]:[Profit]],6,0),"")</f>
        <v/>
      </c>
      <c r="J148" s="49" t="str">
        <f>IFERROR(VLOOKUP(B148,Baza[[№]:[Profit]],7,0),"")</f>
        <v/>
      </c>
      <c r="K148" s="43" t="str">
        <f>IFERROR(VLOOKUP(B148,Baza[[№]:[Profit]],8,0),"")</f>
        <v/>
      </c>
      <c r="L148" s="43" t="str">
        <f>IFERROR(VLOOKUP(B148,Baza[[№]:[Profit]],9,0),"")</f>
        <v/>
      </c>
      <c r="M148" s="43" t="str">
        <f>IFERROR(VLOOKUP(B148,Baza[[№]:[Profit]],10,0),"")</f>
        <v/>
      </c>
      <c r="N148" s="43" t="str">
        <f>IFERROR(IF(VLOOKUP(B148,Baza[[№]:[Profit]],11,0)=0,"-",VLOOKUP(B148,Baza[[№]:[Profit]],11,0)),"")</f>
        <v/>
      </c>
      <c r="O148" s="43" t="str">
        <f>IFERROR(IF(VLOOKUP(B148,Baza[[№]:[Profit]],12,0)=0,"-",VLOOKUP(B148,Baza[[№]:[Profit]],12,0)),"")</f>
        <v/>
      </c>
      <c r="P148" s="43" t="str">
        <f>IFERROR(IF(VLOOKUP(B148,Baza[[№]:[Profit]],13,0)=0,"-",VLOOKUP(B148,Baza[[№]:[Profit]],13,0)),"")</f>
        <v/>
      </c>
      <c r="Q148" s="43" t="str">
        <f>IFERROR(IF(VLOOKUP(B148,Baza[[№]:[Profit]],15,0)=0,"-",VLOOKUP(B148,Baza[[№]:[Profit]],15,0)),"")</f>
        <v/>
      </c>
      <c r="R148" s="43" t="str">
        <f>IFERROR(IF(VLOOKUP(B148,Baza[[№]:[Profit]],16,0)=0,"-",VLOOKUP(B148,Baza[[№]:[Profit]],16,0)),"")</f>
        <v/>
      </c>
      <c r="S148" s="43" t="str">
        <f>IFERROR(IF(VLOOKUP(B148,Baza[[№]:[Profit]],17,0)=0,"-",VLOOKUP(B148,Baza[[№]:[Profit]],17,0)),"")</f>
        <v/>
      </c>
      <c r="T148" s="43" t="str">
        <f>IFERROR(IF(VLOOKUP(B148,Baza[[№]:[Profit]],18,0)=0,"-",VLOOKUP(B148,Baza[[№]:[Profit]],18,0)),"")</f>
        <v/>
      </c>
      <c r="U148" s="41" t="str">
        <f>IFERROR(IF(VLOOKUP(B148,Baza[[№]:[Profit]],19,0)=0,"-",VLOOKUP(B148,Baza[[№]:[Profit]],19,0)),"")</f>
        <v/>
      </c>
      <c r="V148" s="41" t="str">
        <f>IFERROR(VLOOKUP(B148,Baza[[№]:[Profit]],20,0),"")</f>
        <v/>
      </c>
      <c r="W148" s="41" t="str">
        <f>IFERROR(IF(VLOOKUP(B148,Baza[[№]:[Profit]],21,0)=0,"-",VLOOKUP(B148,Baza[[№]:[Profit]],21,0)),"")</f>
        <v/>
      </c>
      <c r="X148" s="45" t="str">
        <f>IFERROR(IF(VLOOKUP(B148,Baza[[№]:[Profit]],22,0)=0,"-",VLOOKUP(B148,Baza[[№]:[Profit]],22,0)),"")</f>
        <v/>
      </c>
      <c r="Y148" s="45" t="str">
        <f>IFERROR(VLOOKUP(B148,Baza[[№]:[Profit]],23,0),"")</f>
        <v/>
      </c>
      <c r="Z148" s="44" t="str">
        <f>IFERROR(VLOOKUP(B148,Baza[[№]:[AFS]],24,0),"")</f>
        <v/>
      </c>
      <c r="AA148" s="45" t="str">
        <f>IF(Таблица2[[#This Row],[Profit]]="","#Н/Д",SUM($Y$40:Y148))</f>
        <v>#Н/Д</v>
      </c>
      <c r="AB148" s="45" t="b">
        <f>IF(Таблица2[[#This Row],[Grafik]]="#Н/Д",FALSE,TRUE)</f>
        <v>0</v>
      </c>
    </row>
    <row r="149" spans="1:28" ht="11.1" hidden="1" customHeight="1" x14ac:dyDescent="0.25">
      <c r="A149" s="93">
        <f t="shared" si="1"/>
        <v>110</v>
      </c>
      <c r="B149"/>
      <c r="C149" s="41" t="str">
        <f>IFERROR(VLOOKUP(B149,Baza[[№]:[Profit]],2,0),"")</f>
        <v/>
      </c>
      <c r="D14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4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49" s="43" t="str">
        <f>IFERROR(VLOOKUP(B149,Baza[[№]:[Profit]],3,0),"")</f>
        <v/>
      </c>
      <c r="G149" s="43" t="str">
        <f>IFERROR(VLOOKUP(B149,Baza[[№]:[Profit]],4,0),"")</f>
        <v/>
      </c>
      <c r="H149" s="43" t="str">
        <f>IFERROR(VLOOKUP(B149,Baza[[№]:[Profit]],5,0),"")</f>
        <v/>
      </c>
      <c r="I149" s="46" t="str">
        <f>IFERROR(VLOOKUP(B149,Baza[[№]:[Profit]],6,0),"")</f>
        <v/>
      </c>
      <c r="J149" s="49" t="str">
        <f>IFERROR(VLOOKUP(B149,Baza[[№]:[Profit]],7,0),"")</f>
        <v/>
      </c>
      <c r="K149" s="43" t="str">
        <f>IFERROR(VLOOKUP(B149,Baza[[№]:[Profit]],8,0),"")</f>
        <v/>
      </c>
      <c r="L149" s="43" t="str">
        <f>IFERROR(VLOOKUP(B149,Baza[[№]:[Profit]],9,0),"")</f>
        <v/>
      </c>
      <c r="M149" s="43" t="str">
        <f>IFERROR(VLOOKUP(B149,Baza[[№]:[Profit]],10,0),"")</f>
        <v/>
      </c>
      <c r="N149" s="43" t="str">
        <f>IFERROR(IF(VLOOKUP(B149,Baza[[№]:[Profit]],11,0)=0,"-",VLOOKUP(B149,Baza[[№]:[Profit]],11,0)),"")</f>
        <v/>
      </c>
      <c r="O149" s="43" t="str">
        <f>IFERROR(IF(VLOOKUP(B149,Baza[[№]:[Profit]],12,0)=0,"-",VLOOKUP(B149,Baza[[№]:[Profit]],12,0)),"")</f>
        <v/>
      </c>
      <c r="P149" s="43" t="str">
        <f>IFERROR(IF(VLOOKUP(B149,Baza[[№]:[Profit]],13,0)=0,"-",VLOOKUP(B149,Baza[[№]:[Profit]],13,0)),"")</f>
        <v/>
      </c>
      <c r="Q149" s="43" t="str">
        <f>IFERROR(IF(VLOOKUP(B149,Baza[[№]:[Profit]],15,0)=0,"-",VLOOKUP(B149,Baza[[№]:[Profit]],15,0)),"")</f>
        <v/>
      </c>
      <c r="R149" s="43" t="str">
        <f>IFERROR(IF(VLOOKUP(B149,Baza[[№]:[Profit]],16,0)=0,"-",VLOOKUP(B149,Baza[[№]:[Profit]],16,0)),"")</f>
        <v/>
      </c>
      <c r="S149" s="43" t="str">
        <f>IFERROR(IF(VLOOKUP(B149,Baza[[№]:[Profit]],17,0)=0,"-",VLOOKUP(B149,Baza[[№]:[Profit]],17,0)),"")</f>
        <v/>
      </c>
      <c r="T149" s="43" t="str">
        <f>IFERROR(IF(VLOOKUP(B149,Baza[[№]:[Profit]],18,0)=0,"-",VLOOKUP(B149,Baza[[№]:[Profit]],18,0)),"")</f>
        <v/>
      </c>
      <c r="U149" s="41" t="str">
        <f>IFERROR(IF(VLOOKUP(B149,Baza[[№]:[Profit]],19,0)=0,"-",VLOOKUP(B149,Baza[[№]:[Profit]],19,0)),"")</f>
        <v/>
      </c>
      <c r="V149" s="41" t="str">
        <f>IFERROR(VLOOKUP(B149,Baza[[№]:[Profit]],20,0),"")</f>
        <v/>
      </c>
      <c r="W149" s="41" t="str">
        <f>IFERROR(IF(VLOOKUP(B149,Baza[[№]:[Profit]],21,0)=0,"-",VLOOKUP(B149,Baza[[№]:[Profit]],21,0)),"")</f>
        <v/>
      </c>
      <c r="X149" s="45" t="str">
        <f>IFERROR(IF(VLOOKUP(B149,Baza[[№]:[Profit]],22,0)=0,"-",VLOOKUP(B149,Baza[[№]:[Profit]],22,0)),"")</f>
        <v/>
      </c>
      <c r="Y149" s="45" t="str">
        <f>IFERROR(VLOOKUP(B149,Baza[[№]:[Profit]],23,0),"")</f>
        <v/>
      </c>
      <c r="Z149" s="44" t="str">
        <f>IFERROR(VLOOKUP(B149,Baza[[№]:[AFS]],24,0),"")</f>
        <v/>
      </c>
      <c r="AA149" s="45" t="str">
        <f>IF(Таблица2[[#This Row],[Profit]]="","#Н/Д",SUM($Y$40:Y149))</f>
        <v>#Н/Д</v>
      </c>
      <c r="AB149" s="45" t="b">
        <f>IF(Таблица2[[#This Row],[Grafik]]="#Н/Д",FALSE,TRUE)</f>
        <v>0</v>
      </c>
    </row>
    <row r="150" spans="1:28" ht="11.1" hidden="1" customHeight="1" x14ac:dyDescent="0.25">
      <c r="A150" s="93">
        <f t="shared" si="1"/>
        <v>111</v>
      </c>
      <c r="B150"/>
      <c r="C150" s="41" t="str">
        <f>IFERROR(VLOOKUP(B150,Baza[[№]:[Profit]],2,0),"")</f>
        <v/>
      </c>
      <c r="D15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5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50" s="43" t="str">
        <f>IFERROR(VLOOKUP(B150,Baza[[№]:[Profit]],3,0),"")</f>
        <v/>
      </c>
      <c r="G150" s="43" t="str">
        <f>IFERROR(VLOOKUP(B150,Baza[[№]:[Profit]],4,0),"")</f>
        <v/>
      </c>
      <c r="H150" s="43" t="str">
        <f>IFERROR(VLOOKUP(B150,Baza[[№]:[Profit]],5,0),"")</f>
        <v/>
      </c>
      <c r="I150" s="46" t="str">
        <f>IFERROR(VLOOKUP(B150,Baza[[№]:[Profit]],6,0),"")</f>
        <v/>
      </c>
      <c r="J150" s="49" t="str">
        <f>IFERROR(VLOOKUP(B150,Baza[[№]:[Profit]],7,0),"")</f>
        <v/>
      </c>
      <c r="K150" s="43" t="str">
        <f>IFERROR(VLOOKUP(B150,Baza[[№]:[Profit]],8,0),"")</f>
        <v/>
      </c>
      <c r="L150" s="43" t="str">
        <f>IFERROR(VLOOKUP(B150,Baza[[№]:[Profit]],9,0),"")</f>
        <v/>
      </c>
      <c r="M150" s="43" t="str">
        <f>IFERROR(VLOOKUP(B150,Baza[[№]:[Profit]],10,0),"")</f>
        <v/>
      </c>
      <c r="N150" s="43" t="str">
        <f>IFERROR(IF(VLOOKUP(B150,Baza[[№]:[Profit]],11,0)=0,"-",VLOOKUP(B150,Baza[[№]:[Profit]],11,0)),"")</f>
        <v/>
      </c>
      <c r="O150" s="43" t="str">
        <f>IFERROR(IF(VLOOKUP(B150,Baza[[№]:[Profit]],12,0)=0,"-",VLOOKUP(B150,Baza[[№]:[Profit]],12,0)),"")</f>
        <v/>
      </c>
      <c r="P150" s="43" t="str">
        <f>IFERROR(IF(VLOOKUP(B150,Baza[[№]:[Profit]],13,0)=0,"-",VLOOKUP(B150,Baza[[№]:[Profit]],13,0)),"")</f>
        <v/>
      </c>
      <c r="Q150" s="43" t="str">
        <f>IFERROR(IF(VLOOKUP(B150,Baza[[№]:[Profit]],15,0)=0,"-",VLOOKUP(B150,Baza[[№]:[Profit]],15,0)),"")</f>
        <v/>
      </c>
      <c r="R150" s="43" t="str">
        <f>IFERROR(IF(VLOOKUP(B150,Baza[[№]:[Profit]],16,0)=0,"-",VLOOKUP(B150,Baza[[№]:[Profit]],16,0)),"")</f>
        <v/>
      </c>
      <c r="S150" s="43" t="str">
        <f>IFERROR(IF(VLOOKUP(B150,Baza[[№]:[Profit]],17,0)=0,"-",VLOOKUP(B150,Baza[[№]:[Profit]],17,0)),"")</f>
        <v/>
      </c>
      <c r="T150" s="43" t="str">
        <f>IFERROR(IF(VLOOKUP(B150,Baza[[№]:[Profit]],18,0)=0,"-",VLOOKUP(B150,Baza[[№]:[Profit]],18,0)),"")</f>
        <v/>
      </c>
      <c r="U150" s="41" t="str">
        <f>IFERROR(IF(VLOOKUP(B150,Baza[[№]:[Profit]],19,0)=0,"-",VLOOKUP(B150,Baza[[№]:[Profit]],19,0)),"")</f>
        <v/>
      </c>
      <c r="V150" s="41" t="str">
        <f>IFERROR(VLOOKUP(B150,Baza[[№]:[Profit]],20,0),"")</f>
        <v/>
      </c>
      <c r="W150" s="41" t="str">
        <f>IFERROR(IF(VLOOKUP(B150,Baza[[№]:[Profit]],21,0)=0,"-",VLOOKUP(B150,Baza[[№]:[Profit]],21,0)),"")</f>
        <v/>
      </c>
      <c r="X150" s="45" t="str">
        <f>IFERROR(IF(VLOOKUP(B150,Baza[[№]:[Profit]],22,0)=0,"-",VLOOKUP(B150,Baza[[№]:[Profit]],22,0)),"")</f>
        <v/>
      </c>
      <c r="Y150" s="45" t="str">
        <f>IFERROR(VLOOKUP(B150,Baza[[№]:[Profit]],23,0),"")</f>
        <v/>
      </c>
      <c r="Z150" s="44" t="str">
        <f>IFERROR(VLOOKUP(B150,Baza[[№]:[AFS]],24,0),"")</f>
        <v/>
      </c>
      <c r="AA150" s="45" t="str">
        <f>IF(Таблица2[[#This Row],[Profit]]="","#Н/Д",SUM($Y$40:Y150))</f>
        <v>#Н/Д</v>
      </c>
      <c r="AB150" s="45" t="b">
        <f>IF(Таблица2[[#This Row],[Grafik]]="#Н/Д",FALSE,TRUE)</f>
        <v>0</v>
      </c>
    </row>
    <row r="151" spans="1:28" ht="11.1" hidden="1" customHeight="1" x14ac:dyDescent="0.25">
      <c r="A151" s="93">
        <f t="shared" si="1"/>
        <v>112</v>
      </c>
      <c r="B151"/>
      <c r="C151" s="41" t="str">
        <f>IFERROR(VLOOKUP(B151,Baza[[№]:[Profit]],2,0),"")</f>
        <v/>
      </c>
      <c r="D15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5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51" s="43" t="str">
        <f>IFERROR(VLOOKUP(B151,Baza[[№]:[Profit]],3,0),"")</f>
        <v/>
      </c>
      <c r="G151" s="43" t="str">
        <f>IFERROR(VLOOKUP(B151,Baza[[№]:[Profit]],4,0),"")</f>
        <v/>
      </c>
      <c r="H151" s="43" t="str">
        <f>IFERROR(VLOOKUP(B151,Baza[[№]:[Profit]],5,0),"")</f>
        <v/>
      </c>
      <c r="I151" s="46" t="str">
        <f>IFERROR(VLOOKUP(B151,Baza[[№]:[Profit]],6,0),"")</f>
        <v/>
      </c>
      <c r="J151" s="49" t="str">
        <f>IFERROR(VLOOKUP(B151,Baza[[№]:[Profit]],7,0),"")</f>
        <v/>
      </c>
      <c r="K151" s="43" t="str">
        <f>IFERROR(VLOOKUP(B151,Baza[[№]:[Profit]],8,0),"")</f>
        <v/>
      </c>
      <c r="L151" s="43" t="str">
        <f>IFERROR(VLOOKUP(B151,Baza[[№]:[Profit]],9,0),"")</f>
        <v/>
      </c>
      <c r="M151" s="43" t="str">
        <f>IFERROR(VLOOKUP(B151,Baza[[№]:[Profit]],10,0),"")</f>
        <v/>
      </c>
      <c r="N151" s="43" t="str">
        <f>IFERROR(IF(VLOOKUP(B151,Baza[[№]:[Profit]],11,0)=0,"-",VLOOKUP(B151,Baza[[№]:[Profit]],11,0)),"")</f>
        <v/>
      </c>
      <c r="O151" s="43" t="str">
        <f>IFERROR(IF(VLOOKUP(B151,Baza[[№]:[Profit]],12,0)=0,"-",VLOOKUP(B151,Baza[[№]:[Profit]],12,0)),"")</f>
        <v/>
      </c>
      <c r="P151" s="43" t="str">
        <f>IFERROR(IF(VLOOKUP(B151,Baza[[№]:[Profit]],13,0)=0,"-",VLOOKUP(B151,Baza[[№]:[Profit]],13,0)),"")</f>
        <v/>
      </c>
      <c r="Q151" s="43" t="str">
        <f>IFERROR(IF(VLOOKUP(B151,Baza[[№]:[Profit]],15,0)=0,"-",VLOOKUP(B151,Baza[[№]:[Profit]],15,0)),"")</f>
        <v/>
      </c>
      <c r="R151" s="43" t="str">
        <f>IFERROR(IF(VLOOKUP(B151,Baza[[№]:[Profit]],16,0)=0,"-",VLOOKUP(B151,Baza[[№]:[Profit]],16,0)),"")</f>
        <v/>
      </c>
      <c r="S151" s="43" t="str">
        <f>IFERROR(IF(VLOOKUP(B151,Baza[[№]:[Profit]],17,0)=0,"-",VLOOKUP(B151,Baza[[№]:[Profit]],17,0)),"")</f>
        <v/>
      </c>
      <c r="T151" s="43" t="str">
        <f>IFERROR(IF(VLOOKUP(B151,Baza[[№]:[Profit]],18,0)=0,"-",VLOOKUP(B151,Baza[[№]:[Profit]],18,0)),"")</f>
        <v/>
      </c>
      <c r="U151" s="41" t="str">
        <f>IFERROR(IF(VLOOKUP(B151,Baza[[№]:[Profit]],19,0)=0,"-",VLOOKUP(B151,Baza[[№]:[Profit]],19,0)),"")</f>
        <v/>
      </c>
      <c r="V151" s="41" t="str">
        <f>IFERROR(VLOOKUP(B151,Baza[[№]:[Profit]],20,0),"")</f>
        <v/>
      </c>
      <c r="W151" s="41" t="str">
        <f>IFERROR(IF(VLOOKUP(B151,Baza[[№]:[Profit]],21,0)=0,"-",VLOOKUP(B151,Baza[[№]:[Profit]],21,0)),"")</f>
        <v/>
      </c>
      <c r="X151" s="45" t="str">
        <f>IFERROR(IF(VLOOKUP(B151,Baza[[№]:[Profit]],22,0)=0,"-",VLOOKUP(B151,Baza[[№]:[Profit]],22,0)),"")</f>
        <v/>
      </c>
      <c r="Y151" s="45" t="str">
        <f>IFERROR(VLOOKUP(B151,Baza[[№]:[Profit]],23,0),"")</f>
        <v/>
      </c>
      <c r="Z151" s="44" t="str">
        <f>IFERROR(VLOOKUP(B151,Baza[[№]:[AFS]],24,0),"")</f>
        <v/>
      </c>
      <c r="AA151" s="45" t="str">
        <f>IF(Таблица2[[#This Row],[Profit]]="","#Н/Д",SUM($Y$40:Y151))</f>
        <v>#Н/Д</v>
      </c>
      <c r="AB151" s="45" t="b">
        <f>IF(Таблица2[[#This Row],[Grafik]]="#Н/Д",FALSE,TRUE)</f>
        <v>0</v>
      </c>
    </row>
    <row r="152" spans="1:28" ht="11.1" hidden="1" customHeight="1" x14ac:dyDescent="0.25">
      <c r="A152" s="93">
        <f t="shared" si="1"/>
        <v>113</v>
      </c>
      <c r="B152"/>
      <c r="C152" s="41" t="str">
        <f>IFERROR(VLOOKUP(B152,Baza[[№]:[Profit]],2,0),"")</f>
        <v/>
      </c>
      <c r="D15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5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52" s="43" t="str">
        <f>IFERROR(VLOOKUP(B152,Baza[[№]:[Profit]],3,0),"")</f>
        <v/>
      </c>
      <c r="G152" s="43" t="str">
        <f>IFERROR(VLOOKUP(B152,Baza[[№]:[Profit]],4,0),"")</f>
        <v/>
      </c>
      <c r="H152" s="43" t="str">
        <f>IFERROR(VLOOKUP(B152,Baza[[№]:[Profit]],5,0),"")</f>
        <v/>
      </c>
      <c r="I152" s="46" t="str">
        <f>IFERROR(VLOOKUP(B152,Baza[[№]:[Profit]],6,0),"")</f>
        <v/>
      </c>
      <c r="J152" s="49" t="str">
        <f>IFERROR(VLOOKUP(B152,Baza[[№]:[Profit]],7,0),"")</f>
        <v/>
      </c>
      <c r="K152" s="43" t="str">
        <f>IFERROR(VLOOKUP(B152,Baza[[№]:[Profit]],8,0),"")</f>
        <v/>
      </c>
      <c r="L152" s="43" t="str">
        <f>IFERROR(VLOOKUP(B152,Baza[[№]:[Profit]],9,0),"")</f>
        <v/>
      </c>
      <c r="M152" s="43" t="str">
        <f>IFERROR(VLOOKUP(B152,Baza[[№]:[Profit]],10,0),"")</f>
        <v/>
      </c>
      <c r="N152" s="43" t="str">
        <f>IFERROR(IF(VLOOKUP(B152,Baza[[№]:[Profit]],11,0)=0,"-",VLOOKUP(B152,Baza[[№]:[Profit]],11,0)),"")</f>
        <v/>
      </c>
      <c r="O152" s="43" t="str">
        <f>IFERROR(IF(VLOOKUP(B152,Baza[[№]:[Profit]],12,0)=0,"-",VLOOKUP(B152,Baza[[№]:[Profit]],12,0)),"")</f>
        <v/>
      </c>
      <c r="P152" s="43" t="str">
        <f>IFERROR(IF(VLOOKUP(B152,Baza[[№]:[Profit]],13,0)=0,"-",VLOOKUP(B152,Baza[[№]:[Profit]],13,0)),"")</f>
        <v/>
      </c>
      <c r="Q152" s="43" t="str">
        <f>IFERROR(IF(VLOOKUP(B152,Baza[[№]:[Profit]],15,0)=0,"-",VLOOKUP(B152,Baza[[№]:[Profit]],15,0)),"")</f>
        <v/>
      </c>
      <c r="R152" s="43" t="str">
        <f>IFERROR(IF(VLOOKUP(B152,Baza[[№]:[Profit]],16,0)=0,"-",VLOOKUP(B152,Baza[[№]:[Profit]],16,0)),"")</f>
        <v/>
      </c>
      <c r="S152" s="43" t="str">
        <f>IFERROR(IF(VLOOKUP(B152,Baza[[№]:[Profit]],17,0)=0,"-",VLOOKUP(B152,Baza[[№]:[Profit]],17,0)),"")</f>
        <v/>
      </c>
      <c r="T152" s="43" t="str">
        <f>IFERROR(IF(VLOOKUP(B152,Baza[[№]:[Profit]],18,0)=0,"-",VLOOKUP(B152,Baza[[№]:[Profit]],18,0)),"")</f>
        <v/>
      </c>
      <c r="U152" s="41" t="str">
        <f>IFERROR(IF(VLOOKUP(B152,Baza[[№]:[Profit]],19,0)=0,"-",VLOOKUP(B152,Baza[[№]:[Profit]],19,0)),"")</f>
        <v/>
      </c>
      <c r="V152" s="41" t="str">
        <f>IFERROR(VLOOKUP(B152,Baza[[№]:[Profit]],20,0),"")</f>
        <v/>
      </c>
      <c r="W152" s="41" t="str">
        <f>IFERROR(IF(VLOOKUP(B152,Baza[[№]:[Profit]],21,0)=0,"-",VLOOKUP(B152,Baza[[№]:[Profit]],21,0)),"")</f>
        <v/>
      </c>
      <c r="X152" s="45" t="str">
        <f>IFERROR(IF(VLOOKUP(B152,Baza[[№]:[Profit]],22,0)=0,"-",VLOOKUP(B152,Baza[[№]:[Profit]],22,0)),"")</f>
        <v/>
      </c>
      <c r="Y152" s="45" t="str">
        <f>IFERROR(VLOOKUP(B152,Baza[[№]:[Profit]],23,0),"")</f>
        <v/>
      </c>
      <c r="Z152" s="44" t="str">
        <f>IFERROR(VLOOKUP(B152,Baza[[№]:[AFS]],24,0),"")</f>
        <v/>
      </c>
      <c r="AA152" s="45" t="str">
        <f>IF(Таблица2[[#This Row],[Profit]]="","#Н/Д",SUM($Y$40:Y152))</f>
        <v>#Н/Д</v>
      </c>
      <c r="AB152" s="45" t="b">
        <f>IF(Таблица2[[#This Row],[Grafik]]="#Н/Д",FALSE,TRUE)</f>
        <v>0</v>
      </c>
    </row>
    <row r="153" spans="1:28" ht="11.1" hidden="1" customHeight="1" x14ac:dyDescent="0.25">
      <c r="A153" s="93">
        <f t="shared" si="1"/>
        <v>114</v>
      </c>
      <c r="B153"/>
      <c r="C153" s="41" t="str">
        <f>IFERROR(VLOOKUP(B153,Baza[[№]:[Profit]],2,0),"")</f>
        <v/>
      </c>
      <c r="D15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5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53" s="43" t="str">
        <f>IFERROR(VLOOKUP(B153,Baza[[№]:[Profit]],3,0),"")</f>
        <v/>
      </c>
      <c r="G153" s="43" t="str">
        <f>IFERROR(VLOOKUP(B153,Baza[[№]:[Profit]],4,0),"")</f>
        <v/>
      </c>
      <c r="H153" s="43" t="str">
        <f>IFERROR(VLOOKUP(B153,Baza[[№]:[Profit]],5,0),"")</f>
        <v/>
      </c>
      <c r="I153" s="46" t="str">
        <f>IFERROR(VLOOKUP(B153,Baza[[№]:[Profit]],6,0),"")</f>
        <v/>
      </c>
      <c r="J153" s="49" t="str">
        <f>IFERROR(VLOOKUP(B153,Baza[[№]:[Profit]],7,0),"")</f>
        <v/>
      </c>
      <c r="K153" s="43" t="str">
        <f>IFERROR(VLOOKUP(B153,Baza[[№]:[Profit]],8,0),"")</f>
        <v/>
      </c>
      <c r="L153" s="43" t="str">
        <f>IFERROR(VLOOKUP(B153,Baza[[№]:[Profit]],9,0),"")</f>
        <v/>
      </c>
      <c r="M153" s="43" t="str">
        <f>IFERROR(VLOOKUP(B153,Baza[[№]:[Profit]],10,0),"")</f>
        <v/>
      </c>
      <c r="N153" s="43" t="str">
        <f>IFERROR(IF(VLOOKUP(B153,Baza[[№]:[Profit]],11,0)=0,"-",VLOOKUP(B153,Baza[[№]:[Profit]],11,0)),"")</f>
        <v/>
      </c>
      <c r="O153" s="43" t="str">
        <f>IFERROR(IF(VLOOKUP(B153,Baza[[№]:[Profit]],12,0)=0,"-",VLOOKUP(B153,Baza[[№]:[Profit]],12,0)),"")</f>
        <v/>
      </c>
      <c r="P153" s="43" t="str">
        <f>IFERROR(IF(VLOOKUP(B153,Baza[[№]:[Profit]],13,0)=0,"-",VLOOKUP(B153,Baza[[№]:[Profit]],13,0)),"")</f>
        <v/>
      </c>
      <c r="Q153" s="43" t="str">
        <f>IFERROR(IF(VLOOKUP(B153,Baza[[№]:[Profit]],15,0)=0,"-",VLOOKUP(B153,Baza[[№]:[Profit]],15,0)),"")</f>
        <v/>
      </c>
      <c r="R153" s="43" t="str">
        <f>IFERROR(IF(VLOOKUP(B153,Baza[[№]:[Profit]],16,0)=0,"-",VLOOKUP(B153,Baza[[№]:[Profit]],16,0)),"")</f>
        <v/>
      </c>
      <c r="S153" s="43" t="str">
        <f>IFERROR(IF(VLOOKUP(B153,Baza[[№]:[Profit]],17,0)=0,"-",VLOOKUP(B153,Baza[[№]:[Profit]],17,0)),"")</f>
        <v/>
      </c>
      <c r="T153" s="43" t="str">
        <f>IFERROR(IF(VLOOKUP(B153,Baza[[№]:[Profit]],18,0)=0,"-",VLOOKUP(B153,Baza[[№]:[Profit]],18,0)),"")</f>
        <v/>
      </c>
      <c r="U153" s="41" t="str">
        <f>IFERROR(IF(VLOOKUP(B153,Baza[[№]:[Profit]],19,0)=0,"-",VLOOKUP(B153,Baza[[№]:[Profit]],19,0)),"")</f>
        <v/>
      </c>
      <c r="V153" s="41" t="str">
        <f>IFERROR(VLOOKUP(B153,Baza[[№]:[Profit]],20,0),"")</f>
        <v/>
      </c>
      <c r="W153" s="41" t="str">
        <f>IFERROR(IF(VLOOKUP(B153,Baza[[№]:[Profit]],21,0)=0,"-",VLOOKUP(B153,Baza[[№]:[Profit]],21,0)),"")</f>
        <v/>
      </c>
      <c r="X153" s="45" t="str">
        <f>IFERROR(IF(VLOOKUP(B153,Baza[[№]:[Profit]],22,0)=0,"-",VLOOKUP(B153,Baza[[№]:[Profit]],22,0)),"")</f>
        <v/>
      </c>
      <c r="Y153" s="45" t="str">
        <f>IFERROR(VLOOKUP(B153,Baza[[№]:[Profit]],23,0),"")</f>
        <v/>
      </c>
      <c r="Z153" s="44" t="str">
        <f>IFERROR(VLOOKUP(B153,Baza[[№]:[AFS]],24,0),"")</f>
        <v/>
      </c>
      <c r="AA153" s="45" t="str">
        <f>IF(Таблица2[[#This Row],[Profit]]="","#Н/Д",SUM($Y$40:Y153))</f>
        <v>#Н/Д</v>
      </c>
      <c r="AB153" s="45" t="b">
        <f>IF(Таблица2[[#This Row],[Grafik]]="#Н/Д",FALSE,TRUE)</f>
        <v>0</v>
      </c>
    </row>
    <row r="154" spans="1:28" ht="11.1" hidden="1" customHeight="1" x14ac:dyDescent="0.25">
      <c r="A154" s="93">
        <f t="shared" si="1"/>
        <v>115</v>
      </c>
      <c r="B154"/>
      <c r="C154" s="41" t="str">
        <f>IFERROR(VLOOKUP(B154,Baza[[№]:[Profit]],2,0),"")</f>
        <v/>
      </c>
      <c r="D15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5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54" s="43" t="str">
        <f>IFERROR(VLOOKUP(B154,Baza[[№]:[Profit]],3,0),"")</f>
        <v/>
      </c>
      <c r="G154" s="43" t="str">
        <f>IFERROR(VLOOKUP(B154,Baza[[№]:[Profit]],4,0),"")</f>
        <v/>
      </c>
      <c r="H154" s="43" t="str">
        <f>IFERROR(VLOOKUP(B154,Baza[[№]:[Profit]],5,0),"")</f>
        <v/>
      </c>
      <c r="I154" s="46" t="str">
        <f>IFERROR(VLOOKUP(B154,Baza[[№]:[Profit]],6,0),"")</f>
        <v/>
      </c>
      <c r="J154" s="49" t="str">
        <f>IFERROR(VLOOKUP(B154,Baza[[№]:[Profit]],7,0),"")</f>
        <v/>
      </c>
      <c r="K154" s="43" t="str">
        <f>IFERROR(VLOOKUP(B154,Baza[[№]:[Profit]],8,0),"")</f>
        <v/>
      </c>
      <c r="L154" s="43" t="str">
        <f>IFERROR(VLOOKUP(B154,Baza[[№]:[Profit]],9,0),"")</f>
        <v/>
      </c>
      <c r="M154" s="43" t="str">
        <f>IFERROR(VLOOKUP(B154,Baza[[№]:[Profit]],10,0),"")</f>
        <v/>
      </c>
      <c r="N154" s="43" t="str">
        <f>IFERROR(IF(VLOOKUP(B154,Baza[[№]:[Profit]],11,0)=0,"-",VLOOKUP(B154,Baza[[№]:[Profit]],11,0)),"")</f>
        <v/>
      </c>
      <c r="O154" s="43" t="str">
        <f>IFERROR(IF(VLOOKUP(B154,Baza[[№]:[Profit]],12,0)=0,"-",VLOOKUP(B154,Baza[[№]:[Profit]],12,0)),"")</f>
        <v/>
      </c>
      <c r="P154" s="43" t="str">
        <f>IFERROR(IF(VLOOKUP(B154,Baza[[№]:[Profit]],13,0)=0,"-",VLOOKUP(B154,Baza[[№]:[Profit]],13,0)),"")</f>
        <v/>
      </c>
      <c r="Q154" s="43" t="str">
        <f>IFERROR(IF(VLOOKUP(B154,Baza[[№]:[Profit]],15,0)=0,"-",VLOOKUP(B154,Baza[[№]:[Profit]],15,0)),"")</f>
        <v/>
      </c>
      <c r="R154" s="43" t="str">
        <f>IFERROR(IF(VLOOKUP(B154,Baza[[№]:[Profit]],16,0)=0,"-",VLOOKUP(B154,Baza[[№]:[Profit]],16,0)),"")</f>
        <v/>
      </c>
      <c r="S154" s="43" t="str">
        <f>IFERROR(IF(VLOOKUP(B154,Baza[[№]:[Profit]],17,0)=0,"-",VLOOKUP(B154,Baza[[№]:[Profit]],17,0)),"")</f>
        <v/>
      </c>
      <c r="T154" s="43" t="str">
        <f>IFERROR(IF(VLOOKUP(B154,Baza[[№]:[Profit]],18,0)=0,"-",VLOOKUP(B154,Baza[[№]:[Profit]],18,0)),"")</f>
        <v/>
      </c>
      <c r="U154" s="41" t="str">
        <f>IFERROR(IF(VLOOKUP(B154,Baza[[№]:[Profit]],19,0)=0,"-",VLOOKUP(B154,Baza[[№]:[Profit]],19,0)),"")</f>
        <v/>
      </c>
      <c r="V154" s="41" t="str">
        <f>IFERROR(VLOOKUP(B154,Baza[[№]:[Profit]],20,0),"")</f>
        <v/>
      </c>
      <c r="W154" s="41" t="str">
        <f>IFERROR(IF(VLOOKUP(B154,Baza[[№]:[Profit]],21,0)=0,"-",VLOOKUP(B154,Baza[[№]:[Profit]],21,0)),"")</f>
        <v/>
      </c>
      <c r="X154" s="45" t="str">
        <f>IFERROR(IF(VLOOKUP(B154,Baza[[№]:[Profit]],22,0)=0,"-",VLOOKUP(B154,Baza[[№]:[Profit]],22,0)),"")</f>
        <v/>
      </c>
      <c r="Y154" s="45" t="str">
        <f>IFERROR(VLOOKUP(B154,Baza[[№]:[Profit]],23,0),"")</f>
        <v/>
      </c>
      <c r="Z154" s="44" t="str">
        <f>IFERROR(VLOOKUP(B154,Baza[[№]:[AFS]],24,0),"")</f>
        <v/>
      </c>
      <c r="AA154" s="45" t="str">
        <f>IF(Таблица2[[#This Row],[Profit]]="","#Н/Д",SUM($Y$40:Y154))</f>
        <v>#Н/Д</v>
      </c>
      <c r="AB154" s="45" t="b">
        <f>IF(Таблица2[[#This Row],[Grafik]]="#Н/Д",FALSE,TRUE)</f>
        <v>0</v>
      </c>
    </row>
    <row r="155" spans="1:28" ht="11.1" hidden="1" customHeight="1" x14ac:dyDescent="0.25">
      <c r="A155" s="93">
        <f t="shared" si="1"/>
        <v>116</v>
      </c>
      <c r="B155"/>
      <c r="C155" s="41" t="str">
        <f>IFERROR(VLOOKUP(B155,Baza[[№]:[Profit]],2,0),"")</f>
        <v/>
      </c>
      <c r="D15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5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55" s="43" t="str">
        <f>IFERROR(VLOOKUP(B155,Baza[[№]:[Profit]],3,0),"")</f>
        <v/>
      </c>
      <c r="G155" s="43" t="str">
        <f>IFERROR(VLOOKUP(B155,Baza[[№]:[Profit]],4,0),"")</f>
        <v/>
      </c>
      <c r="H155" s="43" t="str">
        <f>IFERROR(VLOOKUP(B155,Baza[[№]:[Profit]],5,0),"")</f>
        <v/>
      </c>
      <c r="I155" s="46" t="str">
        <f>IFERROR(VLOOKUP(B155,Baza[[№]:[Profit]],6,0),"")</f>
        <v/>
      </c>
      <c r="J155" s="49" t="str">
        <f>IFERROR(VLOOKUP(B155,Baza[[№]:[Profit]],7,0),"")</f>
        <v/>
      </c>
      <c r="K155" s="43" t="str">
        <f>IFERROR(VLOOKUP(B155,Baza[[№]:[Profit]],8,0),"")</f>
        <v/>
      </c>
      <c r="L155" s="43" t="str">
        <f>IFERROR(VLOOKUP(B155,Baza[[№]:[Profit]],9,0),"")</f>
        <v/>
      </c>
      <c r="M155" s="43" t="str">
        <f>IFERROR(VLOOKUP(B155,Baza[[№]:[Profit]],10,0),"")</f>
        <v/>
      </c>
      <c r="N155" s="43" t="str">
        <f>IFERROR(IF(VLOOKUP(B155,Baza[[№]:[Profit]],11,0)=0,"-",VLOOKUP(B155,Baza[[№]:[Profit]],11,0)),"")</f>
        <v/>
      </c>
      <c r="O155" s="43" t="str">
        <f>IFERROR(IF(VLOOKUP(B155,Baza[[№]:[Profit]],12,0)=0,"-",VLOOKUP(B155,Baza[[№]:[Profit]],12,0)),"")</f>
        <v/>
      </c>
      <c r="P155" s="43" t="str">
        <f>IFERROR(IF(VLOOKUP(B155,Baza[[№]:[Profit]],13,0)=0,"-",VLOOKUP(B155,Baza[[№]:[Profit]],13,0)),"")</f>
        <v/>
      </c>
      <c r="Q155" s="43" t="str">
        <f>IFERROR(IF(VLOOKUP(B155,Baza[[№]:[Profit]],15,0)=0,"-",VLOOKUP(B155,Baza[[№]:[Profit]],15,0)),"")</f>
        <v/>
      </c>
      <c r="R155" s="43" t="str">
        <f>IFERROR(IF(VLOOKUP(B155,Baza[[№]:[Profit]],16,0)=0,"-",VLOOKUP(B155,Baza[[№]:[Profit]],16,0)),"")</f>
        <v/>
      </c>
      <c r="S155" s="43" t="str">
        <f>IFERROR(IF(VLOOKUP(B155,Baza[[№]:[Profit]],17,0)=0,"-",VLOOKUP(B155,Baza[[№]:[Profit]],17,0)),"")</f>
        <v/>
      </c>
      <c r="T155" s="43" t="str">
        <f>IFERROR(IF(VLOOKUP(B155,Baza[[№]:[Profit]],18,0)=0,"-",VLOOKUP(B155,Baza[[№]:[Profit]],18,0)),"")</f>
        <v/>
      </c>
      <c r="U155" s="41" t="str">
        <f>IFERROR(IF(VLOOKUP(B155,Baza[[№]:[Profit]],19,0)=0,"-",VLOOKUP(B155,Baza[[№]:[Profit]],19,0)),"")</f>
        <v/>
      </c>
      <c r="V155" s="41" t="str">
        <f>IFERROR(VLOOKUP(B155,Baza[[№]:[Profit]],20,0),"")</f>
        <v/>
      </c>
      <c r="W155" s="41" t="str">
        <f>IFERROR(IF(VLOOKUP(B155,Baza[[№]:[Profit]],21,0)=0,"-",VLOOKUP(B155,Baza[[№]:[Profit]],21,0)),"")</f>
        <v/>
      </c>
      <c r="X155" s="45" t="str">
        <f>IFERROR(IF(VLOOKUP(B155,Baza[[№]:[Profit]],22,0)=0,"-",VLOOKUP(B155,Baza[[№]:[Profit]],22,0)),"")</f>
        <v/>
      </c>
      <c r="Y155" s="45" t="str">
        <f>IFERROR(VLOOKUP(B155,Baza[[№]:[Profit]],23,0),"")</f>
        <v/>
      </c>
      <c r="Z155" s="44" t="str">
        <f>IFERROR(VLOOKUP(B155,Baza[[№]:[AFS]],24,0),"")</f>
        <v/>
      </c>
      <c r="AA155" s="45" t="str">
        <f>IF(Таблица2[[#This Row],[Profit]]="","#Н/Д",SUM($Y$40:Y155))</f>
        <v>#Н/Д</v>
      </c>
      <c r="AB155" s="45" t="b">
        <f>IF(Таблица2[[#This Row],[Grafik]]="#Н/Д",FALSE,TRUE)</f>
        <v>0</v>
      </c>
    </row>
    <row r="156" spans="1:28" ht="11.1" hidden="1" customHeight="1" x14ac:dyDescent="0.25">
      <c r="A156" s="93">
        <f t="shared" si="1"/>
        <v>117</v>
      </c>
      <c r="B156"/>
      <c r="C156" s="41" t="str">
        <f>IFERROR(VLOOKUP(B156,Baza[[№]:[Profit]],2,0),"")</f>
        <v/>
      </c>
      <c r="D15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5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56" s="43" t="str">
        <f>IFERROR(VLOOKUP(B156,Baza[[№]:[Profit]],3,0),"")</f>
        <v/>
      </c>
      <c r="G156" s="43" t="str">
        <f>IFERROR(VLOOKUP(B156,Baza[[№]:[Profit]],4,0),"")</f>
        <v/>
      </c>
      <c r="H156" s="43" t="str">
        <f>IFERROR(VLOOKUP(B156,Baza[[№]:[Profit]],5,0),"")</f>
        <v/>
      </c>
      <c r="I156" s="46" t="str">
        <f>IFERROR(VLOOKUP(B156,Baza[[№]:[Profit]],6,0),"")</f>
        <v/>
      </c>
      <c r="J156" s="49" t="str">
        <f>IFERROR(VLOOKUP(B156,Baza[[№]:[Profit]],7,0),"")</f>
        <v/>
      </c>
      <c r="K156" s="43" t="str">
        <f>IFERROR(VLOOKUP(B156,Baza[[№]:[Profit]],8,0),"")</f>
        <v/>
      </c>
      <c r="L156" s="43" t="str">
        <f>IFERROR(VLOOKUP(B156,Baza[[№]:[Profit]],9,0),"")</f>
        <v/>
      </c>
      <c r="M156" s="43" t="str">
        <f>IFERROR(VLOOKUP(B156,Baza[[№]:[Profit]],10,0),"")</f>
        <v/>
      </c>
      <c r="N156" s="43" t="str">
        <f>IFERROR(IF(VLOOKUP(B156,Baza[[№]:[Profit]],11,0)=0,"-",VLOOKUP(B156,Baza[[№]:[Profit]],11,0)),"")</f>
        <v/>
      </c>
      <c r="O156" s="43" t="str">
        <f>IFERROR(IF(VLOOKUP(B156,Baza[[№]:[Profit]],12,0)=0,"-",VLOOKUP(B156,Baza[[№]:[Profit]],12,0)),"")</f>
        <v/>
      </c>
      <c r="P156" s="43" t="str">
        <f>IFERROR(IF(VLOOKUP(B156,Baza[[№]:[Profit]],13,0)=0,"-",VLOOKUP(B156,Baza[[№]:[Profit]],13,0)),"")</f>
        <v/>
      </c>
      <c r="Q156" s="43" t="str">
        <f>IFERROR(IF(VLOOKUP(B156,Baza[[№]:[Profit]],15,0)=0,"-",VLOOKUP(B156,Baza[[№]:[Profit]],15,0)),"")</f>
        <v/>
      </c>
      <c r="R156" s="43" t="str">
        <f>IFERROR(IF(VLOOKUP(B156,Baza[[№]:[Profit]],16,0)=0,"-",VLOOKUP(B156,Baza[[№]:[Profit]],16,0)),"")</f>
        <v/>
      </c>
      <c r="S156" s="43" t="str">
        <f>IFERROR(IF(VLOOKUP(B156,Baza[[№]:[Profit]],17,0)=0,"-",VLOOKUP(B156,Baza[[№]:[Profit]],17,0)),"")</f>
        <v/>
      </c>
      <c r="T156" s="43" t="str">
        <f>IFERROR(IF(VLOOKUP(B156,Baza[[№]:[Profit]],18,0)=0,"-",VLOOKUP(B156,Baza[[№]:[Profit]],18,0)),"")</f>
        <v/>
      </c>
      <c r="U156" s="41" t="str">
        <f>IFERROR(IF(VLOOKUP(B156,Baza[[№]:[Profit]],19,0)=0,"-",VLOOKUP(B156,Baza[[№]:[Profit]],19,0)),"")</f>
        <v/>
      </c>
      <c r="V156" s="41" t="str">
        <f>IFERROR(VLOOKUP(B156,Baza[[№]:[Profit]],20,0),"")</f>
        <v/>
      </c>
      <c r="W156" s="41" t="str">
        <f>IFERROR(IF(VLOOKUP(B156,Baza[[№]:[Profit]],21,0)=0,"-",VLOOKUP(B156,Baza[[№]:[Profit]],21,0)),"")</f>
        <v/>
      </c>
      <c r="X156" s="45" t="str">
        <f>IFERROR(IF(VLOOKUP(B156,Baza[[№]:[Profit]],22,0)=0,"-",VLOOKUP(B156,Baza[[№]:[Profit]],22,0)),"")</f>
        <v/>
      </c>
      <c r="Y156" s="45" t="str">
        <f>IFERROR(VLOOKUP(B156,Baza[[№]:[Profit]],23,0),"")</f>
        <v/>
      </c>
      <c r="Z156" s="44" t="str">
        <f>IFERROR(VLOOKUP(B156,Baza[[№]:[AFS]],24,0),"")</f>
        <v/>
      </c>
      <c r="AA156" s="45" t="str">
        <f>IF(Таблица2[[#This Row],[Profit]]="","#Н/Д",SUM($Y$40:Y156))</f>
        <v>#Н/Д</v>
      </c>
      <c r="AB156" s="45" t="b">
        <f>IF(Таблица2[[#This Row],[Grafik]]="#Н/Д",FALSE,TRUE)</f>
        <v>0</v>
      </c>
    </row>
    <row r="157" spans="1:28" ht="11.1" hidden="1" customHeight="1" x14ac:dyDescent="0.25">
      <c r="A157" s="93">
        <f t="shared" si="1"/>
        <v>118</v>
      </c>
      <c r="B157"/>
      <c r="C157" s="41" t="str">
        <f>IFERROR(VLOOKUP(B157,Baza[[№]:[Profit]],2,0),"")</f>
        <v/>
      </c>
      <c r="D15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5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57" s="43" t="str">
        <f>IFERROR(VLOOKUP(B157,Baza[[№]:[Profit]],3,0),"")</f>
        <v/>
      </c>
      <c r="G157" s="43" t="str">
        <f>IFERROR(VLOOKUP(B157,Baza[[№]:[Profit]],4,0),"")</f>
        <v/>
      </c>
      <c r="H157" s="43" t="str">
        <f>IFERROR(VLOOKUP(B157,Baza[[№]:[Profit]],5,0),"")</f>
        <v/>
      </c>
      <c r="I157" s="46" t="str">
        <f>IFERROR(VLOOKUP(B157,Baza[[№]:[Profit]],6,0),"")</f>
        <v/>
      </c>
      <c r="J157" s="49" t="str">
        <f>IFERROR(VLOOKUP(B157,Baza[[№]:[Profit]],7,0),"")</f>
        <v/>
      </c>
      <c r="K157" s="43" t="str">
        <f>IFERROR(VLOOKUP(B157,Baza[[№]:[Profit]],8,0),"")</f>
        <v/>
      </c>
      <c r="L157" s="43" t="str">
        <f>IFERROR(VLOOKUP(B157,Baza[[№]:[Profit]],9,0),"")</f>
        <v/>
      </c>
      <c r="M157" s="43" t="str">
        <f>IFERROR(VLOOKUP(B157,Baza[[№]:[Profit]],10,0),"")</f>
        <v/>
      </c>
      <c r="N157" s="43" t="str">
        <f>IFERROR(IF(VLOOKUP(B157,Baza[[№]:[Profit]],11,0)=0,"-",VLOOKUP(B157,Baza[[№]:[Profit]],11,0)),"")</f>
        <v/>
      </c>
      <c r="O157" s="43" t="str">
        <f>IFERROR(IF(VLOOKUP(B157,Baza[[№]:[Profit]],12,0)=0,"-",VLOOKUP(B157,Baza[[№]:[Profit]],12,0)),"")</f>
        <v/>
      </c>
      <c r="P157" s="43" t="str">
        <f>IFERROR(IF(VLOOKUP(B157,Baza[[№]:[Profit]],13,0)=0,"-",VLOOKUP(B157,Baza[[№]:[Profit]],13,0)),"")</f>
        <v/>
      </c>
      <c r="Q157" s="43" t="str">
        <f>IFERROR(IF(VLOOKUP(B157,Baza[[№]:[Profit]],15,0)=0,"-",VLOOKUP(B157,Baza[[№]:[Profit]],15,0)),"")</f>
        <v/>
      </c>
      <c r="R157" s="43" t="str">
        <f>IFERROR(IF(VLOOKUP(B157,Baza[[№]:[Profit]],16,0)=0,"-",VLOOKUP(B157,Baza[[№]:[Profit]],16,0)),"")</f>
        <v/>
      </c>
      <c r="S157" s="43" t="str">
        <f>IFERROR(IF(VLOOKUP(B157,Baza[[№]:[Profit]],17,0)=0,"-",VLOOKUP(B157,Baza[[№]:[Profit]],17,0)),"")</f>
        <v/>
      </c>
      <c r="T157" s="43" t="str">
        <f>IFERROR(IF(VLOOKUP(B157,Baza[[№]:[Profit]],18,0)=0,"-",VLOOKUP(B157,Baza[[№]:[Profit]],18,0)),"")</f>
        <v/>
      </c>
      <c r="U157" s="41" t="str">
        <f>IFERROR(IF(VLOOKUP(B157,Baza[[№]:[Profit]],19,0)=0,"-",VLOOKUP(B157,Baza[[№]:[Profit]],19,0)),"")</f>
        <v/>
      </c>
      <c r="V157" s="41" t="str">
        <f>IFERROR(VLOOKUP(B157,Baza[[№]:[Profit]],20,0),"")</f>
        <v/>
      </c>
      <c r="W157" s="41" t="str">
        <f>IFERROR(IF(VLOOKUP(B157,Baza[[№]:[Profit]],21,0)=0,"-",VLOOKUP(B157,Baza[[№]:[Profit]],21,0)),"")</f>
        <v/>
      </c>
      <c r="X157" s="45" t="str">
        <f>IFERROR(IF(VLOOKUP(B157,Baza[[№]:[Profit]],22,0)=0,"-",VLOOKUP(B157,Baza[[№]:[Profit]],22,0)),"")</f>
        <v/>
      </c>
      <c r="Y157" s="45" t="str">
        <f>IFERROR(VLOOKUP(B157,Baza[[№]:[Profit]],23,0),"")</f>
        <v/>
      </c>
      <c r="Z157" s="44" t="str">
        <f>IFERROR(VLOOKUP(B157,Baza[[№]:[AFS]],24,0),"")</f>
        <v/>
      </c>
      <c r="AA157" s="45" t="str">
        <f>IF(Таблица2[[#This Row],[Profit]]="","#Н/Д",SUM($Y$40:Y157))</f>
        <v>#Н/Д</v>
      </c>
      <c r="AB157" s="45" t="b">
        <f>IF(Таблица2[[#This Row],[Grafik]]="#Н/Д",FALSE,TRUE)</f>
        <v>0</v>
      </c>
    </row>
    <row r="158" spans="1:28" ht="11.1" hidden="1" customHeight="1" x14ac:dyDescent="0.25">
      <c r="A158" s="93">
        <f t="shared" si="1"/>
        <v>119</v>
      </c>
      <c r="B158"/>
      <c r="C158" s="41" t="str">
        <f>IFERROR(VLOOKUP(B158,Baza[[№]:[Profit]],2,0),"")</f>
        <v/>
      </c>
      <c r="D15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5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58" s="43" t="str">
        <f>IFERROR(VLOOKUP(B158,Baza[[№]:[Profit]],3,0),"")</f>
        <v/>
      </c>
      <c r="G158" s="43" t="str">
        <f>IFERROR(VLOOKUP(B158,Baza[[№]:[Profit]],4,0),"")</f>
        <v/>
      </c>
      <c r="H158" s="43" t="str">
        <f>IFERROR(VLOOKUP(B158,Baza[[№]:[Profit]],5,0),"")</f>
        <v/>
      </c>
      <c r="I158" s="46" t="str">
        <f>IFERROR(VLOOKUP(B158,Baza[[№]:[Profit]],6,0),"")</f>
        <v/>
      </c>
      <c r="J158" s="49" t="str">
        <f>IFERROR(VLOOKUP(B158,Baza[[№]:[Profit]],7,0),"")</f>
        <v/>
      </c>
      <c r="K158" s="43" t="str">
        <f>IFERROR(VLOOKUP(B158,Baza[[№]:[Profit]],8,0),"")</f>
        <v/>
      </c>
      <c r="L158" s="43" t="str">
        <f>IFERROR(VLOOKUP(B158,Baza[[№]:[Profit]],9,0),"")</f>
        <v/>
      </c>
      <c r="M158" s="43" t="str">
        <f>IFERROR(VLOOKUP(B158,Baza[[№]:[Profit]],10,0),"")</f>
        <v/>
      </c>
      <c r="N158" s="43" t="str">
        <f>IFERROR(IF(VLOOKUP(B158,Baza[[№]:[Profit]],11,0)=0,"-",VLOOKUP(B158,Baza[[№]:[Profit]],11,0)),"")</f>
        <v/>
      </c>
      <c r="O158" s="43" t="str">
        <f>IFERROR(IF(VLOOKUP(B158,Baza[[№]:[Profit]],12,0)=0,"-",VLOOKUP(B158,Baza[[№]:[Profit]],12,0)),"")</f>
        <v/>
      </c>
      <c r="P158" s="43" t="str">
        <f>IFERROR(IF(VLOOKUP(B158,Baza[[№]:[Profit]],13,0)=0,"-",VLOOKUP(B158,Baza[[№]:[Profit]],13,0)),"")</f>
        <v/>
      </c>
      <c r="Q158" s="43" t="str">
        <f>IFERROR(IF(VLOOKUP(B158,Baza[[№]:[Profit]],15,0)=0,"-",VLOOKUP(B158,Baza[[№]:[Profit]],15,0)),"")</f>
        <v/>
      </c>
      <c r="R158" s="43" t="str">
        <f>IFERROR(IF(VLOOKUP(B158,Baza[[№]:[Profit]],16,0)=0,"-",VLOOKUP(B158,Baza[[№]:[Profit]],16,0)),"")</f>
        <v/>
      </c>
      <c r="S158" s="43" t="str">
        <f>IFERROR(IF(VLOOKUP(B158,Baza[[№]:[Profit]],17,0)=0,"-",VLOOKUP(B158,Baza[[№]:[Profit]],17,0)),"")</f>
        <v/>
      </c>
      <c r="T158" s="43" t="str">
        <f>IFERROR(IF(VLOOKUP(B158,Baza[[№]:[Profit]],18,0)=0,"-",VLOOKUP(B158,Baza[[№]:[Profit]],18,0)),"")</f>
        <v/>
      </c>
      <c r="U158" s="41" t="str">
        <f>IFERROR(IF(VLOOKUP(B158,Baza[[№]:[Profit]],19,0)=0,"-",VLOOKUP(B158,Baza[[№]:[Profit]],19,0)),"")</f>
        <v/>
      </c>
      <c r="V158" s="41" t="str">
        <f>IFERROR(VLOOKUP(B158,Baza[[№]:[Profit]],20,0),"")</f>
        <v/>
      </c>
      <c r="W158" s="41" t="str">
        <f>IFERROR(IF(VLOOKUP(B158,Baza[[№]:[Profit]],21,0)=0,"-",VLOOKUP(B158,Baza[[№]:[Profit]],21,0)),"")</f>
        <v/>
      </c>
      <c r="X158" s="45" t="str">
        <f>IFERROR(IF(VLOOKUP(B158,Baza[[№]:[Profit]],22,0)=0,"-",VLOOKUP(B158,Baza[[№]:[Profit]],22,0)),"")</f>
        <v/>
      </c>
      <c r="Y158" s="45" t="str">
        <f>IFERROR(VLOOKUP(B158,Baza[[№]:[Profit]],23,0),"")</f>
        <v/>
      </c>
      <c r="Z158" s="44" t="str">
        <f>IFERROR(VLOOKUP(B158,Baza[[№]:[AFS]],24,0),"")</f>
        <v/>
      </c>
      <c r="AA158" s="45" t="str">
        <f>IF(Таблица2[[#This Row],[Profit]]="","#Н/Д",SUM($Y$40:Y158))</f>
        <v>#Н/Д</v>
      </c>
      <c r="AB158" s="45" t="b">
        <f>IF(Таблица2[[#This Row],[Grafik]]="#Н/Д",FALSE,TRUE)</f>
        <v>0</v>
      </c>
    </row>
    <row r="159" spans="1:28" ht="11.1" hidden="1" customHeight="1" x14ac:dyDescent="0.25">
      <c r="A159" s="93">
        <f t="shared" si="1"/>
        <v>120</v>
      </c>
      <c r="B159"/>
      <c r="C159" s="41" t="str">
        <f>IFERROR(VLOOKUP(B159,Baza[[№]:[Profit]],2,0),"")</f>
        <v/>
      </c>
      <c r="D15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5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59" s="43" t="str">
        <f>IFERROR(VLOOKUP(B159,Baza[[№]:[Profit]],3,0),"")</f>
        <v/>
      </c>
      <c r="G159" s="43" t="str">
        <f>IFERROR(VLOOKUP(B159,Baza[[№]:[Profit]],4,0),"")</f>
        <v/>
      </c>
      <c r="H159" s="43" t="str">
        <f>IFERROR(VLOOKUP(B159,Baza[[№]:[Profit]],5,0),"")</f>
        <v/>
      </c>
      <c r="I159" s="46" t="str">
        <f>IFERROR(VLOOKUP(B159,Baza[[№]:[Profit]],6,0),"")</f>
        <v/>
      </c>
      <c r="J159" s="49" t="str">
        <f>IFERROR(VLOOKUP(B159,Baza[[№]:[Profit]],7,0),"")</f>
        <v/>
      </c>
      <c r="K159" s="43" t="str">
        <f>IFERROR(VLOOKUP(B159,Baza[[№]:[Profit]],8,0),"")</f>
        <v/>
      </c>
      <c r="L159" s="43" t="str">
        <f>IFERROR(VLOOKUP(B159,Baza[[№]:[Profit]],9,0),"")</f>
        <v/>
      </c>
      <c r="M159" s="43" t="str">
        <f>IFERROR(VLOOKUP(B159,Baza[[№]:[Profit]],10,0),"")</f>
        <v/>
      </c>
      <c r="N159" s="43" t="str">
        <f>IFERROR(IF(VLOOKUP(B159,Baza[[№]:[Profit]],11,0)=0,"-",VLOOKUP(B159,Baza[[№]:[Profit]],11,0)),"")</f>
        <v/>
      </c>
      <c r="O159" s="43" t="str">
        <f>IFERROR(IF(VLOOKUP(B159,Baza[[№]:[Profit]],12,0)=0,"-",VLOOKUP(B159,Baza[[№]:[Profit]],12,0)),"")</f>
        <v/>
      </c>
      <c r="P159" s="43" t="str">
        <f>IFERROR(IF(VLOOKUP(B159,Baza[[№]:[Profit]],13,0)=0,"-",VLOOKUP(B159,Baza[[№]:[Profit]],13,0)),"")</f>
        <v/>
      </c>
      <c r="Q159" s="43" t="str">
        <f>IFERROR(IF(VLOOKUP(B159,Baza[[№]:[Profit]],15,0)=0,"-",VLOOKUP(B159,Baza[[№]:[Profit]],15,0)),"")</f>
        <v/>
      </c>
      <c r="R159" s="43" t="str">
        <f>IFERROR(IF(VLOOKUP(B159,Baza[[№]:[Profit]],16,0)=0,"-",VLOOKUP(B159,Baza[[№]:[Profit]],16,0)),"")</f>
        <v/>
      </c>
      <c r="S159" s="43" t="str">
        <f>IFERROR(IF(VLOOKUP(B159,Baza[[№]:[Profit]],17,0)=0,"-",VLOOKUP(B159,Baza[[№]:[Profit]],17,0)),"")</f>
        <v/>
      </c>
      <c r="T159" s="43" t="str">
        <f>IFERROR(IF(VLOOKUP(B159,Baza[[№]:[Profit]],18,0)=0,"-",VLOOKUP(B159,Baza[[№]:[Profit]],18,0)),"")</f>
        <v/>
      </c>
      <c r="U159" s="41" t="str">
        <f>IFERROR(IF(VLOOKUP(B159,Baza[[№]:[Profit]],19,0)=0,"-",VLOOKUP(B159,Baza[[№]:[Profit]],19,0)),"")</f>
        <v/>
      </c>
      <c r="V159" s="41" t="str">
        <f>IFERROR(VLOOKUP(B159,Baza[[№]:[Profit]],20,0),"")</f>
        <v/>
      </c>
      <c r="W159" s="41" t="str">
        <f>IFERROR(IF(VLOOKUP(B159,Baza[[№]:[Profit]],21,0)=0,"-",VLOOKUP(B159,Baza[[№]:[Profit]],21,0)),"")</f>
        <v/>
      </c>
      <c r="X159" s="45" t="str">
        <f>IFERROR(IF(VLOOKUP(B159,Baza[[№]:[Profit]],22,0)=0,"-",VLOOKUP(B159,Baza[[№]:[Profit]],22,0)),"")</f>
        <v/>
      </c>
      <c r="Y159" s="45" t="str">
        <f>IFERROR(VLOOKUP(B159,Baza[[№]:[Profit]],23,0),"")</f>
        <v/>
      </c>
      <c r="Z159" s="44" t="str">
        <f>IFERROR(VLOOKUP(B159,Baza[[№]:[AFS]],24,0),"")</f>
        <v/>
      </c>
      <c r="AA159" s="45" t="str">
        <f>IF(Таблица2[[#This Row],[Profit]]="","#Н/Д",SUM($Y$40:Y159))</f>
        <v>#Н/Д</v>
      </c>
      <c r="AB159" s="45" t="b">
        <f>IF(Таблица2[[#This Row],[Grafik]]="#Н/Д",FALSE,TRUE)</f>
        <v>0</v>
      </c>
    </row>
    <row r="160" spans="1:28" ht="11.1" hidden="1" customHeight="1" x14ac:dyDescent="0.25">
      <c r="A160" s="93">
        <f t="shared" si="1"/>
        <v>121</v>
      </c>
      <c r="B160"/>
      <c r="C160" s="41" t="str">
        <f>IFERROR(VLOOKUP(B160,Baza[[№]:[Profit]],2,0),"")</f>
        <v/>
      </c>
      <c r="D16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6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60" s="43" t="str">
        <f>IFERROR(VLOOKUP(B160,Baza[[№]:[Profit]],3,0),"")</f>
        <v/>
      </c>
      <c r="G160" s="43" t="str">
        <f>IFERROR(VLOOKUP(B160,Baza[[№]:[Profit]],4,0),"")</f>
        <v/>
      </c>
      <c r="H160" s="43" t="str">
        <f>IFERROR(VLOOKUP(B160,Baza[[№]:[Profit]],5,0),"")</f>
        <v/>
      </c>
      <c r="I160" s="46" t="str">
        <f>IFERROR(VLOOKUP(B160,Baza[[№]:[Profit]],6,0),"")</f>
        <v/>
      </c>
      <c r="J160" s="49" t="str">
        <f>IFERROR(VLOOKUP(B160,Baza[[№]:[Profit]],7,0),"")</f>
        <v/>
      </c>
      <c r="K160" s="43" t="str">
        <f>IFERROR(VLOOKUP(B160,Baza[[№]:[Profit]],8,0),"")</f>
        <v/>
      </c>
      <c r="L160" s="43" t="str">
        <f>IFERROR(VLOOKUP(B160,Baza[[№]:[Profit]],9,0),"")</f>
        <v/>
      </c>
      <c r="M160" s="43" t="str">
        <f>IFERROR(VLOOKUP(B160,Baza[[№]:[Profit]],10,0),"")</f>
        <v/>
      </c>
      <c r="N160" s="43" t="str">
        <f>IFERROR(IF(VLOOKUP(B160,Baza[[№]:[Profit]],11,0)=0,"-",VLOOKUP(B160,Baza[[№]:[Profit]],11,0)),"")</f>
        <v/>
      </c>
      <c r="O160" s="43" t="str">
        <f>IFERROR(IF(VLOOKUP(B160,Baza[[№]:[Profit]],12,0)=0,"-",VLOOKUP(B160,Baza[[№]:[Profit]],12,0)),"")</f>
        <v/>
      </c>
      <c r="P160" s="43" t="str">
        <f>IFERROR(IF(VLOOKUP(B160,Baza[[№]:[Profit]],13,0)=0,"-",VLOOKUP(B160,Baza[[№]:[Profit]],13,0)),"")</f>
        <v/>
      </c>
      <c r="Q160" s="43" t="str">
        <f>IFERROR(IF(VLOOKUP(B160,Baza[[№]:[Profit]],15,0)=0,"-",VLOOKUP(B160,Baza[[№]:[Profit]],15,0)),"")</f>
        <v/>
      </c>
      <c r="R160" s="43" t="str">
        <f>IFERROR(IF(VLOOKUP(B160,Baza[[№]:[Profit]],16,0)=0,"-",VLOOKUP(B160,Baza[[№]:[Profit]],16,0)),"")</f>
        <v/>
      </c>
      <c r="S160" s="43" t="str">
        <f>IFERROR(IF(VLOOKUP(B160,Baza[[№]:[Profit]],17,0)=0,"-",VLOOKUP(B160,Baza[[№]:[Profit]],17,0)),"")</f>
        <v/>
      </c>
      <c r="T160" s="43" t="str">
        <f>IFERROR(IF(VLOOKUP(B160,Baza[[№]:[Profit]],18,0)=0,"-",VLOOKUP(B160,Baza[[№]:[Profit]],18,0)),"")</f>
        <v/>
      </c>
      <c r="U160" s="41" t="str">
        <f>IFERROR(IF(VLOOKUP(B160,Baza[[№]:[Profit]],19,0)=0,"-",VLOOKUP(B160,Baza[[№]:[Profit]],19,0)),"")</f>
        <v/>
      </c>
      <c r="V160" s="41" t="str">
        <f>IFERROR(VLOOKUP(B160,Baza[[№]:[Profit]],20,0),"")</f>
        <v/>
      </c>
      <c r="W160" s="41" t="str">
        <f>IFERROR(IF(VLOOKUP(B160,Baza[[№]:[Profit]],21,0)=0,"-",VLOOKUP(B160,Baza[[№]:[Profit]],21,0)),"")</f>
        <v/>
      </c>
      <c r="X160" s="45" t="str">
        <f>IFERROR(IF(VLOOKUP(B160,Baza[[№]:[Profit]],22,0)=0,"-",VLOOKUP(B160,Baza[[№]:[Profit]],22,0)),"")</f>
        <v/>
      </c>
      <c r="Y160" s="45" t="str">
        <f>IFERROR(VLOOKUP(B160,Baza[[№]:[Profit]],23,0),"")</f>
        <v/>
      </c>
      <c r="Z160" s="44" t="str">
        <f>IFERROR(VLOOKUP(B160,Baza[[№]:[AFS]],24,0),"")</f>
        <v/>
      </c>
      <c r="AA160" s="45" t="str">
        <f>IF(Таблица2[[#This Row],[Profit]]="","#Н/Д",SUM($Y$40:Y160))</f>
        <v>#Н/Д</v>
      </c>
      <c r="AB160" s="45" t="b">
        <f>IF(Таблица2[[#This Row],[Grafik]]="#Н/Д",FALSE,TRUE)</f>
        <v>0</v>
      </c>
    </row>
    <row r="161" spans="1:28" ht="11.1" hidden="1" customHeight="1" x14ac:dyDescent="0.25">
      <c r="A161" s="93">
        <f t="shared" si="1"/>
        <v>122</v>
      </c>
      <c r="B161"/>
      <c r="C161" s="41" t="str">
        <f>IFERROR(VLOOKUP(B161,Baza[[№]:[Profit]],2,0),"")</f>
        <v/>
      </c>
      <c r="D16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6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61" s="43" t="str">
        <f>IFERROR(VLOOKUP(B161,Baza[[№]:[Profit]],3,0),"")</f>
        <v/>
      </c>
      <c r="G161" s="43" t="str">
        <f>IFERROR(VLOOKUP(B161,Baza[[№]:[Profit]],4,0),"")</f>
        <v/>
      </c>
      <c r="H161" s="43" t="str">
        <f>IFERROR(VLOOKUP(B161,Baza[[№]:[Profit]],5,0),"")</f>
        <v/>
      </c>
      <c r="I161" s="46" t="str">
        <f>IFERROR(VLOOKUP(B161,Baza[[№]:[Profit]],6,0),"")</f>
        <v/>
      </c>
      <c r="J161" s="49" t="str">
        <f>IFERROR(VLOOKUP(B161,Baza[[№]:[Profit]],7,0),"")</f>
        <v/>
      </c>
      <c r="K161" s="43" t="str">
        <f>IFERROR(VLOOKUP(B161,Baza[[№]:[Profit]],8,0),"")</f>
        <v/>
      </c>
      <c r="L161" s="43" t="str">
        <f>IFERROR(VLOOKUP(B161,Baza[[№]:[Profit]],9,0),"")</f>
        <v/>
      </c>
      <c r="M161" s="43" t="str">
        <f>IFERROR(VLOOKUP(B161,Baza[[№]:[Profit]],10,0),"")</f>
        <v/>
      </c>
      <c r="N161" s="43" t="str">
        <f>IFERROR(IF(VLOOKUP(B161,Baza[[№]:[Profit]],11,0)=0,"-",VLOOKUP(B161,Baza[[№]:[Profit]],11,0)),"")</f>
        <v/>
      </c>
      <c r="O161" s="43" t="str">
        <f>IFERROR(IF(VLOOKUP(B161,Baza[[№]:[Profit]],12,0)=0,"-",VLOOKUP(B161,Baza[[№]:[Profit]],12,0)),"")</f>
        <v/>
      </c>
      <c r="P161" s="43" t="str">
        <f>IFERROR(IF(VLOOKUP(B161,Baza[[№]:[Profit]],13,0)=0,"-",VLOOKUP(B161,Baza[[№]:[Profit]],13,0)),"")</f>
        <v/>
      </c>
      <c r="Q161" s="43" t="str">
        <f>IFERROR(IF(VLOOKUP(B161,Baza[[№]:[Profit]],15,0)=0,"-",VLOOKUP(B161,Baza[[№]:[Profit]],15,0)),"")</f>
        <v/>
      </c>
      <c r="R161" s="43" t="str">
        <f>IFERROR(IF(VLOOKUP(B161,Baza[[№]:[Profit]],16,0)=0,"-",VLOOKUP(B161,Baza[[№]:[Profit]],16,0)),"")</f>
        <v/>
      </c>
      <c r="S161" s="43" t="str">
        <f>IFERROR(IF(VLOOKUP(B161,Baza[[№]:[Profit]],17,0)=0,"-",VLOOKUP(B161,Baza[[№]:[Profit]],17,0)),"")</f>
        <v/>
      </c>
      <c r="T161" s="43" t="str">
        <f>IFERROR(IF(VLOOKUP(B161,Baza[[№]:[Profit]],18,0)=0,"-",VLOOKUP(B161,Baza[[№]:[Profit]],18,0)),"")</f>
        <v/>
      </c>
      <c r="U161" s="41" t="str">
        <f>IFERROR(IF(VLOOKUP(B161,Baza[[№]:[Profit]],19,0)=0,"-",VLOOKUP(B161,Baza[[№]:[Profit]],19,0)),"")</f>
        <v/>
      </c>
      <c r="V161" s="41" t="str">
        <f>IFERROR(VLOOKUP(B161,Baza[[№]:[Profit]],20,0),"")</f>
        <v/>
      </c>
      <c r="W161" s="41" t="str">
        <f>IFERROR(IF(VLOOKUP(B161,Baza[[№]:[Profit]],21,0)=0,"-",VLOOKUP(B161,Baza[[№]:[Profit]],21,0)),"")</f>
        <v/>
      </c>
      <c r="X161" s="45" t="str">
        <f>IFERROR(IF(VLOOKUP(B161,Baza[[№]:[Profit]],22,0)=0,"-",VLOOKUP(B161,Baza[[№]:[Profit]],22,0)),"")</f>
        <v/>
      </c>
      <c r="Y161" s="45" t="str">
        <f>IFERROR(VLOOKUP(B161,Baza[[№]:[Profit]],23,0),"")</f>
        <v/>
      </c>
      <c r="Z161" s="44" t="str">
        <f>IFERROR(VLOOKUP(B161,Baza[[№]:[AFS]],24,0),"")</f>
        <v/>
      </c>
      <c r="AA161" s="45" t="str">
        <f>IF(Таблица2[[#This Row],[Profit]]="","#Н/Д",SUM($Y$40:Y161))</f>
        <v>#Н/Д</v>
      </c>
      <c r="AB161" s="45" t="b">
        <f>IF(Таблица2[[#This Row],[Grafik]]="#Н/Д",FALSE,TRUE)</f>
        <v>0</v>
      </c>
    </row>
    <row r="162" spans="1:28" ht="11.1" hidden="1" customHeight="1" x14ac:dyDescent="0.25">
      <c r="A162" s="93">
        <f t="shared" si="1"/>
        <v>123</v>
      </c>
      <c r="B162"/>
      <c r="C162" s="41" t="str">
        <f>IFERROR(VLOOKUP(B162,Baza[[№]:[Profit]],2,0),"")</f>
        <v/>
      </c>
      <c r="D16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6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62" s="43" t="str">
        <f>IFERROR(VLOOKUP(B162,Baza[[№]:[Profit]],3,0),"")</f>
        <v/>
      </c>
      <c r="G162" s="43" t="str">
        <f>IFERROR(VLOOKUP(B162,Baza[[№]:[Profit]],4,0),"")</f>
        <v/>
      </c>
      <c r="H162" s="43" t="str">
        <f>IFERROR(VLOOKUP(B162,Baza[[№]:[Profit]],5,0),"")</f>
        <v/>
      </c>
      <c r="I162" s="46" t="str">
        <f>IFERROR(VLOOKUP(B162,Baza[[№]:[Profit]],6,0),"")</f>
        <v/>
      </c>
      <c r="J162" s="49" t="str">
        <f>IFERROR(VLOOKUP(B162,Baza[[№]:[Profit]],7,0),"")</f>
        <v/>
      </c>
      <c r="K162" s="43" t="str">
        <f>IFERROR(VLOOKUP(B162,Baza[[№]:[Profit]],8,0),"")</f>
        <v/>
      </c>
      <c r="L162" s="43" t="str">
        <f>IFERROR(VLOOKUP(B162,Baza[[№]:[Profit]],9,0),"")</f>
        <v/>
      </c>
      <c r="M162" s="43" t="str">
        <f>IFERROR(VLOOKUP(B162,Baza[[№]:[Profit]],10,0),"")</f>
        <v/>
      </c>
      <c r="N162" s="43" t="str">
        <f>IFERROR(IF(VLOOKUP(B162,Baza[[№]:[Profit]],11,0)=0,"-",VLOOKUP(B162,Baza[[№]:[Profit]],11,0)),"")</f>
        <v/>
      </c>
      <c r="O162" s="43" t="str">
        <f>IFERROR(IF(VLOOKUP(B162,Baza[[№]:[Profit]],12,0)=0,"-",VLOOKUP(B162,Baza[[№]:[Profit]],12,0)),"")</f>
        <v/>
      </c>
      <c r="P162" s="43" t="str">
        <f>IFERROR(IF(VLOOKUP(B162,Baza[[№]:[Profit]],13,0)=0,"-",VLOOKUP(B162,Baza[[№]:[Profit]],13,0)),"")</f>
        <v/>
      </c>
      <c r="Q162" s="43" t="str">
        <f>IFERROR(IF(VLOOKUP(B162,Baza[[№]:[Profit]],15,0)=0,"-",VLOOKUP(B162,Baza[[№]:[Profit]],15,0)),"")</f>
        <v/>
      </c>
      <c r="R162" s="43" t="str">
        <f>IFERROR(IF(VLOOKUP(B162,Baza[[№]:[Profit]],16,0)=0,"-",VLOOKUP(B162,Baza[[№]:[Profit]],16,0)),"")</f>
        <v/>
      </c>
      <c r="S162" s="43" t="str">
        <f>IFERROR(IF(VLOOKUP(B162,Baza[[№]:[Profit]],17,0)=0,"-",VLOOKUP(B162,Baza[[№]:[Profit]],17,0)),"")</f>
        <v/>
      </c>
      <c r="T162" s="43" t="str">
        <f>IFERROR(IF(VLOOKUP(B162,Baza[[№]:[Profit]],18,0)=0,"-",VLOOKUP(B162,Baza[[№]:[Profit]],18,0)),"")</f>
        <v/>
      </c>
      <c r="U162" s="41" t="str">
        <f>IFERROR(IF(VLOOKUP(B162,Baza[[№]:[Profit]],19,0)=0,"-",VLOOKUP(B162,Baza[[№]:[Profit]],19,0)),"")</f>
        <v/>
      </c>
      <c r="V162" s="41" t="str">
        <f>IFERROR(VLOOKUP(B162,Baza[[№]:[Profit]],20,0),"")</f>
        <v/>
      </c>
      <c r="W162" s="41" t="str">
        <f>IFERROR(IF(VLOOKUP(B162,Baza[[№]:[Profit]],21,0)=0,"-",VLOOKUP(B162,Baza[[№]:[Profit]],21,0)),"")</f>
        <v/>
      </c>
      <c r="X162" s="45" t="str">
        <f>IFERROR(IF(VLOOKUP(B162,Baza[[№]:[Profit]],22,0)=0,"-",VLOOKUP(B162,Baza[[№]:[Profit]],22,0)),"")</f>
        <v/>
      </c>
      <c r="Y162" s="45" t="str">
        <f>IFERROR(VLOOKUP(B162,Baza[[№]:[Profit]],23,0),"")</f>
        <v/>
      </c>
      <c r="Z162" s="44" t="str">
        <f>IFERROR(VLOOKUP(B162,Baza[[№]:[AFS]],24,0),"")</f>
        <v/>
      </c>
      <c r="AA162" s="45" t="str">
        <f>IF(Таблица2[[#This Row],[Profit]]="","#Н/Д",SUM($Y$40:Y162))</f>
        <v>#Н/Д</v>
      </c>
      <c r="AB162" s="45" t="b">
        <f>IF(Таблица2[[#This Row],[Grafik]]="#Н/Д",FALSE,TRUE)</f>
        <v>0</v>
      </c>
    </row>
    <row r="163" spans="1:28" ht="11.1" hidden="1" customHeight="1" x14ac:dyDescent="0.25">
      <c r="A163" s="93">
        <f t="shared" si="1"/>
        <v>124</v>
      </c>
      <c r="B163"/>
      <c r="C163" s="41" t="str">
        <f>IFERROR(VLOOKUP(B163,Baza[[№]:[Profit]],2,0),"")</f>
        <v/>
      </c>
      <c r="D16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6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63" s="43" t="str">
        <f>IFERROR(VLOOKUP(B163,Baza[[№]:[Profit]],3,0),"")</f>
        <v/>
      </c>
      <c r="G163" s="43" t="str">
        <f>IFERROR(VLOOKUP(B163,Baza[[№]:[Profit]],4,0),"")</f>
        <v/>
      </c>
      <c r="H163" s="43" t="str">
        <f>IFERROR(VLOOKUP(B163,Baza[[№]:[Profit]],5,0),"")</f>
        <v/>
      </c>
      <c r="I163" s="46" t="str">
        <f>IFERROR(VLOOKUP(B163,Baza[[№]:[Profit]],6,0),"")</f>
        <v/>
      </c>
      <c r="J163" s="49" t="str">
        <f>IFERROR(VLOOKUP(B163,Baza[[№]:[Profit]],7,0),"")</f>
        <v/>
      </c>
      <c r="K163" s="43" t="str">
        <f>IFERROR(VLOOKUP(B163,Baza[[№]:[Profit]],8,0),"")</f>
        <v/>
      </c>
      <c r="L163" s="43" t="str">
        <f>IFERROR(VLOOKUP(B163,Baza[[№]:[Profit]],9,0),"")</f>
        <v/>
      </c>
      <c r="M163" s="43" t="str">
        <f>IFERROR(VLOOKUP(B163,Baza[[№]:[Profit]],10,0),"")</f>
        <v/>
      </c>
      <c r="N163" s="43" t="str">
        <f>IFERROR(IF(VLOOKUP(B163,Baza[[№]:[Profit]],11,0)=0,"-",VLOOKUP(B163,Baza[[№]:[Profit]],11,0)),"")</f>
        <v/>
      </c>
      <c r="O163" s="43" t="str">
        <f>IFERROR(IF(VLOOKUP(B163,Baza[[№]:[Profit]],12,0)=0,"-",VLOOKUP(B163,Baza[[№]:[Profit]],12,0)),"")</f>
        <v/>
      </c>
      <c r="P163" s="43" t="str">
        <f>IFERROR(IF(VLOOKUP(B163,Baza[[№]:[Profit]],13,0)=0,"-",VLOOKUP(B163,Baza[[№]:[Profit]],13,0)),"")</f>
        <v/>
      </c>
      <c r="Q163" s="43" t="str">
        <f>IFERROR(IF(VLOOKUP(B163,Baza[[№]:[Profit]],15,0)=0,"-",VLOOKUP(B163,Baza[[№]:[Profit]],15,0)),"")</f>
        <v/>
      </c>
      <c r="R163" s="43" t="str">
        <f>IFERROR(IF(VLOOKUP(B163,Baza[[№]:[Profit]],16,0)=0,"-",VLOOKUP(B163,Baza[[№]:[Profit]],16,0)),"")</f>
        <v/>
      </c>
      <c r="S163" s="43" t="str">
        <f>IFERROR(IF(VLOOKUP(B163,Baza[[№]:[Profit]],17,0)=0,"-",VLOOKUP(B163,Baza[[№]:[Profit]],17,0)),"")</f>
        <v/>
      </c>
      <c r="T163" s="43" t="str">
        <f>IFERROR(IF(VLOOKUP(B163,Baza[[№]:[Profit]],18,0)=0,"-",VLOOKUP(B163,Baza[[№]:[Profit]],18,0)),"")</f>
        <v/>
      </c>
      <c r="U163" s="41" t="str">
        <f>IFERROR(IF(VLOOKUP(B163,Baza[[№]:[Profit]],19,0)=0,"-",VLOOKUP(B163,Baza[[№]:[Profit]],19,0)),"")</f>
        <v/>
      </c>
      <c r="V163" s="41" t="str">
        <f>IFERROR(VLOOKUP(B163,Baza[[№]:[Profit]],20,0),"")</f>
        <v/>
      </c>
      <c r="W163" s="41" t="str">
        <f>IFERROR(IF(VLOOKUP(B163,Baza[[№]:[Profit]],21,0)=0,"-",VLOOKUP(B163,Baza[[№]:[Profit]],21,0)),"")</f>
        <v/>
      </c>
      <c r="X163" s="45" t="str">
        <f>IFERROR(IF(VLOOKUP(B163,Baza[[№]:[Profit]],22,0)=0,"-",VLOOKUP(B163,Baza[[№]:[Profit]],22,0)),"")</f>
        <v/>
      </c>
      <c r="Y163" s="45" t="str">
        <f>IFERROR(VLOOKUP(B163,Baza[[№]:[Profit]],23,0),"")</f>
        <v/>
      </c>
      <c r="Z163" s="44" t="str">
        <f>IFERROR(VLOOKUP(B163,Baza[[№]:[AFS]],24,0),"")</f>
        <v/>
      </c>
      <c r="AA163" s="45" t="str">
        <f>IF(Таблица2[[#This Row],[Profit]]="","#Н/Д",SUM($Y$40:Y163))</f>
        <v>#Н/Д</v>
      </c>
      <c r="AB163" s="45" t="b">
        <f>IF(Таблица2[[#This Row],[Grafik]]="#Н/Д",FALSE,TRUE)</f>
        <v>0</v>
      </c>
    </row>
    <row r="164" spans="1:28" ht="11.1" hidden="1" customHeight="1" x14ac:dyDescent="0.25">
      <c r="A164" s="93">
        <f t="shared" si="1"/>
        <v>125</v>
      </c>
      <c r="B164"/>
      <c r="C164" s="41" t="str">
        <f>IFERROR(VLOOKUP(B164,Baza[[№]:[Profit]],2,0),"")</f>
        <v/>
      </c>
      <c r="D16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6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64" s="43" t="str">
        <f>IFERROR(VLOOKUP(B164,Baza[[№]:[Profit]],3,0),"")</f>
        <v/>
      </c>
      <c r="G164" s="43" t="str">
        <f>IFERROR(VLOOKUP(B164,Baza[[№]:[Profit]],4,0),"")</f>
        <v/>
      </c>
      <c r="H164" s="43" t="str">
        <f>IFERROR(VLOOKUP(B164,Baza[[№]:[Profit]],5,0),"")</f>
        <v/>
      </c>
      <c r="I164" s="46" t="str">
        <f>IFERROR(VLOOKUP(B164,Baza[[№]:[Profit]],6,0),"")</f>
        <v/>
      </c>
      <c r="J164" s="49" t="str">
        <f>IFERROR(VLOOKUP(B164,Baza[[№]:[Profit]],7,0),"")</f>
        <v/>
      </c>
      <c r="K164" s="43" t="str">
        <f>IFERROR(VLOOKUP(B164,Baza[[№]:[Profit]],8,0),"")</f>
        <v/>
      </c>
      <c r="L164" s="43" t="str">
        <f>IFERROR(VLOOKUP(B164,Baza[[№]:[Profit]],9,0),"")</f>
        <v/>
      </c>
      <c r="M164" s="43" t="str">
        <f>IFERROR(VLOOKUP(B164,Baza[[№]:[Profit]],10,0),"")</f>
        <v/>
      </c>
      <c r="N164" s="43" t="str">
        <f>IFERROR(IF(VLOOKUP(B164,Baza[[№]:[Profit]],11,0)=0,"-",VLOOKUP(B164,Baza[[№]:[Profit]],11,0)),"")</f>
        <v/>
      </c>
      <c r="O164" s="43" t="str">
        <f>IFERROR(IF(VLOOKUP(B164,Baza[[№]:[Profit]],12,0)=0,"-",VLOOKUP(B164,Baza[[№]:[Profit]],12,0)),"")</f>
        <v/>
      </c>
      <c r="P164" s="43" t="str">
        <f>IFERROR(IF(VLOOKUP(B164,Baza[[№]:[Profit]],13,0)=0,"-",VLOOKUP(B164,Baza[[№]:[Profit]],13,0)),"")</f>
        <v/>
      </c>
      <c r="Q164" s="43" t="str">
        <f>IFERROR(IF(VLOOKUP(B164,Baza[[№]:[Profit]],15,0)=0,"-",VLOOKUP(B164,Baza[[№]:[Profit]],15,0)),"")</f>
        <v/>
      </c>
      <c r="R164" s="43" t="str">
        <f>IFERROR(IF(VLOOKUP(B164,Baza[[№]:[Profit]],16,0)=0,"-",VLOOKUP(B164,Baza[[№]:[Profit]],16,0)),"")</f>
        <v/>
      </c>
      <c r="S164" s="43" t="str">
        <f>IFERROR(IF(VLOOKUP(B164,Baza[[№]:[Profit]],17,0)=0,"-",VLOOKUP(B164,Baza[[№]:[Profit]],17,0)),"")</f>
        <v/>
      </c>
      <c r="T164" s="43" t="str">
        <f>IFERROR(IF(VLOOKUP(B164,Baza[[№]:[Profit]],18,0)=0,"-",VLOOKUP(B164,Baza[[№]:[Profit]],18,0)),"")</f>
        <v/>
      </c>
      <c r="U164" s="41" t="str">
        <f>IFERROR(IF(VLOOKUP(B164,Baza[[№]:[Profit]],19,0)=0,"-",VLOOKUP(B164,Baza[[№]:[Profit]],19,0)),"")</f>
        <v/>
      </c>
      <c r="V164" s="41" t="str">
        <f>IFERROR(VLOOKUP(B164,Baza[[№]:[Profit]],20,0),"")</f>
        <v/>
      </c>
      <c r="W164" s="41" t="str">
        <f>IFERROR(IF(VLOOKUP(B164,Baza[[№]:[Profit]],21,0)=0,"-",VLOOKUP(B164,Baza[[№]:[Profit]],21,0)),"")</f>
        <v/>
      </c>
      <c r="X164" s="45" t="str">
        <f>IFERROR(IF(VLOOKUP(B164,Baza[[№]:[Profit]],22,0)=0,"-",VLOOKUP(B164,Baza[[№]:[Profit]],22,0)),"")</f>
        <v/>
      </c>
      <c r="Y164" s="45" t="str">
        <f>IFERROR(VLOOKUP(B164,Baza[[№]:[Profit]],23,0),"")</f>
        <v/>
      </c>
      <c r="Z164" s="44" t="str">
        <f>IFERROR(VLOOKUP(B164,Baza[[№]:[AFS]],24,0),"")</f>
        <v/>
      </c>
      <c r="AA164" s="45" t="str">
        <f>IF(Таблица2[[#This Row],[Profit]]="","#Н/Д",SUM($Y$40:Y164))</f>
        <v>#Н/Д</v>
      </c>
      <c r="AB164" s="45" t="b">
        <f>IF(Таблица2[[#This Row],[Grafik]]="#Н/Д",FALSE,TRUE)</f>
        <v>0</v>
      </c>
    </row>
    <row r="165" spans="1:28" ht="11.1" hidden="1" customHeight="1" x14ac:dyDescent="0.25">
      <c r="A165" s="93">
        <f t="shared" si="1"/>
        <v>126</v>
      </c>
      <c r="B165"/>
      <c r="C165" s="41" t="str">
        <f>IFERROR(VLOOKUP(B165,Baza[[№]:[Profit]],2,0),"")</f>
        <v/>
      </c>
      <c r="D16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6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65" s="43" t="str">
        <f>IFERROR(VLOOKUP(B165,Baza[[№]:[Profit]],3,0),"")</f>
        <v/>
      </c>
      <c r="G165" s="43" t="str">
        <f>IFERROR(VLOOKUP(B165,Baza[[№]:[Profit]],4,0),"")</f>
        <v/>
      </c>
      <c r="H165" s="43" t="str">
        <f>IFERROR(VLOOKUP(B165,Baza[[№]:[Profit]],5,0),"")</f>
        <v/>
      </c>
      <c r="I165" s="46" t="str">
        <f>IFERROR(VLOOKUP(B165,Baza[[№]:[Profit]],6,0),"")</f>
        <v/>
      </c>
      <c r="J165" s="49" t="str">
        <f>IFERROR(VLOOKUP(B165,Baza[[№]:[Profit]],7,0),"")</f>
        <v/>
      </c>
      <c r="K165" s="43" t="str">
        <f>IFERROR(VLOOKUP(B165,Baza[[№]:[Profit]],8,0),"")</f>
        <v/>
      </c>
      <c r="L165" s="43" t="str">
        <f>IFERROR(VLOOKUP(B165,Baza[[№]:[Profit]],9,0),"")</f>
        <v/>
      </c>
      <c r="M165" s="43" t="str">
        <f>IFERROR(VLOOKUP(B165,Baza[[№]:[Profit]],10,0),"")</f>
        <v/>
      </c>
      <c r="N165" s="43" t="str">
        <f>IFERROR(IF(VLOOKUP(B165,Baza[[№]:[Profit]],11,0)=0,"-",VLOOKUP(B165,Baza[[№]:[Profit]],11,0)),"")</f>
        <v/>
      </c>
      <c r="O165" s="43" t="str">
        <f>IFERROR(IF(VLOOKUP(B165,Baza[[№]:[Profit]],12,0)=0,"-",VLOOKUP(B165,Baza[[№]:[Profit]],12,0)),"")</f>
        <v/>
      </c>
      <c r="P165" s="43" t="str">
        <f>IFERROR(IF(VLOOKUP(B165,Baza[[№]:[Profit]],13,0)=0,"-",VLOOKUP(B165,Baza[[№]:[Profit]],13,0)),"")</f>
        <v/>
      </c>
      <c r="Q165" s="43" t="str">
        <f>IFERROR(IF(VLOOKUP(B165,Baza[[№]:[Profit]],15,0)=0,"-",VLOOKUP(B165,Baza[[№]:[Profit]],15,0)),"")</f>
        <v/>
      </c>
      <c r="R165" s="43" t="str">
        <f>IFERROR(IF(VLOOKUP(B165,Baza[[№]:[Profit]],16,0)=0,"-",VLOOKUP(B165,Baza[[№]:[Profit]],16,0)),"")</f>
        <v/>
      </c>
      <c r="S165" s="43" t="str">
        <f>IFERROR(IF(VLOOKUP(B165,Baza[[№]:[Profit]],17,0)=0,"-",VLOOKUP(B165,Baza[[№]:[Profit]],17,0)),"")</f>
        <v/>
      </c>
      <c r="T165" s="43" t="str">
        <f>IFERROR(IF(VLOOKUP(B165,Baza[[№]:[Profit]],18,0)=0,"-",VLOOKUP(B165,Baza[[№]:[Profit]],18,0)),"")</f>
        <v/>
      </c>
      <c r="U165" s="41" t="str">
        <f>IFERROR(IF(VLOOKUP(B165,Baza[[№]:[Profit]],19,0)=0,"-",VLOOKUP(B165,Baza[[№]:[Profit]],19,0)),"")</f>
        <v/>
      </c>
      <c r="V165" s="41" t="str">
        <f>IFERROR(VLOOKUP(B165,Baza[[№]:[Profit]],20,0),"")</f>
        <v/>
      </c>
      <c r="W165" s="41" t="str">
        <f>IFERROR(IF(VLOOKUP(B165,Baza[[№]:[Profit]],21,0)=0,"-",VLOOKUP(B165,Baza[[№]:[Profit]],21,0)),"")</f>
        <v/>
      </c>
      <c r="X165" s="45" t="str">
        <f>IFERROR(IF(VLOOKUP(B165,Baza[[№]:[Profit]],22,0)=0,"-",VLOOKUP(B165,Baza[[№]:[Profit]],22,0)),"")</f>
        <v/>
      </c>
      <c r="Y165" s="45" t="str">
        <f>IFERROR(VLOOKUP(B165,Baza[[№]:[Profit]],23,0),"")</f>
        <v/>
      </c>
      <c r="Z165" s="44" t="str">
        <f>IFERROR(VLOOKUP(B165,Baza[[№]:[AFS]],24,0),"")</f>
        <v/>
      </c>
      <c r="AA165" s="45" t="str">
        <f>IF(Таблица2[[#This Row],[Profit]]="","#Н/Д",SUM($Y$40:Y165))</f>
        <v>#Н/Д</v>
      </c>
      <c r="AB165" s="45" t="b">
        <f>IF(Таблица2[[#This Row],[Grafik]]="#Н/Д",FALSE,TRUE)</f>
        <v>0</v>
      </c>
    </row>
    <row r="166" spans="1:28" ht="11.1" hidden="1" customHeight="1" x14ac:dyDescent="0.25">
      <c r="A166" s="93">
        <f t="shared" si="1"/>
        <v>127</v>
      </c>
      <c r="B166"/>
      <c r="C166" s="41" t="str">
        <f>IFERROR(VLOOKUP(B166,Baza[[№]:[Profit]],2,0),"")</f>
        <v/>
      </c>
      <c r="D16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6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66" s="43" t="str">
        <f>IFERROR(VLOOKUP(B166,Baza[[№]:[Profit]],3,0),"")</f>
        <v/>
      </c>
      <c r="G166" s="43" t="str">
        <f>IFERROR(VLOOKUP(B166,Baza[[№]:[Profit]],4,0),"")</f>
        <v/>
      </c>
      <c r="H166" s="43" t="str">
        <f>IFERROR(VLOOKUP(B166,Baza[[№]:[Profit]],5,0),"")</f>
        <v/>
      </c>
      <c r="I166" s="46" t="str">
        <f>IFERROR(VLOOKUP(B166,Baza[[№]:[Profit]],6,0),"")</f>
        <v/>
      </c>
      <c r="J166" s="49" t="str">
        <f>IFERROR(VLOOKUP(B166,Baza[[№]:[Profit]],7,0),"")</f>
        <v/>
      </c>
      <c r="K166" s="43" t="str">
        <f>IFERROR(VLOOKUP(B166,Baza[[№]:[Profit]],8,0),"")</f>
        <v/>
      </c>
      <c r="L166" s="43" t="str">
        <f>IFERROR(VLOOKUP(B166,Baza[[№]:[Profit]],9,0),"")</f>
        <v/>
      </c>
      <c r="M166" s="43" t="str">
        <f>IFERROR(VLOOKUP(B166,Baza[[№]:[Profit]],10,0),"")</f>
        <v/>
      </c>
      <c r="N166" s="43" t="str">
        <f>IFERROR(IF(VLOOKUP(B166,Baza[[№]:[Profit]],11,0)=0,"-",VLOOKUP(B166,Baza[[№]:[Profit]],11,0)),"")</f>
        <v/>
      </c>
      <c r="O166" s="43" t="str">
        <f>IFERROR(IF(VLOOKUP(B166,Baza[[№]:[Profit]],12,0)=0,"-",VLOOKUP(B166,Baza[[№]:[Profit]],12,0)),"")</f>
        <v/>
      </c>
      <c r="P166" s="43" t="str">
        <f>IFERROR(IF(VLOOKUP(B166,Baza[[№]:[Profit]],13,0)=0,"-",VLOOKUP(B166,Baza[[№]:[Profit]],13,0)),"")</f>
        <v/>
      </c>
      <c r="Q166" s="43" t="str">
        <f>IFERROR(IF(VLOOKUP(B166,Baza[[№]:[Profit]],15,0)=0,"-",VLOOKUP(B166,Baza[[№]:[Profit]],15,0)),"")</f>
        <v/>
      </c>
      <c r="R166" s="43" t="str">
        <f>IFERROR(IF(VLOOKUP(B166,Baza[[№]:[Profit]],16,0)=0,"-",VLOOKUP(B166,Baza[[№]:[Profit]],16,0)),"")</f>
        <v/>
      </c>
      <c r="S166" s="43" t="str">
        <f>IFERROR(IF(VLOOKUP(B166,Baza[[№]:[Profit]],17,0)=0,"-",VLOOKUP(B166,Baza[[№]:[Profit]],17,0)),"")</f>
        <v/>
      </c>
      <c r="T166" s="43" t="str">
        <f>IFERROR(IF(VLOOKUP(B166,Baza[[№]:[Profit]],18,0)=0,"-",VLOOKUP(B166,Baza[[№]:[Profit]],18,0)),"")</f>
        <v/>
      </c>
      <c r="U166" s="41" t="str">
        <f>IFERROR(IF(VLOOKUP(B166,Baza[[№]:[Profit]],19,0)=0,"-",VLOOKUP(B166,Baza[[№]:[Profit]],19,0)),"")</f>
        <v/>
      </c>
      <c r="V166" s="41" t="str">
        <f>IFERROR(VLOOKUP(B166,Baza[[№]:[Profit]],20,0),"")</f>
        <v/>
      </c>
      <c r="W166" s="41" t="str">
        <f>IFERROR(IF(VLOOKUP(B166,Baza[[№]:[Profit]],21,0)=0,"-",VLOOKUP(B166,Baza[[№]:[Profit]],21,0)),"")</f>
        <v/>
      </c>
      <c r="X166" s="45" t="str">
        <f>IFERROR(IF(VLOOKUP(B166,Baza[[№]:[Profit]],22,0)=0,"-",VLOOKUP(B166,Baza[[№]:[Profit]],22,0)),"")</f>
        <v/>
      </c>
      <c r="Y166" s="45" t="str">
        <f>IFERROR(VLOOKUP(B166,Baza[[№]:[Profit]],23,0),"")</f>
        <v/>
      </c>
      <c r="Z166" s="44" t="str">
        <f>IFERROR(VLOOKUP(B166,Baza[[№]:[AFS]],24,0),"")</f>
        <v/>
      </c>
      <c r="AA166" s="45" t="str">
        <f>IF(Таблица2[[#This Row],[Profit]]="","#Н/Д",SUM($Y$40:Y166))</f>
        <v>#Н/Д</v>
      </c>
      <c r="AB166" s="45" t="b">
        <f>IF(Таблица2[[#This Row],[Grafik]]="#Н/Д",FALSE,TRUE)</f>
        <v>0</v>
      </c>
    </row>
    <row r="167" spans="1:28" ht="11.1" hidden="1" customHeight="1" x14ac:dyDescent="0.25">
      <c r="A167" s="93">
        <f t="shared" si="1"/>
        <v>128</v>
      </c>
      <c r="B167"/>
      <c r="C167" s="41" t="str">
        <f>IFERROR(VLOOKUP(B167,Baza[[№]:[Profit]],2,0),"")</f>
        <v/>
      </c>
      <c r="D16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6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67" s="43" t="str">
        <f>IFERROR(VLOOKUP(B167,Baza[[№]:[Profit]],3,0),"")</f>
        <v/>
      </c>
      <c r="G167" s="43" t="str">
        <f>IFERROR(VLOOKUP(B167,Baza[[№]:[Profit]],4,0),"")</f>
        <v/>
      </c>
      <c r="H167" s="43" t="str">
        <f>IFERROR(VLOOKUP(B167,Baza[[№]:[Profit]],5,0),"")</f>
        <v/>
      </c>
      <c r="I167" s="46" t="str">
        <f>IFERROR(VLOOKUP(B167,Baza[[№]:[Profit]],6,0),"")</f>
        <v/>
      </c>
      <c r="J167" s="49" t="str">
        <f>IFERROR(VLOOKUP(B167,Baza[[№]:[Profit]],7,0),"")</f>
        <v/>
      </c>
      <c r="K167" s="43" t="str">
        <f>IFERROR(VLOOKUP(B167,Baza[[№]:[Profit]],8,0),"")</f>
        <v/>
      </c>
      <c r="L167" s="43" t="str">
        <f>IFERROR(VLOOKUP(B167,Baza[[№]:[Profit]],9,0),"")</f>
        <v/>
      </c>
      <c r="M167" s="43" t="str">
        <f>IFERROR(VLOOKUP(B167,Baza[[№]:[Profit]],10,0),"")</f>
        <v/>
      </c>
      <c r="N167" s="43" t="str">
        <f>IFERROR(IF(VLOOKUP(B167,Baza[[№]:[Profit]],11,0)=0,"-",VLOOKUP(B167,Baza[[№]:[Profit]],11,0)),"")</f>
        <v/>
      </c>
      <c r="O167" s="43" t="str">
        <f>IFERROR(IF(VLOOKUP(B167,Baza[[№]:[Profit]],12,0)=0,"-",VLOOKUP(B167,Baza[[№]:[Profit]],12,0)),"")</f>
        <v/>
      </c>
      <c r="P167" s="43" t="str">
        <f>IFERROR(IF(VLOOKUP(B167,Baza[[№]:[Profit]],13,0)=0,"-",VLOOKUP(B167,Baza[[№]:[Profit]],13,0)),"")</f>
        <v/>
      </c>
      <c r="Q167" s="43" t="str">
        <f>IFERROR(IF(VLOOKUP(B167,Baza[[№]:[Profit]],15,0)=0,"-",VLOOKUP(B167,Baza[[№]:[Profit]],15,0)),"")</f>
        <v/>
      </c>
      <c r="R167" s="43" t="str">
        <f>IFERROR(IF(VLOOKUP(B167,Baza[[№]:[Profit]],16,0)=0,"-",VLOOKUP(B167,Baza[[№]:[Profit]],16,0)),"")</f>
        <v/>
      </c>
      <c r="S167" s="43" t="str">
        <f>IFERROR(IF(VLOOKUP(B167,Baza[[№]:[Profit]],17,0)=0,"-",VLOOKUP(B167,Baza[[№]:[Profit]],17,0)),"")</f>
        <v/>
      </c>
      <c r="T167" s="43" t="str">
        <f>IFERROR(IF(VLOOKUP(B167,Baza[[№]:[Profit]],18,0)=0,"-",VLOOKUP(B167,Baza[[№]:[Profit]],18,0)),"")</f>
        <v/>
      </c>
      <c r="U167" s="41" t="str">
        <f>IFERROR(IF(VLOOKUP(B167,Baza[[№]:[Profit]],19,0)=0,"-",VLOOKUP(B167,Baza[[№]:[Profit]],19,0)),"")</f>
        <v/>
      </c>
      <c r="V167" s="41" t="str">
        <f>IFERROR(VLOOKUP(B167,Baza[[№]:[Profit]],20,0),"")</f>
        <v/>
      </c>
      <c r="W167" s="41" t="str">
        <f>IFERROR(IF(VLOOKUP(B167,Baza[[№]:[Profit]],21,0)=0,"-",VLOOKUP(B167,Baza[[№]:[Profit]],21,0)),"")</f>
        <v/>
      </c>
      <c r="X167" s="45" t="str">
        <f>IFERROR(IF(VLOOKUP(B167,Baza[[№]:[Profit]],22,0)=0,"-",VLOOKUP(B167,Baza[[№]:[Profit]],22,0)),"")</f>
        <v/>
      </c>
      <c r="Y167" s="45" t="str">
        <f>IFERROR(VLOOKUP(B167,Baza[[№]:[Profit]],23,0),"")</f>
        <v/>
      </c>
      <c r="Z167" s="44" t="str">
        <f>IFERROR(VLOOKUP(B167,Baza[[№]:[AFS]],24,0),"")</f>
        <v/>
      </c>
      <c r="AA167" s="45" t="str">
        <f>IF(Таблица2[[#This Row],[Profit]]="","#Н/Д",SUM($Y$40:Y167))</f>
        <v>#Н/Д</v>
      </c>
      <c r="AB167" s="45" t="b">
        <f>IF(Таблица2[[#This Row],[Grafik]]="#Н/Д",FALSE,TRUE)</f>
        <v>0</v>
      </c>
    </row>
    <row r="168" spans="1:28" ht="11.1" hidden="1" customHeight="1" x14ac:dyDescent="0.25">
      <c r="A168" s="93">
        <f t="shared" si="1"/>
        <v>129</v>
      </c>
      <c r="B168"/>
      <c r="C168" s="41" t="str">
        <f>IFERROR(VLOOKUP(B168,Baza[[№]:[Profit]],2,0),"")</f>
        <v/>
      </c>
      <c r="D16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6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68" s="43" t="str">
        <f>IFERROR(VLOOKUP(B168,Baza[[№]:[Profit]],3,0),"")</f>
        <v/>
      </c>
      <c r="G168" s="43" t="str">
        <f>IFERROR(VLOOKUP(B168,Baza[[№]:[Profit]],4,0),"")</f>
        <v/>
      </c>
      <c r="H168" s="43" t="str">
        <f>IFERROR(VLOOKUP(B168,Baza[[№]:[Profit]],5,0),"")</f>
        <v/>
      </c>
      <c r="I168" s="46" t="str">
        <f>IFERROR(VLOOKUP(B168,Baza[[№]:[Profit]],6,0),"")</f>
        <v/>
      </c>
      <c r="J168" s="49" t="str">
        <f>IFERROR(VLOOKUP(B168,Baza[[№]:[Profit]],7,0),"")</f>
        <v/>
      </c>
      <c r="K168" s="43" t="str">
        <f>IFERROR(VLOOKUP(B168,Baza[[№]:[Profit]],8,0),"")</f>
        <v/>
      </c>
      <c r="L168" s="43" t="str">
        <f>IFERROR(VLOOKUP(B168,Baza[[№]:[Profit]],9,0),"")</f>
        <v/>
      </c>
      <c r="M168" s="43" t="str">
        <f>IFERROR(VLOOKUP(B168,Baza[[№]:[Profit]],10,0),"")</f>
        <v/>
      </c>
      <c r="N168" s="43" t="str">
        <f>IFERROR(IF(VLOOKUP(B168,Baza[[№]:[Profit]],11,0)=0,"-",VLOOKUP(B168,Baza[[№]:[Profit]],11,0)),"")</f>
        <v/>
      </c>
      <c r="O168" s="43" t="str">
        <f>IFERROR(IF(VLOOKUP(B168,Baza[[№]:[Profit]],12,0)=0,"-",VLOOKUP(B168,Baza[[№]:[Profit]],12,0)),"")</f>
        <v/>
      </c>
      <c r="P168" s="43" t="str">
        <f>IFERROR(IF(VLOOKUP(B168,Baza[[№]:[Profit]],13,0)=0,"-",VLOOKUP(B168,Baza[[№]:[Profit]],13,0)),"")</f>
        <v/>
      </c>
      <c r="Q168" s="43" t="str">
        <f>IFERROR(IF(VLOOKUP(B168,Baza[[№]:[Profit]],15,0)=0,"-",VLOOKUP(B168,Baza[[№]:[Profit]],15,0)),"")</f>
        <v/>
      </c>
      <c r="R168" s="43" t="str">
        <f>IFERROR(IF(VLOOKUP(B168,Baza[[№]:[Profit]],16,0)=0,"-",VLOOKUP(B168,Baza[[№]:[Profit]],16,0)),"")</f>
        <v/>
      </c>
      <c r="S168" s="43" t="str">
        <f>IFERROR(IF(VLOOKUP(B168,Baza[[№]:[Profit]],17,0)=0,"-",VLOOKUP(B168,Baza[[№]:[Profit]],17,0)),"")</f>
        <v/>
      </c>
      <c r="T168" s="43" t="str">
        <f>IFERROR(IF(VLOOKUP(B168,Baza[[№]:[Profit]],18,0)=0,"-",VLOOKUP(B168,Baza[[№]:[Profit]],18,0)),"")</f>
        <v/>
      </c>
      <c r="U168" s="41" t="str">
        <f>IFERROR(IF(VLOOKUP(B168,Baza[[№]:[Profit]],19,0)=0,"-",VLOOKUP(B168,Baza[[№]:[Profit]],19,0)),"")</f>
        <v/>
      </c>
      <c r="V168" s="41" t="str">
        <f>IFERROR(VLOOKUP(B168,Baza[[№]:[Profit]],20,0),"")</f>
        <v/>
      </c>
      <c r="W168" s="41" t="str">
        <f>IFERROR(IF(VLOOKUP(B168,Baza[[№]:[Profit]],21,0)=0,"-",VLOOKUP(B168,Baza[[№]:[Profit]],21,0)),"")</f>
        <v/>
      </c>
      <c r="X168" s="45" t="str">
        <f>IFERROR(IF(VLOOKUP(B168,Baza[[№]:[Profit]],22,0)=0,"-",VLOOKUP(B168,Baza[[№]:[Profit]],22,0)),"")</f>
        <v/>
      </c>
      <c r="Y168" s="45" t="str">
        <f>IFERROR(VLOOKUP(B168,Baza[[№]:[Profit]],23,0),"")</f>
        <v/>
      </c>
      <c r="Z168" s="44" t="str">
        <f>IFERROR(VLOOKUP(B168,Baza[[№]:[AFS]],24,0),"")</f>
        <v/>
      </c>
      <c r="AA168" s="45" t="str">
        <f>IF(Таблица2[[#This Row],[Profit]]="","#Н/Д",SUM($Y$40:Y168))</f>
        <v>#Н/Д</v>
      </c>
      <c r="AB168" s="45" t="b">
        <f>IF(Таблица2[[#This Row],[Grafik]]="#Н/Д",FALSE,TRUE)</f>
        <v>0</v>
      </c>
    </row>
    <row r="169" spans="1:28" ht="11.1" hidden="1" customHeight="1" x14ac:dyDescent="0.25">
      <c r="A169" s="93">
        <f t="shared" ref="A169:A232" si="2">A168+1</f>
        <v>130</v>
      </c>
      <c r="B169"/>
      <c r="C169" s="41" t="str">
        <f>IFERROR(VLOOKUP(B169,Baza[[№]:[Profit]],2,0),"")</f>
        <v/>
      </c>
      <c r="D16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6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69" s="43" t="str">
        <f>IFERROR(VLOOKUP(B169,Baza[[№]:[Profit]],3,0),"")</f>
        <v/>
      </c>
      <c r="G169" s="43" t="str">
        <f>IFERROR(VLOOKUP(B169,Baza[[№]:[Profit]],4,0),"")</f>
        <v/>
      </c>
      <c r="H169" s="43" t="str">
        <f>IFERROR(VLOOKUP(B169,Baza[[№]:[Profit]],5,0),"")</f>
        <v/>
      </c>
      <c r="I169" s="46" t="str">
        <f>IFERROR(VLOOKUP(B169,Baza[[№]:[Profit]],6,0),"")</f>
        <v/>
      </c>
      <c r="J169" s="49" t="str">
        <f>IFERROR(VLOOKUP(B169,Baza[[№]:[Profit]],7,0),"")</f>
        <v/>
      </c>
      <c r="K169" s="43" t="str">
        <f>IFERROR(VLOOKUP(B169,Baza[[№]:[Profit]],8,0),"")</f>
        <v/>
      </c>
      <c r="L169" s="43" t="str">
        <f>IFERROR(VLOOKUP(B169,Baza[[№]:[Profit]],9,0),"")</f>
        <v/>
      </c>
      <c r="M169" s="43" t="str">
        <f>IFERROR(VLOOKUP(B169,Baza[[№]:[Profit]],10,0),"")</f>
        <v/>
      </c>
      <c r="N169" s="43" t="str">
        <f>IFERROR(IF(VLOOKUP(B169,Baza[[№]:[Profit]],11,0)=0,"-",VLOOKUP(B169,Baza[[№]:[Profit]],11,0)),"")</f>
        <v/>
      </c>
      <c r="O169" s="43" t="str">
        <f>IFERROR(IF(VLOOKUP(B169,Baza[[№]:[Profit]],12,0)=0,"-",VLOOKUP(B169,Baza[[№]:[Profit]],12,0)),"")</f>
        <v/>
      </c>
      <c r="P169" s="43" t="str">
        <f>IFERROR(IF(VLOOKUP(B169,Baza[[№]:[Profit]],13,0)=0,"-",VLOOKUP(B169,Baza[[№]:[Profit]],13,0)),"")</f>
        <v/>
      </c>
      <c r="Q169" s="43" t="str">
        <f>IFERROR(IF(VLOOKUP(B169,Baza[[№]:[Profit]],15,0)=0,"-",VLOOKUP(B169,Baza[[№]:[Profit]],15,0)),"")</f>
        <v/>
      </c>
      <c r="R169" s="43" t="str">
        <f>IFERROR(IF(VLOOKUP(B169,Baza[[№]:[Profit]],16,0)=0,"-",VLOOKUP(B169,Baza[[№]:[Profit]],16,0)),"")</f>
        <v/>
      </c>
      <c r="S169" s="43" t="str">
        <f>IFERROR(IF(VLOOKUP(B169,Baza[[№]:[Profit]],17,0)=0,"-",VLOOKUP(B169,Baza[[№]:[Profit]],17,0)),"")</f>
        <v/>
      </c>
      <c r="T169" s="43" t="str">
        <f>IFERROR(IF(VLOOKUP(B169,Baza[[№]:[Profit]],18,0)=0,"-",VLOOKUP(B169,Baza[[№]:[Profit]],18,0)),"")</f>
        <v/>
      </c>
      <c r="U169" s="41" t="str">
        <f>IFERROR(IF(VLOOKUP(B169,Baza[[№]:[Profit]],19,0)=0,"-",VLOOKUP(B169,Baza[[№]:[Profit]],19,0)),"")</f>
        <v/>
      </c>
      <c r="V169" s="41" t="str">
        <f>IFERROR(VLOOKUP(B169,Baza[[№]:[Profit]],20,0),"")</f>
        <v/>
      </c>
      <c r="W169" s="41" t="str">
        <f>IFERROR(IF(VLOOKUP(B169,Baza[[№]:[Profit]],21,0)=0,"-",VLOOKUP(B169,Baza[[№]:[Profit]],21,0)),"")</f>
        <v/>
      </c>
      <c r="X169" s="45" t="str">
        <f>IFERROR(IF(VLOOKUP(B169,Baza[[№]:[Profit]],22,0)=0,"-",VLOOKUP(B169,Baza[[№]:[Profit]],22,0)),"")</f>
        <v/>
      </c>
      <c r="Y169" s="45" t="str">
        <f>IFERROR(VLOOKUP(B169,Baza[[№]:[Profit]],23,0),"")</f>
        <v/>
      </c>
      <c r="Z169" s="44" t="str">
        <f>IFERROR(VLOOKUP(B169,Baza[[№]:[AFS]],24,0),"")</f>
        <v/>
      </c>
      <c r="AA169" s="45" t="str">
        <f>IF(Таблица2[[#This Row],[Profit]]="","#Н/Д",SUM($Y$40:Y169))</f>
        <v>#Н/Д</v>
      </c>
      <c r="AB169" s="45" t="b">
        <f>IF(Таблица2[[#This Row],[Grafik]]="#Н/Д",FALSE,TRUE)</f>
        <v>0</v>
      </c>
    </row>
    <row r="170" spans="1:28" ht="11.1" hidden="1" customHeight="1" x14ac:dyDescent="0.25">
      <c r="A170" s="93">
        <f t="shared" si="2"/>
        <v>131</v>
      </c>
      <c r="B170"/>
      <c r="C170" s="41" t="str">
        <f>IFERROR(VLOOKUP(B170,Baza[[№]:[Profit]],2,0),"")</f>
        <v/>
      </c>
      <c r="D17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7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70" s="43" t="str">
        <f>IFERROR(VLOOKUP(B170,Baza[[№]:[Profit]],3,0),"")</f>
        <v/>
      </c>
      <c r="G170" s="43" t="str">
        <f>IFERROR(VLOOKUP(B170,Baza[[№]:[Profit]],4,0),"")</f>
        <v/>
      </c>
      <c r="H170" s="43" t="str">
        <f>IFERROR(VLOOKUP(B170,Baza[[№]:[Profit]],5,0),"")</f>
        <v/>
      </c>
      <c r="I170" s="46" t="str">
        <f>IFERROR(VLOOKUP(B170,Baza[[№]:[Profit]],6,0),"")</f>
        <v/>
      </c>
      <c r="J170" s="49" t="str">
        <f>IFERROR(VLOOKUP(B170,Baza[[№]:[Profit]],7,0),"")</f>
        <v/>
      </c>
      <c r="K170" s="43" t="str">
        <f>IFERROR(VLOOKUP(B170,Baza[[№]:[Profit]],8,0),"")</f>
        <v/>
      </c>
      <c r="L170" s="43" t="str">
        <f>IFERROR(VLOOKUP(B170,Baza[[№]:[Profit]],9,0),"")</f>
        <v/>
      </c>
      <c r="M170" s="43" t="str">
        <f>IFERROR(VLOOKUP(B170,Baza[[№]:[Profit]],10,0),"")</f>
        <v/>
      </c>
      <c r="N170" s="43" t="str">
        <f>IFERROR(IF(VLOOKUP(B170,Baza[[№]:[Profit]],11,0)=0,"-",VLOOKUP(B170,Baza[[№]:[Profit]],11,0)),"")</f>
        <v/>
      </c>
      <c r="O170" s="43" t="str">
        <f>IFERROR(IF(VLOOKUP(B170,Baza[[№]:[Profit]],12,0)=0,"-",VLOOKUP(B170,Baza[[№]:[Profit]],12,0)),"")</f>
        <v/>
      </c>
      <c r="P170" s="43" t="str">
        <f>IFERROR(IF(VLOOKUP(B170,Baza[[№]:[Profit]],13,0)=0,"-",VLOOKUP(B170,Baza[[№]:[Profit]],13,0)),"")</f>
        <v/>
      </c>
      <c r="Q170" s="43" t="str">
        <f>IFERROR(IF(VLOOKUP(B170,Baza[[№]:[Profit]],15,0)=0,"-",VLOOKUP(B170,Baza[[№]:[Profit]],15,0)),"")</f>
        <v/>
      </c>
      <c r="R170" s="43" t="str">
        <f>IFERROR(IF(VLOOKUP(B170,Baza[[№]:[Profit]],16,0)=0,"-",VLOOKUP(B170,Baza[[№]:[Profit]],16,0)),"")</f>
        <v/>
      </c>
      <c r="S170" s="43" t="str">
        <f>IFERROR(IF(VLOOKUP(B170,Baza[[№]:[Profit]],17,0)=0,"-",VLOOKUP(B170,Baza[[№]:[Profit]],17,0)),"")</f>
        <v/>
      </c>
      <c r="T170" s="43" t="str">
        <f>IFERROR(IF(VLOOKUP(B170,Baza[[№]:[Profit]],18,0)=0,"-",VLOOKUP(B170,Baza[[№]:[Profit]],18,0)),"")</f>
        <v/>
      </c>
      <c r="U170" s="41" t="str">
        <f>IFERROR(IF(VLOOKUP(B170,Baza[[№]:[Profit]],19,0)=0,"-",VLOOKUP(B170,Baza[[№]:[Profit]],19,0)),"")</f>
        <v/>
      </c>
      <c r="V170" s="41" t="str">
        <f>IFERROR(VLOOKUP(B170,Baza[[№]:[Profit]],20,0),"")</f>
        <v/>
      </c>
      <c r="W170" s="41" t="str">
        <f>IFERROR(IF(VLOOKUP(B170,Baza[[№]:[Profit]],21,0)=0,"-",VLOOKUP(B170,Baza[[№]:[Profit]],21,0)),"")</f>
        <v/>
      </c>
      <c r="X170" s="45" t="str">
        <f>IFERROR(IF(VLOOKUP(B170,Baza[[№]:[Profit]],22,0)=0,"-",VLOOKUP(B170,Baza[[№]:[Profit]],22,0)),"")</f>
        <v/>
      </c>
      <c r="Y170" s="45" t="str">
        <f>IFERROR(VLOOKUP(B170,Baza[[№]:[Profit]],23,0),"")</f>
        <v/>
      </c>
      <c r="Z170" s="44" t="str">
        <f>IFERROR(VLOOKUP(B170,Baza[[№]:[AFS]],24,0),"")</f>
        <v/>
      </c>
      <c r="AA170" s="45" t="str">
        <f>IF(Таблица2[[#This Row],[Profit]]="","#Н/Д",SUM($Y$40:Y170))</f>
        <v>#Н/Д</v>
      </c>
      <c r="AB170" s="45" t="b">
        <f>IF(Таблица2[[#This Row],[Grafik]]="#Н/Д",FALSE,TRUE)</f>
        <v>0</v>
      </c>
    </row>
    <row r="171" spans="1:28" ht="11.1" hidden="1" customHeight="1" x14ac:dyDescent="0.25">
      <c r="A171" s="93">
        <f t="shared" si="2"/>
        <v>132</v>
      </c>
      <c r="B171"/>
      <c r="C171" s="41" t="str">
        <f>IFERROR(VLOOKUP(B171,Baza[[№]:[Profit]],2,0),"")</f>
        <v/>
      </c>
      <c r="D17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7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71" s="43" t="str">
        <f>IFERROR(VLOOKUP(B171,Baza[[№]:[Profit]],3,0),"")</f>
        <v/>
      </c>
      <c r="G171" s="43" t="str">
        <f>IFERROR(VLOOKUP(B171,Baza[[№]:[Profit]],4,0),"")</f>
        <v/>
      </c>
      <c r="H171" s="43" t="str">
        <f>IFERROR(VLOOKUP(B171,Baza[[№]:[Profit]],5,0),"")</f>
        <v/>
      </c>
      <c r="I171" s="46" t="str">
        <f>IFERROR(VLOOKUP(B171,Baza[[№]:[Profit]],6,0),"")</f>
        <v/>
      </c>
      <c r="J171" s="49" t="str">
        <f>IFERROR(VLOOKUP(B171,Baza[[№]:[Profit]],7,0),"")</f>
        <v/>
      </c>
      <c r="K171" s="43" t="str">
        <f>IFERROR(VLOOKUP(B171,Baza[[№]:[Profit]],8,0),"")</f>
        <v/>
      </c>
      <c r="L171" s="43" t="str">
        <f>IFERROR(VLOOKUP(B171,Baza[[№]:[Profit]],9,0),"")</f>
        <v/>
      </c>
      <c r="M171" s="43" t="str">
        <f>IFERROR(VLOOKUP(B171,Baza[[№]:[Profit]],10,0),"")</f>
        <v/>
      </c>
      <c r="N171" s="43" t="str">
        <f>IFERROR(IF(VLOOKUP(B171,Baza[[№]:[Profit]],11,0)=0,"-",VLOOKUP(B171,Baza[[№]:[Profit]],11,0)),"")</f>
        <v/>
      </c>
      <c r="O171" s="43" t="str">
        <f>IFERROR(IF(VLOOKUP(B171,Baza[[№]:[Profit]],12,0)=0,"-",VLOOKUP(B171,Baza[[№]:[Profit]],12,0)),"")</f>
        <v/>
      </c>
      <c r="P171" s="43" t="str">
        <f>IFERROR(IF(VLOOKUP(B171,Baza[[№]:[Profit]],13,0)=0,"-",VLOOKUP(B171,Baza[[№]:[Profit]],13,0)),"")</f>
        <v/>
      </c>
      <c r="Q171" s="43" t="str">
        <f>IFERROR(IF(VLOOKUP(B171,Baza[[№]:[Profit]],15,0)=0,"-",VLOOKUP(B171,Baza[[№]:[Profit]],15,0)),"")</f>
        <v/>
      </c>
      <c r="R171" s="43" t="str">
        <f>IFERROR(IF(VLOOKUP(B171,Baza[[№]:[Profit]],16,0)=0,"-",VLOOKUP(B171,Baza[[№]:[Profit]],16,0)),"")</f>
        <v/>
      </c>
      <c r="S171" s="43" t="str">
        <f>IFERROR(IF(VLOOKUP(B171,Baza[[№]:[Profit]],17,0)=0,"-",VLOOKUP(B171,Baza[[№]:[Profit]],17,0)),"")</f>
        <v/>
      </c>
      <c r="T171" s="43" t="str">
        <f>IFERROR(IF(VLOOKUP(B171,Baza[[№]:[Profit]],18,0)=0,"-",VLOOKUP(B171,Baza[[№]:[Profit]],18,0)),"")</f>
        <v/>
      </c>
      <c r="U171" s="41" t="str">
        <f>IFERROR(IF(VLOOKUP(B171,Baza[[№]:[Profit]],19,0)=0,"-",VLOOKUP(B171,Baza[[№]:[Profit]],19,0)),"")</f>
        <v/>
      </c>
      <c r="V171" s="41" t="str">
        <f>IFERROR(VLOOKUP(B171,Baza[[№]:[Profit]],20,0),"")</f>
        <v/>
      </c>
      <c r="W171" s="41" t="str">
        <f>IFERROR(IF(VLOOKUP(B171,Baza[[№]:[Profit]],21,0)=0,"-",VLOOKUP(B171,Baza[[№]:[Profit]],21,0)),"")</f>
        <v/>
      </c>
      <c r="X171" s="45" t="str">
        <f>IFERROR(IF(VLOOKUP(B171,Baza[[№]:[Profit]],22,0)=0,"-",VLOOKUP(B171,Baza[[№]:[Profit]],22,0)),"")</f>
        <v/>
      </c>
      <c r="Y171" s="45" t="str">
        <f>IFERROR(VLOOKUP(B171,Baza[[№]:[Profit]],23,0),"")</f>
        <v/>
      </c>
      <c r="Z171" s="44" t="str">
        <f>IFERROR(VLOOKUP(B171,Baza[[№]:[AFS]],24,0),"")</f>
        <v/>
      </c>
      <c r="AA171" s="45" t="str">
        <f>IF(Таблица2[[#This Row],[Profit]]="","#Н/Д",SUM($Y$40:Y171))</f>
        <v>#Н/Д</v>
      </c>
      <c r="AB171" s="45" t="b">
        <f>IF(Таблица2[[#This Row],[Grafik]]="#Н/Д",FALSE,TRUE)</f>
        <v>0</v>
      </c>
    </row>
    <row r="172" spans="1:28" ht="11.1" hidden="1" customHeight="1" x14ac:dyDescent="0.25">
      <c r="A172" s="93">
        <f t="shared" si="2"/>
        <v>133</v>
      </c>
      <c r="B172"/>
      <c r="C172" s="41" t="str">
        <f>IFERROR(VLOOKUP(B172,Baza[[№]:[Profit]],2,0),"")</f>
        <v/>
      </c>
      <c r="D17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7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72" s="43" t="str">
        <f>IFERROR(VLOOKUP(B172,Baza[[№]:[Profit]],3,0),"")</f>
        <v/>
      </c>
      <c r="G172" s="43" t="str">
        <f>IFERROR(VLOOKUP(B172,Baza[[№]:[Profit]],4,0),"")</f>
        <v/>
      </c>
      <c r="H172" s="43" t="str">
        <f>IFERROR(VLOOKUP(B172,Baza[[№]:[Profit]],5,0),"")</f>
        <v/>
      </c>
      <c r="I172" s="46" t="str">
        <f>IFERROR(VLOOKUP(B172,Baza[[№]:[Profit]],6,0),"")</f>
        <v/>
      </c>
      <c r="J172" s="49" t="str">
        <f>IFERROR(VLOOKUP(B172,Baza[[№]:[Profit]],7,0),"")</f>
        <v/>
      </c>
      <c r="K172" s="43" t="str">
        <f>IFERROR(VLOOKUP(B172,Baza[[№]:[Profit]],8,0),"")</f>
        <v/>
      </c>
      <c r="L172" s="43" t="str">
        <f>IFERROR(VLOOKUP(B172,Baza[[№]:[Profit]],9,0),"")</f>
        <v/>
      </c>
      <c r="M172" s="43" t="str">
        <f>IFERROR(VLOOKUP(B172,Baza[[№]:[Profit]],10,0),"")</f>
        <v/>
      </c>
      <c r="N172" s="43" t="str">
        <f>IFERROR(IF(VLOOKUP(B172,Baza[[№]:[Profit]],11,0)=0,"-",VLOOKUP(B172,Baza[[№]:[Profit]],11,0)),"")</f>
        <v/>
      </c>
      <c r="O172" s="43" t="str">
        <f>IFERROR(IF(VLOOKUP(B172,Baza[[№]:[Profit]],12,0)=0,"-",VLOOKUP(B172,Baza[[№]:[Profit]],12,0)),"")</f>
        <v/>
      </c>
      <c r="P172" s="43" t="str">
        <f>IFERROR(IF(VLOOKUP(B172,Baza[[№]:[Profit]],13,0)=0,"-",VLOOKUP(B172,Baza[[№]:[Profit]],13,0)),"")</f>
        <v/>
      </c>
      <c r="Q172" s="43" t="str">
        <f>IFERROR(IF(VLOOKUP(B172,Baza[[№]:[Profit]],15,0)=0,"-",VLOOKUP(B172,Baza[[№]:[Profit]],15,0)),"")</f>
        <v/>
      </c>
      <c r="R172" s="43" t="str">
        <f>IFERROR(IF(VLOOKUP(B172,Baza[[№]:[Profit]],16,0)=0,"-",VLOOKUP(B172,Baza[[№]:[Profit]],16,0)),"")</f>
        <v/>
      </c>
      <c r="S172" s="43" t="str">
        <f>IFERROR(IF(VLOOKUP(B172,Baza[[№]:[Profit]],17,0)=0,"-",VLOOKUP(B172,Baza[[№]:[Profit]],17,0)),"")</f>
        <v/>
      </c>
      <c r="T172" s="43" t="str">
        <f>IFERROR(IF(VLOOKUP(B172,Baza[[№]:[Profit]],18,0)=0,"-",VLOOKUP(B172,Baza[[№]:[Profit]],18,0)),"")</f>
        <v/>
      </c>
      <c r="U172" s="41" t="str">
        <f>IFERROR(IF(VLOOKUP(B172,Baza[[№]:[Profit]],19,0)=0,"-",VLOOKUP(B172,Baza[[№]:[Profit]],19,0)),"")</f>
        <v/>
      </c>
      <c r="V172" s="41" t="str">
        <f>IFERROR(VLOOKUP(B172,Baza[[№]:[Profit]],20,0),"")</f>
        <v/>
      </c>
      <c r="W172" s="41" t="str">
        <f>IFERROR(IF(VLOOKUP(B172,Baza[[№]:[Profit]],21,0)=0,"-",VLOOKUP(B172,Baza[[№]:[Profit]],21,0)),"")</f>
        <v/>
      </c>
      <c r="X172" s="45" t="str">
        <f>IFERROR(IF(VLOOKUP(B172,Baza[[№]:[Profit]],22,0)=0,"-",VLOOKUP(B172,Baza[[№]:[Profit]],22,0)),"")</f>
        <v/>
      </c>
      <c r="Y172" s="45" t="str">
        <f>IFERROR(VLOOKUP(B172,Baza[[№]:[Profit]],23,0),"")</f>
        <v/>
      </c>
      <c r="Z172" s="44" t="str">
        <f>IFERROR(VLOOKUP(B172,Baza[[№]:[AFS]],24,0),"")</f>
        <v/>
      </c>
      <c r="AA172" s="45" t="str">
        <f>IF(Таблица2[[#This Row],[Profit]]="","#Н/Д",SUM($Y$40:Y172))</f>
        <v>#Н/Д</v>
      </c>
      <c r="AB172" s="45" t="b">
        <f>IF(Таблица2[[#This Row],[Grafik]]="#Н/Д",FALSE,TRUE)</f>
        <v>0</v>
      </c>
    </row>
    <row r="173" spans="1:28" ht="11.1" hidden="1" customHeight="1" x14ac:dyDescent="0.25">
      <c r="A173" s="93">
        <f t="shared" si="2"/>
        <v>134</v>
      </c>
      <c r="B173"/>
      <c r="C173" s="41" t="str">
        <f>IFERROR(VLOOKUP(B173,Baza[[№]:[Profit]],2,0),"")</f>
        <v/>
      </c>
      <c r="D17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7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73" s="43" t="str">
        <f>IFERROR(VLOOKUP(B173,Baza[[№]:[Profit]],3,0),"")</f>
        <v/>
      </c>
      <c r="G173" s="43" t="str">
        <f>IFERROR(VLOOKUP(B173,Baza[[№]:[Profit]],4,0),"")</f>
        <v/>
      </c>
      <c r="H173" s="43" t="str">
        <f>IFERROR(VLOOKUP(B173,Baza[[№]:[Profit]],5,0),"")</f>
        <v/>
      </c>
      <c r="I173" s="46" t="str">
        <f>IFERROR(VLOOKUP(B173,Baza[[№]:[Profit]],6,0),"")</f>
        <v/>
      </c>
      <c r="J173" s="49" t="str">
        <f>IFERROR(VLOOKUP(B173,Baza[[№]:[Profit]],7,0),"")</f>
        <v/>
      </c>
      <c r="K173" s="43" t="str">
        <f>IFERROR(VLOOKUP(B173,Baza[[№]:[Profit]],8,0),"")</f>
        <v/>
      </c>
      <c r="L173" s="43" t="str">
        <f>IFERROR(VLOOKUP(B173,Baza[[№]:[Profit]],9,0),"")</f>
        <v/>
      </c>
      <c r="M173" s="43" t="str">
        <f>IFERROR(VLOOKUP(B173,Baza[[№]:[Profit]],10,0),"")</f>
        <v/>
      </c>
      <c r="N173" s="43" t="str">
        <f>IFERROR(IF(VLOOKUP(B173,Baza[[№]:[Profit]],11,0)=0,"-",VLOOKUP(B173,Baza[[№]:[Profit]],11,0)),"")</f>
        <v/>
      </c>
      <c r="O173" s="43" t="str">
        <f>IFERROR(IF(VLOOKUP(B173,Baza[[№]:[Profit]],12,0)=0,"-",VLOOKUP(B173,Baza[[№]:[Profit]],12,0)),"")</f>
        <v/>
      </c>
      <c r="P173" s="43" t="str">
        <f>IFERROR(IF(VLOOKUP(B173,Baza[[№]:[Profit]],13,0)=0,"-",VLOOKUP(B173,Baza[[№]:[Profit]],13,0)),"")</f>
        <v/>
      </c>
      <c r="Q173" s="43" t="str">
        <f>IFERROR(IF(VLOOKUP(B173,Baza[[№]:[Profit]],15,0)=0,"-",VLOOKUP(B173,Baza[[№]:[Profit]],15,0)),"")</f>
        <v/>
      </c>
      <c r="R173" s="43" t="str">
        <f>IFERROR(IF(VLOOKUP(B173,Baza[[№]:[Profit]],16,0)=0,"-",VLOOKUP(B173,Baza[[№]:[Profit]],16,0)),"")</f>
        <v/>
      </c>
      <c r="S173" s="43" t="str">
        <f>IFERROR(IF(VLOOKUP(B173,Baza[[№]:[Profit]],17,0)=0,"-",VLOOKUP(B173,Baza[[№]:[Profit]],17,0)),"")</f>
        <v/>
      </c>
      <c r="T173" s="43" t="str">
        <f>IFERROR(IF(VLOOKUP(B173,Baza[[№]:[Profit]],18,0)=0,"-",VLOOKUP(B173,Baza[[№]:[Profit]],18,0)),"")</f>
        <v/>
      </c>
      <c r="U173" s="41" t="str">
        <f>IFERROR(IF(VLOOKUP(B173,Baza[[№]:[Profit]],19,0)=0,"-",VLOOKUP(B173,Baza[[№]:[Profit]],19,0)),"")</f>
        <v/>
      </c>
      <c r="V173" s="41" t="str">
        <f>IFERROR(VLOOKUP(B173,Baza[[№]:[Profit]],20,0),"")</f>
        <v/>
      </c>
      <c r="W173" s="41" t="str">
        <f>IFERROR(IF(VLOOKUP(B173,Baza[[№]:[Profit]],21,0)=0,"-",VLOOKUP(B173,Baza[[№]:[Profit]],21,0)),"")</f>
        <v/>
      </c>
      <c r="X173" s="45" t="str">
        <f>IFERROR(IF(VLOOKUP(B173,Baza[[№]:[Profit]],22,0)=0,"-",VLOOKUP(B173,Baza[[№]:[Profit]],22,0)),"")</f>
        <v/>
      </c>
      <c r="Y173" s="45" t="str">
        <f>IFERROR(VLOOKUP(B173,Baza[[№]:[Profit]],23,0),"")</f>
        <v/>
      </c>
      <c r="Z173" s="44" t="str">
        <f>IFERROR(VLOOKUP(B173,Baza[[№]:[AFS]],24,0),"")</f>
        <v/>
      </c>
      <c r="AA173" s="45" t="str">
        <f>IF(Таблица2[[#This Row],[Profit]]="","#Н/Д",SUM($Y$40:Y173))</f>
        <v>#Н/Д</v>
      </c>
      <c r="AB173" s="45" t="b">
        <f>IF(Таблица2[[#This Row],[Grafik]]="#Н/Д",FALSE,TRUE)</f>
        <v>0</v>
      </c>
    </row>
    <row r="174" spans="1:28" ht="11.1" hidden="1" customHeight="1" x14ac:dyDescent="0.25">
      <c r="A174" s="93">
        <f t="shared" si="2"/>
        <v>135</v>
      </c>
      <c r="B174"/>
      <c r="C174" s="41" t="str">
        <f>IFERROR(VLOOKUP(B174,Baza[[№]:[Profit]],2,0),"")</f>
        <v/>
      </c>
      <c r="D17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7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74" s="43" t="str">
        <f>IFERROR(VLOOKUP(B174,Baza[[№]:[Profit]],3,0),"")</f>
        <v/>
      </c>
      <c r="G174" s="43" t="str">
        <f>IFERROR(VLOOKUP(B174,Baza[[№]:[Profit]],4,0),"")</f>
        <v/>
      </c>
      <c r="H174" s="43" t="str">
        <f>IFERROR(VLOOKUP(B174,Baza[[№]:[Profit]],5,0),"")</f>
        <v/>
      </c>
      <c r="I174" s="46" t="str">
        <f>IFERROR(VLOOKUP(B174,Baza[[№]:[Profit]],6,0),"")</f>
        <v/>
      </c>
      <c r="J174" s="49" t="str">
        <f>IFERROR(VLOOKUP(B174,Baza[[№]:[Profit]],7,0),"")</f>
        <v/>
      </c>
      <c r="K174" s="43" t="str">
        <f>IFERROR(VLOOKUP(B174,Baza[[№]:[Profit]],8,0),"")</f>
        <v/>
      </c>
      <c r="L174" s="43" t="str">
        <f>IFERROR(VLOOKUP(B174,Baza[[№]:[Profit]],9,0),"")</f>
        <v/>
      </c>
      <c r="M174" s="43" t="str">
        <f>IFERROR(VLOOKUP(B174,Baza[[№]:[Profit]],10,0),"")</f>
        <v/>
      </c>
      <c r="N174" s="43" t="str">
        <f>IFERROR(IF(VLOOKUP(B174,Baza[[№]:[Profit]],11,0)=0,"-",VLOOKUP(B174,Baza[[№]:[Profit]],11,0)),"")</f>
        <v/>
      </c>
      <c r="O174" s="43" t="str">
        <f>IFERROR(IF(VLOOKUP(B174,Baza[[№]:[Profit]],12,0)=0,"-",VLOOKUP(B174,Baza[[№]:[Profit]],12,0)),"")</f>
        <v/>
      </c>
      <c r="P174" s="43" t="str">
        <f>IFERROR(IF(VLOOKUP(B174,Baza[[№]:[Profit]],13,0)=0,"-",VLOOKUP(B174,Baza[[№]:[Profit]],13,0)),"")</f>
        <v/>
      </c>
      <c r="Q174" s="43" t="str">
        <f>IFERROR(IF(VLOOKUP(B174,Baza[[№]:[Profit]],15,0)=0,"-",VLOOKUP(B174,Baza[[№]:[Profit]],15,0)),"")</f>
        <v/>
      </c>
      <c r="R174" s="43" t="str">
        <f>IFERROR(IF(VLOOKUP(B174,Baza[[№]:[Profit]],16,0)=0,"-",VLOOKUP(B174,Baza[[№]:[Profit]],16,0)),"")</f>
        <v/>
      </c>
      <c r="S174" s="43" t="str">
        <f>IFERROR(IF(VLOOKUP(B174,Baza[[№]:[Profit]],17,0)=0,"-",VLOOKUP(B174,Baza[[№]:[Profit]],17,0)),"")</f>
        <v/>
      </c>
      <c r="T174" s="43" t="str">
        <f>IFERROR(IF(VLOOKUP(B174,Baza[[№]:[Profit]],18,0)=0,"-",VLOOKUP(B174,Baza[[№]:[Profit]],18,0)),"")</f>
        <v/>
      </c>
      <c r="U174" s="41" t="str">
        <f>IFERROR(IF(VLOOKUP(B174,Baza[[№]:[Profit]],19,0)=0,"-",VLOOKUP(B174,Baza[[№]:[Profit]],19,0)),"")</f>
        <v/>
      </c>
      <c r="V174" s="41" t="str">
        <f>IFERROR(VLOOKUP(B174,Baza[[№]:[Profit]],20,0),"")</f>
        <v/>
      </c>
      <c r="W174" s="41" t="str">
        <f>IFERROR(IF(VLOOKUP(B174,Baza[[№]:[Profit]],21,0)=0,"-",VLOOKUP(B174,Baza[[№]:[Profit]],21,0)),"")</f>
        <v/>
      </c>
      <c r="X174" s="45" t="str">
        <f>IFERROR(IF(VLOOKUP(B174,Baza[[№]:[Profit]],22,0)=0,"-",VLOOKUP(B174,Baza[[№]:[Profit]],22,0)),"")</f>
        <v/>
      </c>
      <c r="Y174" s="45" t="str">
        <f>IFERROR(VLOOKUP(B174,Baza[[№]:[Profit]],23,0),"")</f>
        <v/>
      </c>
      <c r="Z174" s="44" t="str">
        <f>IFERROR(VLOOKUP(B174,Baza[[№]:[AFS]],24,0),"")</f>
        <v/>
      </c>
      <c r="AA174" s="45" t="str">
        <f>IF(Таблица2[[#This Row],[Profit]]="","#Н/Д",SUM($Y$40:Y174))</f>
        <v>#Н/Д</v>
      </c>
      <c r="AB174" s="45" t="b">
        <f>IF(Таблица2[[#This Row],[Grafik]]="#Н/Д",FALSE,TRUE)</f>
        <v>0</v>
      </c>
    </row>
    <row r="175" spans="1:28" ht="11.1" hidden="1" customHeight="1" x14ac:dyDescent="0.25">
      <c r="A175" s="93">
        <f t="shared" si="2"/>
        <v>136</v>
      </c>
      <c r="B175"/>
      <c r="C175" s="41" t="str">
        <f>IFERROR(VLOOKUP(B175,Baza[[№]:[Profit]],2,0),"")</f>
        <v/>
      </c>
      <c r="D17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7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75" s="43" t="str">
        <f>IFERROR(VLOOKUP(B175,Baza[[№]:[Profit]],3,0),"")</f>
        <v/>
      </c>
      <c r="G175" s="43" t="str">
        <f>IFERROR(VLOOKUP(B175,Baza[[№]:[Profit]],4,0),"")</f>
        <v/>
      </c>
      <c r="H175" s="43" t="str">
        <f>IFERROR(VLOOKUP(B175,Baza[[№]:[Profit]],5,0),"")</f>
        <v/>
      </c>
      <c r="I175" s="46" t="str">
        <f>IFERROR(VLOOKUP(B175,Baza[[№]:[Profit]],6,0),"")</f>
        <v/>
      </c>
      <c r="J175" s="49" t="str">
        <f>IFERROR(VLOOKUP(B175,Baza[[№]:[Profit]],7,0),"")</f>
        <v/>
      </c>
      <c r="K175" s="43" t="str">
        <f>IFERROR(VLOOKUP(B175,Baza[[№]:[Profit]],8,0),"")</f>
        <v/>
      </c>
      <c r="L175" s="43" t="str">
        <f>IFERROR(VLOOKUP(B175,Baza[[№]:[Profit]],9,0),"")</f>
        <v/>
      </c>
      <c r="M175" s="43" t="str">
        <f>IFERROR(VLOOKUP(B175,Baza[[№]:[Profit]],10,0),"")</f>
        <v/>
      </c>
      <c r="N175" s="43" t="str">
        <f>IFERROR(IF(VLOOKUP(B175,Baza[[№]:[Profit]],11,0)=0,"-",VLOOKUP(B175,Baza[[№]:[Profit]],11,0)),"")</f>
        <v/>
      </c>
      <c r="O175" s="43" t="str">
        <f>IFERROR(IF(VLOOKUP(B175,Baza[[№]:[Profit]],12,0)=0,"-",VLOOKUP(B175,Baza[[№]:[Profit]],12,0)),"")</f>
        <v/>
      </c>
      <c r="P175" s="43" t="str">
        <f>IFERROR(IF(VLOOKUP(B175,Baza[[№]:[Profit]],13,0)=0,"-",VLOOKUP(B175,Baza[[№]:[Profit]],13,0)),"")</f>
        <v/>
      </c>
      <c r="Q175" s="43" t="str">
        <f>IFERROR(IF(VLOOKUP(B175,Baza[[№]:[Profit]],15,0)=0,"-",VLOOKUP(B175,Baza[[№]:[Profit]],15,0)),"")</f>
        <v/>
      </c>
      <c r="R175" s="43" t="str">
        <f>IFERROR(IF(VLOOKUP(B175,Baza[[№]:[Profit]],16,0)=0,"-",VLOOKUP(B175,Baza[[№]:[Profit]],16,0)),"")</f>
        <v/>
      </c>
      <c r="S175" s="43" t="str">
        <f>IFERROR(IF(VLOOKUP(B175,Baza[[№]:[Profit]],17,0)=0,"-",VLOOKUP(B175,Baza[[№]:[Profit]],17,0)),"")</f>
        <v/>
      </c>
      <c r="T175" s="43" t="str">
        <f>IFERROR(IF(VLOOKUP(B175,Baza[[№]:[Profit]],18,0)=0,"-",VLOOKUP(B175,Baza[[№]:[Profit]],18,0)),"")</f>
        <v/>
      </c>
      <c r="U175" s="41" t="str">
        <f>IFERROR(IF(VLOOKUP(B175,Baza[[№]:[Profit]],19,0)=0,"-",VLOOKUP(B175,Baza[[№]:[Profit]],19,0)),"")</f>
        <v/>
      </c>
      <c r="V175" s="41" t="str">
        <f>IFERROR(VLOOKUP(B175,Baza[[№]:[Profit]],20,0),"")</f>
        <v/>
      </c>
      <c r="W175" s="41" t="str">
        <f>IFERROR(IF(VLOOKUP(B175,Baza[[№]:[Profit]],21,0)=0,"-",VLOOKUP(B175,Baza[[№]:[Profit]],21,0)),"")</f>
        <v/>
      </c>
      <c r="X175" s="45" t="str">
        <f>IFERROR(IF(VLOOKUP(B175,Baza[[№]:[Profit]],22,0)=0,"-",VLOOKUP(B175,Baza[[№]:[Profit]],22,0)),"")</f>
        <v/>
      </c>
      <c r="Y175" s="45" t="str">
        <f>IFERROR(VLOOKUP(B175,Baza[[№]:[Profit]],23,0),"")</f>
        <v/>
      </c>
      <c r="Z175" s="44" t="str">
        <f>IFERROR(VLOOKUP(B175,Baza[[№]:[AFS]],24,0),"")</f>
        <v/>
      </c>
      <c r="AA175" s="45" t="str">
        <f>IF(Таблица2[[#This Row],[Profit]]="","#Н/Д",SUM($Y$40:Y175))</f>
        <v>#Н/Д</v>
      </c>
      <c r="AB175" s="45" t="b">
        <f>IF(Таблица2[[#This Row],[Grafik]]="#Н/Д",FALSE,TRUE)</f>
        <v>0</v>
      </c>
    </row>
    <row r="176" spans="1:28" ht="11.1" hidden="1" customHeight="1" x14ac:dyDescent="0.25">
      <c r="A176" s="93">
        <f t="shared" si="2"/>
        <v>137</v>
      </c>
      <c r="B176"/>
      <c r="C176" s="41" t="str">
        <f>IFERROR(VLOOKUP(B176,Baza[[№]:[Profit]],2,0),"")</f>
        <v/>
      </c>
      <c r="D17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7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76" s="43" t="str">
        <f>IFERROR(VLOOKUP(B176,Baza[[№]:[Profit]],3,0),"")</f>
        <v/>
      </c>
      <c r="G176" s="43" t="str">
        <f>IFERROR(VLOOKUP(B176,Baza[[№]:[Profit]],4,0),"")</f>
        <v/>
      </c>
      <c r="H176" s="43" t="str">
        <f>IFERROR(VLOOKUP(B176,Baza[[№]:[Profit]],5,0),"")</f>
        <v/>
      </c>
      <c r="I176" s="46" t="str">
        <f>IFERROR(VLOOKUP(B176,Baza[[№]:[Profit]],6,0),"")</f>
        <v/>
      </c>
      <c r="J176" s="49" t="str">
        <f>IFERROR(VLOOKUP(B176,Baza[[№]:[Profit]],7,0),"")</f>
        <v/>
      </c>
      <c r="K176" s="43" t="str">
        <f>IFERROR(VLOOKUP(B176,Baza[[№]:[Profit]],8,0),"")</f>
        <v/>
      </c>
      <c r="L176" s="43" t="str">
        <f>IFERROR(VLOOKUP(B176,Baza[[№]:[Profit]],9,0),"")</f>
        <v/>
      </c>
      <c r="M176" s="43" t="str">
        <f>IFERROR(VLOOKUP(B176,Baza[[№]:[Profit]],10,0),"")</f>
        <v/>
      </c>
      <c r="N176" s="43" t="str">
        <f>IFERROR(IF(VLOOKUP(B176,Baza[[№]:[Profit]],11,0)=0,"-",VLOOKUP(B176,Baza[[№]:[Profit]],11,0)),"")</f>
        <v/>
      </c>
      <c r="O176" s="43" t="str">
        <f>IFERROR(IF(VLOOKUP(B176,Baza[[№]:[Profit]],12,0)=0,"-",VLOOKUP(B176,Baza[[№]:[Profit]],12,0)),"")</f>
        <v/>
      </c>
      <c r="P176" s="43" t="str">
        <f>IFERROR(IF(VLOOKUP(B176,Baza[[№]:[Profit]],13,0)=0,"-",VLOOKUP(B176,Baza[[№]:[Profit]],13,0)),"")</f>
        <v/>
      </c>
      <c r="Q176" s="43" t="str">
        <f>IFERROR(IF(VLOOKUP(B176,Baza[[№]:[Profit]],15,0)=0,"-",VLOOKUP(B176,Baza[[№]:[Profit]],15,0)),"")</f>
        <v/>
      </c>
      <c r="R176" s="43" t="str">
        <f>IFERROR(IF(VLOOKUP(B176,Baza[[№]:[Profit]],16,0)=0,"-",VLOOKUP(B176,Baza[[№]:[Profit]],16,0)),"")</f>
        <v/>
      </c>
      <c r="S176" s="43" t="str">
        <f>IFERROR(IF(VLOOKUP(B176,Baza[[№]:[Profit]],17,0)=0,"-",VLOOKUP(B176,Baza[[№]:[Profit]],17,0)),"")</f>
        <v/>
      </c>
      <c r="T176" s="43" t="str">
        <f>IFERROR(IF(VLOOKUP(B176,Baza[[№]:[Profit]],18,0)=0,"-",VLOOKUP(B176,Baza[[№]:[Profit]],18,0)),"")</f>
        <v/>
      </c>
      <c r="U176" s="41" t="str">
        <f>IFERROR(IF(VLOOKUP(B176,Baza[[№]:[Profit]],19,0)=0,"-",VLOOKUP(B176,Baza[[№]:[Profit]],19,0)),"")</f>
        <v/>
      </c>
      <c r="V176" s="41" t="str">
        <f>IFERROR(VLOOKUP(B176,Baza[[№]:[Profit]],20,0),"")</f>
        <v/>
      </c>
      <c r="W176" s="41" t="str">
        <f>IFERROR(IF(VLOOKUP(B176,Baza[[№]:[Profit]],21,0)=0,"-",VLOOKUP(B176,Baza[[№]:[Profit]],21,0)),"")</f>
        <v/>
      </c>
      <c r="X176" s="45" t="str">
        <f>IFERROR(IF(VLOOKUP(B176,Baza[[№]:[Profit]],22,0)=0,"-",VLOOKUP(B176,Baza[[№]:[Profit]],22,0)),"")</f>
        <v/>
      </c>
      <c r="Y176" s="45" t="str">
        <f>IFERROR(VLOOKUP(B176,Baza[[№]:[Profit]],23,0),"")</f>
        <v/>
      </c>
      <c r="Z176" s="44" t="str">
        <f>IFERROR(VLOOKUP(B176,Baza[[№]:[AFS]],24,0),"")</f>
        <v/>
      </c>
      <c r="AA176" s="45" t="str">
        <f>IF(Таблица2[[#This Row],[Profit]]="","#Н/Д",SUM($Y$40:Y176))</f>
        <v>#Н/Д</v>
      </c>
      <c r="AB176" s="45" t="b">
        <f>IF(Таблица2[[#This Row],[Grafik]]="#Н/Д",FALSE,TRUE)</f>
        <v>0</v>
      </c>
    </row>
    <row r="177" spans="1:28" ht="11.1" hidden="1" customHeight="1" x14ac:dyDescent="0.25">
      <c r="A177" s="93">
        <f t="shared" si="2"/>
        <v>138</v>
      </c>
      <c r="B177"/>
      <c r="C177" s="41" t="str">
        <f>IFERROR(VLOOKUP(B177,Baza[[№]:[Profit]],2,0),"")</f>
        <v/>
      </c>
      <c r="D17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7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77" s="43" t="str">
        <f>IFERROR(VLOOKUP(B177,Baza[[№]:[Profit]],3,0),"")</f>
        <v/>
      </c>
      <c r="G177" s="43" t="str">
        <f>IFERROR(VLOOKUP(B177,Baza[[№]:[Profit]],4,0),"")</f>
        <v/>
      </c>
      <c r="H177" s="43" t="str">
        <f>IFERROR(VLOOKUP(B177,Baza[[№]:[Profit]],5,0),"")</f>
        <v/>
      </c>
      <c r="I177" s="46" t="str">
        <f>IFERROR(VLOOKUP(B177,Baza[[№]:[Profit]],6,0),"")</f>
        <v/>
      </c>
      <c r="J177" s="49" t="str">
        <f>IFERROR(VLOOKUP(B177,Baza[[№]:[Profit]],7,0),"")</f>
        <v/>
      </c>
      <c r="K177" s="43" t="str">
        <f>IFERROR(VLOOKUP(B177,Baza[[№]:[Profit]],8,0),"")</f>
        <v/>
      </c>
      <c r="L177" s="43" t="str">
        <f>IFERROR(VLOOKUP(B177,Baza[[№]:[Profit]],9,0),"")</f>
        <v/>
      </c>
      <c r="M177" s="43" t="str">
        <f>IFERROR(VLOOKUP(B177,Baza[[№]:[Profit]],10,0),"")</f>
        <v/>
      </c>
      <c r="N177" s="43" t="str">
        <f>IFERROR(IF(VLOOKUP(B177,Baza[[№]:[Profit]],11,0)=0,"-",VLOOKUP(B177,Baza[[№]:[Profit]],11,0)),"")</f>
        <v/>
      </c>
      <c r="O177" s="43" t="str">
        <f>IFERROR(IF(VLOOKUP(B177,Baza[[№]:[Profit]],12,0)=0,"-",VLOOKUP(B177,Baza[[№]:[Profit]],12,0)),"")</f>
        <v/>
      </c>
      <c r="P177" s="43" t="str">
        <f>IFERROR(IF(VLOOKUP(B177,Baza[[№]:[Profit]],13,0)=0,"-",VLOOKUP(B177,Baza[[№]:[Profit]],13,0)),"")</f>
        <v/>
      </c>
      <c r="Q177" s="43" t="str">
        <f>IFERROR(IF(VLOOKUP(B177,Baza[[№]:[Profit]],15,0)=0,"-",VLOOKUP(B177,Baza[[№]:[Profit]],15,0)),"")</f>
        <v/>
      </c>
      <c r="R177" s="43" t="str">
        <f>IFERROR(IF(VLOOKUP(B177,Baza[[№]:[Profit]],16,0)=0,"-",VLOOKUP(B177,Baza[[№]:[Profit]],16,0)),"")</f>
        <v/>
      </c>
      <c r="S177" s="43" t="str">
        <f>IFERROR(IF(VLOOKUP(B177,Baza[[№]:[Profit]],17,0)=0,"-",VLOOKUP(B177,Baza[[№]:[Profit]],17,0)),"")</f>
        <v/>
      </c>
      <c r="T177" s="43" t="str">
        <f>IFERROR(IF(VLOOKUP(B177,Baza[[№]:[Profit]],18,0)=0,"-",VLOOKUP(B177,Baza[[№]:[Profit]],18,0)),"")</f>
        <v/>
      </c>
      <c r="U177" s="41" t="str">
        <f>IFERROR(IF(VLOOKUP(B177,Baza[[№]:[Profit]],19,0)=0,"-",VLOOKUP(B177,Baza[[№]:[Profit]],19,0)),"")</f>
        <v/>
      </c>
      <c r="V177" s="41" t="str">
        <f>IFERROR(VLOOKUP(B177,Baza[[№]:[Profit]],20,0),"")</f>
        <v/>
      </c>
      <c r="W177" s="41" t="str">
        <f>IFERROR(IF(VLOOKUP(B177,Baza[[№]:[Profit]],21,0)=0,"-",VLOOKUP(B177,Baza[[№]:[Profit]],21,0)),"")</f>
        <v/>
      </c>
      <c r="X177" s="45" t="str">
        <f>IFERROR(IF(VLOOKUP(B177,Baza[[№]:[Profit]],22,0)=0,"-",VLOOKUP(B177,Baza[[№]:[Profit]],22,0)),"")</f>
        <v/>
      </c>
      <c r="Y177" s="45" t="str">
        <f>IFERROR(VLOOKUP(B177,Baza[[№]:[Profit]],23,0),"")</f>
        <v/>
      </c>
      <c r="Z177" s="44" t="str">
        <f>IFERROR(VLOOKUP(B177,Baza[[№]:[AFS]],24,0),"")</f>
        <v/>
      </c>
      <c r="AA177" s="45" t="str">
        <f>IF(Таблица2[[#This Row],[Profit]]="","#Н/Д",SUM($Y$40:Y177))</f>
        <v>#Н/Д</v>
      </c>
      <c r="AB177" s="45" t="b">
        <f>IF(Таблица2[[#This Row],[Grafik]]="#Н/Д",FALSE,TRUE)</f>
        <v>0</v>
      </c>
    </row>
    <row r="178" spans="1:28" ht="11.1" hidden="1" customHeight="1" x14ac:dyDescent="0.25">
      <c r="A178" s="93">
        <f t="shared" si="2"/>
        <v>139</v>
      </c>
      <c r="B178"/>
      <c r="C178" s="41" t="str">
        <f>IFERROR(VLOOKUP(B178,Baza[[№]:[Profit]],2,0),"")</f>
        <v/>
      </c>
      <c r="D17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7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78" s="43" t="str">
        <f>IFERROR(VLOOKUP(B178,Baza[[№]:[Profit]],3,0),"")</f>
        <v/>
      </c>
      <c r="G178" s="43" t="str">
        <f>IFERROR(VLOOKUP(B178,Baza[[№]:[Profit]],4,0),"")</f>
        <v/>
      </c>
      <c r="H178" s="43" t="str">
        <f>IFERROR(VLOOKUP(B178,Baza[[№]:[Profit]],5,0),"")</f>
        <v/>
      </c>
      <c r="I178" s="46" t="str">
        <f>IFERROR(VLOOKUP(B178,Baza[[№]:[Profit]],6,0),"")</f>
        <v/>
      </c>
      <c r="J178" s="49" t="str">
        <f>IFERROR(VLOOKUP(B178,Baza[[№]:[Profit]],7,0),"")</f>
        <v/>
      </c>
      <c r="K178" s="43" t="str">
        <f>IFERROR(VLOOKUP(B178,Baza[[№]:[Profit]],8,0),"")</f>
        <v/>
      </c>
      <c r="L178" s="43" t="str">
        <f>IFERROR(VLOOKUP(B178,Baza[[№]:[Profit]],9,0),"")</f>
        <v/>
      </c>
      <c r="M178" s="43" t="str">
        <f>IFERROR(VLOOKUP(B178,Baza[[№]:[Profit]],10,0),"")</f>
        <v/>
      </c>
      <c r="N178" s="43" t="str">
        <f>IFERROR(IF(VLOOKUP(B178,Baza[[№]:[Profit]],11,0)=0,"-",VLOOKUP(B178,Baza[[№]:[Profit]],11,0)),"")</f>
        <v/>
      </c>
      <c r="O178" s="43" t="str">
        <f>IFERROR(IF(VLOOKUP(B178,Baza[[№]:[Profit]],12,0)=0,"-",VLOOKUP(B178,Baza[[№]:[Profit]],12,0)),"")</f>
        <v/>
      </c>
      <c r="P178" s="43" t="str">
        <f>IFERROR(IF(VLOOKUP(B178,Baza[[№]:[Profit]],13,0)=0,"-",VLOOKUP(B178,Baza[[№]:[Profit]],13,0)),"")</f>
        <v/>
      </c>
      <c r="Q178" s="43" t="str">
        <f>IFERROR(IF(VLOOKUP(B178,Baza[[№]:[Profit]],15,0)=0,"-",VLOOKUP(B178,Baza[[№]:[Profit]],15,0)),"")</f>
        <v/>
      </c>
      <c r="R178" s="43" t="str">
        <f>IFERROR(IF(VLOOKUP(B178,Baza[[№]:[Profit]],16,0)=0,"-",VLOOKUP(B178,Baza[[№]:[Profit]],16,0)),"")</f>
        <v/>
      </c>
      <c r="S178" s="43" t="str">
        <f>IFERROR(IF(VLOOKUP(B178,Baza[[№]:[Profit]],17,0)=0,"-",VLOOKUP(B178,Baza[[№]:[Profit]],17,0)),"")</f>
        <v/>
      </c>
      <c r="T178" s="43" t="str">
        <f>IFERROR(IF(VLOOKUP(B178,Baza[[№]:[Profit]],18,0)=0,"-",VLOOKUP(B178,Baza[[№]:[Profit]],18,0)),"")</f>
        <v/>
      </c>
      <c r="U178" s="41" t="str">
        <f>IFERROR(IF(VLOOKUP(B178,Baza[[№]:[Profit]],19,0)=0,"-",VLOOKUP(B178,Baza[[№]:[Profit]],19,0)),"")</f>
        <v/>
      </c>
      <c r="V178" s="41" t="str">
        <f>IFERROR(VLOOKUP(B178,Baza[[№]:[Profit]],20,0),"")</f>
        <v/>
      </c>
      <c r="W178" s="41" t="str">
        <f>IFERROR(IF(VLOOKUP(B178,Baza[[№]:[Profit]],21,0)=0,"-",VLOOKUP(B178,Baza[[№]:[Profit]],21,0)),"")</f>
        <v/>
      </c>
      <c r="X178" s="45" t="str">
        <f>IFERROR(IF(VLOOKUP(B178,Baza[[№]:[Profit]],22,0)=0,"-",VLOOKUP(B178,Baza[[№]:[Profit]],22,0)),"")</f>
        <v/>
      </c>
      <c r="Y178" s="45" t="str">
        <f>IFERROR(VLOOKUP(B178,Baza[[№]:[Profit]],23,0),"")</f>
        <v/>
      </c>
      <c r="Z178" s="44" t="str">
        <f>IFERROR(VLOOKUP(B178,Baza[[№]:[AFS]],24,0),"")</f>
        <v/>
      </c>
      <c r="AA178" s="45" t="str">
        <f>IF(Таблица2[[#This Row],[Profit]]="","#Н/Д",SUM($Y$40:Y178))</f>
        <v>#Н/Д</v>
      </c>
      <c r="AB178" s="45" t="b">
        <f>IF(Таблица2[[#This Row],[Grafik]]="#Н/Д",FALSE,TRUE)</f>
        <v>0</v>
      </c>
    </row>
    <row r="179" spans="1:28" ht="11.1" hidden="1" customHeight="1" x14ac:dyDescent="0.25">
      <c r="A179" s="93">
        <f t="shared" si="2"/>
        <v>140</v>
      </c>
      <c r="B179"/>
      <c r="C179" s="41" t="str">
        <f>IFERROR(VLOOKUP(B179,Baza[[№]:[Profit]],2,0),"")</f>
        <v/>
      </c>
      <c r="D17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7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79" s="43" t="str">
        <f>IFERROR(VLOOKUP(B179,Baza[[№]:[Profit]],3,0),"")</f>
        <v/>
      </c>
      <c r="G179" s="43" t="str">
        <f>IFERROR(VLOOKUP(B179,Baza[[№]:[Profit]],4,0),"")</f>
        <v/>
      </c>
      <c r="H179" s="43" t="str">
        <f>IFERROR(VLOOKUP(B179,Baza[[№]:[Profit]],5,0),"")</f>
        <v/>
      </c>
      <c r="I179" s="46" t="str">
        <f>IFERROR(VLOOKUP(B179,Baza[[№]:[Profit]],6,0),"")</f>
        <v/>
      </c>
      <c r="J179" s="49" t="str">
        <f>IFERROR(VLOOKUP(B179,Baza[[№]:[Profit]],7,0),"")</f>
        <v/>
      </c>
      <c r="K179" s="43" t="str">
        <f>IFERROR(VLOOKUP(B179,Baza[[№]:[Profit]],8,0),"")</f>
        <v/>
      </c>
      <c r="L179" s="43" t="str">
        <f>IFERROR(VLOOKUP(B179,Baza[[№]:[Profit]],9,0),"")</f>
        <v/>
      </c>
      <c r="M179" s="43" t="str">
        <f>IFERROR(VLOOKUP(B179,Baza[[№]:[Profit]],10,0),"")</f>
        <v/>
      </c>
      <c r="N179" s="43" t="str">
        <f>IFERROR(IF(VLOOKUP(B179,Baza[[№]:[Profit]],11,0)=0,"-",VLOOKUP(B179,Baza[[№]:[Profit]],11,0)),"")</f>
        <v/>
      </c>
      <c r="O179" s="43" t="str">
        <f>IFERROR(IF(VLOOKUP(B179,Baza[[№]:[Profit]],12,0)=0,"-",VLOOKUP(B179,Baza[[№]:[Profit]],12,0)),"")</f>
        <v/>
      </c>
      <c r="P179" s="43" t="str">
        <f>IFERROR(IF(VLOOKUP(B179,Baza[[№]:[Profit]],13,0)=0,"-",VLOOKUP(B179,Baza[[№]:[Profit]],13,0)),"")</f>
        <v/>
      </c>
      <c r="Q179" s="43" t="str">
        <f>IFERROR(IF(VLOOKUP(B179,Baza[[№]:[Profit]],15,0)=0,"-",VLOOKUP(B179,Baza[[№]:[Profit]],15,0)),"")</f>
        <v/>
      </c>
      <c r="R179" s="43" t="str">
        <f>IFERROR(IF(VLOOKUP(B179,Baza[[№]:[Profit]],16,0)=0,"-",VLOOKUP(B179,Baza[[№]:[Profit]],16,0)),"")</f>
        <v/>
      </c>
      <c r="S179" s="43" t="str">
        <f>IFERROR(IF(VLOOKUP(B179,Baza[[№]:[Profit]],17,0)=0,"-",VLOOKUP(B179,Baza[[№]:[Profit]],17,0)),"")</f>
        <v/>
      </c>
      <c r="T179" s="43" t="str">
        <f>IFERROR(IF(VLOOKUP(B179,Baza[[№]:[Profit]],18,0)=0,"-",VLOOKUP(B179,Baza[[№]:[Profit]],18,0)),"")</f>
        <v/>
      </c>
      <c r="U179" s="41" t="str">
        <f>IFERROR(IF(VLOOKUP(B179,Baza[[№]:[Profit]],19,0)=0,"-",VLOOKUP(B179,Baza[[№]:[Profit]],19,0)),"")</f>
        <v/>
      </c>
      <c r="V179" s="41" t="str">
        <f>IFERROR(VLOOKUP(B179,Baza[[№]:[Profit]],20,0),"")</f>
        <v/>
      </c>
      <c r="W179" s="41" t="str">
        <f>IFERROR(IF(VLOOKUP(B179,Baza[[№]:[Profit]],21,0)=0,"-",VLOOKUP(B179,Baza[[№]:[Profit]],21,0)),"")</f>
        <v/>
      </c>
      <c r="X179" s="45" t="str">
        <f>IFERROR(IF(VLOOKUP(B179,Baza[[№]:[Profit]],22,0)=0,"-",VLOOKUP(B179,Baza[[№]:[Profit]],22,0)),"")</f>
        <v/>
      </c>
      <c r="Y179" s="45" t="str">
        <f>IFERROR(VLOOKUP(B179,Baza[[№]:[Profit]],23,0),"")</f>
        <v/>
      </c>
      <c r="Z179" s="44" t="str">
        <f>IFERROR(VLOOKUP(B179,Baza[[№]:[AFS]],24,0),"")</f>
        <v/>
      </c>
      <c r="AA179" s="45" t="str">
        <f>IF(Таблица2[[#This Row],[Profit]]="","#Н/Д",SUM($Y$40:Y179))</f>
        <v>#Н/Д</v>
      </c>
      <c r="AB179" s="45" t="b">
        <f>IF(Таблица2[[#This Row],[Grafik]]="#Н/Д",FALSE,TRUE)</f>
        <v>0</v>
      </c>
    </row>
    <row r="180" spans="1:28" ht="11.1" hidden="1" customHeight="1" x14ac:dyDescent="0.25">
      <c r="A180" s="93">
        <f t="shared" si="2"/>
        <v>141</v>
      </c>
      <c r="B180"/>
      <c r="C180" s="41" t="str">
        <f>IFERROR(VLOOKUP(B180,Baza[[№]:[Profit]],2,0),"")</f>
        <v/>
      </c>
      <c r="D18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8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80" s="43" t="str">
        <f>IFERROR(VLOOKUP(B180,Baza[[№]:[Profit]],3,0),"")</f>
        <v/>
      </c>
      <c r="G180" s="43" t="str">
        <f>IFERROR(VLOOKUP(B180,Baza[[№]:[Profit]],4,0),"")</f>
        <v/>
      </c>
      <c r="H180" s="43" t="str">
        <f>IFERROR(VLOOKUP(B180,Baza[[№]:[Profit]],5,0),"")</f>
        <v/>
      </c>
      <c r="I180" s="46" t="str">
        <f>IFERROR(VLOOKUP(B180,Baza[[№]:[Profit]],6,0),"")</f>
        <v/>
      </c>
      <c r="J180" s="49" t="str">
        <f>IFERROR(VLOOKUP(B180,Baza[[№]:[Profit]],7,0),"")</f>
        <v/>
      </c>
      <c r="K180" s="43" t="str">
        <f>IFERROR(VLOOKUP(B180,Baza[[№]:[Profit]],8,0),"")</f>
        <v/>
      </c>
      <c r="L180" s="43" t="str">
        <f>IFERROR(VLOOKUP(B180,Baza[[№]:[Profit]],9,0),"")</f>
        <v/>
      </c>
      <c r="M180" s="43" t="str">
        <f>IFERROR(VLOOKUP(B180,Baza[[№]:[Profit]],10,0),"")</f>
        <v/>
      </c>
      <c r="N180" s="43" t="str">
        <f>IFERROR(IF(VLOOKUP(B180,Baza[[№]:[Profit]],11,0)=0,"-",VLOOKUP(B180,Baza[[№]:[Profit]],11,0)),"")</f>
        <v/>
      </c>
      <c r="O180" s="43" t="str">
        <f>IFERROR(IF(VLOOKUP(B180,Baza[[№]:[Profit]],12,0)=0,"-",VLOOKUP(B180,Baza[[№]:[Profit]],12,0)),"")</f>
        <v/>
      </c>
      <c r="P180" s="43" t="str">
        <f>IFERROR(IF(VLOOKUP(B180,Baza[[№]:[Profit]],13,0)=0,"-",VLOOKUP(B180,Baza[[№]:[Profit]],13,0)),"")</f>
        <v/>
      </c>
      <c r="Q180" s="43" t="str">
        <f>IFERROR(IF(VLOOKUP(B180,Baza[[№]:[Profit]],15,0)=0,"-",VLOOKUP(B180,Baza[[№]:[Profit]],15,0)),"")</f>
        <v/>
      </c>
      <c r="R180" s="43" t="str">
        <f>IFERROR(IF(VLOOKUP(B180,Baza[[№]:[Profit]],16,0)=0,"-",VLOOKUP(B180,Baza[[№]:[Profit]],16,0)),"")</f>
        <v/>
      </c>
      <c r="S180" s="43" t="str">
        <f>IFERROR(IF(VLOOKUP(B180,Baza[[№]:[Profit]],17,0)=0,"-",VLOOKUP(B180,Baza[[№]:[Profit]],17,0)),"")</f>
        <v/>
      </c>
      <c r="T180" s="43" t="str">
        <f>IFERROR(IF(VLOOKUP(B180,Baza[[№]:[Profit]],18,0)=0,"-",VLOOKUP(B180,Baza[[№]:[Profit]],18,0)),"")</f>
        <v/>
      </c>
      <c r="U180" s="41" t="str">
        <f>IFERROR(IF(VLOOKUP(B180,Baza[[№]:[Profit]],19,0)=0,"-",VLOOKUP(B180,Baza[[№]:[Profit]],19,0)),"")</f>
        <v/>
      </c>
      <c r="V180" s="41" t="str">
        <f>IFERROR(VLOOKUP(B180,Baza[[№]:[Profit]],20,0),"")</f>
        <v/>
      </c>
      <c r="W180" s="41" t="str">
        <f>IFERROR(IF(VLOOKUP(B180,Baza[[№]:[Profit]],21,0)=0,"-",VLOOKUP(B180,Baza[[№]:[Profit]],21,0)),"")</f>
        <v/>
      </c>
      <c r="X180" s="45" t="str">
        <f>IFERROR(IF(VLOOKUP(B180,Baza[[№]:[Profit]],22,0)=0,"-",VLOOKUP(B180,Baza[[№]:[Profit]],22,0)),"")</f>
        <v/>
      </c>
      <c r="Y180" s="45" t="str">
        <f>IFERROR(VLOOKUP(B180,Baza[[№]:[Profit]],23,0),"")</f>
        <v/>
      </c>
      <c r="Z180" s="44" t="str">
        <f>IFERROR(VLOOKUP(B180,Baza[[№]:[AFS]],24,0),"")</f>
        <v/>
      </c>
      <c r="AA180" s="45" t="str">
        <f>IF(Таблица2[[#This Row],[Profit]]="","#Н/Д",SUM($Y$40:Y180))</f>
        <v>#Н/Д</v>
      </c>
      <c r="AB180" s="45" t="b">
        <f>IF(Таблица2[[#This Row],[Grafik]]="#Н/Д",FALSE,TRUE)</f>
        <v>0</v>
      </c>
    </row>
    <row r="181" spans="1:28" ht="11.1" hidden="1" customHeight="1" x14ac:dyDescent="0.25">
      <c r="A181" s="93">
        <f t="shared" si="2"/>
        <v>142</v>
      </c>
      <c r="B181"/>
      <c r="C181" s="41" t="str">
        <f>IFERROR(VLOOKUP(B181,Baza[[№]:[Profit]],2,0),"")</f>
        <v/>
      </c>
      <c r="D18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8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81" s="43" t="str">
        <f>IFERROR(VLOOKUP(B181,Baza[[№]:[Profit]],3,0),"")</f>
        <v/>
      </c>
      <c r="G181" s="43" t="str">
        <f>IFERROR(VLOOKUP(B181,Baza[[№]:[Profit]],4,0),"")</f>
        <v/>
      </c>
      <c r="H181" s="43" t="str">
        <f>IFERROR(VLOOKUP(B181,Baza[[№]:[Profit]],5,0),"")</f>
        <v/>
      </c>
      <c r="I181" s="46" t="str">
        <f>IFERROR(VLOOKUP(B181,Baza[[№]:[Profit]],6,0),"")</f>
        <v/>
      </c>
      <c r="J181" s="49" t="str">
        <f>IFERROR(VLOOKUP(B181,Baza[[№]:[Profit]],7,0),"")</f>
        <v/>
      </c>
      <c r="K181" s="43" t="str">
        <f>IFERROR(VLOOKUP(B181,Baza[[№]:[Profit]],8,0),"")</f>
        <v/>
      </c>
      <c r="L181" s="43" t="str">
        <f>IFERROR(VLOOKUP(B181,Baza[[№]:[Profit]],9,0),"")</f>
        <v/>
      </c>
      <c r="M181" s="43" t="str">
        <f>IFERROR(VLOOKUP(B181,Baza[[№]:[Profit]],10,0),"")</f>
        <v/>
      </c>
      <c r="N181" s="43" t="str">
        <f>IFERROR(IF(VLOOKUP(B181,Baza[[№]:[Profit]],11,0)=0,"-",VLOOKUP(B181,Baza[[№]:[Profit]],11,0)),"")</f>
        <v/>
      </c>
      <c r="O181" s="43" t="str">
        <f>IFERROR(IF(VLOOKUP(B181,Baza[[№]:[Profit]],12,0)=0,"-",VLOOKUP(B181,Baza[[№]:[Profit]],12,0)),"")</f>
        <v/>
      </c>
      <c r="P181" s="43" t="str">
        <f>IFERROR(IF(VLOOKUP(B181,Baza[[№]:[Profit]],13,0)=0,"-",VLOOKUP(B181,Baza[[№]:[Profit]],13,0)),"")</f>
        <v/>
      </c>
      <c r="Q181" s="43" t="str">
        <f>IFERROR(IF(VLOOKUP(B181,Baza[[№]:[Profit]],15,0)=0,"-",VLOOKUP(B181,Baza[[№]:[Profit]],15,0)),"")</f>
        <v/>
      </c>
      <c r="R181" s="43" t="str">
        <f>IFERROR(IF(VLOOKUP(B181,Baza[[№]:[Profit]],16,0)=0,"-",VLOOKUP(B181,Baza[[№]:[Profit]],16,0)),"")</f>
        <v/>
      </c>
      <c r="S181" s="43" t="str">
        <f>IFERROR(IF(VLOOKUP(B181,Baza[[№]:[Profit]],17,0)=0,"-",VLOOKUP(B181,Baza[[№]:[Profit]],17,0)),"")</f>
        <v/>
      </c>
      <c r="T181" s="43" t="str">
        <f>IFERROR(IF(VLOOKUP(B181,Baza[[№]:[Profit]],18,0)=0,"-",VLOOKUP(B181,Baza[[№]:[Profit]],18,0)),"")</f>
        <v/>
      </c>
      <c r="U181" s="41" t="str">
        <f>IFERROR(IF(VLOOKUP(B181,Baza[[№]:[Profit]],19,0)=0,"-",VLOOKUP(B181,Baza[[№]:[Profit]],19,0)),"")</f>
        <v/>
      </c>
      <c r="V181" s="41" t="str">
        <f>IFERROR(VLOOKUP(B181,Baza[[№]:[Profit]],20,0),"")</f>
        <v/>
      </c>
      <c r="W181" s="41" t="str">
        <f>IFERROR(IF(VLOOKUP(B181,Baza[[№]:[Profit]],21,0)=0,"-",VLOOKUP(B181,Baza[[№]:[Profit]],21,0)),"")</f>
        <v/>
      </c>
      <c r="X181" s="45" t="str">
        <f>IFERROR(IF(VLOOKUP(B181,Baza[[№]:[Profit]],22,0)=0,"-",VLOOKUP(B181,Baza[[№]:[Profit]],22,0)),"")</f>
        <v/>
      </c>
      <c r="Y181" s="45" t="str">
        <f>IFERROR(VLOOKUP(B181,Baza[[№]:[Profit]],23,0),"")</f>
        <v/>
      </c>
      <c r="Z181" s="44" t="str">
        <f>IFERROR(VLOOKUP(B181,Baza[[№]:[AFS]],24,0),"")</f>
        <v/>
      </c>
      <c r="AA181" s="45" t="str">
        <f>IF(Таблица2[[#This Row],[Profit]]="","#Н/Д",SUM($Y$40:Y181))</f>
        <v>#Н/Д</v>
      </c>
      <c r="AB181" s="45" t="b">
        <f>IF(Таблица2[[#This Row],[Grafik]]="#Н/Д",FALSE,TRUE)</f>
        <v>0</v>
      </c>
    </row>
    <row r="182" spans="1:28" ht="11.1" hidden="1" customHeight="1" x14ac:dyDescent="0.25">
      <c r="A182" s="93">
        <f t="shared" si="2"/>
        <v>143</v>
      </c>
      <c r="B182"/>
      <c r="C182" s="41" t="str">
        <f>IFERROR(VLOOKUP(B182,Baza[[№]:[Profit]],2,0),"")</f>
        <v/>
      </c>
      <c r="D18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8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82" s="43" t="str">
        <f>IFERROR(VLOOKUP(B182,Baza[[№]:[Profit]],3,0),"")</f>
        <v/>
      </c>
      <c r="G182" s="43" t="str">
        <f>IFERROR(VLOOKUP(B182,Baza[[№]:[Profit]],4,0),"")</f>
        <v/>
      </c>
      <c r="H182" s="43" t="str">
        <f>IFERROR(VLOOKUP(B182,Baza[[№]:[Profit]],5,0),"")</f>
        <v/>
      </c>
      <c r="I182" s="46" t="str">
        <f>IFERROR(VLOOKUP(B182,Baza[[№]:[Profit]],6,0),"")</f>
        <v/>
      </c>
      <c r="J182" s="49" t="str">
        <f>IFERROR(VLOOKUP(B182,Baza[[№]:[Profit]],7,0),"")</f>
        <v/>
      </c>
      <c r="K182" s="43" t="str">
        <f>IFERROR(VLOOKUP(B182,Baza[[№]:[Profit]],8,0),"")</f>
        <v/>
      </c>
      <c r="L182" s="43" t="str">
        <f>IFERROR(VLOOKUP(B182,Baza[[№]:[Profit]],9,0),"")</f>
        <v/>
      </c>
      <c r="M182" s="43" t="str">
        <f>IFERROR(VLOOKUP(B182,Baza[[№]:[Profit]],10,0),"")</f>
        <v/>
      </c>
      <c r="N182" s="43" t="str">
        <f>IFERROR(IF(VLOOKUP(B182,Baza[[№]:[Profit]],11,0)=0,"-",VLOOKUP(B182,Baza[[№]:[Profit]],11,0)),"")</f>
        <v/>
      </c>
      <c r="O182" s="43" t="str">
        <f>IFERROR(IF(VLOOKUP(B182,Baza[[№]:[Profit]],12,0)=0,"-",VLOOKUP(B182,Baza[[№]:[Profit]],12,0)),"")</f>
        <v/>
      </c>
      <c r="P182" s="43" t="str">
        <f>IFERROR(IF(VLOOKUP(B182,Baza[[№]:[Profit]],13,0)=0,"-",VLOOKUP(B182,Baza[[№]:[Profit]],13,0)),"")</f>
        <v/>
      </c>
      <c r="Q182" s="43" t="str">
        <f>IFERROR(IF(VLOOKUP(B182,Baza[[№]:[Profit]],15,0)=0,"-",VLOOKUP(B182,Baza[[№]:[Profit]],15,0)),"")</f>
        <v/>
      </c>
      <c r="R182" s="43" t="str">
        <f>IFERROR(IF(VLOOKUP(B182,Baza[[№]:[Profit]],16,0)=0,"-",VLOOKUP(B182,Baza[[№]:[Profit]],16,0)),"")</f>
        <v/>
      </c>
      <c r="S182" s="43" t="str">
        <f>IFERROR(IF(VLOOKUP(B182,Baza[[№]:[Profit]],17,0)=0,"-",VLOOKUP(B182,Baza[[№]:[Profit]],17,0)),"")</f>
        <v/>
      </c>
      <c r="T182" s="43" t="str">
        <f>IFERROR(IF(VLOOKUP(B182,Baza[[№]:[Profit]],18,0)=0,"-",VLOOKUP(B182,Baza[[№]:[Profit]],18,0)),"")</f>
        <v/>
      </c>
      <c r="U182" s="41" t="str">
        <f>IFERROR(IF(VLOOKUP(B182,Baza[[№]:[Profit]],19,0)=0,"-",VLOOKUP(B182,Baza[[№]:[Profit]],19,0)),"")</f>
        <v/>
      </c>
      <c r="V182" s="41" t="str">
        <f>IFERROR(VLOOKUP(B182,Baza[[№]:[Profit]],20,0),"")</f>
        <v/>
      </c>
      <c r="W182" s="41" t="str">
        <f>IFERROR(IF(VLOOKUP(B182,Baza[[№]:[Profit]],21,0)=0,"-",VLOOKUP(B182,Baza[[№]:[Profit]],21,0)),"")</f>
        <v/>
      </c>
      <c r="X182" s="45" t="str">
        <f>IFERROR(IF(VLOOKUP(B182,Baza[[№]:[Profit]],22,0)=0,"-",VLOOKUP(B182,Baza[[№]:[Profit]],22,0)),"")</f>
        <v/>
      </c>
      <c r="Y182" s="45" t="str">
        <f>IFERROR(VLOOKUP(B182,Baza[[№]:[Profit]],23,0),"")</f>
        <v/>
      </c>
      <c r="Z182" s="44" t="str">
        <f>IFERROR(VLOOKUP(B182,Baza[[№]:[AFS]],24,0),"")</f>
        <v/>
      </c>
      <c r="AA182" s="45" t="str">
        <f>IF(Таблица2[[#This Row],[Profit]]="","#Н/Д",SUM($Y$40:Y182))</f>
        <v>#Н/Д</v>
      </c>
      <c r="AB182" s="45" t="b">
        <f>IF(Таблица2[[#This Row],[Grafik]]="#Н/Д",FALSE,TRUE)</f>
        <v>0</v>
      </c>
    </row>
    <row r="183" spans="1:28" ht="11.1" hidden="1" customHeight="1" x14ac:dyDescent="0.25">
      <c r="A183" s="93">
        <f t="shared" si="2"/>
        <v>144</v>
      </c>
      <c r="B183"/>
      <c r="C183" s="41" t="str">
        <f>IFERROR(VLOOKUP(B183,Baza[[№]:[Profit]],2,0),"")</f>
        <v/>
      </c>
      <c r="D18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8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83" s="43" t="str">
        <f>IFERROR(VLOOKUP(B183,Baza[[№]:[Profit]],3,0),"")</f>
        <v/>
      </c>
      <c r="G183" s="43" t="str">
        <f>IFERROR(VLOOKUP(B183,Baza[[№]:[Profit]],4,0),"")</f>
        <v/>
      </c>
      <c r="H183" s="43" t="str">
        <f>IFERROR(VLOOKUP(B183,Baza[[№]:[Profit]],5,0),"")</f>
        <v/>
      </c>
      <c r="I183" s="46" t="str">
        <f>IFERROR(VLOOKUP(B183,Baza[[№]:[Profit]],6,0),"")</f>
        <v/>
      </c>
      <c r="J183" s="49" t="str">
        <f>IFERROR(VLOOKUP(B183,Baza[[№]:[Profit]],7,0),"")</f>
        <v/>
      </c>
      <c r="K183" s="43" t="str">
        <f>IFERROR(VLOOKUP(B183,Baza[[№]:[Profit]],8,0),"")</f>
        <v/>
      </c>
      <c r="L183" s="43" t="str">
        <f>IFERROR(VLOOKUP(B183,Baza[[№]:[Profit]],9,0),"")</f>
        <v/>
      </c>
      <c r="M183" s="43" t="str">
        <f>IFERROR(VLOOKUP(B183,Baza[[№]:[Profit]],10,0),"")</f>
        <v/>
      </c>
      <c r="N183" s="43" t="str">
        <f>IFERROR(IF(VLOOKUP(B183,Baza[[№]:[Profit]],11,0)=0,"-",VLOOKUP(B183,Baza[[№]:[Profit]],11,0)),"")</f>
        <v/>
      </c>
      <c r="O183" s="43" t="str">
        <f>IFERROR(IF(VLOOKUP(B183,Baza[[№]:[Profit]],12,0)=0,"-",VLOOKUP(B183,Baza[[№]:[Profit]],12,0)),"")</f>
        <v/>
      </c>
      <c r="P183" s="43" t="str">
        <f>IFERROR(IF(VLOOKUP(B183,Baza[[№]:[Profit]],13,0)=0,"-",VLOOKUP(B183,Baza[[№]:[Profit]],13,0)),"")</f>
        <v/>
      </c>
      <c r="Q183" s="43" t="str">
        <f>IFERROR(IF(VLOOKUP(B183,Baza[[№]:[Profit]],15,0)=0,"-",VLOOKUP(B183,Baza[[№]:[Profit]],15,0)),"")</f>
        <v/>
      </c>
      <c r="R183" s="43" t="str">
        <f>IFERROR(IF(VLOOKUP(B183,Baza[[№]:[Profit]],16,0)=0,"-",VLOOKUP(B183,Baza[[№]:[Profit]],16,0)),"")</f>
        <v/>
      </c>
      <c r="S183" s="43" t="str">
        <f>IFERROR(IF(VLOOKUP(B183,Baza[[№]:[Profit]],17,0)=0,"-",VLOOKUP(B183,Baza[[№]:[Profit]],17,0)),"")</f>
        <v/>
      </c>
      <c r="T183" s="43" t="str">
        <f>IFERROR(IF(VLOOKUP(B183,Baza[[№]:[Profit]],18,0)=0,"-",VLOOKUP(B183,Baza[[№]:[Profit]],18,0)),"")</f>
        <v/>
      </c>
      <c r="U183" s="41" t="str">
        <f>IFERROR(IF(VLOOKUP(B183,Baza[[№]:[Profit]],19,0)=0,"-",VLOOKUP(B183,Baza[[№]:[Profit]],19,0)),"")</f>
        <v/>
      </c>
      <c r="V183" s="41" t="str">
        <f>IFERROR(VLOOKUP(B183,Baza[[№]:[Profit]],20,0),"")</f>
        <v/>
      </c>
      <c r="W183" s="41" t="str">
        <f>IFERROR(IF(VLOOKUP(B183,Baza[[№]:[Profit]],21,0)=0,"-",VLOOKUP(B183,Baza[[№]:[Profit]],21,0)),"")</f>
        <v/>
      </c>
      <c r="X183" s="45" t="str">
        <f>IFERROR(IF(VLOOKUP(B183,Baza[[№]:[Profit]],22,0)=0,"-",VLOOKUP(B183,Baza[[№]:[Profit]],22,0)),"")</f>
        <v/>
      </c>
      <c r="Y183" s="45" t="str">
        <f>IFERROR(VLOOKUP(B183,Baza[[№]:[Profit]],23,0),"")</f>
        <v/>
      </c>
      <c r="Z183" s="44" t="str">
        <f>IFERROR(VLOOKUP(B183,Baza[[№]:[AFS]],24,0),"")</f>
        <v/>
      </c>
      <c r="AA183" s="45" t="str">
        <f>IF(Таблица2[[#This Row],[Profit]]="","#Н/Д",SUM($Y$40:Y183))</f>
        <v>#Н/Д</v>
      </c>
      <c r="AB183" s="45" t="b">
        <f>IF(Таблица2[[#This Row],[Grafik]]="#Н/Д",FALSE,TRUE)</f>
        <v>0</v>
      </c>
    </row>
    <row r="184" spans="1:28" ht="11.1" hidden="1" customHeight="1" x14ac:dyDescent="0.25">
      <c r="A184" s="93">
        <f t="shared" si="2"/>
        <v>145</v>
      </c>
      <c r="B184"/>
      <c r="C184" s="41" t="str">
        <f>IFERROR(VLOOKUP(B184,Baza[[№]:[Profit]],2,0),"")</f>
        <v/>
      </c>
      <c r="D18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8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84" s="43" t="str">
        <f>IFERROR(VLOOKUP(B184,Baza[[№]:[Profit]],3,0),"")</f>
        <v/>
      </c>
      <c r="G184" s="43" t="str">
        <f>IFERROR(VLOOKUP(B184,Baza[[№]:[Profit]],4,0),"")</f>
        <v/>
      </c>
      <c r="H184" s="43" t="str">
        <f>IFERROR(VLOOKUP(B184,Baza[[№]:[Profit]],5,0),"")</f>
        <v/>
      </c>
      <c r="I184" s="46" t="str">
        <f>IFERROR(VLOOKUP(B184,Baza[[№]:[Profit]],6,0),"")</f>
        <v/>
      </c>
      <c r="J184" s="49" t="str">
        <f>IFERROR(VLOOKUP(B184,Baza[[№]:[Profit]],7,0),"")</f>
        <v/>
      </c>
      <c r="K184" s="43" t="str">
        <f>IFERROR(VLOOKUP(B184,Baza[[№]:[Profit]],8,0),"")</f>
        <v/>
      </c>
      <c r="L184" s="43" t="str">
        <f>IFERROR(VLOOKUP(B184,Baza[[№]:[Profit]],9,0),"")</f>
        <v/>
      </c>
      <c r="M184" s="43" t="str">
        <f>IFERROR(VLOOKUP(B184,Baza[[№]:[Profit]],10,0),"")</f>
        <v/>
      </c>
      <c r="N184" s="43" t="str">
        <f>IFERROR(IF(VLOOKUP(B184,Baza[[№]:[Profit]],11,0)=0,"-",VLOOKUP(B184,Baza[[№]:[Profit]],11,0)),"")</f>
        <v/>
      </c>
      <c r="O184" s="43" t="str">
        <f>IFERROR(IF(VLOOKUP(B184,Baza[[№]:[Profit]],12,0)=0,"-",VLOOKUP(B184,Baza[[№]:[Profit]],12,0)),"")</f>
        <v/>
      </c>
      <c r="P184" s="43" t="str">
        <f>IFERROR(IF(VLOOKUP(B184,Baza[[№]:[Profit]],13,0)=0,"-",VLOOKUP(B184,Baza[[№]:[Profit]],13,0)),"")</f>
        <v/>
      </c>
      <c r="Q184" s="43" t="str">
        <f>IFERROR(IF(VLOOKUP(B184,Baza[[№]:[Profit]],15,0)=0,"-",VLOOKUP(B184,Baza[[№]:[Profit]],15,0)),"")</f>
        <v/>
      </c>
      <c r="R184" s="43" t="str">
        <f>IFERROR(IF(VLOOKUP(B184,Baza[[№]:[Profit]],16,0)=0,"-",VLOOKUP(B184,Baza[[№]:[Profit]],16,0)),"")</f>
        <v/>
      </c>
      <c r="S184" s="43" t="str">
        <f>IFERROR(IF(VLOOKUP(B184,Baza[[№]:[Profit]],17,0)=0,"-",VLOOKUP(B184,Baza[[№]:[Profit]],17,0)),"")</f>
        <v/>
      </c>
      <c r="T184" s="43" t="str">
        <f>IFERROR(IF(VLOOKUP(B184,Baza[[№]:[Profit]],18,0)=0,"-",VLOOKUP(B184,Baza[[№]:[Profit]],18,0)),"")</f>
        <v/>
      </c>
      <c r="U184" s="41" t="str">
        <f>IFERROR(IF(VLOOKUP(B184,Baza[[№]:[Profit]],19,0)=0,"-",VLOOKUP(B184,Baza[[№]:[Profit]],19,0)),"")</f>
        <v/>
      </c>
      <c r="V184" s="41" t="str">
        <f>IFERROR(VLOOKUP(B184,Baza[[№]:[Profit]],20,0),"")</f>
        <v/>
      </c>
      <c r="W184" s="41" t="str">
        <f>IFERROR(IF(VLOOKUP(B184,Baza[[№]:[Profit]],21,0)=0,"-",VLOOKUP(B184,Baza[[№]:[Profit]],21,0)),"")</f>
        <v/>
      </c>
      <c r="X184" s="45" t="str">
        <f>IFERROR(IF(VLOOKUP(B184,Baza[[№]:[Profit]],22,0)=0,"-",VLOOKUP(B184,Baza[[№]:[Profit]],22,0)),"")</f>
        <v/>
      </c>
      <c r="Y184" s="45" t="str">
        <f>IFERROR(VLOOKUP(B184,Baza[[№]:[Profit]],23,0),"")</f>
        <v/>
      </c>
      <c r="Z184" s="44" t="str">
        <f>IFERROR(VLOOKUP(B184,Baza[[№]:[AFS]],24,0),"")</f>
        <v/>
      </c>
      <c r="AA184" s="45" t="str">
        <f>IF(Таблица2[[#This Row],[Profit]]="","#Н/Д",SUM($Y$40:Y184))</f>
        <v>#Н/Д</v>
      </c>
      <c r="AB184" s="45" t="b">
        <f>IF(Таблица2[[#This Row],[Grafik]]="#Н/Д",FALSE,TRUE)</f>
        <v>0</v>
      </c>
    </row>
    <row r="185" spans="1:28" ht="11.1" hidden="1" customHeight="1" x14ac:dyDescent="0.25">
      <c r="A185" s="93">
        <f t="shared" si="2"/>
        <v>146</v>
      </c>
      <c r="B185"/>
      <c r="C185" s="41" t="str">
        <f>IFERROR(VLOOKUP(B185,Baza[[№]:[Profit]],2,0),"")</f>
        <v/>
      </c>
      <c r="D18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8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85" s="43" t="str">
        <f>IFERROR(VLOOKUP(B185,Baza[[№]:[Profit]],3,0),"")</f>
        <v/>
      </c>
      <c r="G185" s="43" t="str">
        <f>IFERROR(VLOOKUP(B185,Baza[[№]:[Profit]],4,0),"")</f>
        <v/>
      </c>
      <c r="H185" s="43" t="str">
        <f>IFERROR(VLOOKUP(B185,Baza[[№]:[Profit]],5,0),"")</f>
        <v/>
      </c>
      <c r="I185" s="46" t="str">
        <f>IFERROR(VLOOKUP(B185,Baza[[№]:[Profit]],6,0),"")</f>
        <v/>
      </c>
      <c r="J185" s="49" t="str">
        <f>IFERROR(VLOOKUP(B185,Baza[[№]:[Profit]],7,0),"")</f>
        <v/>
      </c>
      <c r="K185" s="43" t="str">
        <f>IFERROR(VLOOKUP(B185,Baza[[№]:[Profit]],8,0),"")</f>
        <v/>
      </c>
      <c r="L185" s="43" t="str">
        <f>IFERROR(VLOOKUP(B185,Baza[[№]:[Profit]],9,0),"")</f>
        <v/>
      </c>
      <c r="M185" s="43" t="str">
        <f>IFERROR(VLOOKUP(B185,Baza[[№]:[Profit]],10,0),"")</f>
        <v/>
      </c>
      <c r="N185" s="43" t="str">
        <f>IFERROR(IF(VLOOKUP(B185,Baza[[№]:[Profit]],11,0)=0,"-",VLOOKUP(B185,Baza[[№]:[Profit]],11,0)),"")</f>
        <v/>
      </c>
      <c r="O185" s="43" t="str">
        <f>IFERROR(IF(VLOOKUP(B185,Baza[[№]:[Profit]],12,0)=0,"-",VLOOKUP(B185,Baza[[№]:[Profit]],12,0)),"")</f>
        <v/>
      </c>
      <c r="P185" s="43" t="str">
        <f>IFERROR(IF(VLOOKUP(B185,Baza[[№]:[Profit]],13,0)=0,"-",VLOOKUP(B185,Baza[[№]:[Profit]],13,0)),"")</f>
        <v/>
      </c>
      <c r="Q185" s="43" t="str">
        <f>IFERROR(IF(VLOOKUP(B185,Baza[[№]:[Profit]],15,0)=0,"-",VLOOKUP(B185,Baza[[№]:[Profit]],15,0)),"")</f>
        <v/>
      </c>
      <c r="R185" s="43" t="str">
        <f>IFERROR(IF(VLOOKUP(B185,Baza[[№]:[Profit]],16,0)=0,"-",VLOOKUP(B185,Baza[[№]:[Profit]],16,0)),"")</f>
        <v/>
      </c>
      <c r="S185" s="43" t="str">
        <f>IFERROR(IF(VLOOKUP(B185,Baza[[№]:[Profit]],17,0)=0,"-",VLOOKUP(B185,Baza[[№]:[Profit]],17,0)),"")</f>
        <v/>
      </c>
      <c r="T185" s="43" t="str">
        <f>IFERROR(IF(VLOOKUP(B185,Baza[[№]:[Profit]],18,0)=0,"-",VLOOKUP(B185,Baza[[№]:[Profit]],18,0)),"")</f>
        <v/>
      </c>
      <c r="U185" s="41" t="str">
        <f>IFERROR(IF(VLOOKUP(B185,Baza[[№]:[Profit]],19,0)=0,"-",VLOOKUP(B185,Baza[[№]:[Profit]],19,0)),"")</f>
        <v/>
      </c>
      <c r="V185" s="41" t="str">
        <f>IFERROR(VLOOKUP(B185,Baza[[№]:[Profit]],20,0),"")</f>
        <v/>
      </c>
      <c r="W185" s="41" t="str">
        <f>IFERROR(IF(VLOOKUP(B185,Baza[[№]:[Profit]],21,0)=0,"-",VLOOKUP(B185,Baza[[№]:[Profit]],21,0)),"")</f>
        <v/>
      </c>
      <c r="X185" s="45" t="str">
        <f>IFERROR(IF(VLOOKUP(B185,Baza[[№]:[Profit]],22,0)=0,"-",VLOOKUP(B185,Baza[[№]:[Profit]],22,0)),"")</f>
        <v/>
      </c>
      <c r="Y185" s="45" t="str">
        <f>IFERROR(VLOOKUP(B185,Baza[[№]:[Profit]],23,0),"")</f>
        <v/>
      </c>
      <c r="Z185" s="44" t="str">
        <f>IFERROR(VLOOKUP(B185,Baza[[№]:[AFS]],24,0),"")</f>
        <v/>
      </c>
      <c r="AA185" s="45" t="str">
        <f>IF(Таблица2[[#This Row],[Profit]]="","#Н/Д",SUM($Y$40:Y185))</f>
        <v>#Н/Д</v>
      </c>
      <c r="AB185" s="45" t="b">
        <f>IF(Таблица2[[#This Row],[Grafik]]="#Н/Д",FALSE,TRUE)</f>
        <v>0</v>
      </c>
    </row>
    <row r="186" spans="1:28" ht="11.1" hidden="1" customHeight="1" x14ac:dyDescent="0.25">
      <c r="A186" s="93">
        <f t="shared" si="2"/>
        <v>147</v>
      </c>
      <c r="B186"/>
      <c r="C186" s="41" t="str">
        <f>IFERROR(VLOOKUP(B186,Baza[[№]:[Profit]],2,0),"")</f>
        <v/>
      </c>
      <c r="D18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8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86" s="43" t="str">
        <f>IFERROR(VLOOKUP(B186,Baza[[№]:[Profit]],3,0),"")</f>
        <v/>
      </c>
      <c r="G186" s="43" t="str">
        <f>IFERROR(VLOOKUP(B186,Baza[[№]:[Profit]],4,0),"")</f>
        <v/>
      </c>
      <c r="H186" s="43" t="str">
        <f>IFERROR(VLOOKUP(B186,Baza[[№]:[Profit]],5,0),"")</f>
        <v/>
      </c>
      <c r="I186" s="46" t="str">
        <f>IFERROR(VLOOKUP(B186,Baza[[№]:[Profit]],6,0),"")</f>
        <v/>
      </c>
      <c r="J186" s="49" t="str">
        <f>IFERROR(VLOOKUP(B186,Baza[[№]:[Profit]],7,0),"")</f>
        <v/>
      </c>
      <c r="K186" s="43" t="str">
        <f>IFERROR(VLOOKUP(B186,Baza[[№]:[Profit]],8,0),"")</f>
        <v/>
      </c>
      <c r="L186" s="43" t="str">
        <f>IFERROR(VLOOKUP(B186,Baza[[№]:[Profit]],9,0),"")</f>
        <v/>
      </c>
      <c r="M186" s="43" t="str">
        <f>IFERROR(VLOOKUP(B186,Baza[[№]:[Profit]],10,0),"")</f>
        <v/>
      </c>
      <c r="N186" s="43" t="str">
        <f>IFERROR(IF(VLOOKUP(B186,Baza[[№]:[Profit]],11,0)=0,"-",VLOOKUP(B186,Baza[[№]:[Profit]],11,0)),"")</f>
        <v/>
      </c>
      <c r="O186" s="43" t="str">
        <f>IFERROR(IF(VLOOKUP(B186,Baza[[№]:[Profit]],12,0)=0,"-",VLOOKUP(B186,Baza[[№]:[Profit]],12,0)),"")</f>
        <v/>
      </c>
      <c r="P186" s="43" t="str">
        <f>IFERROR(IF(VLOOKUP(B186,Baza[[№]:[Profit]],13,0)=0,"-",VLOOKUP(B186,Baza[[№]:[Profit]],13,0)),"")</f>
        <v/>
      </c>
      <c r="Q186" s="43" t="str">
        <f>IFERROR(IF(VLOOKUP(B186,Baza[[№]:[Profit]],15,0)=0,"-",VLOOKUP(B186,Baza[[№]:[Profit]],15,0)),"")</f>
        <v/>
      </c>
      <c r="R186" s="43" t="str">
        <f>IFERROR(IF(VLOOKUP(B186,Baza[[№]:[Profit]],16,0)=0,"-",VLOOKUP(B186,Baza[[№]:[Profit]],16,0)),"")</f>
        <v/>
      </c>
      <c r="S186" s="43" t="str">
        <f>IFERROR(IF(VLOOKUP(B186,Baza[[№]:[Profit]],17,0)=0,"-",VLOOKUP(B186,Baza[[№]:[Profit]],17,0)),"")</f>
        <v/>
      </c>
      <c r="T186" s="43" t="str">
        <f>IFERROR(IF(VLOOKUP(B186,Baza[[№]:[Profit]],18,0)=0,"-",VLOOKUP(B186,Baza[[№]:[Profit]],18,0)),"")</f>
        <v/>
      </c>
      <c r="U186" s="41" t="str">
        <f>IFERROR(IF(VLOOKUP(B186,Baza[[№]:[Profit]],19,0)=0,"-",VLOOKUP(B186,Baza[[№]:[Profit]],19,0)),"")</f>
        <v/>
      </c>
      <c r="V186" s="41" t="str">
        <f>IFERROR(VLOOKUP(B186,Baza[[№]:[Profit]],20,0),"")</f>
        <v/>
      </c>
      <c r="W186" s="41" t="str">
        <f>IFERROR(IF(VLOOKUP(B186,Baza[[№]:[Profit]],21,0)=0,"-",VLOOKUP(B186,Baza[[№]:[Profit]],21,0)),"")</f>
        <v/>
      </c>
      <c r="X186" s="45" t="str">
        <f>IFERROR(IF(VLOOKUP(B186,Baza[[№]:[Profit]],22,0)=0,"-",VLOOKUP(B186,Baza[[№]:[Profit]],22,0)),"")</f>
        <v/>
      </c>
      <c r="Y186" s="45" t="str">
        <f>IFERROR(VLOOKUP(B186,Baza[[№]:[Profit]],23,0),"")</f>
        <v/>
      </c>
      <c r="Z186" s="44" t="str">
        <f>IFERROR(VLOOKUP(B186,Baza[[№]:[AFS]],24,0),"")</f>
        <v/>
      </c>
      <c r="AA186" s="45" t="str">
        <f>IF(Таблица2[[#This Row],[Profit]]="","#Н/Д",SUM($Y$40:Y186))</f>
        <v>#Н/Д</v>
      </c>
      <c r="AB186" s="45" t="b">
        <f>IF(Таблица2[[#This Row],[Grafik]]="#Н/Д",FALSE,TRUE)</f>
        <v>0</v>
      </c>
    </row>
    <row r="187" spans="1:28" ht="11.1" hidden="1" customHeight="1" x14ac:dyDescent="0.25">
      <c r="A187" s="93">
        <f t="shared" si="2"/>
        <v>148</v>
      </c>
      <c r="B187"/>
      <c r="C187" s="41" t="str">
        <f>IFERROR(VLOOKUP(B187,Baza[[№]:[Profit]],2,0),"")</f>
        <v/>
      </c>
      <c r="D18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8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87" s="43" t="str">
        <f>IFERROR(VLOOKUP(B187,Baza[[№]:[Profit]],3,0),"")</f>
        <v/>
      </c>
      <c r="G187" s="43" t="str">
        <f>IFERROR(VLOOKUP(B187,Baza[[№]:[Profit]],4,0),"")</f>
        <v/>
      </c>
      <c r="H187" s="43" t="str">
        <f>IFERROR(VLOOKUP(B187,Baza[[№]:[Profit]],5,0),"")</f>
        <v/>
      </c>
      <c r="I187" s="46" t="str">
        <f>IFERROR(VLOOKUP(B187,Baza[[№]:[Profit]],6,0),"")</f>
        <v/>
      </c>
      <c r="J187" s="49" t="str">
        <f>IFERROR(VLOOKUP(B187,Baza[[№]:[Profit]],7,0),"")</f>
        <v/>
      </c>
      <c r="K187" s="43" t="str">
        <f>IFERROR(VLOOKUP(B187,Baza[[№]:[Profit]],8,0),"")</f>
        <v/>
      </c>
      <c r="L187" s="43" t="str">
        <f>IFERROR(VLOOKUP(B187,Baza[[№]:[Profit]],9,0),"")</f>
        <v/>
      </c>
      <c r="M187" s="43" t="str">
        <f>IFERROR(VLOOKUP(B187,Baza[[№]:[Profit]],10,0),"")</f>
        <v/>
      </c>
      <c r="N187" s="43" t="str">
        <f>IFERROR(IF(VLOOKUP(B187,Baza[[№]:[Profit]],11,0)=0,"-",VLOOKUP(B187,Baza[[№]:[Profit]],11,0)),"")</f>
        <v/>
      </c>
      <c r="O187" s="43" t="str">
        <f>IFERROR(IF(VLOOKUP(B187,Baza[[№]:[Profit]],12,0)=0,"-",VLOOKUP(B187,Baza[[№]:[Profit]],12,0)),"")</f>
        <v/>
      </c>
      <c r="P187" s="43" t="str">
        <f>IFERROR(IF(VLOOKUP(B187,Baza[[№]:[Profit]],13,0)=0,"-",VLOOKUP(B187,Baza[[№]:[Profit]],13,0)),"")</f>
        <v/>
      </c>
      <c r="Q187" s="43" t="str">
        <f>IFERROR(IF(VLOOKUP(B187,Baza[[№]:[Profit]],15,0)=0,"-",VLOOKUP(B187,Baza[[№]:[Profit]],15,0)),"")</f>
        <v/>
      </c>
      <c r="R187" s="43" t="str">
        <f>IFERROR(IF(VLOOKUP(B187,Baza[[№]:[Profit]],16,0)=0,"-",VLOOKUP(B187,Baza[[№]:[Profit]],16,0)),"")</f>
        <v/>
      </c>
      <c r="S187" s="43" t="str">
        <f>IFERROR(IF(VLOOKUP(B187,Baza[[№]:[Profit]],17,0)=0,"-",VLOOKUP(B187,Baza[[№]:[Profit]],17,0)),"")</f>
        <v/>
      </c>
      <c r="T187" s="43" t="str">
        <f>IFERROR(IF(VLOOKUP(B187,Baza[[№]:[Profit]],18,0)=0,"-",VLOOKUP(B187,Baza[[№]:[Profit]],18,0)),"")</f>
        <v/>
      </c>
      <c r="U187" s="41" t="str">
        <f>IFERROR(IF(VLOOKUP(B187,Baza[[№]:[Profit]],19,0)=0,"-",VLOOKUP(B187,Baza[[№]:[Profit]],19,0)),"")</f>
        <v/>
      </c>
      <c r="V187" s="41" t="str">
        <f>IFERROR(VLOOKUP(B187,Baza[[№]:[Profit]],20,0),"")</f>
        <v/>
      </c>
      <c r="W187" s="41" t="str">
        <f>IFERROR(IF(VLOOKUP(B187,Baza[[№]:[Profit]],21,0)=0,"-",VLOOKUP(B187,Baza[[№]:[Profit]],21,0)),"")</f>
        <v/>
      </c>
      <c r="X187" s="45" t="str">
        <f>IFERROR(IF(VLOOKUP(B187,Baza[[№]:[Profit]],22,0)=0,"-",VLOOKUP(B187,Baza[[№]:[Profit]],22,0)),"")</f>
        <v/>
      </c>
      <c r="Y187" s="45" t="str">
        <f>IFERROR(VLOOKUP(B187,Baza[[№]:[Profit]],23,0),"")</f>
        <v/>
      </c>
      <c r="Z187" s="44" t="str">
        <f>IFERROR(VLOOKUP(B187,Baza[[№]:[AFS]],24,0),"")</f>
        <v/>
      </c>
      <c r="AA187" s="45" t="str">
        <f>IF(Таблица2[[#This Row],[Profit]]="","#Н/Д",SUM($Y$40:Y187))</f>
        <v>#Н/Д</v>
      </c>
      <c r="AB187" s="45" t="b">
        <f>IF(Таблица2[[#This Row],[Grafik]]="#Н/Д",FALSE,TRUE)</f>
        <v>0</v>
      </c>
    </row>
    <row r="188" spans="1:28" ht="11.1" hidden="1" customHeight="1" x14ac:dyDescent="0.25">
      <c r="A188" s="93">
        <f t="shared" si="2"/>
        <v>149</v>
      </c>
      <c r="B188"/>
      <c r="C188" s="41" t="str">
        <f>IFERROR(VLOOKUP(B188,Baza[[№]:[Profit]],2,0),"")</f>
        <v/>
      </c>
      <c r="D18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8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88" s="43" t="str">
        <f>IFERROR(VLOOKUP(B188,Baza[[№]:[Profit]],3,0),"")</f>
        <v/>
      </c>
      <c r="G188" s="43" t="str">
        <f>IFERROR(VLOOKUP(B188,Baza[[№]:[Profit]],4,0),"")</f>
        <v/>
      </c>
      <c r="H188" s="43" t="str">
        <f>IFERROR(VLOOKUP(B188,Baza[[№]:[Profit]],5,0),"")</f>
        <v/>
      </c>
      <c r="I188" s="46" t="str">
        <f>IFERROR(VLOOKUP(B188,Baza[[№]:[Profit]],6,0),"")</f>
        <v/>
      </c>
      <c r="J188" s="49" t="str">
        <f>IFERROR(VLOOKUP(B188,Baza[[№]:[Profit]],7,0),"")</f>
        <v/>
      </c>
      <c r="K188" s="43" t="str">
        <f>IFERROR(VLOOKUP(B188,Baza[[№]:[Profit]],8,0),"")</f>
        <v/>
      </c>
      <c r="L188" s="43" t="str">
        <f>IFERROR(VLOOKUP(B188,Baza[[№]:[Profit]],9,0),"")</f>
        <v/>
      </c>
      <c r="M188" s="43" t="str">
        <f>IFERROR(VLOOKUP(B188,Baza[[№]:[Profit]],10,0),"")</f>
        <v/>
      </c>
      <c r="N188" s="43" t="str">
        <f>IFERROR(IF(VLOOKUP(B188,Baza[[№]:[Profit]],11,0)=0,"-",VLOOKUP(B188,Baza[[№]:[Profit]],11,0)),"")</f>
        <v/>
      </c>
      <c r="O188" s="43" t="str">
        <f>IFERROR(IF(VLOOKUP(B188,Baza[[№]:[Profit]],12,0)=0,"-",VLOOKUP(B188,Baza[[№]:[Profit]],12,0)),"")</f>
        <v/>
      </c>
      <c r="P188" s="43" t="str">
        <f>IFERROR(IF(VLOOKUP(B188,Baza[[№]:[Profit]],13,0)=0,"-",VLOOKUP(B188,Baza[[№]:[Profit]],13,0)),"")</f>
        <v/>
      </c>
      <c r="Q188" s="43" t="str">
        <f>IFERROR(IF(VLOOKUP(B188,Baza[[№]:[Profit]],15,0)=0,"-",VLOOKUP(B188,Baza[[№]:[Profit]],15,0)),"")</f>
        <v/>
      </c>
      <c r="R188" s="43" t="str">
        <f>IFERROR(IF(VLOOKUP(B188,Baza[[№]:[Profit]],16,0)=0,"-",VLOOKUP(B188,Baza[[№]:[Profit]],16,0)),"")</f>
        <v/>
      </c>
      <c r="S188" s="43" t="str">
        <f>IFERROR(IF(VLOOKUP(B188,Baza[[№]:[Profit]],17,0)=0,"-",VLOOKUP(B188,Baza[[№]:[Profit]],17,0)),"")</f>
        <v/>
      </c>
      <c r="T188" s="43" t="str">
        <f>IFERROR(IF(VLOOKUP(B188,Baza[[№]:[Profit]],18,0)=0,"-",VLOOKUP(B188,Baza[[№]:[Profit]],18,0)),"")</f>
        <v/>
      </c>
      <c r="U188" s="41" t="str">
        <f>IFERROR(IF(VLOOKUP(B188,Baza[[№]:[Profit]],19,0)=0,"-",VLOOKUP(B188,Baza[[№]:[Profit]],19,0)),"")</f>
        <v/>
      </c>
      <c r="V188" s="41" t="str">
        <f>IFERROR(VLOOKUP(B188,Baza[[№]:[Profit]],20,0),"")</f>
        <v/>
      </c>
      <c r="W188" s="41" t="str">
        <f>IFERROR(IF(VLOOKUP(B188,Baza[[№]:[Profit]],21,0)=0,"-",VLOOKUP(B188,Baza[[№]:[Profit]],21,0)),"")</f>
        <v/>
      </c>
      <c r="X188" s="45" t="str">
        <f>IFERROR(IF(VLOOKUP(B188,Baza[[№]:[Profit]],22,0)=0,"-",VLOOKUP(B188,Baza[[№]:[Profit]],22,0)),"")</f>
        <v/>
      </c>
      <c r="Y188" s="45" t="str">
        <f>IFERROR(VLOOKUP(B188,Baza[[№]:[Profit]],23,0),"")</f>
        <v/>
      </c>
      <c r="Z188" s="44" t="str">
        <f>IFERROR(VLOOKUP(B188,Baza[[№]:[AFS]],24,0),"")</f>
        <v/>
      </c>
      <c r="AA188" s="45" t="str">
        <f>IF(Таблица2[[#This Row],[Profit]]="","#Н/Д",SUM($Y$40:Y188))</f>
        <v>#Н/Д</v>
      </c>
      <c r="AB188" s="45" t="b">
        <f>IF(Таблица2[[#This Row],[Grafik]]="#Н/Д",FALSE,TRUE)</f>
        <v>0</v>
      </c>
    </row>
    <row r="189" spans="1:28" ht="11.1" hidden="1" customHeight="1" x14ac:dyDescent="0.25">
      <c r="A189" s="93">
        <f t="shared" si="2"/>
        <v>150</v>
      </c>
      <c r="B189"/>
      <c r="C189" s="41" t="str">
        <f>IFERROR(VLOOKUP(B189,Baza[[№]:[Profit]],2,0),"")</f>
        <v/>
      </c>
      <c r="D18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8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89" s="43" t="str">
        <f>IFERROR(VLOOKUP(B189,Baza[[№]:[Profit]],3,0),"")</f>
        <v/>
      </c>
      <c r="G189" s="43" t="str">
        <f>IFERROR(VLOOKUP(B189,Baza[[№]:[Profit]],4,0),"")</f>
        <v/>
      </c>
      <c r="H189" s="43" t="str">
        <f>IFERROR(VLOOKUP(B189,Baza[[№]:[Profit]],5,0),"")</f>
        <v/>
      </c>
      <c r="I189" s="46" t="str">
        <f>IFERROR(VLOOKUP(B189,Baza[[№]:[Profit]],6,0),"")</f>
        <v/>
      </c>
      <c r="J189" s="49" t="str">
        <f>IFERROR(VLOOKUP(B189,Baza[[№]:[Profit]],7,0),"")</f>
        <v/>
      </c>
      <c r="K189" s="43" t="str">
        <f>IFERROR(VLOOKUP(B189,Baza[[№]:[Profit]],8,0),"")</f>
        <v/>
      </c>
      <c r="L189" s="43" t="str">
        <f>IFERROR(VLOOKUP(B189,Baza[[№]:[Profit]],9,0),"")</f>
        <v/>
      </c>
      <c r="M189" s="43" t="str">
        <f>IFERROR(VLOOKUP(B189,Baza[[№]:[Profit]],10,0),"")</f>
        <v/>
      </c>
      <c r="N189" s="43" t="str">
        <f>IFERROR(IF(VLOOKUP(B189,Baza[[№]:[Profit]],11,0)=0,"-",VLOOKUP(B189,Baza[[№]:[Profit]],11,0)),"")</f>
        <v/>
      </c>
      <c r="O189" s="43" t="str">
        <f>IFERROR(IF(VLOOKUP(B189,Baza[[№]:[Profit]],12,0)=0,"-",VLOOKUP(B189,Baza[[№]:[Profit]],12,0)),"")</f>
        <v/>
      </c>
      <c r="P189" s="43" t="str">
        <f>IFERROR(IF(VLOOKUP(B189,Baza[[№]:[Profit]],13,0)=0,"-",VLOOKUP(B189,Baza[[№]:[Profit]],13,0)),"")</f>
        <v/>
      </c>
      <c r="Q189" s="43" t="str">
        <f>IFERROR(IF(VLOOKUP(B189,Baza[[№]:[Profit]],15,0)=0,"-",VLOOKUP(B189,Baza[[№]:[Profit]],15,0)),"")</f>
        <v/>
      </c>
      <c r="R189" s="43" t="str">
        <f>IFERROR(IF(VLOOKUP(B189,Baza[[№]:[Profit]],16,0)=0,"-",VLOOKUP(B189,Baza[[№]:[Profit]],16,0)),"")</f>
        <v/>
      </c>
      <c r="S189" s="43" t="str">
        <f>IFERROR(IF(VLOOKUP(B189,Baza[[№]:[Profit]],17,0)=0,"-",VLOOKUP(B189,Baza[[№]:[Profit]],17,0)),"")</f>
        <v/>
      </c>
      <c r="T189" s="43" t="str">
        <f>IFERROR(IF(VLOOKUP(B189,Baza[[№]:[Profit]],18,0)=0,"-",VLOOKUP(B189,Baza[[№]:[Profit]],18,0)),"")</f>
        <v/>
      </c>
      <c r="U189" s="41" t="str">
        <f>IFERROR(IF(VLOOKUP(B189,Baza[[№]:[Profit]],19,0)=0,"-",VLOOKUP(B189,Baza[[№]:[Profit]],19,0)),"")</f>
        <v/>
      </c>
      <c r="V189" s="41" t="str">
        <f>IFERROR(VLOOKUP(B189,Baza[[№]:[Profit]],20,0),"")</f>
        <v/>
      </c>
      <c r="W189" s="41" t="str">
        <f>IFERROR(IF(VLOOKUP(B189,Baza[[№]:[Profit]],21,0)=0,"-",VLOOKUP(B189,Baza[[№]:[Profit]],21,0)),"")</f>
        <v/>
      </c>
      <c r="X189" s="45" t="str">
        <f>IFERROR(IF(VLOOKUP(B189,Baza[[№]:[Profit]],22,0)=0,"-",VLOOKUP(B189,Baza[[№]:[Profit]],22,0)),"")</f>
        <v/>
      </c>
      <c r="Y189" s="45" t="str">
        <f>IFERROR(VLOOKUP(B189,Baza[[№]:[Profit]],23,0),"")</f>
        <v/>
      </c>
      <c r="Z189" s="44" t="str">
        <f>IFERROR(VLOOKUP(B189,Baza[[№]:[AFS]],24,0),"")</f>
        <v/>
      </c>
      <c r="AA189" s="45" t="str">
        <f>IF(Таблица2[[#This Row],[Profit]]="","#Н/Д",SUM($Y$40:Y189))</f>
        <v>#Н/Д</v>
      </c>
      <c r="AB189" s="45" t="b">
        <f>IF(Таблица2[[#This Row],[Grafik]]="#Н/Д",FALSE,TRUE)</f>
        <v>0</v>
      </c>
    </row>
    <row r="190" spans="1:28" ht="11.1" hidden="1" customHeight="1" x14ac:dyDescent="0.25">
      <c r="A190" s="93">
        <f t="shared" si="2"/>
        <v>151</v>
      </c>
      <c r="B190"/>
      <c r="C190" s="41" t="str">
        <f>IFERROR(VLOOKUP(B190,Baza[[№]:[Profit]],2,0),"")</f>
        <v/>
      </c>
      <c r="D19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9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90" s="43" t="str">
        <f>IFERROR(VLOOKUP(B190,Baza[[№]:[Profit]],3,0),"")</f>
        <v/>
      </c>
      <c r="G190" s="43" t="str">
        <f>IFERROR(VLOOKUP(B190,Baza[[№]:[Profit]],4,0),"")</f>
        <v/>
      </c>
      <c r="H190" s="43" t="str">
        <f>IFERROR(VLOOKUP(B190,Baza[[№]:[Profit]],5,0),"")</f>
        <v/>
      </c>
      <c r="I190" s="46" t="str">
        <f>IFERROR(VLOOKUP(B190,Baza[[№]:[Profit]],6,0),"")</f>
        <v/>
      </c>
      <c r="J190" s="49" t="str">
        <f>IFERROR(VLOOKUP(B190,Baza[[№]:[Profit]],7,0),"")</f>
        <v/>
      </c>
      <c r="K190" s="43" t="str">
        <f>IFERROR(VLOOKUP(B190,Baza[[№]:[Profit]],8,0),"")</f>
        <v/>
      </c>
      <c r="L190" s="43" t="str">
        <f>IFERROR(VLOOKUP(B190,Baza[[№]:[Profit]],9,0),"")</f>
        <v/>
      </c>
      <c r="M190" s="43" t="str">
        <f>IFERROR(VLOOKUP(B190,Baza[[№]:[Profit]],10,0),"")</f>
        <v/>
      </c>
      <c r="N190" s="43" t="str">
        <f>IFERROR(IF(VLOOKUP(B190,Baza[[№]:[Profit]],11,0)=0,"-",VLOOKUP(B190,Baza[[№]:[Profit]],11,0)),"")</f>
        <v/>
      </c>
      <c r="O190" s="43" t="str">
        <f>IFERROR(IF(VLOOKUP(B190,Baza[[№]:[Profit]],12,0)=0,"-",VLOOKUP(B190,Baza[[№]:[Profit]],12,0)),"")</f>
        <v/>
      </c>
      <c r="P190" s="43" t="str">
        <f>IFERROR(IF(VLOOKUP(B190,Baza[[№]:[Profit]],13,0)=0,"-",VLOOKUP(B190,Baza[[№]:[Profit]],13,0)),"")</f>
        <v/>
      </c>
      <c r="Q190" s="43" t="str">
        <f>IFERROR(IF(VLOOKUP(B190,Baza[[№]:[Profit]],15,0)=0,"-",VLOOKUP(B190,Baza[[№]:[Profit]],15,0)),"")</f>
        <v/>
      </c>
      <c r="R190" s="43" t="str">
        <f>IFERROR(IF(VLOOKUP(B190,Baza[[№]:[Profit]],16,0)=0,"-",VLOOKUP(B190,Baza[[№]:[Profit]],16,0)),"")</f>
        <v/>
      </c>
      <c r="S190" s="43" t="str">
        <f>IFERROR(IF(VLOOKUP(B190,Baza[[№]:[Profit]],17,0)=0,"-",VLOOKUP(B190,Baza[[№]:[Profit]],17,0)),"")</f>
        <v/>
      </c>
      <c r="T190" s="43" t="str">
        <f>IFERROR(IF(VLOOKUP(B190,Baza[[№]:[Profit]],18,0)=0,"-",VLOOKUP(B190,Baza[[№]:[Profit]],18,0)),"")</f>
        <v/>
      </c>
      <c r="U190" s="41" t="str">
        <f>IFERROR(IF(VLOOKUP(B190,Baza[[№]:[Profit]],19,0)=0,"-",VLOOKUP(B190,Baza[[№]:[Profit]],19,0)),"")</f>
        <v/>
      </c>
      <c r="V190" s="41" t="str">
        <f>IFERROR(VLOOKUP(B190,Baza[[№]:[Profit]],20,0),"")</f>
        <v/>
      </c>
      <c r="W190" s="41" t="str">
        <f>IFERROR(IF(VLOOKUP(B190,Baza[[№]:[Profit]],21,0)=0,"-",VLOOKUP(B190,Baza[[№]:[Profit]],21,0)),"")</f>
        <v/>
      </c>
      <c r="X190" s="45" t="str">
        <f>IFERROR(IF(VLOOKUP(B190,Baza[[№]:[Profit]],22,0)=0,"-",VLOOKUP(B190,Baza[[№]:[Profit]],22,0)),"")</f>
        <v/>
      </c>
      <c r="Y190" s="45" t="str">
        <f>IFERROR(VLOOKUP(B190,Baza[[№]:[Profit]],23,0),"")</f>
        <v/>
      </c>
      <c r="Z190" s="44" t="str">
        <f>IFERROR(VLOOKUP(B190,Baza[[№]:[AFS]],24,0),"")</f>
        <v/>
      </c>
      <c r="AA190" s="45" t="str">
        <f>IF(Таблица2[[#This Row],[Profit]]="","#Н/Д",SUM($Y$40:Y190))</f>
        <v>#Н/Д</v>
      </c>
      <c r="AB190" s="45" t="b">
        <f>IF(Таблица2[[#This Row],[Grafik]]="#Н/Д",FALSE,TRUE)</f>
        <v>0</v>
      </c>
    </row>
    <row r="191" spans="1:28" ht="11.1" hidden="1" customHeight="1" x14ac:dyDescent="0.25">
      <c r="A191" s="93">
        <f t="shared" si="2"/>
        <v>152</v>
      </c>
      <c r="B191"/>
      <c r="C191" s="41" t="str">
        <f>IFERROR(VLOOKUP(B191,Baza[[№]:[Profit]],2,0),"")</f>
        <v/>
      </c>
      <c r="D19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9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91" s="43" t="str">
        <f>IFERROR(VLOOKUP(B191,Baza[[№]:[Profit]],3,0),"")</f>
        <v/>
      </c>
      <c r="G191" s="43" t="str">
        <f>IFERROR(VLOOKUP(B191,Baza[[№]:[Profit]],4,0),"")</f>
        <v/>
      </c>
      <c r="H191" s="43" t="str">
        <f>IFERROR(VLOOKUP(B191,Baza[[№]:[Profit]],5,0),"")</f>
        <v/>
      </c>
      <c r="I191" s="46" t="str">
        <f>IFERROR(VLOOKUP(B191,Baza[[№]:[Profit]],6,0),"")</f>
        <v/>
      </c>
      <c r="J191" s="49" t="str">
        <f>IFERROR(VLOOKUP(B191,Baza[[№]:[Profit]],7,0),"")</f>
        <v/>
      </c>
      <c r="K191" s="43" t="str">
        <f>IFERROR(VLOOKUP(B191,Baza[[№]:[Profit]],8,0),"")</f>
        <v/>
      </c>
      <c r="L191" s="43" t="str">
        <f>IFERROR(VLOOKUP(B191,Baza[[№]:[Profit]],9,0),"")</f>
        <v/>
      </c>
      <c r="M191" s="43" t="str">
        <f>IFERROR(VLOOKUP(B191,Baza[[№]:[Profit]],10,0),"")</f>
        <v/>
      </c>
      <c r="N191" s="43" t="str">
        <f>IFERROR(IF(VLOOKUP(B191,Baza[[№]:[Profit]],11,0)=0,"-",VLOOKUP(B191,Baza[[№]:[Profit]],11,0)),"")</f>
        <v/>
      </c>
      <c r="O191" s="43" t="str">
        <f>IFERROR(IF(VLOOKUP(B191,Baza[[№]:[Profit]],12,0)=0,"-",VLOOKUP(B191,Baza[[№]:[Profit]],12,0)),"")</f>
        <v/>
      </c>
      <c r="P191" s="43" t="str">
        <f>IFERROR(IF(VLOOKUP(B191,Baza[[№]:[Profit]],13,0)=0,"-",VLOOKUP(B191,Baza[[№]:[Profit]],13,0)),"")</f>
        <v/>
      </c>
      <c r="Q191" s="43" t="str">
        <f>IFERROR(IF(VLOOKUP(B191,Baza[[№]:[Profit]],15,0)=0,"-",VLOOKUP(B191,Baza[[№]:[Profit]],15,0)),"")</f>
        <v/>
      </c>
      <c r="R191" s="43" t="str">
        <f>IFERROR(IF(VLOOKUP(B191,Baza[[№]:[Profit]],16,0)=0,"-",VLOOKUP(B191,Baza[[№]:[Profit]],16,0)),"")</f>
        <v/>
      </c>
      <c r="S191" s="43" t="str">
        <f>IFERROR(IF(VLOOKUP(B191,Baza[[№]:[Profit]],17,0)=0,"-",VLOOKUP(B191,Baza[[№]:[Profit]],17,0)),"")</f>
        <v/>
      </c>
      <c r="T191" s="43" t="str">
        <f>IFERROR(IF(VLOOKUP(B191,Baza[[№]:[Profit]],18,0)=0,"-",VLOOKUP(B191,Baza[[№]:[Profit]],18,0)),"")</f>
        <v/>
      </c>
      <c r="U191" s="41" t="str">
        <f>IFERROR(IF(VLOOKUP(B191,Baza[[№]:[Profit]],19,0)=0,"-",VLOOKUP(B191,Baza[[№]:[Profit]],19,0)),"")</f>
        <v/>
      </c>
      <c r="V191" s="41" t="str">
        <f>IFERROR(VLOOKUP(B191,Baza[[№]:[Profit]],20,0),"")</f>
        <v/>
      </c>
      <c r="W191" s="41" t="str">
        <f>IFERROR(IF(VLOOKUP(B191,Baza[[№]:[Profit]],21,0)=0,"-",VLOOKUP(B191,Baza[[№]:[Profit]],21,0)),"")</f>
        <v/>
      </c>
      <c r="X191" s="45" t="str">
        <f>IFERROR(IF(VLOOKUP(B191,Baza[[№]:[Profit]],22,0)=0,"-",VLOOKUP(B191,Baza[[№]:[Profit]],22,0)),"")</f>
        <v/>
      </c>
      <c r="Y191" s="45" t="str">
        <f>IFERROR(VLOOKUP(B191,Baza[[№]:[Profit]],23,0),"")</f>
        <v/>
      </c>
      <c r="Z191" s="44" t="str">
        <f>IFERROR(VLOOKUP(B191,Baza[[№]:[AFS]],24,0),"")</f>
        <v/>
      </c>
      <c r="AA191" s="45" t="str">
        <f>IF(Таблица2[[#This Row],[Profit]]="","#Н/Д",SUM($Y$40:Y191))</f>
        <v>#Н/Д</v>
      </c>
      <c r="AB191" s="45" t="b">
        <f>IF(Таблица2[[#This Row],[Grafik]]="#Н/Д",FALSE,TRUE)</f>
        <v>0</v>
      </c>
    </row>
    <row r="192" spans="1:28" ht="11.1" hidden="1" customHeight="1" x14ac:dyDescent="0.25">
      <c r="A192" s="93">
        <f t="shared" si="2"/>
        <v>153</v>
      </c>
      <c r="B192"/>
      <c r="C192" s="41" t="str">
        <f>IFERROR(VLOOKUP(B192,Baza[[№]:[Profit]],2,0),"")</f>
        <v/>
      </c>
      <c r="D19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9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92" s="43" t="str">
        <f>IFERROR(VLOOKUP(B192,Baza[[№]:[Profit]],3,0),"")</f>
        <v/>
      </c>
      <c r="G192" s="43" t="str">
        <f>IFERROR(VLOOKUP(B192,Baza[[№]:[Profit]],4,0),"")</f>
        <v/>
      </c>
      <c r="H192" s="43" t="str">
        <f>IFERROR(VLOOKUP(B192,Baza[[№]:[Profit]],5,0),"")</f>
        <v/>
      </c>
      <c r="I192" s="46" t="str">
        <f>IFERROR(VLOOKUP(B192,Baza[[№]:[Profit]],6,0),"")</f>
        <v/>
      </c>
      <c r="J192" s="49" t="str">
        <f>IFERROR(VLOOKUP(B192,Baza[[№]:[Profit]],7,0),"")</f>
        <v/>
      </c>
      <c r="K192" s="43" t="str">
        <f>IFERROR(VLOOKUP(B192,Baza[[№]:[Profit]],8,0),"")</f>
        <v/>
      </c>
      <c r="L192" s="43" t="str">
        <f>IFERROR(VLOOKUP(B192,Baza[[№]:[Profit]],9,0),"")</f>
        <v/>
      </c>
      <c r="M192" s="43" t="str">
        <f>IFERROR(VLOOKUP(B192,Baza[[№]:[Profit]],10,0),"")</f>
        <v/>
      </c>
      <c r="N192" s="43" t="str">
        <f>IFERROR(IF(VLOOKUP(B192,Baza[[№]:[Profit]],11,0)=0,"-",VLOOKUP(B192,Baza[[№]:[Profit]],11,0)),"")</f>
        <v/>
      </c>
      <c r="O192" s="43" t="str">
        <f>IFERROR(IF(VLOOKUP(B192,Baza[[№]:[Profit]],12,0)=0,"-",VLOOKUP(B192,Baza[[№]:[Profit]],12,0)),"")</f>
        <v/>
      </c>
      <c r="P192" s="43" t="str">
        <f>IFERROR(IF(VLOOKUP(B192,Baza[[№]:[Profit]],13,0)=0,"-",VLOOKUP(B192,Baza[[№]:[Profit]],13,0)),"")</f>
        <v/>
      </c>
      <c r="Q192" s="43" t="str">
        <f>IFERROR(IF(VLOOKUP(B192,Baza[[№]:[Profit]],15,0)=0,"-",VLOOKUP(B192,Baza[[№]:[Profit]],15,0)),"")</f>
        <v/>
      </c>
      <c r="R192" s="43" t="str">
        <f>IFERROR(IF(VLOOKUP(B192,Baza[[№]:[Profit]],16,0)=0,"-",VLOOKUP(B192,Baza[[№]:[Profit]],16,0)),"")</f>
        <v/>
      </c>
      <c r="S192" s="43" t="str">
        <f>IFERROR(IF(VLOOKUP(B192,Baza[[№]:[Profit]],17,0)=0,"-",VLOOKUP(B192,Baza[[№]:[Profit]],17,0)),"")</f>
        <v/>
      </c>
      <c r="T192" s="43" t="str">
        <f>IFERROR(IF(VLOOKUP(B192,Baza[[№]:[Profit]],18,0)=0,"-",VLOOKUP(B192,Baza[[№]:[Profit]],18,0)),"")</f>
        <v/>
      </c>
      <c r="U192" s="41" t="str">
        <f>IFERROR(IF(VLOOKUP(B192,Baza[[№]:[Profit]],19,0)=0,"-",VLOOKUP(B192,Baza[[№]:[Profit]],19,0)),"")</f>
        <v/>
      </c>
      <c r="V192" s="41" t="str">
        <f>IFERROR(VLOOKUP(B192,Baza[[№]:[Profit]],20,0),"")</f>
        <v/>
      </c>
      <c r="W192" s="41" t="str">
        <f>IFERROR(IF(VLOOKUP(B192,Baza[[№]:[Profit]],21,0)=0,"-",VLOOKUP(B192,Baza[[№]:[Profit]],21,0)),"")</f>
        <v/>
      </c>
      <c r="X192" s="45" t="str">
        <f>IFERROR(IF(VLOOKUP(B192,Baza[[№]:[Profit]],22,0)=0,"-",VLOOKUP(B192,Baza[[№]:[Profit]],22,0)),"")</f>
        <v/>
      </c>
      <c r="Y192" s="45" t="str">
        <f>IFERROR(VLOOKUP(B192,Baza[[№]:[Profit]],23,0),"")</f>
        <v/>
      </c>
      <c r="Z192" s="44" t="str">
        <f>IFERROR(VLOOKUP(B192,Baza[[№]:[AFS]],24,0),"")</f>
        <v/>
      </c>
      <c r="AA192" s="45" t="str">
        <f>IF(Таблица2[[#This Row],[Profit]]="","#Н/Д",SUM($Y$40:Y192))</f>
        <v>#Н/Д</v>
      </c>
      <c r="AB192" s="45" t="b">
        <f>IF(Таблица2[[#This Row],[Grafik]]="#Н/Д",FALSE,TRUE)</f>
        <v>0</v>
      </c>
    </row>
    <row r="193" spans="1:28" ht="11.1" hidden="1" customHeight="1" x14ac:dyDescent="0.25">
      <c r="A193" s="93">
        <f t="shared" si="2"/>
        <v>154</v>
      </c>
      <c r="B193"/>
      <c r="C193" s="41" t="str">
        <f>IFERROR(VLOOKUP(B193,Baza[[№]:[Profit]],2,0),"")</f>
        <v/>
      </c>
      <c r="D19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9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93" s="43" t="str">
        <f>IFERROR(VLOOKUP(B193,Baza[[№]:[Profit]],3,0),"")</f>
        <v/>
      </c>
      <c r="G193" s="43" t="str">
        <f>IFERROR(VLOOKUP(B193,Baza[[№]:[Profit]],4,0),"")</f>
        <v/>
      </c>
      <c r="H193" s="43" t="str">
        <f>IFERROR(VLOOKUP(B193,Baza[[№]:[Profit]],5,0),"")</f>
        <v/>
      </c>
      <c r="I193" s="46" t="str">
        <f>IFERROR(VLOOKUP(B193,Baza[[№]:[Profit]],6,0),"")</f>
        <v/>
      </c>
      <c r="J193" s="49" t="str">
        <f>IFERROR(VLOOKUP(B193,Baza[[№]:[Profit]],7,0),"")</f>
        <v/>
      </c>
      <c r="K193" s="43" t="str">
        <f>IFERROR(VLOOKUP(B193,Baza[[№]:[Profit]],8,0),"")</f>
        <v/>
      </c>
      <c r="L193" s="43" t="str">
        <f>IFERROR(VLOOKUP(B193,Baza[[№]:[Profit]],9,0),"")</f>
        <v/>
      </c>
      <c r="M193" s="43" t="str">
        <f>IFERROR(VLOOKUP(B193,Baza[[№]:[Profit]],10,0),"")</f>
        <v/>
      </c>
      <c r="N193" s="43" t="str">
        <f>IFERROR(IF(VLOOKUP(B193,Baza[[№]:[Profit]],11,0)=0,"-",VLOOKUP(B193,Baza[[№]:[Profit]],11,0)),"")</f>
        <v/>
      </c>
      <c r="O193" s="43" t="str">
        <f>IFERROR(IF(VLOOKUP(B193,Baza[[№]:[Profit]],12,0)=0,"-",VLOOKUP(B193,Baza[[№]:[Profit]],12,0)),"")</f>
        <v/>
      </c>
      <c r="P193" s="43" t="str">
        <f>IFERROR(IF(VLOOKUP(B193,Baza[[№]:[Profit]],13,0)=0,"-",VLOOKUP(B193,Baza[[№]:[Profit]],13,0)),"")</f>
        <v/>
      </c>
      <c r="Q193" s="43" t="str">
        <f>IFERROR(IF(VLOOKUP(B193,Baza[[№]:[Profit]],15,0)=0,"-",VLOOKUP(B193,Baza[[№]:[Profit]],15,0)),"")</f>
        <v/>
      </c>
      <c r="R193" s="43" t="str">
        <f>IFERROR(IF(VLOOKUP(B193,Baza[[№]:[Profit]],16,0)=0,"-",VLOOKUP(B193,Baza[[№]:[Profit]],16,0)),"")</f>
        <v/>
      </c>
      <c r="S193" s="43" t="str">
        <f>IFERROR(IF(VLOOKUP(B193,Baza[[№]:[Profit]],17,0)=0,"-",VLOOKUP(B193,Baza[[№]:[Profit]],17,0)),"")</f>
        <v/>
      </c>
      <c r="T193" s="43" t="str">
        <f>IFERROR(IF(VLOOKUP(B193,Baza[[№]:[Profit]],18,0)=0,"-",VLOOKUP(B193,Baza[[№]:[Profit]],18,0)),"")</f>
        <v/>
      </c>
      <c r="U193" s="41" t="str">
        <f>IFERROR(IF(VLOOKUP(B193,Baza[[№]:[Profit]],19,0)=0,"-",VLOOKUP(B193,Baza[[№]:[Profit]],19,0)),"")</f>
        <v/>
      </c>
      <c r="V193" s="41" t="str">
        <f>IFERROR(VLOOKUP(B193,Baza[[№]:[Profit]],20,0),"")</f>
        <v/>
      </c>
      <c r="W193" s="41" t="str">
        <f>IFERROR(IF(VLOOKUP(B193,Baza[[№]:[Profit]],21,0)=0,"-",VLOOKUP(B193,Baza[[№]:[Profit]],21,0)),"")</f>
        <v/>
      </c>
      <c r="X193" s="45" t="str">
        <f>IFERROR(IF(VLOOKUP(B193,Baza[[№]:[Profit]],22,0)=0,"-",VLOOKUP(B193,Baza[[№]:[Profit]],22,0)),"")</f>
        <v/>
      </c>
      <c r="Y193" s="45" t="str">
        <f>IFERROR(VLOOKUP(B193,Baza[[№]:[Profit]],23,0),"")</f>
        <v/>
      </c>
      <c r="Z193" s="44" t="str">
        <f>IFERROR(VLOOKUP(B193,Baza[[№]:[AFS]],24,0),"")</f>
        <v/>
      </c>
      <c r="AA193" s="45" t="str">
        <f>IF(Таблица2[[#This Row],[Profit]]="","#Н/Д",SUM($Y$40:Y193))</f>
        <v>#Н/Д</v>
      </c>
      <c r="AB193" s="45" t="b">
        <f>IF(Таблица2[[#This Row],[Grafik]]="#Н/Д",FALSE,TRUE)</f>
        <v>0</v>
      </c>
    </row>
    <row r="194" spans="1:28" ht="11.1" hidden="1" customHeight="1" x14ac:dyDescent="0.25">
      <c r="A194" s="93">
        <f t="shared" si="2"/>
        <v>155</v>
      </c>
      <c r="B194"/>
      <c r="C194" s="41" t="str">
        <f>IFERROR(VLOOKUP(B194,Baza[[№]:[Profit]],2,0),"")</f>
        <v/>
      </c>
      <c r="D19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9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94" s="43" t="str">
        <f>IFERROR(VLOOKUP(B194,Baza[[№]:[Profit]],3,0),"")</f>
        <v/>
      </c>
      <c r="G194" s="43" t="str">
        <f>IFERROR(VLOOKUP(B194,Baza[[№]:[Profit]],4,0),"")</f>
        <v/>
      </c>
      <c r="H194" s="43" t="str">
        <f>IFERROR(VLOOKUP(B194,Baza[[№]:[Profit]],5,0),"")</f>
        <v/>
      </c>
      <c r="I194" s="46" t="str">
        <f>IFERROR(VLOOKUP(B194,Baza[[№]:[Profit]],6,0),"")</f>
        <v/>
      </c>
      <c r="J194" s="49" t="str">
        <f>IFERROR(VLOOKUP(B194,Baza[[№]:[Profit]],7,0),"")</f>
        <v/>
      </c>
      <c r="K194" s="43" t="str">
        <f>IFERROR(VLOOKUP(B194,Baza[[№]:[Profit]],8,0),"")</f>
        <v/>
      </c>
      <c r="L194" s="43" t="str">
        <f>IFERROR(VLOOKUP(B194,Baza[[№]:[Profit]],9,0),"")</f>
        <v/>
      </c>
      <c r="M194" s="43" t="str">
        <f>IFERROR(VLOOKUP(B194,Baza[[№]:[Profit]],10,0),"")</f>
        <v/>
      </c>
      <c r="N194" s="43" t="str">
        <f>IFERROR(IF(VLOOKUP(B194,Baza[[№]:[Profit]],11,0)=0,"-",VLOOKUP(B194,Baza[[№]:[Profit]],11,0)),"")</f>
        <v/>
      </c>
      <c r="O194" s="43" t="str">
        <f>IFERROR(IF(VLOOKUP(B194,Baza[[№]:[Profit]],12,0)=0,"-",VLOOKUP(B194,Baza[[№]:[Profit]],12,0)),"")</f>
        <v/>
      </c>
      <c r="P194" s="43" t="str">
        <f>IFERROR(IF(VLOOKUP(B194,Baza[[№]:[Profit]],13,0)=0,"-",VLOOKUP(B194,Baza[[№]:[Profit]],13,0)),"")</f>
        <v/>
      </c>
      <c r="Q194" s="43" t="str">
        <f>IFERROR(IF(VLOOKUP(B194,Baza[[№]:[Profit]],15,0)=0,"-",VLOOKUP(B194,Baza[[№]:[Profit]],15,0)),"")</f>
        <v/>
      </c>
      <c r="R194" s="43" t="str">
        <f>IFERROR(IF(VLOOKUP(B194,Baza[[№]:[Profit]],16,0)=0,"-",VLOOKUP(B194,Baza[[№]:[Profit]],16,0)),"")</f>
        <v/>
      </c>
      <c r="S194" s="43" t="str">
        <f>IFERROR(IF(VLOOKUP(B194,Baza[[№]:[Profit]],17,0)=0,"-",VLOOKUP(B194,Baza[[№]:[Profit]],17,0)),"")</f>
        <v/>
      </c>
      <c r="T194" s="43" t="str">
        <f>IFERROR(IF(VLOOKUP(B194,Baza[[№]:[Profit]],18,0)=0,"-",VLOOKUP(B194,Baza[[№]:[Profit]],18,0)),"")</f>
        <v/>
      </c>
      <c r="U194" s="41" t="str">
        <f>IFERROR(IF(VLOOKUP(B194,Baza[[№]:[Profit]],19,0)=0,"-",VLOOKUP(B194,Baza[[№]:[Profit]],19,0)),"")</f>
        <v/>
      </c>
      <c r="V194" s="41" t="str">
        <f>IFERROR(VLOOKUP(B194,Baza[[№]:[Profit]],20,0),"")</f>
        <v/>
      </c>
      <c r="W194" s="41" t="str">
        <f>IFERROR(IF(VLOOKUP(B194,Baza[[№]:[Profit]],21,0)=0,"-",VLOOKUP(B194,Baza[[№]:[Profit]],21,0)),"")</f>
        <v/>
      </c>
      <c r="X194" s="45" t="str">
        <f>IFERROR(IF(VLOOKUP(B194,Baza[[№]:[Profit]],22,0)=0,"-",VLOOKUP(B194,Baza[[№]:[Profit]],22,0)),"")</f>
        <v/>
      </c>
      <c r="Y194" s="45" t="str">
        <f>IFERROR(VLOOKUP(B194,Baza[[№]:[Profit]],23,0),"")</f>
        <v/>
      </c>
      <c r="Z194" s="44" t="str">
        <f>IFERROR(VLOOKUP(B194,Baza[[№]:[AFS]],24,0),"")</f>
        <v/>
      </c>
      <c r="AA194" s="45" t="str">
        <f>IF(Таблица2[[#This Row],[Profit]]="","#Н/Д",SUM($Y$40:Y194))</f>
        <v>#Н/Д</v>
      </c>
      <c r="AB194" s="45" t="b">
        <f>IF(Таблица2[[#This Row],[Grafik]]="#Н/Д",FALSE,TRUE)</f>
        <v>0</v>
      </c>
    </row>
    <row r="195" spans="1:28" ht="11.1" hidden="1" customHeight="1" x14ac:dyDescent="0.25">
      <c r="A195" s="93">
        <f t="shared" si="2"/>
        <v>156</v>
      </c>
      <c r="B195"/>
      <c r="C195" s="41" t="str">
        <f>IFERROR(VLOOKUP(B195,Baza[[№]:[Profit]],2,0),"")</f>
        <v/>
      </c>
      <c r="D19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9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95" s="43" t="str">
        <f>IFERROR(VLOOKUP(B195,Baza[[№]:[Profit]],3,0),"")</f>
        <v/>
      </c>
      <c r="G195" s="43" t="str">
        <f>IFERROR(VLOOKUP(B195,Baza[[№]:[Profit]],4,0),"")</f>
        <v/>
      </c>
      <c r="H195" s="43" t="str">
        <f>IFERROR(VLOOKUP(B195,Baza[[№]:[Profit]],5,0),"")</f>
        <v/>
      </c>
      <c r="I195" s="46" t="str">
        <f>IFERROR(VLOOKUP(B195,Baza[[№]:[Profit]],6,0),"")</f>
        <v/>
      </c>
      <c r="J195" s="49" t="str">
        <f>IFERROR(VLOOKUP(B195,Baza[[№]:[Profit]],7,0),"")</f>
        <v/>
      </c>
      <c r="K195" s="43" t="str">
        <f>IFERROR(VLOOKUP(B195,Baza[[№]:[Profit]],8,0),"")</f>
        <v/>
      </c>
      <c r="L195" s="43" t="str">
        <f>IFERROR(VLOOKUP(B195,Baza[[№]:[Profit]],9,0),"")</f>
        <v/>
      </c>
      <c r="M195" s="43" t="str">
        <f>IFERROR(VLOOKUP(B195,Baza[[№]:[Profit]],10,0),"")</f>
        <v/>
      </c>
      <c r="N195" s="43" t="str">
        <f>IFERROR(IF(VLOOKUP(B195,Baza[[№]:[Profit]],11,0)=0,"-",VLOOKUP(B195,Baza[[№]:[Profit]],11,0)),"")</f>
        <v/>
      </c>
      <c r="O195" s="43" t="str">
        <f>IFERROR(IF(VLOOKUP(B195,Baza[[№]:[Profit]],12,0)=0,"-",VLOOKUP(B195,Baza[[№]:[Profit]],12,0)),"")</f>
        <v/>
      </c>
      <c r="P195" s="43" t="str">
        <f>IFERROR(IF(VLOOKUP(B195,Baza[[№]:[Profit]],13,0)=0,"-",VLOOKUP(B195,Baza[[№]:[Profit]],13,0)),"")</f>
        <v/>
      </c>
      <c r="Q195" s="43" t="str">
        <f>IFERROR(IF(VLOOKUP(B195,Baza[[№]:[Profit]],15,0)=0,"-",VLOOKUP(B195,Baza[[№]:[Profit]],15,0)),"")</f>
        <v/>
      </c>
      <c r="R195" s="43" t="str">
        <f>IFERROR(IF(VLOOKUP(B195,Baza[[№]:[Profit]],16,0)=0,"-",VLOOKUP(B195,Baza[[№]:[Profit]],16,0)),"")</f>
        <v/>
      </c>
      <c r="S195" s="43" t="str">
        <f>IFERROR(IF(VLOOKUP(B195,Baza[[№]:[Profit]],17,0)=0,"-",VLOOKUP(B195,Baza[[№]:[Profit]],17,0)),"")</f>
        <v/>
      </c>
      <c r="T195" s="43" t="str">
        <f>IFERROR(IF(VLOOKUP(B195,Baza[[№]:[Profit]],18,0)=0,"-",VLOOKUP(B195,Baza[[№]:[Profit]],18,0)),"")</f>
        <v/>
      </c>
      <c r="U195" s="41" t="str">
        <f>IFERROR(IF(VLOOKUP(B195,Baza[[№]:[Profit]],19,0)=0,"-",VLOOKUP(B195,Baza[[№]:[Profit]],19,0)),"")</f>
        <v/>
      </c>
      <c r="V195" s="41" t="str">
        <f>IFERROR(VLOOKUP(B195,Baza[[№]:[Profit]],20,0),"")</f>
        <v/>
      </c>
      <c r="W195" s="41" t="str">
        <f>IFERROR(IF(VLOOKUP(B195,Baza[[№]:[Profit]],21,0)=0,"-",VLOOKUP(B195,Baza[[№]:[Profit]],21,0)),"")</f>
        <v/>
      </c>
      <c r="X195" s="45" t="str">
        <f>IFERROR(IF(VLOOKUP(B195,Baza[[№]:[Profit]],22,0)=0,"-",VLOOKUP(B195,Baza[[№]:[Profit]],22,0)),"")</f>
        <v/>
      </c>
      <c r="Y195" s="45" t="str">
        <f>IFERROR(VLOOKUP(B195,Baza[[№]:[Profit]],23,0),"")</f>
        <v/>
      </c>
      <c r="Z195" s="44" t="str">
        <f>IFERROR(VLOOKUP(B195,Baza[[№]:[AFS]],24,0),"")</f>
        <v/>
      </c>
      <c r="AA195" s="45" t="str">
        <f>IF(Таблица2[[#This Row],[Profit]]="","#Н/Д",SUM($Y$40:Y195))</f>
        <v>#Н/Д</v>
      </c>
      <c r="AB195" s="45" t="b">
        <f>IF(Таблица2[[#This Row],[Grafik]]="#Н/Д",FALSE,TRUE)</f>
        <v>0</v>
      </c>
    </row>
    <row r="196" spans="1:28" ht="11.1" hidden="1" customHeight="1" x14ac:dyDescent="0.25">
      <c r="A196" s="93">
        <f t="shared" si="2"/>
        <v>157</v>
      </c>
      <c r="B196"/>
      <c r="C196" s="41" t="str">
        <f>IFERROR(VLOOKUP(B196,Baza[[№]:[Profit]],2,0),"")</f>
        <v/>
      </c>
      <c r="D19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9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96" s="43" t="str">
        <f>IFERROR(VLOOKUP(B196,Baza[[№]:[Profit]],3,0),"")</f>
        <v/>
      </c>
      <c r="G196" s="43" t="str">
        <f>IFERROR(VLOOKUP(B196,Baza[[№]:[Profit]],4,0),"")</f>
        <v/>
      </c>
      <c r="H196" s="43" t="str">
        <f>IFERROR(VLOOKUP(B196,Baza[[№]:[Profit]],5,0),"")</f>
        <v/>
      </c>
      <c r="I196" s="46" t="str">
        <f>IFERROR(VLOOKUP(B196,Baza[[№]:[Profit]],6,0),"")</f>
        <v/>
      </c>
      <c r="J196" s="49" t="str">
        <f>IFERROR(VLOOKUP(B196,Baza[[№]:[Profit]],7,0),"")</f>
        <v/>
      </c>
      <c r="K196" s="43" t="str">
        <f>IFERROR(VLOOKUP(B196,Baza[[№]:[Profit]],8,0),"")</f>
        <v/>
      </c>
      <c r="L196" s="43" t="str">
        <f>IFERROR(VLOOKUP(B196,Baza[[№]:[Profit]],9,0),"")</f>
        <v/>
      </c>
      <c r="M196" s="43" t="str">
        <f>IFERROR(VLOOKUP(B196,Baza[[№]:[Profit]],10,0),"")</f>
        <v/>
      </c>
      <c r="N196" s="43" t="str">
        <f>IFERROR(IF(VLOOKUP(B196,Baza[[№]:[Profit]],11,0)=0,"-",VLOOKUP(B196,Baza[[№]:[Profit]],11,0)),"")</f>
        <v/>
      </c>
      <c r="O196" s="43" t="str">
        <f>IFERROR(IF(VLOOKUP(B196,Baza[[№]:[Profit]],12,0)=0,"-",VLOOKUP(B196,Baza[[№]:[Profit]],12,0)),"")</f>
        <v/>
      </c>
      <c r="P196" s="43" t="str">
        <f>IFERROR(IF(VLOOKUP(B196,Baza[[№]:[Profit]],13,0)=0,"-",VLOOKUP(B196,Baza[[№]:[Profit]],13,0)),"")</f>
        <v/>
      </c>
      <c r="Q196" s="43" t="str">
        <f>IFERROR(IF(VLOOKUP(B196,Baza[[№]:[Profit]],15,0)=0,"-",VLOOKUP(B196,Baza[[№]:[Profit]],15,0)),"")</f>
        <v/>
      </c>
      <c r="R196" s="43" t="str">
        <f>IFERROR(IF(VLOOKUP(B196,Baza[[№]:[Profit]],16,0)=0,"-",VLOOKUP(B196,Baza[[№]:[Profit]],16,0)),"")</f>
        <v/>
      </c>
      <c r="S196" s="43" t="str">
        <f>IFERROR(IF(VLOOKUP(B196,Baza[[№]:[Profit]],17,0)=0,"-",VLOOKUP(B196,Baza[[№]:[Profit]],17,0)),"")</f>
        <v/>
      </c>
      <c r="T196" s="43" t="str">
        <f>IFERROR(IF(VLOOKUP(B196,Baza[[№]:[Profit]],18,0)=0,"-",VLOOKUP(B196,Baza[[№]:[Profit]],18,0)),"")</f>
        <v/>
      </c>
      <c r="U196" s="41" t="str">
        <f>IFERROR(IF(VLOOKUP(B196,Baza[[№]:[Profit]],19,0)=0,"-",VLOOKUP(B196,Baza[[№]:[Profit]],19,0)),"")</f>
        <v/>
      </c>
      <c r="V196" s="41" t="str">
        <f>IFERROR(VLOOKUP(B196,Baza[[№]:[Profit]],20,0),"")</f>
        <v/>
      </c>
      <c r="W196" s="41" t="str">
        <f>IFERROR(IF(VLOOKUP(B196,Baza[[№]:[Profit]],21,0)=0,"-",VLOOKUP(B196,Baza[[№]:[Profit]],21,0)),"")</f>
        <v/>
      </c>
      <c r="X196" s="45" t="str">
        <f>IFERROR(IF(VLOOKUP(B196,Baza[[№]:[Profit]],22,0)=0,"-",VLOOKUP(B196,Baza[[№]:[Profit]],22,0)),"")</f>
        <v/>
      </c>
      <c r="Y196" s="45" t="str">
        <f>IFERROR(VLOOKUP(B196,Baza[[№]:[Profit]],23,0),"")</f>
        <v/>
      </c>
      <c r="Z196" s="44" t="str">
        <f>IFERROR(VLOOKUP(B196,Baza[[№]:[AFS]],24,0),"")</f>
        <v/>
      </c>
      <c r="AA196" s="45" t="str">
        <f>IF(Таблица2[[#This Row],[Profit]]="","#Н/Д",SUM($Y$40:Y196))</f>
        <v>#Н/Д</v>
      </c>
      <c r="AB196" s="45" t="b">
        <f>IF(Таблица2[[#This Row],[Grafik]]="#Н/Д",FALSE,TRUE)</f>
        <v>0</v>
      </c>
    </row>
    <row r="197" spans="1:28" ht="11.1" hidden="1" customHeight="1" x14ac:dyDescent="0.25">
      <c r="A197" s="93">
        <f t="shared" si="2"/>
        <v>158</v>
      </c>
      <c r="B197"/>
      <c r="C197" s="41" t="str">
        <f>IFERROR(VLOOKUP(B197,Baza[[№]:[Profit]],2,0),"")</f>
        <v/>
      </c>
      <c r="D19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9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97" s="43" t="str">
        <f>IFERROR(VLOOKUP(B197,Baza[[№]:[Profit]],3,0),"")</f>
        <v/>
      </c>
      <c r="G197" s="43" t="str">
        <f>IFERROR(VLOOKUP(B197,Baza[[№]:[Profit]],4,0),"")</f>
        <v/>
      </c>
      <c r="H197" s="43" t="str">
        <f>IFERROR(VLOOKUP(B197,Baza[[№]:[Profit]],5,0),"")</f>
        <v/>
      </c>
      <c r="I197" s="46" t="str">
        <f>IFERROR(VLOOKUP(B197,Baza[[№]:[Profit]],6,0),"")</f>
        <v/>
      </c>
      <c r="J197" s="49" t="str">
        <f>IFERROR(VLOOKUP(B197,Baza[[№]:[Profit]],7,0),"")</f>
        <v/>
      </c>
      <c r="K197" s="43" t="str">
        <f>IFERROR(VLOOKUP(B197,Baza[[№]:[Profit]],8,0),"")</f>
        <v/>
      </c>
      <c r="L197" s="43" t="str">
        <f>IFERROR(VLOOKUP(B197,Baza[[№]:[Profit]],9,0),"")</f>
        <v/>
      </c>
      <c r="M197" s="43" t="str">
        <f>IFERROR(VLOOKUP(B197,Baza[[№]:[Profit]],10,0),"")</f>
        <v/>
      </c>
      <c r="N197" s="43" t="str">
        <f>IFERROR(IF(VLOOKUP(B197,Baza[[№]:[Profit]],11,0)=0,"-",VLOOKUP(B197,Baza[[№]:[Profit]],11,0)),"")</f>
        <v/>
      </c>
      <c r="O197" s="43" t="str">
        <f>IFERROR(IF(VLOOKUP(B197,Baza[[№]:[Profit]],12,0)=0,"-",VLOOKUP(B197,Baza[[№]:[Profit]],12,0)),"")</f>
        <v/>
      </c>
      <c r="P197" s="43" t="str">
        <f>IFERROR(IF(VLOOKUP(B197,Baza[[№]:[Profit]],13,0)=0,"-",VLOOKUP(B197,Baza[[№]:[Profit]],13,0)),"")</f>
        <v/>
      </c>
      <c r="Q197" s="43" t="str">
        <f>IFERROR(IF(VLOOKUP(B197,Baza[[№]:[Profit]],15,0)=0,"-",VLOOKUP(B197,Baza[[№]:[Profit]],15,0)),"")</f>
        <v/>
      </c>
      <c r="R197" s="43" t="str">
        <f>IFERROR(IF(VLOOKUP(B197,Baza[[№]:[Profit]],16,0)=0,"-",VLOOKUP(B197,Baza[[№]:[Profit]],16,0)),"")</f>
        <v/>
      </c>
      <c r="S197" s="43" t="str">
        <f>IFERROR(IF(VLOOKUP(B197,Baza[[№]:[Profit]],17,0)=0,"-",VLOOKUP(B197,Baza[[№]:[Profit]],17,0)),"")</f>
        <v/>
      </c>
      <c r="T197" s="43" t="str">
        <f>IFERROR(IF(VLOOKUP(B197,Baza[[№]:[Profit]],18,0)=0,"-",VLOOKUP(B197,Baza[[№]:[Profit]],18,0)),"")</f>
        <v/>
      </c>
      <c r="U197" s="41" t="str">
        <f>IFERROR(IF(VLOOKUP(B197,Baza[[№]:[Profit]],19,0)=0,"-",VLOOKUP(B197,Baza[[№]:[Profit]],19,0)),"")</f>
        <v/>
      </c>
      <c r="V197" s="41" t="str">
        <f>IFERROR(VLOOKUP(B197,Baza[[№]:[Profit]],20,0),"")</f>
        <v/>
      </c>
      <c r="W197" s="41" t="str">
        <f>IFERROR(IF(VLOOKUP(B197,Baza[[№]:[Profit]],21,0)=0,"-",VLOOKUP(B197,Baza[[№]:[Profit]],21,0)),"")</f>
        <v/>
      </c>
      <c r="X197" s="45" t="str">
        <f>IFERROR(IF(VLOOKUP(B197,Baza[[№]:[Profit]],22,0)=0,"-",VLOOKUP(B197,Baza[[№]:[Profit]],22,0)),"")</f>
        <v/>
      </c>
      <c r="Y197" s="45" t="str">
        <f>IFERROR(VLOOKUP(B197,Baza[[№]:[Profit]],23,0),"")</f>
        <v/>
      </c>
      <c r="Z197" s="44" t="str">
        <f>IFERROR(VLOOKUP(B197,Baza[[№]:[AFS]],24,0),"")</f>
        <v/>
      </c>
      <c r="AA197" s="45" t="str">
        <f>IF(Таблица2[[#This Row],[Profit]]="","#Н/Д",SUM($Y$40:Y197))</f>
        <v>#Н/Д</v>
      </c>
      <c r="AB197" s="45" t="b">
        <f>IF(Таблица2[[#This Row],[Grafik]]="#Н/Д",FALSE,TRUE)</f>
        <v>0</v>
      </c>
    </row>
    <row r="198" spans="1:28" ht="11.1" hidden="1" customHeight="1" x14ac:dyDescent="0.25">
      <c r="A198" s="93">
        <f t="shared" si="2"/>
        <v>159</v>
      </c>
      <c r="B198"/>
      <c r="C198" s="41" t="str">
        <f>IFERROR(VLOOKUP(B198,Baza[[№]:[Profit]],2,0),"")</f>
        <v/>
      </c>
      <c r="D19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9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98" s="43" t="str">
        <f>IFERROR(VLOOKUP(B198,Baza[[№]:[Profit]],3,0),"")</f>
        <v/>
      </c>
      <c r="G198" s="43" t="str">
        <f>IFERROR(VLOOKUP(B198,Baza[[№]:[Profit]],4,0),"")</f>
        <v/>
      </c>
      <c r="H198" s="43" t="str">
        <f>IFERROR(VLOOKUP(B198,Baza[[№]:[Profit]],5,0),"")</f>
        <v/>
      </c>
      <c r="I198" s="46" t="str">
        <f>IFERROR(VLOOKUP(B198,Baza[[№]:[Profit]],6,0),"")</f>
        <v/>
      </c>
      <c r="J198" s="49" t="str">
        <f>IFERROR(VLOOKUP(B198,Baza[[№]:[Profit]],7,0),"")</f>
        <v/>
      </c>
      <c r="K198" s="43" t="str">
        <f>IFERROR(VLOOKUP(B198,Baza[[№]:[Profit]],8,0),"")</f>
        <v/>
      </c>
      <c r="L198" s="43" t="str">
        <f>IFERROR(VLOOKUP(B198,Baza[[№]:[Profit]],9,0),"")</f>
        <v/>
      </c>
      <c r="M198" s="43" t="str">
        <f>IFERROR(VLOOKUP(B198,Baza[[№]:[Profit]],10,0),"")</f>
        <v/>
      </c>
      <c r="N198" s="43" t="str">
        <f>IFERROR(IF(VLOOKUP(B198,Baza[[№]:[Profit]],11,0)=0,"-",VLOOKUP(B198,Baza[[№]:[Profit]],11,0)),"")</f>
        <v/>
      </c>
      <c r="O198" s="43" t="str">
        <f>IFERROR(IF(VLOOKUP(B198,Baza[[№]:[Profit]],12,0)=0,"-",VLOOKUP(B198,Baza[[№]:[Profit]],12,0)),"")</f>
        <v/>
      </c>
      <c r="P198" s="43" t="str">
        <f>IFERROR(IF(VLOOKUP(B198,Baza[[№]:[Profit]],13,0)=0,"-",VLOOKUP(B198,Baza[[№]:[Profit]],13,0)),"")</f>
        <v/>
      </c>
      <c r="Q198" s="43" t="str">
        <f>IFERROR(IF(VLOOKUP(B198,Baza[[№]:[Profit]],15,0)=0,"-",VLOOKUP(B198,Baza[[№]:[Profit]],15,0)),"")</f>
        <v/>
      </c>
      <c r="R198" s="43" t="str">
        <f>IFERROR(IF(VLOOKUP(B198,Baza[[№]:[Profit]],16,0)=0,"-",VLOOKUP(B198,Baza[[№]:[Profit]],16,0)),"")</f>
        <v/>
      </c>
      <c r="S198" s="43" t="str">
        <f>IFERROR(IF(VLOOKUP(B198,Baza[[№]:[Profit]],17,0)=0,"-",VLOOKUP(B198,Baza[[№]:[Profit]],17,0)),"")</f>
        <v/>
      </c>
      <c r="T198" s="43" t="str">
        <f>IFERROR(IF(VLOOKUP(B198,Baza[[№]:[Profit]],18,0)=0,"-",VLOOKUP(B198,Baza[[№]:[Profit]],18,0)),"")</f>
        <v/>
      </c>
      <c r="U198" s="41" t="str">
        <f>IFERROR(IF(VLOOKUP(B198,Baza[[№]:[Profit]],19,0)=0,"-",VLOOKUP(B198,Baza[[№]:[Profit]],19,0)),"")</f>
        <v/>
      </c>
      <c r="V198" s="41" t="str">
        <f>IFERROR(VLOOKUP(B198,Baza[[№]:[Profit]],20,0),"")</f>
        <v/>
      </c>
      <c r="W198" s="41" t="str">
        <f>IFERROR(IF(VLOOKUP(B198,Baza[[№]:[Profit]],21,0)=0,"-",VLOOKUP(B198,Baza[[№]:[Profit]],21,0)),"")</f>
        <v/>
      </c>
      <c r="X198" s="45" t="str">
        <f>IFERROR(IF(VLOOKUP(B198,Baza[[№]:[Profit]],22,0)=0,"-",VLOOKUP(B198,Baza[[№]:[Profit]],22,0)),"")</f>
        <v/>
      </c>
      <c r="Y198" s="45" t="str">
        <f>IFERROR(VLOOKUP(B198,Baza[[№]:[Profit]],23,0),"")</f>
        <v/>
      </c>
      <c r="Z198" s="44" t="str">
        <f>IFERROR(VLOOKUP(B198,Baza[[№]:[AFS]],24,0),"")</f>
        <v/>
      </c>
      <c r="AA198" s="45" t="str">
        <f>IF(Таблица2[[#This Row],[Profit]]="","#Н/Д",SUM($Y$40:Y198))</f>
        <v>#Н/Д</v>
      </c>
      <c r="AB198" s="45" t="b">
        <f>IF(Таблица2[[#This Row],[Grafik]]="#Н/Д",FALSE,TRUE)</f>
        <v>0</v>
      </c>
    </row>
    <row r="199" spans="1:28" ht="11.1" hidden="1" customHeight="1" x14ac:dyDescent="0.25">
      <c r="A199" s="93">
        <f t="shared" si="2"/>
        <v>160</v>
      </c>
      <c r="B199"/>
      <c r="C199" s="41" t="str">
        <f>IFERROR(VLOOKUP(B199,Baza[[№]:[Profit]],2,0),"")</f>
        <v/>
      </c>
      <c r="D19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9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99" s="43" t="str">
        <f>IFERROR(VLOOKUP(B199,Baza[[№]:[Profit]],3,0),"")</f>
        <v/>
      </c>
      <c r="G199" s="43" t="str">
        <f>IFERROR(VLOOKUP(B199,Baza[[№]:[Profit]],4,0),"")</f>
        <v/>
      </c>
      <c r="H199" s="43" t="str">
        <f>IFERROR(VLOOKUP(B199,Baza[[№]:[Profit]],5,0),"")</f>
        <v/>
      </c>
      <c r="I199" s="46" t="str">
        <f>IFERROR(VLOOKUP(B199,Baza[[№]:[Profit]],6,0),"")</f>
        <v/>
      </c>
      <c r="J199" s="49" t="str">
        <f>IFERROR(VLOOKUP(B199,Baza[[№]:[Profit]],7,0),"")</f>
        <v/>
      </c>
      <c r="K199" s="43" t="str">
        <f>IFERROR(VLOOKUP(B199,Baza[[№]:[Profit]],8,0),"")</f>
        <v/>
      </c>
      <c r="L199" s="43" t="str">
        <f>IFERROR(VLOOKUP(B199,Baza[[№]:[Profit]],9,0),"")</f>
        <v/>
      </c>
      <c r="M199" s="43" t="str">
        <f>IFERROR(VLOOKUP(B199,Baza[[№]:[Profit]],10,0),"")</f>
        <v/>
      </c>
      <c r="N199" s="43" t="str">
        <f>IFERROR(IF(VLOOKUP(B199,Baza[[№]:[Profit]],11,0)=0,"-",VLOOKUP(B199,Baza[[№]:[Profit]],11,0)),"")</f>
        <v/>
      </c>
      <c r="O199" s="43" t="str">
        <f>IFERROR(IF(VLOOKUP(B199,Baza[[№]:[Profit]],12,0)=0,"-",VLOOKUP(B199,Baza[[№]:[Profit]],12,0)),"")</f>
        <v/>
      </c>
      <c r="P199" s="43" t="str">
        <f>IFERROR(IF(VLOOKUP(B199,Baza[[№]:[Profit]],13,0)=0,"-",VLOOKUP(B199,Baza[[№]:[Profit]],13,0)),"")</f>
        <v/>
      </c>
      <c r="Q199" s="43" t="str">
        <f>IFERROR(IF(VLOOKUP(B199,Baza[[№]:[Profit]],15,0)=0,"-",VLOOKUP(B199,Baza[[№]:[Profit]],15,0)),"")</f>
        <v/>
      </c>
      <c r="R199" s="43" t="str">
        <f>IFERROR(IF(VLOOKUP(B199,Baza[[№]:[Profit]],16,0)=0,"-",VLOOKUP(B199,Baza[[№]:[Profit]],16,0)),"")</f>
        <v/>
      </c>
      <c r="S199" s="43" t="str">
        <f>IFERROR(IF(VLOOKUP(B199,Baza[[№]:[Profit]],17,0)=0,"-",VLOOKUP(B199,Baza[[№]:[Profit]],17,0)),"")</f>
        <v/>
      </c>
      <c r="T199" s="43" t="str">
        <f>IFERROR(IF(VLOOKUP(B199,Baza[[№]:[Profit]],18,0)=0,"-",VLOOKUP(B199,Baza[[№]:[Profit]],18,0)),"")</f>
        <v/>
      </c>
      <c r="U199" s="41" t="str">
        <f>IFERROR(IF(VLOOKUP(B199,Baza[[№]:[Profit]],19,0)=0,"-",VLOOKUP(B199,Baza[[№]:[Profit]],19,0)),"")</f>
        <v/>
      </c>
      <c r="V199" s="41" t="str">
        <f>IFERROR(VLOOKUP(B199,Baza[[№]:[Profit]],20,0),"")</f>
        <v/>
      </c>
      <c r="W199" s="41" t="str">
        <f>IFERROR(IF(VLOOKUP(B199,Baza[[№]:[Profit]],21,0)=0,"-",VLOOKUP(B199,Baza[[№]:[Profit]],21,0)),"")</f>
        <v/>
      </c>
      <c r="X199" s="45" t="str">
        <f>IFERROR(IF(VLOOKUP(B199,Baza[[№]:[Profit]],22,0)=0,"-",VLOOKUP(B199,Baza[[№]:[Profit]],22,0)),"")</f>
        <v/>
      </c>
      <c r="Y199" s="45" t="str">
        <f>IFERROR(VLOOKUP(B199,Baza[[№]:[Profit]],23,0),"")</f>
        <v/>
      </c>
      <c r="Z199" s="44" t="str">
        <f>IFERROR(VLOOKUP(B199,Baza[[№]:[AFS]],24,0),"")</f>
        <v/>
      </c>
      <c r="AA199" s="45" t="str">
        <f>IF(Таблица2[[#This Row],[Profit]]="","#Н/Д",SUM($Y$40:Y199))</f>
        <v>#Н/Д</v>
      </c>
      <c r="AB199" s="45" t="b">
        <f>IF(Таблица2[[#This Row],[Grafik]]="#Н/Д",FALSE,TRUE)</f>
        <v>0</v>
      </c>
    </row>
    <row r="200" spans="1:28" ht="11.1" hidden="1" customHeight="1" x14ac:dyDescent="0.25">
      <c r="A200" s="93">
        <f t="shared" si="2"/>
        <v>161</v>
      </c>
      <c r="B200"/>
      <c r="C200" s="41" t="str">
        <f>IFERROR(VLOOKUP(B200,Baza[[№]:[Profit]],2,0),"")</f>
        <v/>
      </c>
      <c r="D20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0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00" s="43" t="str">
        <f>IFERROR(VLOOKUP(B200,Baza[[№]:[Profit]],3,0),"")</f>
        <v/>
      </c>
      <c r="G200" s="43" t="str">
        <f>IFERROR(VLOOKUP(B200,Baza[[№]:[Profit]],4,0),"")</f>
        <v/>
      </c>
      <c r="H200" s="43" t="str">
        <f>IFERROR(VLOOKUP(B200,Baza[[№]:[Profit]],5,0),"")</f>
        <v/>
      </c>
      <c r="I200" s="46" t="str">
        <f>IFERROR(VLOOKUP(B200,Baza[[№]:[Profit]],6,0),"")</f>
        <v/>
      </c>
      <c r="J200" s="49" t="str">
        <f>IFERROR(VLOOKUP(B200,Baza[[№]:[Profit]],7,0),"")</f>
        <v/>
      </c>
      <c r="K200" s="43" t="str">
        <f>IFERROR(VLOOKUP(B200,Baza[[№]:[Profit]],8,0),"")</f>
        <v/>
      </c>
      <c r="L200" s="43" t="str">
        <f>IFERROR(VLOOKUP(B200,Baza[[№]:[Profit]],9,0),"")</f>
        <v/>
      </c>
      <c r="M200" s="43" t="str">
        <f>IFERROR(VLOOKUP(B200,Baza[[№]:[Profit]],10,0),"")</f>
        <v/>
      </c>
      <c r="N200" s="43" t="str">
        <f>IFERROR(IF(VLOOKUP(B200,Baza[[№]:[Profit]],11,0)=0,"-",VLOOKUP(B200,Baza[[№]:[Profit]],11,0)),"")</f>
        <v/>
      </c>
      <c r="O200" s="43" t="str">
        <f>IFERROR(IF(VLOOKUP(B200,Baza[[№]:[Profit]],12,0)=0,"-",VLOOKUP(B200,Baza[[№]:[Profit]],12,0)),"")</f>
        <v/>
      </c>
      <c r="P200" s="43" t="str">
        <f>IFERROR(IF(VLOOKUP(B200,Baza[[№]:[Profit]],13,0)=0,"-",VLOOKUP(B200,Baza[[№]:[Profit]],13,0)),"")</f>
        <v/>
      </c>
      <c r="Q200" s="43" t="str">
        <f>IFERROR(IF(VLOOKUP(B200,Baza[[№]:[Profit]],15,0)=0,"-",VLOOKUP(B200,Baza[[№]:[Profit]],15,0)),"")</f>
        <v/>
      </c>
      <c r="R200" s="43" t="str">
        <f>IFERROR(IF(VLOOKUP(B200,Baza[[№]:[Profit]],16,0)=0,"-",VLOOKUP(B200,Baza[[№]:[Profit]],16,0)),"")</f>
        <v/>
      </c>
      <c r="S200" s="43" t="str">
        <f>IFERROR(IF(VLOOKUP(B200,Baza[[№]:[Profit]],17,0)=0,"-",VLOOKUP(B200,Baza[[№]:[Profit]],17,0)),"")</f>
        <v/>
      </c>
      <c r="T200" s="43" t="str">
        <f>IFERROR(IF(VLOOKUP(B200,Baza[[№]:[Profit]],18,0)=0,"-",VLOOKUP(B200,Baza[[№]:[Profit]],18,0)),"")</f>
        <v/>
      </c>
      <c r="U200" s="41" t="str">
        <f>IFERROR(IF(VLOOKUP(B200,Baza[[№]:[Profit]],19,0)=0,"-",VLOOKUP(B200,Baza[[№]:[Profit]],19,0)),"")</f>
        <v/>
      </c>
      <c r="V200" s="41" t="str">
        <f>IFERROR(VLOOKUP(B200,Baza[[№]:[Profit]],20,0),"")</f>
        <v/>
      </c>
      <c r="W200" s="41" t="str">
        <f>IFERROR(IF(VLOOKUP(B200,Baza[[№]:[Profit]],21,0)=0,"-",VLOOKUP(B200,Baza[[№]:[Profit]],21,0)),"")</f>
        <v/>
      </c>
      <c r="X200" s="45" t="str">
        <f>IFERROR(IF(VLOOKUP(B200,Baza[[№]:[Profit]],22,0)=0,"-",VLOOKUP(B200,Baza[[№]:[Profit]],22,0)),"")</f>
        <v/>
      </c>
      <c r="Y200" s="45" t="str">
        <f>IFERROR(VLOOKUP(B200,Baza[[№]:[Profit]],23,0),"")</f>
        <v/>
      </c>
      <c r="Z200" s="44" t="str">
        <f>IFERROR(VLOOKUP(B200,Baza[[№]:[AFS]],24,0),"")</f>
        <v/>
      </c>
      <c r="AA200" s="45" t="str">
        <f>IF(Таблица2[[#This Row],[Profit]]="","#Н/Д",SUM($Y$40:Y200))</f>
        <v>#Н/Д</v>
      </c>
      <c r="AB200" s="45" t="b">
        <f>IF(Таблица2[[#This Row],[Grafik]]="#Н/Д",FALSE,TRUE)</f>
        <v>0</v>
      </c>
    </row>
    <row r="201" spans="1:28" ht="11.1" hidden="1" customHeight="1" x14ac:dyDescent="0.25">
      <c r="A201" s="93">
        <f t="shared" si="2"/>
        <v>162</v>
      </c>
      <c r="B201"/>
      <c r="C201" s="41" t="str">
        <f>IFERROR(VLOOKUP(B201,Baza[[№]:[Profit]],2,0),"")</f>
        <v/>
      </c>
      <c r="D20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0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01" s="43" t="str">
        <f>IFERROR(VLOOKUP(B201,Baza[[№]:[Profit]],3,0),"")</f>
        <v/>
      </c>
      <c r="G201" s="43" t="str">
        <f>IFERROR(VLOOKUP(B201,Baza[[№]:[Profit]],4,0),"")</f>
        <v/>
      </c>
      <c r="H201" s="43" t="str">
        <f>IFERROR(VLOOKUP(B201,Baza[[№]:[Profit]],5,0),"")</f>
        <v/>
      </c>
      <c r="I201" s="46" t="str">
        <f>IFERROR(VLOOKUP(B201,Baza[[№]:[Profit]],6,0),"")</f>
        <v/>
      </c>
      <c r="J201" s="49" t="str">
        <f>IFERROR(VLOOKUP(B201,Baza[[№]:[Profit]],7,0),"")</f>
        <v/>
      </c>
      <c r="K201" s="43" t="str">
        <f>IFERROR(VLOOKUP(B201,Baza[[№]:[Profit]],8,0),"")</f>
        <v/>
      </c>
      <c r="L201" s="43" t="str">
        <f>IFERROR(VLOOKUP(B201,Baza[[№]:[Profit]],9,0),"")</f>
        <v/>
      </c>
      <c r="M201" s="43" t="str">
        <f>IFERROR(VLOOKUP(B201,Baza[[№]:[Profit]],10,0),"")</f>
        <v/>
      </c>
      <c r="N201" s="43" t="str">
        <f>IFERROR(IF(VLOOKUP(B201,Baza[[№]:[Profit]],11,0)=0,"-",VLOOKUP(B201,Baza[[№]:[Profit]],11,0)),"")</f>
        <v/>
      </c>
      <c r="O201" s="43" t="str">
        <f>IFERROR(IF(VLOOKUP(B201,Baza[[№]:[Profit]],12,0)=0,"-",VLOOKUP(B201,Baza[[№]:[Profit]],12,0)),"")</f>
        <v/>
      </c>
      <c r="P201" s="43" t="str">
        <f>IFERROR(IF(VLOOKUP(B201,Baza[[№]:[Profit]],13,0)=0,"-",VLOOKUP(B201,Baza[[№]:[Profit]],13,0)),"")</f>
        <v/>
      </c>
      <c r="Q201" s="43" t="str">
        <f>IFERROR(IF(VLOOKUP(B201,Baza[[№]:[Profit]],15,0)=0,"-",VLOOKUP(B201,Baza[[№]:[Profit]],15,0)),"")</f>
        <v/>
      </c>
      <c r="R201" s="43" t="str">
        <f>IFERROR(IF(VLOOKUP(B201,Baza[[№]:[Profit]],16,0)=0,"-",VLOOKUP(B201,Baza[[№]:[Profit]],16,0)),"")</f>
        <v/>
      </c>
      <c r="S201" s="43" t="str">
        <f>IFERROR(IF(VLOOKUP(B201,Baza[[№]:[Profit]],17,0)=0,"-",VLOOKUP(B201,Baza[[№]:[Profit]],17,0)),"")</f>
        <v/>
      </c>
      <c r="T201" s="43" t="str">
        <f>IFERROR(IF(VLOOKUP(B201,Baza[[№]:[Profit]],18,0)=0,"-",VLOOKUP(B201,Baza[[№]:[Profit]],18,0)),"")</f>
        <v/>
      </c>
      <c r="U201" s="41" t="str">
        <f>IFERROR(IF(VLOOKUP(B201,Baza[[№]:[Profit]],19,0)=0,"-",VLOOKUP(B201,Baza[[№]:[Profit]],19,0)),"")</f>
        <v/>
      </c>
      <c r="V201" s="41" t="str">
        <f>IFERROR(VLOOKUP(B201,Baza[[№]:[Profit]],20,0),"")</f>
        <v/>
      </c>
      <c r="W201" s="41" t="str">
        <f>IFERROR(IF(VLOOKUP(B201,Baza[[№]:[Profit]],21,0)=0,"-",VLOOKUP(B201,Baza[[№]:[Profit]],21,0)),"")</f>
        <v/>
      </c>
      <c r="X201" s="45" t="str">
        <f>IFERROR(IF(VLOOKUP(B201,Baza[[№]:[Profit]],22,0)=0,"-",VLOOKUP(B201,Baza[[№]:[Profit]],22,0)),"")</f>
        <v/>
      </c>
      <c r="Y201" s="45" t="str">
        <f>IFERROR(VLOOKUP(B201,Baza[[№]:[Profit]],23,0),"")</f>
        <v/>
      </c>
      <c r="Z201" s="44" t="str">
        <f>IFERROR(VLOOKUP(B201,Baza[[№]:[AFS]],24,0),"")</f>
        <v/>
      </c>
      <c r="AA201" s="45" t="str">
        <f>IF(Таблица2[[#This Row],[Profit]]="","#Н/Д",SUM($Y$40:Y201))</f>
        <v>#Н/Д</v>
      </c>
      <c r="AB201" s="45" t="b">
        <f>IF(Таблица2[[#This Row],[Grafik]]="#Н/Д",FALSE,TRUE)</f>
        <v>0</v>
      </c>
    </row>
    <row r="202" spans="1:28" ht="11.1" hidden="1" customHeight="1" x14ac:dyDescent="0.25">
      <c r="A202" s="93">
        <f t="shared" si="2"/>
        <v>163</v>
      </c>
      <c r="B202"/>
      <c r="C202" s="41" t="str">
        <f>IFERROR(VLOOKUP(B202,Baza[[№]:[Profit]],2,0),"")</f>
        <v/>
      </c>
      <c r="D20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0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02" s="43" t="str">
        <f>IFERROR(VLOOKUP(B202,Baza[[№]:[Profit]],3,0),"")</f>
        <v/>
      </c>
      <c r="G202" s="43" t="str">
        <f>IFERROR(VLOOKUP(B202,Baza[[№]:[Profit]],4,0),"")</f>
        <v/>
      </c>
      <c r="H202" s="43" t="str">
        <f>IFERROR(VLOOKUP(B202,Baza[[№]:[Profit]],5,0),"")</f>
        <v/>
      </c>
      <c r="I202" s="46" t="str">
        <f>IFERROR(VLOOKUP(B202,Baza[[№]:[Profit]],6,0),"")</f>
        <v/>
      </c>
      <c r="J202" s="49" t="str">
        <f>IFERROR(VLOOKUP(B202,Baza[[№]:[Profit]],7,0),"")</f>
        <v/>
      </c>
      <c r="K202" s="43" t="str">
        <f>IFERROR(VLOOKUP(B202,Baza[[№]:[Profit]],8,0),"")</f>
        <v/>
      </c>
      <c r="L202" s="43" t="str">
        <f>IFERROR(VLOOKUP(B202,Baza[[№]:[Profit]],9,0),"")</f>
        <v/>
      </c>
      <c r="M202" s="43" t="str">
        <f>IFERROR(VLOOKUP(B202,Baza[[№]:[Profit]],10,0),"")</f>
        <v/>
      </c>
      <c r="N202" s="43" t="str">
        <f>IFERROR(IF(VLOOKUP(B202,Baza[[№]:[Profit]],11,0)=0,"-",VLOOKUP(B202,Baza[[№]:[Profit]],11,0)),"")</f>
        <v/>
      </c>
      <c r="O202" s="43" t="str">
        <f>IFERROR(IF(VLOOKUP(B202,Baza[[№]:[Profit]],12,0)=0,"-",VLOOKUP(B202,Baza[[№]:[Profit]],12,0)),"")</f>
        <v/>
      </c>
      <c r="P202" s="43" t="str">
        <f>IFERROR(IF(VLOOKUP(B202,Baza[[№]:[Profit]],13,0)=0,"-",VLOOKUP(B202,Baza[[№]:[Profit]],13,0)),"")</f>
        <v/>
      </c>
      <c r="Q202" s="43" t="str">
        <f>IFERROR(IF(VLOOKUP(B202,Baza[[№]:[Profit]],15,0)=0,"-",VLOOKUP(B202,Baza[[№]:[Profit]],15,0)),"")</f>
        <v/>
      </c>
      <c r="R202" s="43" t="str">
        <f>IFERROR(IF(VLOOKUP(B202,Baza[[№]:[Profit]],16,0)=0,"-",VLOOKUP(B202,Baza[[№]:[Profit]],16,0)),"")</f>
        <v/>
      </c>
      <c r="S202" s="43" t="str">
        <f>IFERROR(IF(VLOOKUP(B202,Baza[[№]:[Profit]],17,0)=0,"-",VLOOKUP(B202,Baza[[№]:[Profit]],17,0)),"")</f>
        <v/>
      </c>
      <c r="T202" s="43" t="str">
        <f>IFERROR(IF(VLOOKUP(B202,Baza[[№]:[Profit]],18,0)=0,"-",VLOOKUP(B202,Baza[[№]:[Profit]],18,0)),"")</f>
        <v/>
      </c>
      <c r="U202" s="41" t="str">
        <f>IFERROR(IF(VLOOKUP(B202,Baza[[№]:[Profit]],19,0)=0,"-",VLOOKUP(B202,Baza[[№]:[Profit]],19,0)),"")</f>
        <v/>
      </c>
      <c r="V202" s="41" t="str">
        <f>IFERROR(VLOOKUP(B202,Baza[[№]:[Profit]],20,0),"")</f>
        <v/>
      </c>
      <c r="W202" s="41" t="str">
        <f>IFERROR(IF(VLOOKUP(B202,Baza[[№]:[Profit]],21,0)=0,"-",VLOOKUP(B202,Baza[[№]:[Profit]],21,0)),"")</f>
        <v/>
      </c>
      <c r="X202" s="45" t="str">
        <f>IFERROR(IF(VLOOKUP(B202,Baza[[№]:[Profit]],22,0)=0,"-",VLOOKUP(B202,Baza[[№]:[Profit]],22,0)),"")</f>
        <v/>
      </c>
      <c r="Y202" s="45" t="str">
        <f>IFERROR(VLOOKUP(B202,Baza[[№]:[Profit]],23,0),"")</f>
        <v/>
      </c>
      <c r="Z202" s="44" t="str">
        <f>IFERROR(VLOOKUP(B202,Baza[[№]:[AFS]],24,0),"")</f>
        <v/>
      </c>
      <c r="AA202" s="45" t="str">
        <f>IF(Таблица2[[#This Row],[Profit]]="","#Н/Д",SUM($Y$40:Y202))</f>
        <v>#Н/Д</v>
      </c>
      <c r="AB202" s="45" t="b">
        <f>IF(Таблица2[[#This Row],[Grafik]]="#Н/Д",FALSE,TRUE)</f>
        <v>0</v>
      </c>
    </row>
    <row r="203" spans="1:28" ht="11.1" hidden="1" customHeight="1" x14ac:dyDescent="0.25">
      <c r="A203" s="93">
        <f t="shared" si="2"/>
        <v>164</v>
      </c>
      <c r="B203"/>
      <c r="C203" s="41" t="str">
        <f>IFERROR(VLOOKUP(B203,Baza[[№]:[Profit]],2,0),"")</f>
        <v/>
      </c>
      <c r="D20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0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03" s="43" t="str">
        <f>IFERROR(VLOOKUP(B203,Baza[[№]:[Profit]],3,0),"")</f>
        <v/>
      </c>
      <c r="G203" s="43" t="str">
        <f>IFERROR(VLOOKUP(B203,Baza[[№]:[Profit]],4,0),"")</f>
        <v/>
      </c>
      <c r="H203" s="43" t="str">
        <f>IFERROR(VLOOKUP(B203,Baza[[№]:[Profit]],5,0),"")</f>
        <v/>
      </c>
      <c r="I203" s="46" t="str">
        <f>IFERROR(VLOOKUP(B203,Baza[[№]:[Profit]],6,0),"")</f>
        <v/>
      </c>
      <c r="J203" s="49" t="str">
        <f>IFERROR(VLOOKUP(B203,Baza[[№]:[Profit]],7,0),"")</f>
        <v/>
      </c>
      <c r="K203" s="43" t="str">
        <f>IFERROR(VLOOKUP(B203,Baza[[№]:[Profit]],8,0),"")</f>
        <v/>
      </c>
      <c r="L203" s="43" t="str">
        <f>IFERROR(VLOOKUP(B203,Baza[[№]:[Profit]],9,0),"")</f>
        <v/>
      </c>
      <c r="M203" s="43" t="str">
        <f>IFERROR(VLOOKUP(B203,Baza[[№]:[Profit]],10,0),"")</f>
        <v/>
      </c>
      <c r="N203" s="43" t="str">
        <f>IFERROR(IF(VLOOKUP(B203,Baza[[№]:[Profit]],11,0)=0,"-",VLOOKUP(B203,Baza[[№]:[Profit]],11,0)),"")</f>
        <v/>
      </c>
      <c r="O203" s="43" t="str">
        <f>IFERROR(IF(VLOOKUP(B203,Baza[[№]:[Profit]],12,0)=0,"-",VLOOKUP(B203,Baza[[№]:[Profit]],12,0)),"")</f>
        <v/>
      </c>
      <c r="P203" s="43" t="str">
        <f>IFERROR(IF(VLOOKUP(B203,Baza[[№]:[Profit]],13,0)=0,"-",VLOOKUP(B203,Baza[[№]:[Profit]],13,0)),"")</f>
        <v/>
      </c>
      <c r="Q203" s="43" t="str">
        <f>IFERROR(IF(VLOOKUP(B203,Baza[[№]:[Profit]],15,0)=0,"-",VLOOKUP(B203,Baza[[№]:[Profit]],15,0)),"")</f>
        <v/>
      </c>
      <c r="R203" s="43" t="str">
        <f>IFERROR(IF(VLOOKUP(B203,Baza[[№]:[Profit]],16,0)=0,"-",VLOOKUP(B203,Baza[[№]:[Profit]],16,0)),"")</f>
        <v/>
      </c>
      <c r="S203" s="43" t="str">
        <f>IFERROR(IF(VLOOKUP(B203,Baza[[№]:[Profit]],17,0)=0,"-",VLOOKUP(B203,Baza[[№]:[Profit]],17,0)),"")</f>
        <v/>
      </c>
      <c r="T203" s="43" t="str">
        <f>IFERROR(IF(VLOOKUP(B203,Baza[[№]:[Profit]],18,0)=0,"-",VLOOKUP(B203,Baza[[№]:[Profit]],18,0)),"")</f>
        <v/>
      </c>
      <c r="U203" s="41" t="str">
        <f>IFERROR(IF(VLOOKUP(B203,Baza[[№]:[Profit]],19,0)=0,"-",VLOOKUP(B203,Baza[[№]:[Profit]],19,0)),"")</f>
        <v/>
      </c>
      <c r="V203" s="41" t="str">
        <f>IFERROR(VLOOKUP(B203,Baza[[№]:[Profit]],20,0),"")</f>
        <v/>
      </c>
      <c r="W203" s="41" t="str">
        <f>IFERROR(IF(VLOOKUP(B203,Baza[[№]:[Profit]],21,0)=0,"-",VLOOKUP(B203,Baza[[№]:[Profit]],21,0)),"")</f>
        <v/>
      </c>
      <c r="X203" s="45" t="str">
        <f>IFERROR(IF(VLOOKUP(B203,Baza[[№]:[Profit]],22,0)=0,"-",VLOOKUP(B203,Baza[[№]:[Profit]],22,0)),"")</f>
        <v/>
      </c>
      <c r="Y203" s="45" t="str">
        <f>IFERROR(VLOOKUP(B203,Baza[[№]:[Profit]],23,0),"")</f>
        <v/>
      </c>
      <c r="Z203" s="44" t="str">
        <f>IFERROR(VLOOKUP(B203,Baza[[№]:[AFS]],24,0),"")</f>
        <v/>
      </c>
      <c r="AA203" s="45" t="str">
        <f>IF(Таблица2[[#This Row],[Profit]]="","#Н/Д",SUM($Y$40:Y203))</f>
        <v>#Н/Д</v>
      </c>
      <c r="AB203" s="45" t="b">
        <f>IF(Таблица2[[#This Row],[Grafik]]="#Н/Д",FALSE,TRUE)</f>
        <v>0</v>
      </c>
    </row>
    <row r="204" spans="1:28" ht="11.1" hidden="1" customHeight="1" x14ac:dyDescent="0.25">
      <c r="A204" s="93">
        <f t="shared" si="2"/>
        <v>165</v>
      </c>
      <c r="B204"/>
      <c r="C204" s="41" t="str">
        <f>IFERROR(VLOOKUP(B204,Baza[[№]:[Profit]],2,0),"")</f>
        <v/>
      </c>
      <c r="D20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0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04" s="43" t="str">
        <f>IFERROR(VLOOKUP(B204,Baza[[№]:[Profit]],3,0),"")</f>
        <v/>
      </c>
      <c r="G204" s="43" t="str">
        <f>IFERROR(VLOOKUP(B204,Baza[[№]:[Profit]],4,0),"")</f>
        <v/>
      </c>
      <c r="H204" s="43" t="str">
        <f>IFERROR(VLOOKUP(B204,Baza[[№]:[Profit]],5,0),"")</f>
        <v/>
      </c>
      <c r="I204" s="46" t="str">
        <f>IFERROR(VLOOKUP(B204,Baza[[№]:[Profit]],6,0),"")</f>
        <v/>
      </c>
      <c r="J204" s="49" t="str">
        <f>IFERROR(VLOOKUP(B204,Baza[[№]:[Profit]],7,0),"")</f>
        <v/>
      </c>
      <c r="K204" s="43" t="str">
        <f>IFERROR(VLOOKUP(B204,Baza[[№]:[Profit]],8,0),"")</f>
        <v/>
      </c>
      <c r="L204" s="43" t="str">
        <f>IFERROR(VLOOKUP(B204,Baza[[№]:[Profit]],9,0),"")</f>
        <v/>
      </c>
      <c r="M204" s="43" t="str">
        <f>IFERROR(VLOOKUP(B204,Baza[[№]:[Profit]],10,0),"")</f>
        <v/>
      </c>
      <c r="N204" s="43" t="str">
        <f>IFERROR(IF(VLOOKUP(B204,Baza[[№]:[Profit]],11,0)=0,"-",VLOOKUP(B204,Baza[[№]:[Profit]],11,0)),"")</f>
        <v/>
      </c>
      <c r="O204" s="43" t="str">
        <f>IFERROR(IF(VLOOKUP(B204,Baza[[№]:[Profit]],12,0)=0,"-",VLOOKUP(B204,Baza[[№]:[Profit]],12,0)),"")</f>
        <v/>
      </c>
      <c r="P204" s="43" t="str">
        <f>IFERROR(IF(VLOOKUP(B204,Baza[[№]:[Profit]],13,0)=0,"-",VLOOKUP(B204,Baza[[№]:[Profit]],13,0)),"")</f>
        <v/>
      </c>
      <c r="Q204" s="43" t="str">
        <f>IFERROR(IF(VLOOKUP(B204,Baza[[№]:[Profit]],15,0)=0,"-",VLOOKUP(B204,Baza[[№]:[Profit]],15,0)),"")</f>
        <v/>
      </c>
      <c r="R204" s="43" t="str">
        <f>IFERROR(IF(VLOOKUP(B204,Baza[[№]:[Profit]],16,0)=0,"-",VLOOKUP(B204,Baza[[№]:[Profit]],16,0)),"")</f>
        <v/>
      </c>
      <c r="S204" s="43" t="str">
        <f>IFERROR(IF(VLOOKUP(B204,Baza[[№]:[Profit]],17,0)=0,"-",VLOOKUP(B204,Baza[[№]:[Profit]],17,0)),"")</f>
        <v/>
      </c>
      <c r="T204" s="43" t="str">
        <f>IFERROR(IF(VLOOKUP(B204,Baza[[№]:[Profit]],18,0)=0,"-",VLOOKUP(B204,Baza[[№]:[Profit]],18,0)),"")</f>
        <v/>
      </c>
      <c r="U204" s="41" t="str">
        <f>IFERROR(IF(VLOOKUP(B204,Baza[[№]:[Profit]],19,0)=0,"-",VLOOKUP(B204,Baza[[№]:[Profit]],19,0)),"")</f>
        <v/>
      </c>
      <c r="V204" s="41" t="str">
        <f>IFERROR(VLOOKUP(B204,Baza[[№]:[Profit]],20,0),"")</f>
        <v/>
      </c>
      <c r="W204" s="41" t="str">
        <f>IFERROR(IF(VLOOKUP(B204,Baza[[№]:[Profit]],21,0)=0,"-",VLOOKUP(B204,Baza[[№]:[Profit]],21,0)),"")</f>
        <v/>
      </c>
      <c r="X204" s="45" t="str">
        <f>IFERROR(IF(VLOOKUP(B204,Baza[[№]:[Profit]],22,0)=0,"-",VLOOKUP(B204,Baza[[№]:[Profit]],22,0)),"")</f>
        <v/>
      </c>
      <c r="Y204" s="45" t="str">
        <f>IFERROR(VLOOKUP(B204,Baza[[№]:[Profit]],23,0),"")</f>
        <v/>
      </c>
      <c r="Z204" s="44" t="str">
        <f>IFERROR(VLOOKUP(B204,Baza[[№]:[AFS]],24,0),"")</f>
        <v/>
      </c>
      <c r="AA204" s="45" t="str">
        <f>IF(Таблица2[[#This Row],[Profit]]="","#Н/Д",SUM($Y$40:Y204))</f>
        <v>#Н/Д</v>
      </c>
      <c r="AB204" s="45" t="b">
        <f>IF(Таблица2[[#This Row],[Grafik]]="#Н/Д",FALSE,TRUE)</f>
        <v>0</v>
      </c>
    </row>
    <row r="205" spans="1:28" ht="11.1" hidden="1" customHeight="1" x14ac:dyDescent="0.25">
      <c r="A205" s="93">
        <f t="shared" si="2"/>
        <v>166</v>
      </c>
      <c r="B205"/>
      <c r="C205" s="41" t="str">
        <f>IFERROR(VLOOKUP(B205,Baza[[№]:[Profit]],2,0),"")</f>
        <v/>
      </c>
      <c r="D20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0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05" s="43" t="str">
        <f>IFERROR(VLOOKUP(B205,Baza[[№]:[Profit]],3,0),"")</f>
        <v/>
      </c>
      <c r="G205" s="43" t="str">
        <f>IFERROR(VLOOKUP(B205,Baza[[№]:[Profit]],4,0),"")</f>
        <v/>
      </c>
      <c r="H205" s="43" t="str">
        <f>IFERROR(VLOOKUP(B205,Baza[[№]:[Profit]],5,0),"")</f>
        <v/>
      </c>
      <c r="I205" s="46" t="str">
        <f>IFERROR(VLOOKUP(B205,Baza[[№]:[Profit]],6,0),"")</f>
        <v/>
      </c>
      <c r="J205" s="49" t="str">
        <f>IFERROR(VLOOKUP(B205,Baza[[№]:[Profit]],7,0),"")</f>
        <v/>
      </c>
      <c r="K205" s="43" t="str">
        <f>IFERROR(VLOOKUP(B205,Baza[[№]:[Profit]],8,0),"")</f>
        <v/>
      </c>
      <c r="L205" s="43" t="str">
        <f>IFERROR(VLOOKUP(B205,Baza[[№]:[Profit]],9,0),"")</f>
        <v/>
      </c>
      <c r="M205" s="43" t="str">
        <f>IFERROR(VLOOKUP(B205,Baza[[№]:[Profit]],10,0),"")</f>
        <v/>
      </c>
      <c r="N205" s="43" t="str">
        <f>IFERROR(IF(VLOOKUP(B205,Baza[[№]:[Profit]],11,0)=0,"-",VLOOKUP(B205,Baza[[№]:[Profit]],11,0)),"")</f>
        <v/>
      </c>
      <c r="O205" s="43" t="str">
        <f>IFERROR(IF(VLOOKUP(B205,Baza[[№]:[Profit]],12,0)=0,"-",VLOOKUP(B205,Baza[[№]:[Profit]],12,0)),"")</f>
        <v/>
      </c>
      <c r="P205" s="43" t="str">
        <f>IFERROR(IF(VLOOKUP(B205,Baza[[№]:[Profit]],13,0)=0,"-",VLOOKUP(B205,Baza[[№]:[Profit]],13,0)),"")</f>
        <v/>
      </c>
      <c r="Q205" s="43" t="str">
        <f>IFERROR(IF(VLOOKUP(B205,Baza[[№]:[Profit]],15,0)=0,"-",VLOOKUP(B205,Baza[[№]:[Profit]],15,0)),"")</f>
        <v/>
      </c>
      <c r="R205" s="43" t="str">
        <f>IFERROR(IF(VLOOKUP(B205,Baza[[№]:[Profit]],16,0)=0,"-",VLOOKUP(B205,Baza[[№]:[Profit]],16,0)),"")</f>
        <v/>
      </c>
      <c r="S205" s="43" t="str">
        <f>IFERROR(IF(VLOOKUP(B205,Baza[[№]:[Profit]],17,0)=0,"-",VLOOKUP(B205,Baza[[№]:[Profit]],17,0)),"")</f>
        <v/>
      </c>
      <c r="T205" s="43" t="str">
        <f>IFERROR(IF(VLOOKUP(B205,Baza[[№]:[Profit]],18,0)=0,"-",VLOOKUP(B205,Baza[[№]:[Profit]],18,0)),"")</f>
        <v/>
      </c>
      <c r="U205" s="41" t="str">
        <f>IFERROR(IF(VLOOKUP(B205,Baza[[№]:[Profit]],19,0)=0,"-",VLOOKUP(B205,Baza[[№]:[Profit]],19,0)),"")</f>
        <v/>
      </c>
      <c r="V205" s="41" t="str">
        <f>IFERROR(VLOOKUP(B205,Baza[[№]:[Profit]],20,0),"")</f>
        <v/>
      </c>
      <c r="W205" s="41" t="str">
        <f>IFERROR(IF(VLOOKUP(B205,Baza[[№]:[Profit]],21,0)=0,"-",VLOOKUP(B205,Baza[[№]:[Profit]],21,0)),"")</f>
        <v/>
      </c>
      <c r="X205" s="45" t="str">
        <f>IFERROR(IF(VLOOKUP(B205,Baza[[№]:[Profit]],22,0)=0,"-",VLOOKUP(B205,Baza[[№]:[Profit]],22,0)),"")</f>
        <v/>
      </c>
      <c r="Y205" s="45" t="str">
        <f>IFERROR(VLOOKUP(B205,Baza[[№]:[Profit]],23,0),"")</f>
        <v/>
      </c>
      <c r="Z205" s="44" t="str">
        <f>IFERROR(VLOOKUP(B205,Baza[[№]:[AFS]],24,0),"")</f>
        <v/>
      </c>
      <c r="AA205" s="45" t="str">
        <f>IF(Таблица2[[#This Row],[Profit]]="","#Н/Д",SUM($Y$40:Y205))</f>
        <v>#Н/Д</v>
      </c>
      <c r="AB205" s="45" t="b">
        <f>IF(Таблица2[[#This Row],[Grafik]]="#Н/Д",FALSE,TRUE)</f>
        <v>0</v>
      </c>
    </row>
    <row r="206" spans="1:28" ht="11.1" hidden="1" customHeight="1" x14ac:dyDescent="0.25">
      <c r="A206" s="93">
        <f t="shared" si="2"/>
        <v>167</v>
      </c>
      <c r="B206"/>
      <c r="C206" s="41" t="str">
        <f>IFERROR(VLOOKUP(B206,Baza[[№]:[Profit]],2,0),"")</f>
        <v/>
      </c>
      <c r="D20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0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06" s="43" t="str">
        <f>IFERROR(VLOOKUP(B206,Baza[[№]:[Profit]],3,0),"")</f>
        <v/>
      </c>
      <c r="G206" s="43" t="str">
        <f>IFERROR(VLOOKUP(B206,Baza[[№]:[Profit]],4,0),"")</f>
        <v/>
      </c>
      <c r="H206" s="43" t="str">
        <f>IFERROR(VLOOKUP(B206,Baza[[№]:[Profit]],5,0),"")</f>
        <v/>
      </c>
      <c r="I206" s="46" t="str">
        <f>IFERROR(VLOOKUP(B206,Baza[[№]:[Profit]],6,0),"")</f>
        <v/>
      </c>
      <c r="J206" s="49" t="str">
        <f>IFERROR(VLOOKUP(B206,Baza[[№]:[Profit]],7,0),"")</f>
        <v/>
      </c>
      <c r="K206" s="43" t="str">
        <f>IFERROR(VLOOKUP(B206,Baza[[№]:[Profit]],8,0),"")</f>
        <v/>
      </c>
      <c r="L206" s="43" t="str">
        <f>IFERROR(VLOOKUP(B206,Baza[[№]:[Profit]],9,0),"")</f>
        <v/>
      </c>
      <c r="M206" s="43" t="str">
        <f>IFERROR(VLOOKUP(B206,Baza[[№]:[Profit]],10,0),"")</f>
        <v/>
      </c>
      <c r="N206" s="43" t="str">
        <f>IFERROR(IF(VLOOKUP(B206,Baza[[№]:[Profit]],11,0)=0,"-",VLOOKUP(B206,Baza[[№]:[Profit]],11,0)),"")</f>
        <v/>
      </c>
      <c r="O206" s="43" t="str">
        <f>IFERROR(IF(VLOOKUP(B206,Baza[[№]:[Profit]],12,0)=0,"-",VLOOKUP(B206,Baza[[№]:[Profit]],12,0)),"")</f>
        <v/>
      </c>
      <c r="P206" s="43" t="str">
        <f>IFERROR(IF(VLOOKUP(B206,Baza[[№]:[Profit]],13,0)=0,"-",VLOOKUP(B206,Baza[[№]:[Profit]],13,0)),"")</f>
        <v/>
      </c>
      <c r="Q206" s="43" t="str">
        <f>IFERROR(IF(VLOOKUP(B206,Baza[[№]:[Profit]],15,0)=0,"-",VLOOKUP(B206,Baza[[№]:[Profit]],15,0)),"")</f>
        <v/>
      </c>
      <c r="R206" s="43" t="str">
        <f>IFERROR(IF(VLOOKUP(B206,Baza[[№]:[Profit]],16,0)=0,"-",VLOOKUP(B206,Baza[[№]:[Profit]],16,0)),"")</f>
        <v/>
      </c>
      <c r="S206" s="43" t="str">
        <f>IFERROR(IF(VLOOKUP(B206,Baza[[№]:[Profit]],17,0)=0,"-",VLOOKUP(B206,Baza[[№]:[Profit]],17,0)),"")</f>
        <v/>
      </c>
      <c r="T206" s="43" t="str">
        <f>IFERROR(IF(VLOOKUP(B206,Baza[[№]:[Profit]],18,0)=0,"-",VLOOKUP(B206,Baza[[№]:[Profit]],18,0)),"")</f>
        <v/>
      </c>
      <c r="U206" s="41" t="str">
        <f>IFERROR(IF(VLOOKUP(B206,Baza[[№]:[Profit]],19,0)=0,"-",VLOOKUP(B206,Baza[[№]:[Profit]],19,0)),"")</f>
        <v/>
      </c>
      <c r="V206" s="41" t="str">
        <f>IFERROR(VLOOKUP(B206,Baza[[№]:[Profit]],20,0),"")</f>
        <v/>
      </c>
      <c r="W206" s="41" t="str">
        <f>IFERROR(IF(VLOOKUP(B206,Baza[[№]:[Profit]],21,0)=0,"-",VLOOKUP(B206,Baza[[№]:[Profit]],21,0)),"")</f>
        <v/>
      </c>
      <c r="X206" s="45" t="str">
        <f>IFERROR(IF(VLOOKUP(B206,Baza[[№]:[Profit]],22,0)=0,"-",VLOOKUP(B206,Baza[[№]:[Profit]],22,0)),"")</f>
        <v/>
      </c>
      <c r="Y206" s="45" t="str">
        <f>IFERROR(VLOOKUP(B206,Baza[[№]:[Profit]],23,0),"")</f>
        <v/>
      </c>
      <c r="Z206" s="44" t="str">
        <f>IFERROR(VLOOKUP(B206,Baza[[№]:[AFS]],24,0),"")</f>
        <v/>
      </c>
      <c r="AA206" s="45" t="str">
        <f>IF(Таблица2[[#This Row],[Profit]]="","#Н/Д",SUM($Y$40:Y206))</f>
        <v>#Н/Д</v>
      </c>
      <c r="AB206" s="45" t="b">
        <f>IF(Таблица2[[#This Row],[Grafik]]="#Н/Д",FALSE,TRUE)</f>
        <v>0</v>
      </c>
    </row>
    <row r="207" spans="1:28" ht="11.1" hidden="1" customHeight="1" x14ac:dyDescent="0.25">
      <c r="A207" s="93">
        <f t="shared" si="2"/>
        <v>168</v>
      </c>
      <c r="B207"/>
      <c r="C207" s="41" t="str">
        <f>IFERROR(VLOOKUP(B207,Baza[[№]:[Profit]],2,0),"")</f>
        <v/>
      </c>
      <c r="D20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0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07" s="43" t="str">
        <f>IFERROR(VLOOKUP(B207,Baza[[№]:[Profit]],3,0),"")</f>
        <v/>
      </c>
      <c r="G207" s="43" t="str">
        <f>IFERROR(VLOOKUP(B207,Baza[[№]:[Profit]],4,0),"")</f>
        <v/>
      </c>
      <c r="H207" s="43" t="str">
        <f>IFERROR(VLOOKUP(B207,Baza[[№]:[Profit]],5,0),"")</f>
        <v/>
      </c>
      <c r="I207" s="46" t="str">
        <f>IFERROR(VLOOKUP(B207,Baza[[№]:[Profit]],6,0),"")</f>
        <v/>
      </c>
      <c r="J207" s="49" t="str">
        <f>IFERROR(VLOOKUP(B207,Baza[[№]:[Profit]],7,0),"")</f>
        <v/>
      </c>
      <c r="K207" s="43" t="str">
        <f>IFERROR(VLOOKUP(B207,Baza[[№]:[Profit]],8,0),"")</f>
        <v/>
      </c>
      <c r="L207" s="43" t="str">
        <f>IFERROR(VLOOKUP(B207,Baza[[№]:[Profit]],9,0),"")</f>
        <v/>
      </c>
      <c r="M207" s="43" t="str">
        <f>IFERROR(VLOOKUP(B207,Baza[[№]:[Profit]],10,0),"")</f>
        <v/>
      </c>
      <c r="N207" s="43" t="str">
        <f>IFERROR(IF(VLOOKUP(B207,Baza[[№]:[Profit]],11,0)=0,"-",VLOOKUP(B207,Baza[[№]:[Profit]],11,0)),"")</f>
        <v/>
      </c>
      <c r="O207" s="43" t="str">
        <f>IFERROR(IF(VLOOKUP(B207,Baza[[№]:[Profit]],12,0)=0,"-",VLOOKUP(B207,Baza[[№]:[Profit]],12,0)),"")</f>
        <v/>
      </c>
      <c r="P207" s="43" t="str">
        <f>IFERROR(IF(VLOOKUP(B207,Baza[[№]:[Profit]],13,0)=0,"-",VLOOKUP(B207,Baza[[№]:[Profit]],13,0)),"")</f>
        <v/>
      </c>
      <c r="Q207" s="43" t="str">
        <f>IFERROR(IF(VLOOKUP(B207,Baza[[№]:[Profit]],15,0)=0,"-",VLOOKUP(B207,Baza[[№]:[Profit]],15,0)),"")</f>
        <v/>
      </c>
      <c r="R207" s="43" t="str">
        <f>IFERROR(IF(VLOOKUP(B207,Baza[[№]:[Profit]],16,0)=0,"-",VLOOKUP(B207,Baza[[№]:[Profit]],16,0)),"")</f>
        <v/>
      </c>
      <c r="S207" s="43" t="str">
        <f>IFERROR(IF(VLOOKUP(B207,Baza[[№]:[Profit]],17,0)=0,"-",VLOOKUP(B207,Baza[[№]:[Profit]],17,0)),"")</f>
        <v/>
      </c>
      <c r="T207" s="43" t="str">
        <f>IFERROR(IF(VLOOKUP(B207,Baza[[№]:[Profit]],18,0)=0,"-",VLOOKUP(B207,Baza[[№]:[Profit]],18,0)),"")</f>
        <v/>
      </c>
      <c r="U207" s="41" t="str">
        <f>IFERROR(IF(VLOOKUP(B207,Baza[[№]:[Profit]],19,0)=0,"-",VLOOKUP(B207,Baza[[№]:[Profit]],19,0)),"")</f>
        <v/>
      </c>
      <c r="V207" s="41" t="str">
        <f>IFERROR(VLOOKUP(B207,Baza[[№]:[Profit]],20,0),"")</f>
        <v/>
      </c>
      <c r="W207" s="41" t="str">
        <f>IFERROR(IF(VLOOKUP(B207,Baza[[№]:[Profit]],21,0)=0,"-",VLOOKUP(B207,Baza[[№]:[Profit]],21,0)),"")</f>
        <v/>
      </c>
      <c r="X207" s="45" t="str">
        <f>IFERROR(IF(VLOOKUP(B207,Baza[[№]:[Profit]],22,0)=0,"-",VLOOKUP(B207,Baza[[№]:[Profit]],22,0)),"")</f>
        <v/>
      </c>
      <c r="Y207" s="45" t="str">
        <f>IFERROR(VLOOKUP(B207,Baza[[№]:[Profit]],23,0),"")</f>
        <v/>
      </c>
      <c r="Z207" s="44" t="str">
        <f>IFERROR(VLOOKUP(B207,Baza[[№]:[AFS]],24,0),"")</f>
        <v/>
      </c>
      <c r="AA207" s="45" t="str">
        <f>IF(Таблица2[[#This Row],[Profit]]="","#Н/Д",SUM($Y$40:Y207))</f>
        <v>#Н/Д</v>
      </c>
      <c r="AB207" s="45" t="b">
        <f>IF(Таблица2[[#This Row],[Grafik]]="#Н/Д",FALSE,TRUE)</f>
        <v>0</v>
      </c>
    </row>
    <row r="208" spans="1:28" ht="11.1" hidden="1" customHeight="1" x14ac:dyDescent="0.25">
      <c r="A208" s="93">
        <f t="shared" si="2"/>
        <v>169</v>
      </c>
      <c r="B208"/>
      <c r="C208" s="41" t="str">
        <f>IFERROR(VLOOKUP(B208,Baza[[№]:[Profit]],2,0),"")</f>
        <v/>
      </c>
      <c r="D20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0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08" s="43" t="str">
        <f>IFERROR(VLOOKUP(B208,Baza[[№]:[Profit]],3,0),"")</f>
        <v/>
      </c>
      <c r="G208" s="43" t="str">
        <f>IFERROR(VLOOKUP(B208,Baza[[№]:[Profit]],4,0),"")</f>
        <v/>
      </c>
      <c r="H208" s="43" t="str">
        <f>IFERROR(VLOOKUP(B208,Baza[[№]:[Profit]],5,0),"")</f>
        <v/>
      </c>
      <c r="I208" s="46" t="str">
        <f>IFERROR(VLOOKUP(B208,Baza[[№]:[Profit]],6,0),"")</f>
        <v/>
      </c>
      <c r="J208" s="49" t="str">
        <f>IFERROR(VLOOKUP(B208,Baza[[№]:[Profit]],7,0),"")</f>
        <v/>
      </c>
      <c r="K208" s="43" t="str">
        <f>IFERROR(VLOOKUP(B208,Baza[[№]:[Profit]],8,0),"")</f>
        <v/>
      </c>
      <c r="L208" s="43" t="str">
        <f>IFERROR(VLOOKUP(B208,Baza[[№]:[Profit]],9,0),"")</f>
        <v/>
      </c>
      <c r="M208" s="43" t="str">
        <f>IFERROR(VLOOKUP(B208,Baza[[№]:[Profit]],10,0),"")</f>
        <v/>
      </c>
      <c r="N208" s="43" t="str">
        <f>IFERROR(IF(VLOOKUP(B208,Baza[[№]:[Profit]],11,0)=0,"-",VLOOKUP(B208,Baza[[№]:[Profit]],11,0)),"")</f>
        <v/>
      </c>
      <c r="O208" s="43" t="str">
        <f>IFERROR(IF(VLOOKUP(B208,Baza[[№]:[Profit]],12,0)=0,"-",VLOOKUP(B208,Baza[[№]:[Profit]],12,0)),"")</f>
        <v/>
      </c>
      <c r="P208" s="43" t="str">
        <f>IFERROR(IF(VLOOKUP(B208,Baza[[№]:[Profit]],13,0)=0,"-",VLOOKUP(B208,Baza[[№]:[Profit]],13,0)),"")</f>
        <v/>
      </c>
      <c r="Q208" s="43" t="str">
        <f>IFERROR(IF(VLOOKUP(B208,Baza[[№]:[Profit]],15,0)=0,"-",VLOOKUP(B208,Baza[[№]:[Profit]],15,0)),"")</f>
        <v/>
      </c>
      <c r="R208" s="43" t="str">
        <f>IFERROR(IF(VLOOKUP(B208,Baza[[№]:[Profit]],16,0)=0,"-",VLOOKUP(B208,Baza[[№]:[Profit]],16,0)),"")</f>
        <v/>
      </c>
      <c r="S208" s="43" t="str">
        <f>IFERROR(IF(VLOOKUP(B208,Baza[[№]:[Profit]],17,0)=0,"-",VLOOKUP(B208,Baza[[№]:[Profit]],17,0)),"")</f>
        <v/>
      </c>
      <c r="T208" s="43" t="str">
        <f>IFERROR(IF(VLOOKUP(B208,Baza[[№]:[Profit]],18,0)=0,"-",VLOOKUP(B208,Baza[[№]:[Profit]],18,0)),"")</f>
        <v/>
      </c>
      <c r="U208" s="41" t="str">
        <f>IFERROR(IF(VLOOKUP(B208,Baza[[№]:[Profit]],19,0)=0,"-",VLOOKUP(B208,Baza[[№]:[Profit]],19,0)),"")</f>
        <v/>
      </c>
      <c r="V208" s="41" t="str">
        <f>IFERROR(VLOOKUP(B208,Baza[[№]:[Profit]],20,0),"")</f>
        <v/>
      </c>
      <c r="W208" s="41" t="str">
        <f>IFERROR(IF(VLOOKUP(B208,Baza[[№]:[Profit]],21,0)=0,"-",VLOOKUP(B208,Baza[[№]:[Profit]],21,0)),"")</f>
        <v/>
      </c>
      <c r="X208" s="45" t="str">
        <f>IFERROR(IF(VLOOKUP(B208,Baza[[№]:[Profit]],22,0)=0,"-",VLOOKUP(B208,Baza[[№]:[Profit]],22,0)),"")</f>
        <v/>
      </c>
      <c r="Y208" s="45" t="str">
        <f>IFERROR(VLOOKUP(B208,Baza[[№]:[Profit]],23,0),"")</f>
        <v/>
      </c>
      <c r="Z208" s="44" t="str">
        <f>IFERROR(VLOOKUP(B208,Baza[[№]:[AFS]],24,0),"")</f>
        <v/>
      </c>
      <c r="AA208" s="45" t="str">
        <f>IF(Таблица2[[#This Row],[Profit]]="","#Н/Д",SUM($Y$40:Y208))</f>
        <v>#Н/Д</v>
      </c>
      <c r="AB208" s="45" t="b">
        <f>IF(Таблица2[[#This Row],[Grafik]]="#Н/Д",FALSE,TRUE)</f>
        <v>0</v>
      </c>
    </row>
    <row r="209" spans="1:28" ht="11.1" hidden="1" customHeight="1" x14ac:dyDescent="0.25">
      <c r="A209" s="93">
        <f t="shared" si="2"/>
        <v>170</v>
      </c>
      <c r="B209"/>
      <c r="C209" s="41" t="str">
        <f>IFERROR(VLOOKUP(B209,Baza[[№]:[Profit]],2,0),"")</f>
        <v/>
      </c>
      <c r="D20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0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09" s="43" t="str">
        <f>IFERROR(VLOOKUP(B209,Baza[[№]:[Profit]],3,0),"")</f>
        <v/>
      </c>
      <c r="G209" s="43" t="str">
        <f>IFERROR(VLOOKUP(B209,Baza[[№]:[Profit]],4,0),"")</f>
        <v/>
      </c>
      <c r="H209" s="43" t="str">
        <f>IFERROR(VLOOKUP(B209,Baza[[№]:[Profit]],5,0),"")</f>
        <v/>
      </c>
      <c r="I209" s="46" t="str">
        <f>IFERROR(VLOOKUP(B209,Baza[[№]:[Profit]],6,0),"")</f>
        <v/>
      </c>
      <c r="J209" s="49" t="str">
        <f>IFERROR(VLOOKUP(B209,Baza[[№]:[Profit]],7,0),"")</f>
        <v/>
      </c>
      <c r="K209" s="43" t="str">
        <f>IFERROR(VLOOKUP(B209,Baza[[№]:[Profit]],8,0),"")</f>
        <v/>
      </c>
      <c r="L209" s="43" t="str">
        <f>IFERROR(VLOOKUP(B209,Baza[[№]:[Profit]],9,0),"")</f>
        <v/>
      </c>
      <c r="M209" s="43" t="str">
        <f>IFERROR(VLOOKUP(B209,Baza[[№]:[Profit]],10,0),"")</f>
        <v/>
      </c>
      <c r="N209" s="43" t="str">
        <f>IFERROR(IF(VLOOKUP(B209,Baza[[№]:[Profit]],11,0)=0,"-",VLOOKUP(B209,Baza[[№]:[Profit]],11,0)),"")</f>
        <v/>
      </c>
      <c r="O209" s="43" t="str">
        <f>IFERROR(IF(VLOOKUP(B209,Baza[[№]:[Profit]],12,0)=0,"-",VLOOKUP(B209,Baza[[№]:[Profit]],12,0)),"")</f>
        <v/>
      </c>
      <c r="P209" s="43" t="str">
        <f>IFERROR(IF(VLOOKUP(B209,Baza[[№]:[Profit]],13,0)=0,"-",VLOOKUP(B209,Baza[[№]:[Profit]],13,0)),"")</f>
        <v/>
      </c>
      <c r="Q209" s="43" t="str">
        <f>IFERROR(IF(VLOOKUP(B209,Baza[[№]:[Profit]],15,0)=0,"-",VLOOKUP(B209,Baza[[№]:[Profit]],15,0)),"")</f>
        <v/>
      </c>
      <c r="R209" s="43" t="str">
        <f>IFERROR(IF(VLOOKUP(B209,Baza[[№]:[Profit]],16,0)=0,"-",VLOOKUP(B209,Baza[[№]:[Profit]],16,0)),"")</f>
        <v/>
      </c>
      <c r="S209" s="43" t="str">
        <f>IFERROR(IF(VLOOKUP(B209,Baza[[№]:[Profit]],17,0)=0,"-",VLOOKUP(B209,Baza[[№]:[Profit]],17,0)),"")</f>
        <v/>
      </c>
      <c r="T209" s="43" t="str">
        <f>IFERROR(IF(VLOOKUP(B209,Baza[[№]:[Profit]],18,0)=0,"-",VLOOKUP(B209,Baza[[№]:[Profit]],18,0)),"")</f>
        <v/>
      </c>
      <c r="U209" s="41" t="str">
        <f>IFERROR(IF(VLOOKUP(B209,Baza[[№]:[Profit]],19,0)=0,"-",VLOOKUP(B209,Baza[[№]:[Profit]],19,0)),"")</f>
        <v/>
      </c>
      <c r="V209" s="41" t="str">
        <f>IFERROR(VLOOKUP(B209,Baza[[№]:[Profit]],20,0),"")</f>
        <v/>
      </c>
      <c r="W209" s="41" t="str">
        <f>IFERROR(IF(VLOOKUP(B209,Baza[[№]:[Profit]],21,0)=0,"-",VLOOKUP(B209,Baza[[№]:[Profit]],21,0)),"")</f>
        <v/>
      </c>
      <c r="X209" s="45" t="str">
        <f>IFERROR(IF(VLOOKUP(B209,Baza[[№]:[Profit]],22,0)=0,"-",VLOOKUP(B209,Baza[[№]:[Profit]],22,0)),"")</f>
        <v/>
      </c>
      <c r="Y209" s="45" t="str">
        <f>IFERROR(VLOOKUP(B209,Baza[[№]:[Profit]],23,0),"")</f>
        <v/>
      </c>
      <c r="Z209" s="44" t="str">
        <f>IFERROR(VLOOKUP(B209,Baza[[№]:[AFS]],24,0),"")</f>
        <v/>
      </c>
      <c r="AA209" s="45" t="str">
        <f>IF(Таблица2[[#This Row],[Profit]]="","#Н/Д",SUM($Y$40:Y209))</f>
        <v>#Н/Д</v>
      </c>
      <c r="AB209" s="45" t="b">
        <f>IF(Таблица2[[#This Row],[Grafik]]="#Н/Д",FALSE,TRUE)</f>
        <v>0</v>
      </c>
    </row>
    <row r="210" spans="1:28" ht="11.1" hidden="1" customHeight="1" x14ac:dyDescent="0.25">
      <c r="A210" s="93">
        <f t="shared" si="2"/>
        <v>171</v>
      </c>
      <c r="B210"/>
      <c r="C210" s="41" t="str">
        <f>IFERROR(VLOOKUP(B210,Baza[[№]:[Profit]],2,0),"")</f>
        <v/>
      </c>
      <c r="D21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1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10" s="43" t="str">
        <f>IFERROR(VLOOKUP(B210,Baza[[№]:[Profit]],3,0),"")</f>
        <v/>
      </c>
      <c r="G210" s="43" t="str">
        <f>IFERROR(VLOOKUP(B210,Baza[[№]:[Profit]],4,0),"")</f>
        <v/>
      </c>
      <c r="H210" s="43" t="str">
        <f>IFERROR(VLOOKUP(B210,Baza[[№]:[Profit]],5,0),"")</f>
        <v/>
      </c>
      <c r="I210" s="46" t="str">
        <f>IFERROR(VLOOKUP(B210,Baza[[№]:[Profit]],6,0),"")</f>
        <v/>
      </c>
      <c r="J210" s="49" t="str">
        <f>IFERROR(VLOOKUP(B210,Baza[[№]:[Profit]],7,0),"")</f>
        <v/>
      </c>
      <c r="K210" s="43" t="str">
        <f>IFERROR(VLOOKUP(B210,Baza[[№]:[Profit]],8,0),"")</f>
        <v/>
      </c>
      <c r="L210" s="43" t="str">
        <f>IFERROR(VLOOKUP(B210,Baza[[№]:[Profit]],9,0),"")</f>
        <v/>
      </c>
      <c r="M210" s="43" t="str">
        <f>IFERROR(VLOOKUP(B210,Baza[[№]:[Profit]],10,0),"")</f>
        <v/>
      </c>
      <c r="N210" s="43" t="str">
        <f>IFERROR(IF(VLOOKUP(B210,Baza[[№]:[Profit]],11,0)=0,"-",VLOOKUP(B210,Baza[[№]:[Profit]],11,0)),"")</f>
        <v/>
      </c>
      <c r="O210" s="43" t="str">
        <f>IFERROR(IF(VLOOKUP(B210,Baza[[№]:[Profit]],12,0)=0,"-",VLOOKUP(B210,Baza[[№]:[Profit]],12,0)),"")</f>
        <v/>
      </c>
      <c r="P210" s="43" t="str">
        <f>IFERROR(IF(VLOOKUP(B210,Baza[[№]:[Profit]],13,0)=0,"-",VLOOKUP(B210,Baza[[№]:[Profit]],13,0)),"")</f>
        <v/>
      </c>
      <c r="Q210" s="43" t="str">
        <f>IFERROR(IF(VLOOKUP(B210,Baza[[№]:[Profit]],15,0)=0,"-",VLOOKUP(B210,Baza[[№]:[Profit]],15,0)),"")</f>
        <v/>
      </c>
      <c r="R210" s="43" t="str">
        <f>IFERROR(IF(VLOOKUP(B210,Baza[[№]:[Profit]],16,0)=0,"-",VLOOKUP(B210,Baza[[№]:[Profit]],16,0)),"")</f>
        <v/>
      </c>
      <c r="S210" s="43" t="str">
        <f>IFERROR(IF(VLOOKUP(B210,Baza[[№]:[Profit]],17,0)=0,"-",VLOOKUP(B210,Baza[[№]:[Profit]],17,0)),"")</f>
        <v/>
      </c>
      <c r="T210" s="43" t="str">
        <f>IFERROR(IF(VLOOKUP(B210,Baza[[№]:[Profit]],18,0)=0,"-",VLOOKUP(B210,Baza[[№]:[Profit]],18,0)),"")</f>
        <v/>
      </c>
      <c r="U210" s="41" t="str">
        <f>IFERROR(IF(VLOOKUP(B210,Baza[[№]:[Profit]],19,0)=0,"-",VLOOKUP(B210,Baza[[№]:[Profit]],19,0)),"")</f>
        <v/>
      </c>
      <c r="V210" s="41" t="str">
        <f>IFERROR(VLOOKUP(B210,Baza[[№]:[Profit]],20,0),"")</f>
        <v/>
      </c>
      <c r="W210" s="41" t="str">
        <f>IFERROR(IF(VLOOKUP(B210,Baza[[№]:[Profit]],21,0)=0,"-",VLOOKUP(B210,Baza[[№]:[Profit]],21,0)),"")</f>
        <v/>
      </c>
      <c r="X210" s="45" t="str">
        <f>IFERROR(IF(VLOOKUP(B210,Baza[[№]:[Profit]],22,0)=0,"-",VLOOKUP(B210,Baza[[№]:[Profit]],22,0)),"")</f>
        <v/>
      </c>
      <c r="Y210" s="45" t="str">
        <f>IFERROR(VLOOKUP(B210,Baza[[№]:[Profit]],23,0),"")</f>
        <v/>
      </c>
      <c r="Z210" s="44" t="str">
        <f>IFERROR(VLOOKUP(B210,Baza[[№]:[AFS]],24,0),"")</f>
        <v/>
      </c>
      <c r="AA210" s="45" t="str">
        <f>IF(Таблица2[[#This Row],[Profit]]="","#Н/Д",SUM($Y$40:Y210))</f>
        <v>#Н/Д</v>
      </c>
      <c r="AB210" s="45" t="b">
        <f>IF(Таблица2[[#This Row],[Grafik]]="#Н/Д",FALSE,TRUE)</f>
        <v>0</v>
      </c>
    </row>
    <row r="211" spans="1:28" ht="11.1" hidden="1" customHeight="1" x14ac:dyDescent="0.25">
      <c r="A211" s="93">
        <f t="shared" si="2"/>
        <v>172</v>
      </c>
      <c r="B211"/>
      <c r="C211" s="41" t="str">
        <f>IFERROR(VLOOKUP(B211,Baza[[№]:[Profit]],2,0),"")</f>
        <v/>
      </c>
      <c r="D21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1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11" s="43" t="str">
        <f>IFERROR(VLOOKUP(B211,Baza[[№]:[Profit]],3,0),"")</f>
        <v/>
      </c>
      <c r="G211" s="43" t="str">
        <f>IFERROR(VLOOKUP(B211,Baza[[№]:[Profit]],4,0),"")</f>
        <v/>
      </c>
      <c r="H211" s="43" t="str">
        <f>IFERROR(VLOOKUP(B211,Baza[[№]:[Profit]],5,0),"")</f>
        <v/>
      </c>
      <c r="I211" s="46" t="str">
        <f>IFERROR(VLOOKUP(B211,Baza[[№]:[Profit]],6,0),"")</f>
        <v/>
      </c>
      <c r="J211" s="49" t="str">
        <f>IFERROR(VLOOKUP(B211,Baza[[№]:[Profit]],7,0),"")</f>
        <v/>
      </c>
      <c r="K211" s="43" t="str">
        <f>IFERROR(VLOOKUP(B211,Baza[[№]:[Profit]],8,0),"")</f>
        <v/>
      </c>
      <c r="L211" s="43" t="str">
        <f>IFERROR(VLOOKUP(B211,Baza[[№]:[Profit]],9,0),"")</f>
        <v/>
      </c>
      <c r="M211" s="43" t="str">
        <f>IFERROR(VLOOKUP(B211,Baza[[№]:[Profit]],10,0),"")</f>
        <v/>
      </c>
      <c r="N211" s="43" t="str">
        <f>IFERROR(IF(VLOOKUP(B211,Baza[[№]:[Profit]],11,0)=0,"-",VLOOKUP(B211,Baza[[№]:[Profit]],11,0)),"")</f>
        <v/>
      </c>
      <c r="O211" s="43" t="str">
        <f>IFERROR(IF(VLOOKUP(B211,Baza[[№]:[Profit]],12,0)=0,"-",VLOOKUP(B211,Baza[[№]:[Profit]],12,0)),"")</f>
        <v/>
      </c>
      <c r="P211" s="43" t="str">
        <f>IFERROR(IF(VLOOKUP(B211,Baza[[№]:[Profit]],13,0)=0,"-",VLOOKUP(B211,Baza[[№]:[Profit]],13,0)),"")</f>
        <v/>
      </c>
      <c r="Q211" s="43" t="str">
        <f>IFERROR(IF(VLOOKUP(B211,Baza[[№]:[Profit]],15,0)=0,"-",VLOOKUP(B211,Baza[[№]:[Profit]],15,0)),"")</f>
        <v/>
      </c>
      <c r="R211" s="43" t="str">
        <f>IFERROR(IF(VLOOKUP(B211,Baza[[№]:[Profit]],16,0)=0,"-",VLOOKUP(B211,Baza[[№]:[Profit]],16,0)),"")</f>
        <v/>
      </c>
      <c r="S211" s="43" t="str">
        <f>IFERROR(IF(VLOOKUP(B211,Baza[[№]:[Profit]],17,0)=0,"-",VLOOKUP(B211,Baza[[№]:[Profit]],17,0)),"")</f>
        <v/>
      </c>
      <c r="T211" s="43" t="str">
        <f>IFERROR(IF(VLOOKUP(B211,Baza[[№]:[Profit]],18,0)=0,"-",VLOOKUP(B211,Baza[[№]:[Profit]],18,0)),"")</f>
        <v/>
      </c>
      <c r="U211" s="41" t="str">
        <f>IFERROR(IF(VLOOKUP(B211,Baza[[№]:[Profit]],19,0)=0,"-",VLOOKUP(B211,Baza[[№]:[Profit]],19,0)),"")</f>
        <v/>
      </c>
      <c r="V211" s="41" t="str">
        <f>IFERROR(VLOOKUP(B211,Baza[[№]:[Profit]],20,0),"")</f>
        <v/>
      </c>
      <c r="W211" s="41" t="str">
        <f>IFERROR(IF(VLOOKUP(B211,Baza[[№]:[Profit]],21,0)=0,"-",VLOOKUP(B211,Baza[[№]:[Profit]],21,0)),"")</f>
        <v/>
      </c>
      <c r="X211" s="45" t="str">
        <f>IFERROR(IF(VLOOKUP(B211,Baza[[№]:[Profit]],22,0)=0,"-",VLOOKUP(B211,Baza[[№]:[Profit]],22,0)),"")</f>
        <v/>
      </c>
      <c r="Y211" s="45" t="str">
        <f>IFERROR(VLOOKUP(B211,Baza[[№]:[Profit]],23,0),"")</f>
        <v/>
      </c>
      <c r="Z211" s="44" t="str">
        <f>IFERROR(VLOOKUP(B211,Baza[[№]:[AFS]],24,0),"")</f>
        <v/>
      </c>
      <c r="AA211" s="45" t="str">
        <f>IF(Таблица2[[#This Row],[Profit]]="","#Н/Д",SUM($Y$40:Y211))</f>
        <v>#Н/Д</v>
      </c>
      <c r="AB211" s="45" t="b">
        <f>IF(Таблица2[[#This Row],[Grafik]]="#Н/Д",FALSE,TRUE)</f>
        <v>0</v>
      </c>
    </row>
    <row r="212" spans="1:28" ht="11.1" hidden="1" customHeight="1" x14ac:dyDescent="0.25">
      <c r="A212" s="93">
        <f t="shared" si="2"/>
        <v>173</v>
      </c>
      <c r="B212"/>
      <c r="C212" s="41" t="str">
        <f>IFERROR(VLOOKUP(B212,Baza[[№]:[Profit]],2,0),"")</f>
        <v/>
      </c>
      <c r="D21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1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12" s="43" t="str">
        <f>IFERROR(VLOOKUP(B212,Baza[[№]:[Profit]],3,0),"")</f>
        <v/>
      </c>
      <c r="G212" s="43" t="str">
        <f>IFERROR(VLOOKUP(B212,Baza[[№]:[Profit]],4,0),"")</f>
        <v/>
      </c>
      <c r="H212" s="43" t="str">
        <f>IFERROR(VLOOKUP(B212,Baza[[№]:[Profit]],5,0),"")</f>
        <v/>
      </c>
      <c r="I212" s="46" t="str">
        <f>IFERROR(VLOOKUP(B212,Baza[[№]:[Profit]],6,0),"")</f>
        <v/>
      </c>
      <c r="J212" s="49" t="str">
        <f>IFERROR(VLOOKUP(B212,Baza[[№]:[Profit]],7,0),"")</f>
        <v/>
      </c>
      <c r="K212" s="43" t="str">
        <f>IFERROR(VLOOKUP(B212,Baza[[№]:[Profit]],8,0),"")</f>
        <v/>
      </c>
      <c r="L212" s="43" t="str">
        <f>IFERROR(VLOOKUP(B212,Baza[[№]:[Profit]],9,0),"")</f>
        <v/>
      </c>
      <c r="M212" s="43" t="str">
        <f>IFERROR(VLOOKUP(B212,Baza[[№]:[Profit]],10,0),"")</f>
        <v/>
      </c>
      <c r="N212" s="43" t="str">
        <f>IFERROR(IF(VLOOKUP(B212,Baza[[№]:[Profit]],11,0)=0,"-",VLOOKUP(B212,Baza[[№]:[Profit]],11,0)),"")</f>
        <v/>
      </c>
      <c r="O212" s="43" t="str">
        <f>IFERROR(IF(VLOOKUP(B212,Baza[[№]:[Profit]],12,0)=0,"-",VLOOKUP(B212,Baza[[№]:[Profit]],12,0)),"")</f>
        <v/>
      </c>
      <c r="P212" s="43" t="str">
        <f>IFERROR(IF(VLOOKUP(B212,Baza[[№]:[Profit]],13,0)=0,"-",VLOOKUP(B212,Baza[[№]:[Profit]],13,0)),"")</f>
        <v/>
      </c>
      <c r="Q212" s="43" t="str">
        <f>IFERROR(IF(VLOOKUP(B212,Baza[[№]:[Profit]],15,0)=0,"-",VLOOKUP(B212,Baza[[№]:[Profit]],15,0)),"")</f>
        <v/>
      </c>
      <c r="R212" s="43" t="str">
        <f>IFERROR(IF(VLOOKUP(B212,Baza[[№]:[Profit]],16,0)=0,"-",VLOOKUP(B212,Baza[[№]:[Profit]],16,0)),"")</f>
        <v/>
      </c>
      <c r="S212" s="43" t="str">
        <f>IFERROR(IF(VLOOKUP(B212,Baza[[№]:[Profit]],17,0)=0,"-",VLOOKUP(B212,Baza[[№]:[Profit]],17,0)),"")</f>
        <v/>
      </c>
      <c r="T212" s="43" t="str">
        <f>IFERROR(IF(VLOOKUP(B212,Baza[[№]:[Profit]],18,0)=0,"-",VLOOKUP(B212,Baza[[№]:[Profit]],18,0)),"")</f>
        <v/>
      </c>
      <c r="U212" s="41" t="str">
        <f>IFERROR(IF(VLOOKUP(B212,Baza[[№]:[Profit]],19,0)=0,"-",VLOOKUP(B212,Baza[[№]:[Profit]],19,0)),"")</f>
        <v/>
      </c>
      <c r="V212" s="41" t="str">
        <f>IFERROR(VLOOKUP(B212,Baza[[№]:[Profit]],20,0),"")</f>
        <v/>
      </c>
      <c r="W212" s="41" t="str">
        <f>IFERROR(IF(VLOOKUP(B212,Baza[[№]:[Profit]],21,0)=0,"-",VLOOKUP(B212,Baza[[№]:[Profit]],21,0)),"")</f>
        <v/>
      </c>
      <c r="X212" s="45" t="str">
        <f>IFERROR(IF(VLOOKUP(B212,Baza[[№]:[Profit]],22,0)=0,"-",VLOOKUP(B212,Baza[[№]:[Profit]],22,0)),"")</f>
        <v/>
      </c>
      <c r="Y212" s="45" t="str">
        <f>IFERROR(VLOOKUP(B212,Baza[[№]:[Profit]],23,0),"")</f>
        <v/>
      </c>
      <c r="Z212" s="44" t="str">
        <f>IFERROR(VLOOKUP(B212,Baza[[№]:[AFS]],24,0),"")</f>
        <v/>
      </c>
      <c r="AA212" s="45" t="str">
        <f>IF(Таблица2[[#This Row],[Profit]]="","#Н/Д",SUM($Y$40:Y212))</f>
        <v>#Н/Д</v>
      </c>
      <c r="AB212" s="45" t="b">
        <f>IF(Таблица2[[#This Row],[Grafik]]="#Н/Д",FALSE,TRUE)</f>
        <v>0</v>
      </c>
    </row>
    <row r="213" spans="1:28" ht="11.1" hidden="1" customHeight="1" x14ac:dyDescent="0.25">
      <c r="A213" s="93">
        <f t="shared" si="2"/>
        <v>174</v>
      </c>
      <c r="B213"/>
      <c r="C213" s="41" t="str">
        <f>IFERROR(VLOOKUP(B213,Baza[[№]:[Profit]],2,0),"")</f>
        <v/>
      </c>
      <c r="D21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1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13" s="43" t="str">
        <f>IFERROR(VLOOKUP(B213,Baza[[№]:[Profit]],3,0),"")</f>
        <v/>
      </c>
      <c r="G213" s="43" t="str">
        <f>IFERROR(VLOOKUP(B213,Baza[[№]:[Profit]],4,0),"")</f>
        <v/>
      </c>
      <c r="H213" s="43" t="str">
        <f>IFERROR(VLOOKUP(B213,Baza[[№]:[Profit]],5,0),"")</f>
        <v/>
      </c>
      <c r="I213" s="46" t="str">
        <f>IFERROR(VLOOKUP(B213,Baza[[№]:[Profit]],6,0),"")</f>
        <v/>
      </c>
      <c r="J213" s="49" t="str">
        <f>IFERROR(VLOOKUP(B213,Baza[[№]:[Profit]],7,0),"")</f>
        <v/>
      </c>
      <c r="K213" s="43" t="str">
        <f>IFERROR(VLOOKUP(B213,Baza[[№]:[Profit]],8,0),"")</f>
        <v/>
      </c>
      <c r="L213" s="43" t="str">
        <f>IFERROR(VLOOKUP(B213,Baza[[№]:[Profit]],9,0),"")</f>
        <v/>
      </c>
      <c r="M213" s="43" t="str">
        <f>IFERROR(VLOOKUP(B213,Baza[[№]:[Profit]],10,0),"")</f>
        <v/>
      </c>
      <c r="N213" s="43" t="str">
        <f>IFERROR(IF(VLOOKUP(B213,Baza[[№]:[Profit]],11,0)=0,"-",VLOOKUP(B213,Baza[[№]:[Profit]],11,0)),"")</f>
        <v/>
      </c>
      <c r="O213" s="43" t="str">
        <f>IFERROR(IF(VLOOKUP(B213,Baza[[№]:[Profit]],12,0)=0,"-",VLOOKUP(B213,Baza[[№]:[Profit]],12,0)),"")</f>
        <v/>
      </c>
      <c r="P213" s="43" t="str">
        <f>IFERROR(IF(VLOOKUP(B213,Baza[[№]:[Profit]],13,0)=0,"-",VLOOKUP(B213,Baza[[№]:[Profit]],13,0)),"")</f>
        <v/>
      </c>
      <c r="Q213" s="43" t="str">
        <f>IFERROR(IF(VLOOKUP(B213,Baza[[№]:[Profit]],15,0)=0,"-",VLOOKUP(B213,Baza[[№]:[Profit]],15,0)),"")</f>
        <v/>
      </c>
      <c r="R213" s="43" t="str">
        <f>IFERROR(IF(VLOOKUP(B213,Baza[[№]:[Profit]],16,0)=0,"-",VLOOKUP(B213,Baza[[№]:[Profit]],16,0)),"")</f>
        <v/>
      </c>
      <c r="S213" s="43" t="str">
        <f>IFERROR(IF(VLOOKUP(B213,Baza[[№]:[Profit]],17,0)=0,"-",VLOOKUP(B213,Baza[[№]:[Profit]],17,0)),"")</f>
        <v/>
      </c>
      <c r="T213" s="43" t="str">
        <f>IFERROR(IF(VLOOKUP(B213,Baza[[№]:[Profit]],18,0)=0,"-",VLOOKUP(B213,Baza[[№]:[Profit]],18,0)),"")</f>
        <v/>
      </c>
      <c r="U213" s="41" t="str">
        <f>IFERROR(IF(VLOOKUP(B213,Baza[[№]:[Profit]],19,0)=0,"-",VLOOKUP(B213,Baza[[№]:[Profit]],19,0)),"")</f>
        <v/>
      </c>
      <c r="V213" s="41" t="str">
        <f>IFERROR(VLOOKUP(B213,Baza[[№]:[Profit]],20,0),"")</f>
        <v/>
      </c>
      <c r="W213" s="41" t="str">
        <f>IFERROR(IF(VLOOKUP(B213,Baza[[№]:[Profit]],21,0)=0,"-",VLOOKUP(B213,Baza[[№]:[Profit]],21,0)),"")</f>
        <v/>
      </c>
      <c r="X213" s="45" t="str">
        <f>IFERROR(IF(VLOOKUP(B213,Baza[[№]:[Profit]],22,0)=0,"-",VLOOKUP(B213,Baza[[№]:[Profit]],22,0)),"")</f>
        <v/>
      </c>
      <c r="Y213" s="45" t="str">
        <f>IFERROR(VLOOKUP(B213,Baza[[№]:[Profit]],23,0),"")</f>
        <v/>
      </c>
      <c r="Z213" s="44" t="str">
        <f>IFERROR(VLOOKUP(B213,Baza[[№]:[AFS]],24,0),"")</f>
        <v/>
      </c>
      <c r="AA213" s="45" t="str">
        <f>IF(Таблица2[[#This Row],[Profit]]="","#Н/Д",SUM($Y$40:Y213))</f>
        <v>#Н/Д</v>
      </c>
      <c r="AB213" s="45" t="b">
        <f>IF(Таблица2[[#This Row],[Grafik]]="#Н/Д",FALSE,TRUE)</f>
        <v>0</v>
      </c>
    </row>
    <row r="214" spans="1:28" ht="11.1" hidden="1" customHeight="1" x14ac:dyDescent="0.25">
      <c r="A214" s="93">
        <f t="shared" si="2"/>
        <v>175</v>
      </c>
      <c r="B214"/>
      <c r="C214" s="41" t="str">
        <f>IFERROR(VLOOKUP(B214,Baza[[№]:[Profit]],2,0),"")</f>
        <v/>
      </c>
      <c r="D21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1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14" s="43" t="str">
        <f>IFERROR(VLOOKUP(B214,Baza[[№]:[Profit]],3,0),"")</f>
        <v/>
      </c>
      <c r="G214" s="43" t="str">
        <f>IFERROR(VLOOKUP(B214,Baza[[№]:[Profit]],4,0),"")</f>
        <v/>
      </c>
      <c r="H214" s="43" t="str">
        <f>IFERROR(VLOOKUP(B214,Baza[[№]:[Profit]],5,0),"")</f>
        <v/>
      </c>
      <c r="I214" s="46" t="str">
        <f>IFERROR(VLOOKUP(B214,Baza[[№]:[Profit]],6,0),"")</f>
        <v/>
      </c>
      <c r="J214" s="49" t="str">
        <f>IFERROR(VLOOKUP(B214,Baza[[№]:[Profit]],7,0),"")</f>
        <v/>
      </c>
      <c r="K214" s="43" t="str">
        <f>IFERROR(VLOOKUP(B214,Baza[[№]:[Profit]],8,0),"")</f>
        <v/>
      </c>
      <c r="L214" s="43" t="str">
        <f>IFERROR(VLOOKUP(B214,Baza[[№]:[Profit]],9,0),"")</f>
        <v/>
      </c>
      <c r="M214" s="43" t="str">
        <f>IFERROR(VLOOKUP(B214,Baza[[№]:[Profit]],10,0),"")</f>
        <v/>
      </c>
      <c r="N214" s="43" t="str">
        <f>IFERROR(IF(VLOOKUP(B214,Baza[[№]:[Profit]],11,0)=0,"-",VLOOKUP(B214,Baza[[№]:[Profit]],11,0)),"")</f>
        <v/>
      </c>
      <c r="O214" s="43" t="str">
        <f>IFERROR(IF(VLOOKUP(B214,Baza[[№]:[Profit]],12,0)=0,"-",VLOOKUP(B214,Baza[[№]:[Profit]],12,0)),"")</f>
        <v/>
      </c>
      <c r="P214" s="43" t="str">
        <f>IFERROR(IF(VLOOKUP(B214,Baza[[№]:[Profit]],13,0)=0,"-",VLOOKUP(B214,Baza[[№]:[Profit]],13,0)),"")</f>
        <v/>
      </c>
      <c r="Q214" s="43" t="str">
        <f>IFERROR(IF(VLOOKUP(B214,Baza[[№]:[Profit]],15,0)=0,"-",VLOOKUP(B214,Baza[[№]:[Profit]],15,0)),"")</f>
        <v/>
      </c>
      <c r="R214" s="43" t="str">
        <f>IFERROR(IF(VLOOKUP(B214,Baza[[№]:[Profit]],16,0)=0,"-",VLOOKUP(B214,Baza[[№]:[Profit]],16,0)),"")</f>
        <v/>
      </c>
      <c r="S214" s="43" t="str">
        <f>IFERROR(IF(VLOOKUP(B214,Baza[[№]:[Profit]],17,0)=0,"-",VLOOKUP(B214,Baza[[№]:[Profit]],17,0)),"")</f>
        <v/>
      </c>
      <c r="T214" s="43" t="str">
        <f>IFERROR(IF(VLOOKUP(B214,Baza[[№]:[Profit]],18,0)=0,"-",VLOOKUP(B214,Baza[[№]:[Profit]],18,0)),"")</f>
        <v/>
      </c>
      <c r="U214" s="41" t="str">
        <f>IFERROR(IF(VLOOKUP(B214,Baza[[№]:[Profit]],19,0)=0,"-",VLOOKUP(B214,Baza[[№]:[Profit]],19,0)),"")</f>
        <v/>
      </c>
      <c r="V214" s="41" t="str">
        <f>IFERROR(VLOOKUP(B214,Baza[[№]:[Profit]],20,0),"")</f>
        <v/>
      </c>
      <c r="W214" s="41" t="str">
        <f>IFERROR(IF(VLOOKUP(B214,Baza[[№]:[Profit]],21,0)=0,"-",VLOOKUP(B214,Baza[[№]:[Profit]],21,0)),"")</f>
        <v/>
      </c>
      <c r="X214" s="45" t="str">
        <f>IFERROR(IF(VLOOKUP(B214,Baza[[№]:[Profit]],22,0)=0,"-",VLOOKUP(B214,Baza[[№]:[Profit]],22,0)),"")</f>
        <v/>
      </c>
      <c r="Y214" s="45" t="str">
        <f>IFERROR(VLOOKUP(B214,Baza[[№]:[Profit]],23,0),"")</f>
        <v/>
      </c>
      <c r="Z214" s="44" t="str">
        <f>IFERROR(VLOOKUP(B214,Baza[[№]:[AFS]],24,0),"")</f>
        <v/>
      </c>
      <c r="AA214" s="45" t="str">
        <f>IF(Таблица2[[#This Row],[Profit]]="","#Н/Д",SUM($Y$40:Y214))</f>
        <v>#Н/Д</v>
      </c>
      <c r="AB214" s="45" t="b">
        <f>IF(Таблица2[[#This Row],[Grafik]]="#Н/Д",FALSE,TRUE)</f>
        <v>0</v>
      </c>
    </row>
    <row r="215" spans="1:28" ht="11.1" hidden="1" customHeight="1" x14ac:dyDescent="0.25">
      <c r="A215" s="93">
        <f t="shared" si="2"/>
        <v>176</v>
      </c>
      <c r="B215"/>
      <c r="C215" s="41" t="str">
        <f>IFERROR(VLOOKUP(B215,Baza[[№]:[Profit]],2,0),"")</f>
        <v/>
      </c>
      <c r="D21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1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15" s="43" t="str">
        <f>IFERROR(VLOOKUP(B215,Baza[[№]:[Profit]],3,0),"")</f>
        <v/>
      </c>
      <c r="G215" s="43" t="str">
        <f>IFERROR(VLOOKUP(B215,Baza[[№]:[Profit]],4,0),"")</f>
        <v/>
      </c>
      <c r="H215" s="43" t="str">
        <f>IFERROR(VLOOKUP(B215,Baza[[№]:[Profit]],5,0),"")</f>
        <v/>
      </c>
      <c r="I215" s="46" t="str">
        <f>IFERROR(VLOOKUP(B215,Baza[[№]:[Profit]],6,0),"")</f>
        <v/>
      </c>
      <c r="J215" s="49" t="str">
        <f>IFERROR(VLOOKUP(B215,Baza[[№]:[Profit]],7,0),"")</f>
        <v/>
      </c>
      <c r="K215" s="43" t="str">
        <f>IFERROR(VLOOKUP(B215,Baza[[№]:[Profit]],8,0),"")</f>
        <v/>
      </c>
      <c r="L215" s="43" t="str">
        <f>IFERROR(VLOOKUP(B215,Baza[[№]:[Profit]],9,0),"")</f>
        <v/>
      </c>
      <c r="M215" s="43" t="str">
        <f>IFERROR(VLOOKUP(B215,Baza[[№]:[Profit]],10,0),"")</f>
        <v/>
      </c>
      <c r="N215" s="43" t="str">
        <f>IFERROR(IF(VLOOKUP(B215,Baza[[№]:[Profit]],11,0)=0,"-",VLOOKUP(B215,Baza[[№]:[Profit]],11,0)),"")</f>
        <v/>
      </c>
      <c r="O215" s="43" t="str">
        <f>IFERROR(IF(VLOOKUP(B215,Baza[[№]:[Profit]],12,0)=0,"-",VLOOKUP(B215,Baza[[№]:[Profit]],12,0)),"")</f>
        <v/>
      </c>
      <c r="P215" s="43" t="str">
        <f>IFERROR(IF(VLOOKUP(B215,Baza[[№]:[Profit]],13,0)=0,"-",VLOOKUP(B215,Baza[[№]:[Profit]],13,0)),"")</f>
        <v/>
      </c>
      <c r="Q215" s="43" t="str">
        <f>IFERROR(IF(VLOOKUP(B215,Baza[[№]:[Profit]],15,0)=0,"-",VLOOKUP(B215,Baza[[№]:[Profit]],15,0)),"")</f>
        <v/>
      </c>
      <c r="R215" s="43" t="str">
        <f>IFERROR(IF(VLOOKUP(B215,Baza[[№]:[Profit]],16,0)=0,"-",VLOOKUP(B215,Baza[[№]:[Profit]],16,0)),"")</f>
        <v/>
      </c>
      <c r="S215" s="43" t="str">
        <f>IFERROR(IF(VLOOKUP(B215,Baza[[№]:[Profit]],17,0)=0,"-",VLOOKUP(B215,Baza[[№]:[Profit]],17,0)),"")</f>
        <v/>
      </c>
      <c r="T215" s="43" t="str">
        <f>IFERROR(IF(VLOOKUP(B215,Baza[[№]:[Profit]],18,0)=0,"-",VLOOKUP(B215,Baza[[№]:[Profit]],18,0)),"")</f>
        <v/>
      </c>
      <c r="U215" s="41" t="str">
        <f>IFERROR(IF(VLOOKUP(B215,Baza[[№]:[Profit]],19,0)=0,"-",VLOOKUP(B215,Baza[[№]:[Profit]],19,0)),"")</f>
        <v/>
      </c>
      <c r="V215" s="41" t="str">
        <f>IFERROR(VLOOKUP(B215,Baza[[№]:[Profit]],20,0),"")</f>
        <v/>
      </c>
      <c r="W215" s="41" t="str">
        <f>IFERROR(IF(VLOOKUP(B215,Baza[[№]:[Profit]],21,0)=0,"-",VLOOKUP(B215,Baza[[№]:[Profit]],21,0)),"")</f>
        <v/>
      </c>
      <c r="X215" s="45" t="str">
        <f>IFERROR(IF(VLOOKUP(B215,Baza[[№]:[Profit]],22,0)=0,"-",VLOOKUP(B215,Baza[[№]:[Profit]],22,0)),"")</f>
        <v/>
      </c>
      <c r="Y215" s="45" t="str">
        <f>IFERROR(VLOOKUP(B215,Baza[[№]:[Profit]],23,0),"")</f>
        <v/>
      </c>
      <c r="Z215" s="44" t="str">
        <f>IFERROR(VLOOKUP(B215,Baza[[№]:[AFS]],24,0),"")</f>
        <v/>
      </c>
      <c r="AA215" s="45" t="str">
        <f>IF(Таблица2[[#This Row],[Profit]]="","#Н/Д",SUM($Y$40:Y215))</f>
        <v>#Н/Д</v>
      </c>
      <c r="AB215" s="45" t="b">
        <f>IF(Таблица2[[#This Row],[Grafik]]="#Н/Д",FALSE,TRUE)</f>
        <v>0</v>
      </c>
    </row>
    <row r="216" spans="1:28" ht="11.1" hidden="1" customHeight="1" x14ac:dyDescent="0.25">
      <c r="A216" s="93">
        <f t="shared" si="2"/>
        <v>177</v>
      </c>
      <c r="B216"/>
      <c r="C216" s="41" t="str">
        <f>IFERROR(VLOOKUP(B216,Baza[[№]:[Profit]],2,0),"")</f>
        <v/>
      </c>
      <c r="D21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1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16" s="43" t="str">
        <f>IFERROR(VLOOKUP(B216,Baza[[№]:[Profit]],3,0),"")</f>
        <v/>
      </c>
      <c r="G216" s="43" t="str">
        <f>IFERROR(VLOOKUP(B216,Baza[[№]:[Profit]],4,0),"")</f>
        <v/>
      </c>
      <c r="H216" s="43" t="str">
        <f>IFERROR(VLOOKUP(B216,Baza[[№]:[Profit]],5,0),"")</f>
        <v/>
      </c>
      <c r="I216" s="46" t="str">
        <f>IFERROR(VLOOKUP(B216,Baza[[№]:[Profit]],6,0),"")</f>
        <v/>
      </c>
      <c r="J216" s="49" t="str">
        <f>IFERROR(VLOOKUP(B216,Baza[[№]:[Profit]],7,0),"")</f>
        <v/>
      </c>
      <c r="K216" s="43" t="str">
        <f>IFERROR(VLOOKUP(B216,Baza[[№]:[Profit]],8,0),"")</f>
        <v/>
      </c>
      <c r="L216" s="43" t="str">
        <f>IFERROR(VLOOKUP(B216,Baza[[№]:[Profit]],9,0),"")</f>
        <v/>
      </c>
      <c r="M216" s="43" t="str">
        <f>IFERROR(VLOOKUP(B216,Baza[[№]:[Profit]],10,0),"")</f>
        <v/>
      </c>
      <c r="N216" s="43" t="str">
        <f>IFERROR(IF(VLOOKUP(B216,Baza[[№]:[Profit]],11,0)=0,"-",VLOOKUP(B216,Baza[[№]:[Profit]],11,0)),"")</f>
        <v/>
      </c>
      <c r="O216" s="43" t="str">
        <f>IFERROR(IF(VLOOKUP(B216,Baza[[№]:[Profit]],12,0)=0,"-",VLOOKUP(B216,Baza[[№]:[Profit]],12,0)),"")</f>
        <v/>
      </c>
      <c r="P216" s="43" t="str">
        <f>IFERROR(IF(VLOOKUP(B216,Baza[[№]:[Profit]],13,0)=0,"-",VLOOKUP(B216,Baza[[№]:[Profit]],13,0)),"")</f>
        <v/>
      </c>
      <c r="Q216" s="43" t="str">
        <f>IFERROR(IF(VLOOKUP(B216,Baza[[№]:[Profit]],15,0)=0,"-",VLOOKUP(B216,Baza[[№]:[Profit]],15,0)),"")</f>
        <v/>
      </c>
      <c r="R216" s="43" t="str">
        <f>IFERROR(IF(VLOOKUP(B216,Baza[[№]:[Profit]],16,0)=0,"-",VLOOKUP(B216,Baza[[№]:[Profit]],16,0)),"")</f>
        <v/>
      </c>
      <c r="S216" s="43" t="str">
        <f>IFERROR(IF(VLOOKUP(B216,Baza[[№]:[Profit]],17,0)=0,"-",VLOOKUP(B216,Baza[[№]:[Profit]],17,0)),"")</f>
        <v/>
      </c>
      <c r="T216" s="43" t="str">
        <f>IFERROR(IF(VLOOKUP(B216,Baza[[№]:[Profit]],18,0)=0,"-",VLOOKUP(B216,Baza[[№]:[Profit]],18,0)),"")</f>
        <v/>
      </c>
      <c r="U216" s="41" t="str">
        <f>IFERROR(IF(VLOOKUP(B216,Baza[[№]:[Profit]],19,0)=0,"-",VLOOKUP(B216,Baza[[№]:[Profit]],19,0)),"")</f>
        <v/>
      </c>
      <c r="V216" s="41" t="str">
        <f>IFERROR(VLOOKUP(B216,Baza[[№]:[Profit]],20,0),"")</f>
        <v/>
      </c>
      <c r="W216" s="41" t="str">
        <f>IFERROR(IF(VLOOKUP(B216,Baza[[№]:[Profit]],21,0)=0,"-",VLOOKUP(B216,Baza[[№]:[Profit]],21,0)),"")</f>
        <v/>
      </c>
      <c r="X216" s="45" t="str">
        <f>IFERROR(IF(VLOOKUP(B216,Baza[[№]:[Profit]],22,0)=0,"-",VLOOKUP(B216,Baza[[№]:[Profit]],22,0)),"")</f>
        <v/>
      </c>
      <c r="Y216" s="45" t="str">
        <f>IFERROR(VLOOKUP(B216,Baza[[№]:[Profit]],23,0),"")</f>
        <v/>
      </c>
      <c r="Z216" s="44" t="str">
        <f>IFERROR(VLOOKUP(B216,Baza[[№]:[AFS]],24,0),"")</f>
        <v/>
      </c>
      <c r="AA216" s="45" t="str">
        <f>IF(Таблица2[[#This Row],[Profit]]="","#Н/Д",SUM($Y$40:Y216))</f>
        <v>#Н/Д</v>
      </c>
      <c r="AB216" s="45" t="b">
        <f>IF(Таблица2[[#This Row],[Grafik]]="#Н/Д",FALSE,TRUE)</f>
        <v>0</v>
      </c>
    </row>
    <row r="217" spans="1:28" ht="11.1" hidden="1" customHeight="1" x14ac:dyDescent="0.25">
      <c r="A217" s="93">
        <f t="shared" si="2"/>
        <v>178</v>
      </c>
      <c r="B217"/>
      <c r="C217" s="41" t="str">
        <f>IFERROR(VLOOKUP(B217,Baza[[№]:[Profit]],2,0),"")</f>
        <v/>
      </c>
      <c r="D21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1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17" s="43" t="str">
        <f>IFERROR(VLOOKUP(B217,Baza[[№]:[Profit]],3,0),"")</f>
        <v/>
      </c>
      <c r="G217" s="43" t="str">
        <f>IFERROR(VLOOKUP(B217,Baza[[№]:[Profit]],4,0),"")</f>
        <v/>
      </c>
      <c r="H217" s="43" t="str">
        <f>IFERROR(VLOOKUP(B217,Baza[[№]:[Profit]],5,0),"")</f>
        <v/>
      </c>
      <c r="I217" s="46" t="str">
        <f>IFERROR(VLOOKUP(B217,Baza[[№]:[Profit]],6,0),"")</f>
        <v/>
      </c>
      <c r="J217" s="49" t="str">
        <f>IFERROR(VLOOKUP(B217,Baza[[№]:[Profit]],7,0),"")</f>
        <v/>
      </c>
      <c r="K217" s="43" t="str">
        <f>IFERROR(VLOOKUP(B217,Baza[[№]:[Profit]],8,0),"")</f>
        <v/>
      </c>
      <c r="L217" s="43" t="str">
        <f>IFERROR(VLOOKUP(B217,Baza[[№]:[Profit]],9,0),"")</f>
        <v/>
      </c>
      <c r="M217" s="43" t="str">
        <f>IFERROR(VLOOKUP(B217,Baza[[№]:[Profit]],10,0),"")</f>
        <v/>
      </c>
      <c r="N217" s="43" t="str">
        <f>IFERROR(IF(VLOOKUP(B217,Baza[[№]:[Profit]],11,0)=0,"-",VLOOKUP(B217,Baza[[№]:[Profit]],11,0)),"")</f>
        <v/>
      </c>
      <c r="O217" s="43" t="str">
        <f>IFERROR(IF(VLOOKUP(B217,Baza[[№]:[Profit]],12,0)=0,"-",VLOOKUP(B217,Baza[[№]:[Profit]],12,0)),"")</f>
        <v/>
      </c>
      <c r="P217" s="43" t="str">
        <f>IFERROR(IF(VLOOKUP(B217,Baza[[№]:[Profit]],13,0)=0,"-",VLOOKUP(B217,Baza[[№]:[Profit]],13,0)),"")</f>
        <v/>
      </c>
      <c r="Q217" s="43" t="str">
        <f>IFERROR(IF(VLOOKUP(B217,Baza[[№]:[Profit]],15,0)=0,"-",VLOOKUP(B217,Baza[[№]:[Profit]],15,0)),"")</f>
        <v/>
      </c>
      <c r="R217" s="43" t="str">
        <f>IFERROR(IF(VLOOKUP(B217,Baza[[№]:[Profit]],16,0)=0,"-",VLOOKUP(B217,Baza[[№]:[Profit]],16,0)),"")</f>
        <v/>
      </c>
      <c r="S217" s="43" t="str">
        <f>IFERROR(IF(VLOOKUP(B217,Baza[[№]:[Profit]],17,0)=0,"-",VLOOKUP(B217,Baza[[№]:[Profit]],17,0)),"")</f>
        <v/>
      </c>
      <c r="T217" s="43" t="str">
        <f>IFERROR(IF(VLOOKUP(B217,Baza[[№]:[Profit]],18,0)=0,"-",VLOOKUP(B217,Baza[[№]:[Profit]],18,0)),"")</f>
        <v/>
      </c>
      <c r="U217" s="41" t="str">
        <f>IFERROR(IF(VLOOKUP(B217,Baza[[№]:[Profit]],19,0)=0,"-",VLOOKUP(B217,Baza[[№]:[Profit]],19,0)),"")</f>
        <v/>
      </c>
      <c r="V217" s="41" t="str">
        <f>IFERROR(VLOOKUP(B217,Baza[[№]:[Profit]],20,0),"")</f>
        <v/>
      </c>
      <c r="W217" s="41" t="str">
        <f>IFERROR(IF(VLOOKUP(B217,Baza[[№]:[Profit]],21,0)=0,"-",VLOOKUP(B217,Baza[[№]:[Profit]],21,0)),"")</f>
        <v/>
      </c>
      <c r="X217" s="45" t="str">
        <f>IFERROR(IF(VLOOKUP(B217,Baza[[№]:[Profit]],22,0)=0,"-",VLOOKUP(B217,Baza[[№]:[Profit]],22,0)),"")</f>
        <v/>
      </c>
      <c r="Y217" s="45" t="str">
        <f>IFERROR(VLOOKUP(B217,Baza[[№]:[Profit]],23,0),"")</f>
        <v/>
      </c>
      <c r="Z217" s="44" t="str">
        <f>IFERROR(VLOOKUP(B217,Baza[[№]:[AFS]],24,0),"")</f>
        <v/>
      </c>
      <c r="AA217" s="45" t="str">
        <f>IF(Таблица2[[#This Row],[Profit]]="","#Н/Д",SUM($Y$40:Y217))</f>
        <v>#Н/Д</v>
      </c>
      <c r="AB217" s="45" t="b">
        <f>IF(Таблица2[[#This Row],[Grafik]]="#Н/Д",FALSE,TRUE)</f>
        <v>0</v>
      </c>
    </row>
    <row r="218" spans="1:28" ht="11.1" hidden="1" customHeight="1" x14ac:dyDescent="0.25">
      <c r="A218" s="93">
        <f t="shared" si="2"/>
        <v>179</v>
      </c>
      <c r="B218"/>
      <c r="C218" s="41" t="str">
        <f>IFERROR(VLOOKUP(B218,Baza[[№]:[Profit]],2,0),"")</f>
        <v/>
      </c>
      <c r="D21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1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18" s="43" t="str">
        <f>IFERROR(VLOOKUP(B218,Baza[[№]:[Profit]],3,0),"")</f>
        <v/>
      </c>
      <c r="G218" s="43" t="str">
        <f>IFERROR(VLOOKUP(B218,Baza[[№]:[Profit]],4,0),"")</f>
        <v/>
      </c>
      <c r="H218" s="43" t="str">
        <f>IFERROR(VLOOKUP(B218,Baza[[№]:[Profit]],5,0),"")</f>
        <v/>
      </c>
      <c r="I218" s="46" t="str">
        <f>IFERROR(VLOOKUP(B218,Baza[[№]:[Profit]],6,0),"")</f>
        <v/>
      </c>
      <c r="J218" s="49" t="str">
        <f>IFERROR(VLOOKUP(B218,Baza[[№]:[Profit]],7,0),"")</f>
        <v/>
      </c>
      <c r="K218" s="43" t="str">
        <f>IFERROR(VLOOKUP(B218,Baza[[№]:[Profit]],8,0),"")</f>
        <v/>
      </c>
      <c r="L218" s="43" t="str">
        <f>IFERROR(VLOOKUP(B218,Baza[[№]:[Profit]],9,0),"")</f>
        <v/>
      </c>
      <c r="M218" s="43" t="str">
        <f>IFERROR(VLOOKUP(B218,Baza[[№]:[Profit]],10,0),"")</f>
        <v/>
      </c>
      <c r="N218" s="43" t="str">
        <f>IFERROR(IF(VLOOKUP(B218,Baza[[№]:[Profit]],11,0)=0,"-",VLOOKUP(B218,Baza[[№]:[Profit]],11,0)),"")</f>
        <v/>
      </c>
      <c r="O218" s="43" t="str">
        <f>IFERROR(IF(VLOOKUP(B218,Baza[[№]:[Profit]],12,0)=0,"-",VLOOKUP(B218,Baza[[№]:[Profit]],12,0)),"")</f>
        <v/>
      </c>
      <c r="P218" s="43" t="str">
        <f>IFERROR(IF(VLOOKUP(B218,Baza[[№]:[Profit]],13,0)=0,"-",VLOOKUP(B218,Baza[[№]:[Profit]],13,0)),"")</f>
        <v/>
      </c>
      <c r="Q218" s="43" t="str">
        <f>IFERROR(IF(VLOOKUP(B218,Baza[[№]:[Profit]],15,0)=0,"-",VLOOKUP(B218,Baza[[№]:[Profit]],15,0)),"")</f>
        <v/>
      </c>
      <c r="R218" s="43" t="str">
        <f>IFERROR(IF(VLOOKUP(B218,Baza[[№]:[Profit]],16,0)=0,"-",VLOOKUP(B218,Baza[[№]:[Profit]],16,0)),"")</f>
        <v/>
      </c>
      <c r="S218" s="43" t="str">
        <f>IFERROR(IF(VLOOKUP(B218,Baza[[№]:[Profit]],17,0)=0,"-",VLOOKUP(B218,Baza[[№]:[Profit]],17,0)),"")</f>
        <v/>
      </c>
      <c r="T218" s="43" t="str">
        <f>IFERROR(IF(VLOOKUP(B218,Baza[[№]:[Profit]],18,0)=0,"-",VLOOKUP(B218,Baza[[№]:[Profit]],18,0)),"")</f>
        <v/>
      </c>
      <c r="U218" s="41" t="str">
        <f>IFERROR(IF(VLOOKUP(B218,Baza[[№]:[Profit]],19,0)=0,"-",VLOOKUP(B218,Baza[[№]:[Profit]],19,0)),"")</f>
        <v/>
      </c>
      <c r="V218" s="41" t="str">
        <f>IFERROR(VLOOKUP(B218,Baza[[№]:[Profit]],20,0),"")</f>
        <v/>
      </c>
      <c r="W218" s="41" t="str">
        <f>IFERROR(IF(VLOOKUP(B218,Baza[[№]:[Profit]],21,0)=0,"-",VLOOKUP(B218,Baza[[№]:[Profit]],21,0)),"")</f>
        <v/>
      </c>
      <c r="X218" s="45" t="str">
        <f>IFERROR(IF(VLOOKUP(B218,Baza[[№]:[Profit]],22,0)=0,"-",VLOOKUP(B218,Baza[[№]:[Profit]],22,0)),"")</f>
        <v/>
      </c>
      <c r="Y218" s="45" t="str">
        <f>IFERROR(VLOOKUP(B218,Baza[[№]:[Profit]],23,0),"")</f>
        <v/>
      </c>
      <c r="Z218" s="44" t="str">
        <f>IFERROR(VLOOKUP(B218,Baza[[№]:[AFS]],24,0),"")</f>
        <v/>
      </c>
      <c r="AA218" s="45" t="str">
        <f>IF(Таблица2[[#This Row],[Profit]]="","#Н/Д",SUM($Y$40:Y218))</f>
        <v>#Н/Д</v>
      </c>
      <c r="AB218" s="45" t="b">
        <f>IF(Таблица2[[#This Row],[Grafik]]="#Н/Д",FALSE,TRUE)</f>
        <v>0</v>
      </c>
    </row>
    <row r="219" spans="1:28" ht="11.1" hidden="1" customHeight="1" x14ac:dyDescent="0.25">
      <c r="A219" s="93">
        <f t="shared" si="2"/>
        <v>180</v>
      </c>
      <c r="B219"/>
      <c r="C219" s="41" t="str">
        <f>IFERROR(VLOOKUP(B219,Baza[[№]:[Profit]],2,0),"")</f>
        <v/>
      </c>
      <c r="D21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1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19" s="43" t="str">
        <f>IFERROR(VLOOKUP(B219,Baza[[№]:[Profit]],3,0),"")</f>
        <v/>
      </c>
      <c r="G219" s="43" t="str">
        <f>IFERROR(VLOOKUP(B219,Baza[[№]:[Profit]],4,0),"")</f>
        <v/>
      </c>
      <c r="H219" s="43" t="str">
        <f>IFERROR(VLOOKUP(B219,Baza[[№]:[Profit]],5,0),"")</f>
        <v/>
      </c>
      <c r="I219" s="46" t="str">
        <f>IFERROR(VLOOKUP(B219,Baza[[№]:[Profit]],6,0),"")</f>
        <v/>
      </c>
      <c r="J219" s="49" t="str">
        <f>IFERROR(VLOOKUP(B219,Baza[[№]:[Profit]],7,0),"")</f>
        <v/>
      </c>
      <c r="K219" s="43" t="str">
        <f>IFERROR(VLOOKUP(B219,Baza[[№]:[Profit]],8,0),"")</f>
        <v/>
      </c>
      <c r="L219" s="43" t="str">
        <f>IFERROR(VLOOKUP(B219,Baza[[№]:[Profit]],9,0),"")</f>
        <v/>
      </c>
      <c r="M219" s="43" t="str">
        <f>IFERROR(VLOOKUP(B219,Baza[[№]:[Profit]],10,0),"")</f>
        <v/>
      </c>
      <c r="N219" s="43" t="str">
        <f>IFERROR(IF(VLOOKUP(B219,Baza[[№]:[Profit]],11,0)=0,"-",VLOOKUP(B219,Baza[[№]:[Profit]],11,0)),"")</f>
        <v/>
      </c>
      <c r="O219" s="43" t="str">
        <f>IFERROR(IF(VLOOKUP(B219,Baza[[№]:[Profit]],12,0)=0,"-",VLOOKUP(B219,Baza[[№]:[Profit]],12,0)),"")</f>
        <v/>
      </c>
      <c r="P219" s="43" t="str">
        <f>IFERROR(IF(VLOOKUP(B219,Baza[[№]:[Profit]],13,0)=0,"-",VLOOKUP(B219,Baza[[№]:[Profit]],13,0)),"")</f>
        <v/>
      </c>
      <c r="Q219" s="43" t="str">
        <f>IFERROR(IF(VLOOKUP(B219,Baza[[№]:[Profit]],15,0)=0,"-",VLOOKUP(B219,Baza[[№]:[Profit]],15,0)),"")</f>
        <v/>
      </c>
      <c r="R219" s="43" t="str">
        <f>IFERROR(IF(VLOOKUP(B219,Baza[[№]:[Profit]],16,0)=0,"-",VLOOKUP(B219,Baza[[№]:[Profit]],16,0)),"")</f>
        <v/>
      </c>
      <c r="S219" s="43" t="str">
        <f>IFERROR(IF(VLOOKUP(B219,Baza[[№]:[Profit]],17,0)=0,"-",VLOOKUP(B219,Baza[[№]:[Profit]],17,0)),"")</f>
        <v/>
      </c>
      <c r="T219" s="43" t="str">
        <f>IFERROR(IF(VLOOKUP(B219,Baza[[№]:[Profit]],18,0)=0,"-",VLOOKUP(B219,Baza[[№]:[Profit]],18,0)),"")</f>
        <v/>
      </c>
      <c r="U219" s="41" t="str">
        <f>IFERROR(IF(VLOOKUP(B219,Baza[[№]:[Profit]],19,0)=0,"-",VLOOKUP(B219,Baza[[№]:[Profit]],19,0)),"")</f>
        <v/>
      </c>
      <c r="V219" s="41" t="str">
        <f>IFERROR(VLOOKUP(B219,Baza[[№]:[Profit]],20,0),"")</f>
        <v/>
      </c>
      <c r="W219" s="41" t="str">
        <f>IFERROR(IF(VLOOKUP(B219,Baza[[№]:[Profit]],21,0)=0,"-",VLOOKUP(B219,Baza[[№]:[Profit]],21,0)),"")</f>
        <v/>
      </c>
      <c r="X219" s="45" t="str">
        <f>IFERROR(IF(VLOOKUP(B219,Baza[[№]:[Profit]],22,0)=0,"-",VLOOKUP(B219,Baza[[№]:[Profit]],22,0)),"")</f>
        <v/>
      </c>
      <c r="Y219" s="45" t="str">
        <f>IFERROR(VLOOKUP(B219,Baza[[№]:[Profit]],23,0),"")</f>
        <v/>
      </c>
      <c r="Z219" s="44" t="str">
        <f>IFERROR(VLOOKUP(B219,Baza[[№]:[AFS]],24,0),"")</f>
        <v/>
      </c>
      <c r="AA219" s="45" t="str">
        <f>IF(Таблица2[[#This Row],[Profit]]="","#Н/Д",SUM($Y$40:Y219))</f>
        <v>#Н/Д</v>
      </c>
      <c r="AB219" s="45" t="b">
        <f>IF(Таблица2[[#This Row],[Grafik]]="#Н/Д",FALSE,TRUE)</f>
        <v>0</v>
      </c>
    </row>
    <row r="220" spans="1:28" ht="11.1" hidden="1" customHeight="1" x14ac:dyDescent="0.25">
      <c r="A220" s="93">
        <f t="shared" si="2"/>
        <v>181</v>
      </c>
      <c r="B220"/>
      <c r="C220" s="41" t="str">
        <f>IFERROR(VLOOKUP(B220,Baza[[№]:[Profit]],2,0),"")</f>
        <v/>
      </c>
      <c r="D22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2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20" s="43" t="str">
        <f>IFERROR(VLOOKUP(B220,Baza[[№]:[Profit]],3,0),"")</f>
        <v/>
      </c>
      <c r="G220" s="43" t="str">
        <f>IFERROR(VLOOKUP(B220,Baza[[№]:[Profit]],4,0),"")</f>
        <v/>
      </c>
      <c r="H220" s="43" t="str">
        <f>IFERROR(VLOOKUP(B220,Baza[[№]:[Profit]],5,0),"")</f>
        <v/>
      </c>
      <c r="I220" s="46" t="str">
        <f>IFERROR(VLOOKUP(B220,Baza[[№]:[Profit]],6,0),"")</f>
        <v/>
      </c>
      <c r="J220" s="49" t="str">
        <f>IFERROR(VLOOKUP(B220,Baza[[№]:[Profit]],7,0),"")</f>
        <v/>
      </c>
      <c r="K220" s="43" t="str">
        <f>IFERROR(VLOOKUP(B220,Baza[[№]:[Profit]],8,0),"")</f>
        <v/>
      </c>
      <c r="L220" s="43" t="str">
        <f>IFERROR(VLOOKUP(B220,Baza[[№]:[Profit]],9,0),"")</f>
        <v/>
      </c>
      <c r="M220" s="43" t="str">
        <f>IFERROR(VLOOKUP(B220,Baza[[№]:[Profit]],10,0),"")</f>
        <v/>
      </c>
      <c r="N220" s="43" t="str">
        <f>IFERROR(IF(VLOOKUP(B220,Baza[[№]:[Profit]],11,0)=0,"-",VLOOKUP(B220,Baza[[№]:[Profit]],11,0)),"")</f>
        <v/>
      </c>
      <c r="O220" s="43" t="str">
        <f>IFERROR(IF(VLOOKUP(B220,Baza[[№]:[Profit]],12,0)=0,"-",VLOOKUP(B220,Baza[[№]:[Profit]],12,0)),"")</f>
        <v/>
      </c>
      <c r="P220" s="43" t="str">
        <f>IFERROR(IF(VLOOKUP(B220,Baza[[№]:[Profit]],13,0)=0,"-",VLOOKUP(B220,Baza[[№]:[Profit]],13,0)),"")</f>
        <v/>
      </c>
      <c r="Q220" s="43" t="str">
        <f>IFERROR(IF(VLOOKUP(B220,Baza[[№]:[Profit]],15,0)=0,"-",VLOOKUP(B220,Baza[[№]:[Profit]],15,0)),"")</f>
        <v/>
      </c>
      <c r="R220" s="43" t="str">
        <f>IFERROR(IF(VLOOKUP(B220,Baza[[№]:[Profit]],16,0)=0,"-",VLOOKUP(B220,Baza[[№]:[Profit]],16,0)),"")</f>
        <v/>
      </c>
      <c r="S220" s="43" t="str">
        <f>IFERROR(IF(VLOOKUP(B220,Baza[[№]:[Profit]],17,0)=0,"-",VLOOKUP(B220,Baza[[№]:[Profit]],17,0)),"")</f>
        <v/>
      </c>
      <c r="T220" s="43" t="str">
        <f>IFERROR(IF(VLOOKUP(B220,Baza[[№]:[Profit]],18,0)=0,"-",VLOOKUP(B220,Baza[[№]:[Profit]],18,0)),"")</f>
        <v/>
      </c>
      <c r="U220" s="41" t="str">
        <f>IFERROR(IF(VLOOKUP(B220,Baza[[№]:[Profit]],19,0)=0,"-",VLOOKUP(B220,Baza[[№]:[Profit]],19,0)),"")</f>
        <v/>
      </c>
      <c r="V220" s="41" t="str">
        <f>IFERROR(VLOOKUP(B220,Baza[[№]:[Profit]],20,0),"")</f>
        <v/>
      </c>
      <c r="W220" s="41" t="str">
        <f>IFERROR(IF(VLOOKUP(B220,Baza[[№]:[Profit]],21,0)=0,"-",VLOOKUP(B220,Baza[[№]:[Profit]],21,0)),"")</f>
        <v/>
      </c>
      <c r="X220" s="45" t="str">
        <f>IFERROR(IF(VLOOKUP(B220,Baza[[№]:[Profit]],22,0)=0,"-",VLOOKUP(B220,Baza[[№]:[Profit]],22,0)),"")</f>
        <v/>
      </c>
      <c r="Y220" s="45" t="str">
        <f>IFERROR(VLOOKUP(B220,Baza[[№]:[Profit]],23,0),"")</f>
        <v/>
      </c>
      <c r="Z220" s="44" t="str">
        <f>IFERROR(VLOOKUP(B220,Baza[[№]:[AFS]],24,0),"")</f>
        <v/>
      </c>
      <c r="AA220" s="45" t="str">
        <f>IF(Таблица2[[#This Row],[Profit]]="","#Н/Д",SUM($Y$40:Y220))</f>
        <v>#Н/Д</v>
      </c>
      <c r="AB220" s="45" t="b">
        <f>IF(Таблица2[[#This Row],[Grafik]]="#Н/Д",FALSE,TRUE)</f>
        <v>0</v>
      </c>
    </row>
    <row r="221" spans="1:28" ht="11.1" hidden="1" customHeight="1" x14ac:dyDescent="0.25">
      <c r="A221" s="93">
        <f t="shared" si="2"/>
        <v>182</v>
      </c>
      <c r="B221"/>
      <c r="C221" s="41" t="str">
        <f>IFERROR(VLOOKUP(B221,Baza[[№]:[Profit]],2,0),"")</f>
        <v/>
      </c>
      <c r="D22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2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21" s="43" t="str">
        <f>IFERROR(VLOOKUP(B221,Baza[[№]:[Profit]],3,0),"")</f>
        <v/>
      </c>
      <c r="G221" s="43" t="str">
        <f>IFERROR(VLOOKUP(B221,Baza[[№]:[Profit]],4,0),"")</f>
        <v/>
      </c>
      <c r="H221" s="43" t="str">
        <f>IFERROR(VLOOKUP(B221,Baza[[№]:[Profit]],5,0),"")</f>
        <v/>
      </c>
      <c r="I221" s="46" t="str">
        <f>IFERROR(VLOOKUP(B221,Baza[[№]:[Profit]],6,0),"")</f>
        <v/>
      </c>
      <c r="J221" s="49" t="str">
        <f>IFERROR(VLOOKUP(B221,Baza[[№]:[Profit]],7,0),"")</f>
        <v/>
      </c>
      <c r="K221" s="43" t="str">
        <f>IFERROR(VLOOKUP(B221,Baza[[№]:[Profit]],8,0),"")</f>
        <v/>
      </c>
      <c r="L221" s="43" t="str">
        <f>IFERROR(VLOOKUP(B221,Baza[[№]:[Profit]],9,0),"")</f>
        <v/>
      </c>
      <c r="M221" s="43" t="str">
        <f>IFERROR(VLOOKUP(B221,Baza[[№]:[Profit]],10,0),"")</f>
        <v/>
      </c>
      <c r="N221" s="43" t="str">
        <f>IFERROR(IF(VLOOKUP(B221,Baza[[№]:[Profit]],11,0)=0,"-",VLOOKUP(B221,Baza[[№]:[Profit]],11,0)),"")</f>
        <v/>
      </c>
      <c r="O221" s="43" t="str">
        <f>IFERROR(IF(VLOOKUP(B221,Baza[[№]:[Profit]],12,0)=0,"-",VLOOKUP(B221,Baza[[№]:[Profit]],12,0)),"")</f>
        <v/>
      </c>
      <c r="P221" s="43" t="str">
        <f>IFERROR(IF(VLOOKUP(B221,Baza[[№]:[Profit]],13,0)=0,"-",VLOOKUP(B221,Baza[[№]:[Profit]],13,0)),"")</f>
        <v/>
      </c>
      <c r="Q221" s="43" t="str">
        <f>IFERROR(IF(VLOOKUP(B221,Baza[[№]:[Profit]],15,0)=0,"-",VLOOKUP(B221,Baza[[№]:[Profit]],15,0)),"")</f>
        <v/>
      </c>
      <c r="R221" s="43" t="str">
        <f>IFERROR(IF(VLOOKUP(B221,Baza[[№]:[Profit]],16,0)=0,"-",VLOOKUP(B221,Baza[[№]:[Profit]],16,0)),"")</f>
        <v/>
      </c>
      <c r="S221" s="43" t="str">
        <f>IFERROR(IF(VLOOKUP(B221,Baza[[№]:[Profit]],17,0)=0,"-",VLOOKUP(B221,Baza[[№]:[Profit]],17,0)),"")</f>
        <v/>
      </c>
      <c r="T221" s="43" t="str">
        <f>IFERROR(IF(VLOOKUP(B221,Baza[[№]:[Profit]],18,0)=0,"-",VLOOKUP(B221,Baza[[№]:[Profit]],18,0)),"")</f>
        <v/>
      </c>
      <c r="U221" s="41" t="str">
        <f>IFERROR(IF(VLOOKUP(B221,Baza[[№]:[Profit]],19,0)=0,"-",VLOOKUP(B221,Baza[[№]:[Profit]],19,0)),"")</f>
        <v/>
      </c>
      <c r="V221" s="41" t="str">
        <f>IFERROR(VLOOKUP(B221,Baza[[№]:[Profit]],20,0),"")</f>
        <v/>
      </c>
      <c r="W221" s="41" t="str">
        <f>IFERROR(IF(VLOOKUP(B221,Baza[[№]:[Profit]],21,0)=0,"-",VLOOKUP(B221,Baza[[№]:[Profit]],21,0)),"")</f>
        <v/>
      </c>
      <c r="X221" s="45" t="str">
        <f>IFERROR(IF(VLOOKUP(B221,Baza[[№]:[Profit]],22,0)=0,"-",VLOOKUP(B221,Baza[[№]:[Profit]],22,0)),"")</f>
        <v/>
      </c>
      <c r="Y221" s="45" t="str">
        <f>IFERROR(VLOOKUP(B221,Baza[[№]:[Profit]],23,0),"")</f>
        <v/>
      </c>
      <c r="Z221" s="44" t="str">
        <f>IFERROR(VLOOKUP(B221,Baza[[№]:[AFS]],24,0),"")</f>
        <v/>
      </c>
      <c r="AA221" s="45" t="str">
        <f>IF(Таблица2[[#This Row],[Profit]]="","#Н/Д",SUM($Y$40:Y221))</f>
        <v>#Н/Д</v>
      </c>
      <c r="AB221" s="45" t="b">
        <f>IF(Таблица2[[#This Row],[Grafik]]="#Н/Д",FALSE,TRUE)</f>
        <v>0</v>
      </c>
    </row>
    <row r="222" spans="1:28" ht="11.1" hidden="1" customHeight="1" x14ac:dyDescent="0.25">
      <c r="A222" s="93">
        <f t="shared" si="2"/>
        <v>183</v>
      </c>
      <c r="B222"/>
      <c r="C222" s="41" t="str">
        <f>IFERROR(VLOOKUP(B222,Baza[[№]:[Profit]],2,0),"")</f>
        <v/>
      </c>
      <c r="D22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2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22" s="43" t="str">
        <f>IFERROR(VLOOKUP(B222,Baza[[№]:[Profit]],3,0),"")</f>
        <v/>
      </c>
      <c r="G222" s="43" t="str">
        <f>IFERROR(VLOOKUP(B222,Baza[[№]:[Profit]],4,0),"")</f>
        <v/>
      </c>
      <c r="H222" s="43" t="str">
        <f>IFERROR(VLOOKUP(B222,Baza[[№]:[Profit]],5,0),"")</f>
        <v/>
      </c>
      <c r="I222" s="46" t="str">
        <f>IFERROR(VLOOKUP(B222,Baza[[№]:[Profit]],6,0),"")</f>
        <v/>
      </c>
      <c r="J222" s="49" t="str">
        <f>IFERROR(VLOOKUP(B222,Baza[[№]:[Profit]],7,0),"")</f>
        <v/>
      </c>
      <c r="K222" s="43" t="str">
        <f>IFERROR(VLOOKUP(B222,Baza[[№]:[Profit]],8,0),"")</f>
        <v/>
      </c>
      <c r="L222" s="43" t="str">
        <f>IFERROR(VLOOKUP(B222,Baza[[№]:[Profit]],9,0),"")</f>
        <v/>
      </c>
      <c r="M222" s="43" t="str">
        <f>IFERROR(VLOOKUP(B222,Baza[[№]:[Profit]],10,0),"")</f>
        <v/>
      </c>
      <c r="N222" s="43" t="str">
        <f>IFERROR(IF(VLOOKUP(B222,Baza[[№]:[Profit]],11,0)=0,"-",VLOOKUP(B222,Baza[[№]:[Profit]],11,0)),"")</f>
        <v/>
      </c>
      <c r="O222" s="43" t="str">
        <f>IFERROR(IF(VLOOKUP(B222,Baza[[№]:[Profit]],12,0)=0,"-",VLOOKUP(B222,Baza[[№]:[Profit]],12,0)),"")</f>
        <v/>
      </c>
      <c r="P222" s="43" t="str">
        <f>IFERROR(IF(VLOOKUP(B222,Baza[[№]:[Profit]],13,0)=0,"-",VLOOKUP(B222,Baza[[№]:[Profit]],13,0)),"")</f>
        <v/>
      </c>
      <c r="Q222" s="43" t="str">
        <f>IFERROR(IF(VLOOKUP(B222,Baza[[№]:[Profit]],15,0)=0,"-",VLOOKUP(B222,Baza[[№]:[Profit]],15,0)),"")</f>
        <v/>
      </c>
      <c r="R222" s="43" t="str">
        <f>IFERROR(IF(VLOOKUP(B222,Baza[[№]:[Profit]],16,0)=0,"-",VLOOKUP(B222,Baza[[№]:[Profit]],16,0)),"")</f>
        <v/>
      </c>
      <c r="S222" s="43" t="str">
        <f>IFERROR(IF(VLOOKUP(B222,Baza[[№]:[Profit]],17,0)=0,"-",VLOOKUP(B222,Baza[[№]:[Profit]],17,0)),"")</f>
        <v/>
      </c>
      <c r="T222" s="43" t="str">
        <f>IFERROR(IF(VLOOKUP(B222,Baza[[№]:[Profit]],18,0)=0,"-",VLOOKUP(B222,Baza[[№]:[Profit]],18,0)),"")</f>
        <v/>
      </c>
      <c r="U222" s="41" t="str">
        <f>IFERROR(IF(VLOOKUP(B222,Baza[[№]:[Profit]],19,0)=0,"-",VLOOKUP(B222,Baza[[№]:[Profit]],19,0)),"")</f>
        <v/>
      </c>
      <c r="V222" s="41" t="str">
        <f>IFERROR(VLOOKUP(B222,Baza[[№]:[Profit]],20,0),"")</f>
        <v/>
      </c>
      <c r="W222" s="41" t="str">
        <f>IFERROR(IF(VLOOKUP(B222,Baza[[№]:[Profit]],21,0)=0,"-",VLOOKUP(B222,Baza[[№]:[Profit]],21,0)),"")</f>
        <v/>
      </c>
      <c r="X222" s="45" t="str">
        <f>IFERROR(IF(VLOOKUP(B222,Baza[[№]:[Profit]],22,0)=0,"-",VLOOKUP(B222,Baza[[№]:[Profit]],22,0)),"")</f>
        <v/>
      </c>
      <c r="Y222" s="45" t="str">
        <f>IFERROR(VLOOKUP(B222,Baza[[№]:[Profit]],23,0),"")</f>
        <v/>
      </c>
      <c r="Z222" s="44" t="str">
        <f>IFERROR(VLOOKUP(B222,Baza[[№]:[AFS]],24,0),"")</f>
        <v/>
      </c>
      <c r="AA222" s="45" t="str">
        <f>IF(Таблица2[[#This Row],[Profit]]="","#Н/Д",SUM($Y$40:Y222))</f>
        <v>#Н/Д</v>
      </c>
      <c r="AB222" s="45" t="b">
        <f>IF(Таблица2[[#This Row],[Grafik]]="#Н/Д",FALSE,TRUE)</f>
        <v>0</v>
      </c>
    </row>
    <row r="223" spans="1:28" ht="11.1" hidden="1" customHeight="1" x14ac:dyDescent="0.25">
      <c r="A223" s="93">
        <f t="shared" si="2"/>
        <v>184</v>
      </c>
      <c r="B223"/>
      <c r="C223" s="41" t="str">
        <f>IFERROR(VLOOKUP(B223,Baza[[№]:[Profit]],2,0),"")</f>
        <v/>
      </c>
      <c r="D22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2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23" s="43" t="str">
        <f>IFERROR(VLOOKUP(B223,Baza[[№]:[Profit]],3,0),"")</f>
        <v/>
      </c>
      <c r="G223" s="43" t="str">
        <f>IFERROR(VLOOKUP(B223,Baza[[№]:[Profit]],4,0),"")</f>
        <v/>
      </c>
      <c r="H223" s="43" t="str">
        <f>IFERROR(VLOOKUP(B223,Baza[[№]:[Profit]],5,0),"")</f>
        <v/>
      </c>
      <c r="I223" s="46" t="str">
        <f>IFERROR(VLOOKUP(B223,Baza[[№]:[Profit]],6,0),"")</f>
        <v/>
      </c>
      <c r="J223" s="49" t="str">
        <f>IFERROR(VLOOKUP(B223,Baza[[№]:[Profit]],7,0),"")</f>
        <v/>
      </c>
      <c r="K223" s="43" t="str">
        <f>IFERROR(VLOOKUP(B223,Baza[[№]:[Profit]],8,0),"")</f>
        <v/>
      </c>
      <c r="L223" s="43" t="str">
        <f>IFERROR(VLOOKUP(B223,Baza[[№]:[Profit]],9,0),"")</f>
        <v/>
      </c>
      <c r="M223" s="43" t="str">
        <f>IFERROR(VLOOKUP(B223,Baza[[№]:[Profit]],10,0),"")</f>
        <v/>
      </c>
      <c r="N223" s="43" t="str">
        <f>IFERROR(IF(VLOOKUP(B223,Baza[[№]:[Profit]],11,0)=0,"-",VLOOKUP(B223,Baza[[№]:[Profit]],11,0)),"")</f>
        <v/>
      </c>
      <c r="O223" s="43" t="str">
        <f>IFERROR(IF(VLOOKUP(B223,Baza[[№]:[Profit]],12,0)=0,"-",VLOOKUP(B223,Baza[[№]:[Profit]],12,0)),"")</f>
        <v/>
      </c>
      <c r="P223" s="43" t="str">
        <f>IFERROR(IF(VLOOKUP(B223,Baza[[№]:[Profit]],13,0)=0,"-",VLOOKUP(B223,Baza[[№]:[Profit]],13,0)),"")</f>
        <v/>
      </c>
      <c r="Q223" s="43" t="str">
        <f>IFERROR(IF(VLOOKUP(B223,Baza[[№]:[Profit]],15,0)=0,"-",VLOOKUP(B223,Baza[[№]:[Profit]],15,0)),"")</f>
        <v/>
      </c>
      <c r="R223" s="43" t="str">
        <f>IFERROR(IF(VLOOKUP(B223,Baza[[№]:[Profit]],16,0)=0,"-",VLOOKUP(B223,Baza[[№]:[Profit]],16,0)),"")</f>
        <v/>
      </c>
      <c r="S223" s="43" t="str">
        <f>IFERROR(IF(VLOOKUP(B223,Baza[[№]:[Profit]],17,0)=0,"-",VLOOKUP(B223,Baza[[№]:[Profit]],17,0)),"")</f>
        <v/>
      </c>
      <c r="T223" s="43" t="str">
        <f>IFERROR(IF(VLOOKUP(B223,Baza[[№]:[Profit]],18,0)=0,"-",VLOOKUP(B223,Baza[[№]:[Profit]],18,0)),"")</f>
        <v/>
      </c>
      <c r="U223" s="41" t="str">
        <f>IFERROR(IF(VLOOKUP(B223,Baza[[№]:[Profit]],19,0)=0,"-",VLOOKUP(B223,Baza[[№]:[Profit]],19,0)),"")</f>
        <v/>
      </c>
      <c r="V223" s="41" t="str">
        <f>IFERROR(VLOOKUP(B223,Baza[[№]:[Profit]],20,0),"")</f>
        <v/>
      </c>
      <c r="W223" s="41" t="str">
        <f>IFERROR(IF(VLOOKUP(B223,Baza[[№]:[Profit]],21,0)=0,"-",VLOOKUP(B223,Baza[[№]:[Profit]],21,0)),"")</f>
        <v/>
      </c>
      <c r="X223" s="45" t="str">
        <f>IFERROR(IF(VLOOKUP(B223,Baza[[№]:[Profit]],22,0)=0,"-",VLOOKUP(B223,Baza[[№]:[Profit]],22,0)),"")</f>
        <v/>
      </c>
      <c r="Y223" s="45" t="str">
        <f>IFERROR(VLOOKUP(B223,Baza[[№]:[Profit]],23,0),"")</f>
        <v/>
      </c>
      <c r="Z223" s="44" t="str">
        <f>IFERROR(VLOOKUP(B223,Baza[[№]:[AFS]],24,0),"")</f>
        <v/>
      </c>
      <c r="AA223" s="45" t="str">
        <f>IF(Таблица2[[#This Row],[Profit]]="","#Н/Д",SUM($Y$40:Y223))</f>
        <v>#Н/Д</v>
      </c>
      <c r="AB223" s="45" t="b">
        <f>IF(Таблица2[[#This Row],[Grafik]]="#Н/Д",FALSE,TRUE)</f>
        <v>0</v>
      </c>
    </row>
    <row r="224" spans="1:28" ht="11.1" hidden="1" customHeight="1" x14ac:dyDescent="0.25">
      <c r="A224" s="93">
        <f t="shared" si="2"/>
        <v>185</v>
      </c>
      <c r="B224"/>
      <c r="C224" s="41" t="str">
        <f>IFERROR(VLOOKUP(B224,Baza[[№]:[Profit]],2,0),"")</f>
        <v/>
      </c>
      <c r="D22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2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24" s="43" t="str">
        <f>IFERROR(VLOOKUP(B224,Baza[[№]:[Profit]],3,0),"")</f>
        <v/>
      </c>
      <c r="G224" s="43" t="str">
        <f>IFERROR(VLOOKUP(B224,Baza[[№]:[Profit]],4,0),"")</f>
        <v/>
      </c>
      <c r="H224" s="43" t="str">
        <f>IFERROR(VLOOKUP(B224,Baza[[№]:[Profit]],5,0),"")</f>
        <v/>
      </c>
      <c r="I224" s="46" t="str">
        <f>IFERROR(VLOOKUP(B224,Baza[[№]:[Profit]],6,0),"")</f>
        <v/>
      </c>
      <c r="J224" s="49" t="str">
        <f>IFERROR(VLOOKUP(B224,Baza[[№]:[Profit]],7,0),"")</f>
        <v/>
      </c>
      <c r="K224" s="43" t="str">
        <f>IFERROR(VLOOKUP(B224,Baza[[№]:[Profit]],8,0),"")</f>
        <v/>
      </c>
      <c r="L224" s="43" t="str">
        <f>IFERROR(VLOOKUP(B224,Baza[[№]:[Profit]],9,0),"")</f>
        <v/>
      </c>
      <c r="M224" s="43" t="str">
        <f>IFERROR(VLOOKUP(B224,Baza[[№]:[Profit]],10,0),"")</f>
        <v/>
      </c>
      <c r="N224" s="43" t="str">
        <f>IFERROR(IF(VLOOKUP(B224,Baza[[№]:[Profit]],11,0)=0,"-",VLOOKUP(B224,Baza[[№]:[Profit]],11,0)),"")</f>
        <v/>
      </c>
      <c r="O224" s="43" t="str">
        <f>IFERROR(IF(VLOOKUP(B224,Baza[[№]:[Profit]],12,0)=0,"-",VLOOKUP(B224,Baza[[№]:[Profit]],12,0)),"")</f>
        <v/>
      </c>
      <c r="P224" s="43" t="str">
        <f>IFERROR(IF(VLOOKUP(B224,Baza[[№]:[Profit]],13,0)=0,"-",VLOOKUP(B224,Baza[[№]:[Profit]],13,0)),"")</f>
        <v/>
      </c>
      <c r="Q224" s="43" t="str">
        <f>IFERROR(IF(VLOOKUP(B224,Baza[[№]:[Profit]],15,0)=0,"-",VLOOKUP(B224,Baza[[№]:[Profit]],15,0)),"")</f>
        <v/>
      </c>
      <c r="R224" s="43" t="str">
        <f>IFERROR(IF(VLOOKUP(B224,Baza[[№]:[Profit]],16,0)=0,"-",VLOOKUP(B224,Baza[[№]:[Profit]],16,0)),"")</f>
        <v/>
      </c>
      <c r="S224" s="43" t="str">
        <f>IFERROR(IF(VLOOKUP(B224,Baza[[№]:[Profit]],17,0)=0,"-",VLOOKUP(B224,Baza[[№]:[Profit]],17,0)),"")</f>
        <v/>
      </c>
      <c r="T224" s="43" t="str">
        <f>IFERROR(IF(VLOOKUP(B224,Baza[[№]:[Profit]],18,0)=0,"-",VLOOKUP(B224,Baza[[№]:[Profit]],18,0)),"")</f>
        <v/>
      </c>
      <c r="U224" s="41" t="str">
        <f>IFERROR(IF(VLOOKUP(B224,Baza[[№]:[Profit]],19,0)=0,"-",VLOOKUP(B224,Baza[[№]:[Profit]],19,0)),"")</f>
        <v/>
      </c>
      <c r="V224" s="41" t="str">
        <f>IFERROR(VLOOKUP(B224,Baza[[№]:[Profit]],20,0),"")</f>
        <v/>
      </c>
      <c r="W224" s="41" t="str">
        <f>IFERROR(IF(VLOOKUP(B224,Baza[[№]:[Profit]],21,0)=0,"-",VLOOKUP(B224,Baza[[№]:[Profit]],21,0)),"")</f>
        <v/>
      </c>
      <c r="X224" s="45" t="str">
        <f>IFERROR(IF(VLOOKUP(B224,Baza[[№]:[Profit]],22,0)=0,"-",VLOOKUP(B224,Baza[[№]:[Profit]],22,0)),"")</f>
        <v/>
      </c>
      <c r="Y224" s="45" t="str">
        <f>IFERROR(VLOOKUP(B224,Baza[[№]:[Profit]],23,0),"")</f>
        <v/>
      </c>
      <c r="Z224" s="44" t="str">
        <f>IFERROR(VLOOKUP(B224,Baza[[№]:[AFS]],24,0),"")</f>
        <v/>
      </c>
      <c r="AA224" s="45" t="str">
        <f>IF(Таблица2[[#This Row],[Profit]]="","#Н/Д",SUM($Y$40:Y224))</f>
        <v>#Н/Д</v>
      </c>
      <c r="AB224" s="45" t="b">
        <f>IF(Таблица2[[#This Row],[Grafik]]="#Н/Д",FALSE,TRUE)</f>
        <v>0</v>
      </c>
    </row>
    <row r="225" spans="1:28" ht="11.1" hidden="1" customHeight="1" x14ac:dyDescent="0.25">
      <c r="A225" s="93">
        <f t="shared" si="2"/>
        <v>186</v>
      </c>
      <c r="B225"/>
      <c r="C225" s="41" t="str">
        <f>IFERROR(VLOOKUP(B225,Baza[[№]:[Profit]],2,0),"")</f>
        <v/>
      </c>
      <c r="D22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2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25" s="43" t="str">
        <f>IFERROR(VLOOKUP(B225,Baza[[№]:[Profit]],3,0),"")</f>
        <v/>
      </c>
      <c r="G225" s="43" t="str">
        <f>IFERROR(VLOOKUP(B225,Baza[[№]:[Profit]],4,0),"")</f>
        <v/>
      </c>
      <c r="H225" s="43" t="str">
        <f>IFERROR(VLOOKUP(B225,Baza[[№]:[Profit]],5,0),"")</f>
        <v/>
      </c>
      <c r="I225" s="46" t="str">
        <f>IFERROR(VLOOKUP(B225,Baza[[№]:[Profit]],6,0),"")</f>
        <v/>
      </c>
      <c r="J225" s="49" t="str">
        <f>IFERROR(VLOOKUP(B225,Baza[[№]:[Profit]],7,0),"")</f>
        <v/>
      </c>
      <c r="K225" s="43" t="str">
        <f>IFERROR(VLOOKUP(B225,Baza[[№]:[Profit]],8,0),"")</f>
        <v/>
      </c>
      <c r="L225" s="43" t="str">
        <f>IFERROR(VLOOKUP(B225,Baza[[№]:[Profit]],9,0),"")</f>
        <v/>
      </c>
      <c r="M225" s="43" t="str">
        <f>IFERROR(VLOOKUP(B225,Baza[[№]:[Profit]],10,0),"")</f>
        <v/>
      </c>
      <c r="N225" s="43" t="str">
        <f>IFERROR(IF(VLOOKUP(B225,Baza[[№]:[Profit]],11,0)=0,"-",VLOOKUP(B225,Baza[[№]:[Profit]],11,0)),"")</f>
        <v/>
      </c>
      <c r="O225" s="43" t="str">
        <f>IFERROR(IF(VLOOKUP(B225,Baza[[№]:[Profit]],12,0)=0,"-",VLOOKUP(B225,Baza[[№]:[Profit]],12,0)),"")</f>
        <v/>
      </c>
      <c r="P225" s="43" t="str">
        <f>IFERROR(IF(VLOOKUP(B225,Baza[[№]:[Profit]],13,0)=0,"-",VLOOKUP(B225,Baza[[№]:[Profit]],13,0)),"")</f>
        <v/>
      </c>
      <c r="Q225" s="43" t="str">
        <f>IFERROR(IF(VLOOKUP(B225,Baza[[№]:[Profit]],15,0)=0,"-",VLOOKUP(B225,Baza[[№]:[Profit]],15,0)),"")</f>
        <v/>
      </c>
      <c r="R225" s="43" t="str">
        <f>IFERROR(IF(VLOOKUP(B225,Baza[[№]:[Profit]],16,0)=0,"-",VLOOKUP(B225,Baza[[№]:[Profit]],16,0)),"")</f>
        <v/>
      </c>
      <c r="S225" s="43" t="str">
        <f>IFERROR(IF(VLOOKUP(B225,Baza[[№]:[Profit]],17,0)=0,"-",VLOOKUP(B225,Baza[[№]:[Profit]],17,0)),"")</f>
        <v/>
      </c>
      <c r="T225" s="43" t="str">
        <f>IFERROR(IF(VLOOKUP(B225,Baza[[№]:[Profit]],18,0)=0,"-",VLOOKUP(B225,Baza[[№]:[Profit]],18,0)),"")</f>
        <v/>
      </c>
      <c r="U225" s="41" t="str">
        <f>IFERROR(IF(VLOOKUP(B225,Baza[[№]:[Profit]],19,0)=0,"-",VLOOKUP(B225,Baza[[№]:[Profit]],19,0)),"")</f>
        <v/>
      </c>
      <c r="V225" s="41" t="str">
        <f>IFERROR(VLOOKUP(B225,Baza[[№]:[Profit]],20,0),"")</f>
        <v/>
      </c>
      <c r="W225" s="41" t="str">
        <f>IFERROR(IF(VLOOKUP(B225,Baza[[№]:[Profit]],21,0)=0,"-",VLOOKUP(B225,Baza[[№]:[Profit]],21,0)),"")</f>
        <v/>
      </c>
      <c r="X225" s="45" t="str">
        <f>IFERROR(IF(VLOOKUP(B225,Baza[[№]:[Profit]],22,0)=0,"-",VLOOKUP(B225,Baza[[№]:[Profit]],22,0)),"")</f>
        <v/>
      </c>
      <c r="Y225" s="45" t="str">
        <f>IFERROR(VLOOKUP(B225,Baza[[№]:[Profit]],23,0),"")</f>
        <v/>
      </c>
      <c r="Z225" s="44" t="str">
        <f>IFERROR(VLOOKUP(B225,Baza[[№]:[AFS]],24,0),"")</f>
        <v/>
      </c>
      <c r="AA225" s="45" t="str">
        <f>IF(Таблица2[[#This Row],[Profit]]="","#Н/Д",SUM($Y$40:Y225))</f>
        <v>#Н/Д</v>
      </c>
      <c r="AB225" s="45" t="b">
        <f>IF(Таблица2[[#This Row],[Grafik]]="#Н/Д",FALSE,TRUE)</f>
        <v>0</v>
      </c>
    </row>
    <row r="226" spans="1:28" ht="11.1" hidden="1" customHeight="1" x14ac:dyDescent="0.25">
      <c r="A226" s="93">
        <f t="shared" si="2"/>
        <v>187</v>
      </c>
      <c r="B226"/>
      <c r="C226" s="41" t="str">
        <f>IFERROR(VLOOKUP(B226,Baza[[№]:[Profit]],2,0),"")</f>
        <v/>
      </c>
      <c r="D22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2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26" s="43" t="str">
        <f>IFERROR(VLOOKUP(B226,Baza[[№]:[Profit]],3,0),"")</f>
        <v/>
      </c>
      <c r="G226" s="43" t="str">
        <f>IFERROR(VLOOKUP(B226,Baza[[№]:[Profit]],4,0),"")</f>
        <v/>
      </c>
      <c r="H226" s="43" t="str">
        <f>IFERROR(VLOOKUP(B226,Baza[[№]:[Profit]],5,0),"")</f>
        <v/>
      </c>
      <c r="I226" s="46" t="str">
        <f>IFERROR(VLOOKUP(B226,Baza[[№]:[Profit]],6,0),"")</f>
        <v/>
      </c>
      <c r="J226" s="49" t="str">
        <f>IFERROR(VLOOKUP(B226,Baza[[№]:[Profit]],7,0),"")</f>
        <v/>
      </c>
      <c r="K226" s="43" t="str">
        <f>IFERROR(VLOOKUP(B226,Baza[[№]:[Profit]],8,0),"")</f>
        <v/>
      </c>
      <c r="L226" s="43" t="str">
        <f>IFERROR(VLOOKUP(B226,Baza[[№]:[Profit]],9,0),"")</f>
        <v/>
      </c>
      <c r="M226" s="43" t="str">
        <f>IFERROR(VLOOKUP(B226,Baza[[№]:[Profit]],10,0),"")</f>
        <v/>
      </c>
      <c r="N226" s="43" t="str">
        <f>IFERROR(IF(VLOOKUP(B226,Baza[[№]:[Profit]],11,0)=0,"-",VLOOKUP(B226,Baza[[№]:[Profit]],11,0)),"")</f>
        <v/>
      </c>
      <c r="O226" s="43" t="str">
        <f>IFERROR(IF(VLOOKUP(B226,Baza[[№]:[Profit]],12,0)=0,"-",VLOOKUP(B226,Baza[[№]:[Profit]],12,0)),"")</f>
        <v/>
      </c>
      <c r="P226" s="43" t="str">
        <f>IFERROR(IF(VLOOKUP(B226,Baza[[№]:[Profit]],13,0)=0,"-",VLOOKUP(B226,Baza[[№]:[Profit]],13,0)),"")</f>
        <v/>
      </c>
      <c r="Q226" s="43" t="str">
        <f>IFERROR(IF(VLOOKUP(B226,Baza[[№]:[Profit]],15,0)=0,"-",VLOOKUP(B226,Baza[[№]:[Profit]],15,0)),"")</f>
        <v/>
      </c>
      <c r="R226" s="43" t="str">
        <f>IFERROR(IF(VLOOKUP(B226,Baza[[№]:[Profit]],16,0)=0,"-",VLOOKUP(B226,Baza[[№]:[Profit]],16,0)),"")</f>
        <v/>
      </c>
      <c r="S226" s="43" t="str">
        <f>IFERROR(IF(VLOOKUP(B226,Baza[[№]:[Profit]],17,0)=0,"-",VLOOKUP(B226,Baza[[№]:[Profit]],17,0)),"")</f>
        <v/>
      </c>
      <c r="T226" s="43" t="str">
        <f>IFERROR(IF(VLOOKUP(B226,Baza[[№]:[Profit]],18,0)=0,"-",VLOOKUP(B226,Baza[[№]:[Profit]],18,0)),"")</f>
        <v/>
      </c>
      <c r="U226" s="41" t="str">
        <f>IFERROR(IF(VLOOKUP(B226,Baza[[№]:[Profit]],19,0)=0,"-",VLOOKUP(B226,Baza[[№]:[Profit]],19,0)),"")</f>
        <v/>
      </c>
      <c r="V226" s="41" t="str">
        <f>IFERROR(VLOOKUP(B226,Baza[[№]:[Profit]],20,0),"")</f>
        <v/>
      </c>
      <c r="W226" s="41" t="str">
        <f>IFERROR(IF(VLOOKUP(B226,Baza[[№]:[Profit]],21,0)=0,"-",VLOOKUP(B226,Baza[[№]:[Profit]],21,0)),"")</f>
        <v/>
      </c>
      <c r="X226" s="45" t="str">
        <f>IFERROR(IF(VLOOKUP(B226,Baza[[№]:[Profit]],22,0)=0,"-",VLOOKUP(B226,Baza[[№]:[Profit]],22,0)),"")</f>
        <v/>
      </c>
      <c r="Y226" s="45" t="str">
        <f>IFERROR(VLOOKUP(B226,Baza[[№]:[Profit]],23,0),"")</f>
        <v/>
      </c>
      <c r="Z226" s="44" t="str">
        <f>IFERROR(VLOOKUP(B226,Baza[[№]:[AFS]],24,0),"")</f>
        <v/>
      </c>
      <c r="AA226" s="45" t="str">
        <f>IF(Таблица2[[#This Row],[Profit]]="","#Н/Д",SUM($Y$40:Y226))</f>
        <v>#Н/Д</v>
      </c>
      <c r="AB226" s="45" t="b">
        <f>IF(Таблица2[[#This Row],[Grafik]]="#Н/Д",FALSE,TRUE)</f>
        <v>0</v>
      </c>
    </row>
    <row r="227" spans="1:28" ht="11.1" hidden="1" customHeight="1" x14ac:dyDescent="0.25">
      <c r="A227" s="93">
        <f t="shared" si="2"/>
        <v>188</v>
      </c>
      <c r="B227"/>
      <c r="C227" s="41" t="str">
        <f>IFERROR(VLOOKUP(B227,Baza[[№]:[Profit]],2,0),"")</f>
        <v/>
      </c>
      <c r="D22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2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27" s="43" t="str">
        <f>IFERROR(VLOOKUP(B227,Baza[[№]:[Profit]],3,0),"")</f>
        <v/>
      </c>
      <c r="G227" s="43" t="str">
        <f>IFERROR(VLOOKUP(B227,Baza[[№]:[Profit]],4,0),"")</f>
        <v/>
      </c>
      <c r="H227" s="43" t="str">
        <f>IFERROR(VLOOKUP(B227,Baza[[№]:[Profit]],5,0),"")</f>
        <v/>
      </c>
      <c r="I227" s="46" t="str">
        <f>IFERROR(VLOOKUP(B227,Baza[[№]:[Profit]],6,0),"")</f>
        <v/>
      </c>
      <c r="J227" s="49" t="str">
        <f>IFERROR(VLOOKUP(B227,Baza[[№]:[Profit]],7,0),"")</f>
        <v/>
      </c>
      <c r="K227" s="43" t="str">
        <f>IFERROR(VLOOKUP(B227,Baza[[№]:[Profit]],8,0),"")</f>
        <v/>
      </c>
      <c r="L227" s="43" t="str">
        <f>IFERROR(VLOOKUP(B227,Baza[[№]:[Profit]],9,0),"")</f>
        <v/>
      </c>
      <c r="M227" s="43" t="str">
        <f>IFERROR(VLOOKUP(B227,Baza[[№]:[Profit]],10,0),"")</f>
        <v/>
      </c>
      <c r="N227" s="43" t="str">
        <f>IFERROR(IF(VLOOKUP(B227,Baza[[№]:[Profit]],11,0)=0,"-",VLOOKUP(B227,Baza[[№]:[Profit]],11,0)),"")</f>
        <v/>
      </c>
      <c r="O227" s="43" t="str">
        <f>IFERROR(IF(VLOOKUP(B227,Baza[[№]:[Profit]],12,0)=0,"-",VLOOKUP(B227,Baza[[№]:[Profit]],12,0)),"")</f>
        <v/>
      </c>
      <c r="P227" s="43" t="str">
        <f>IFERROR(IF(VLOOKUP(B227,Baza[[№]:[Profit]],13,0)=0,"-",VLOOKUP(B227,Baza[[№]:[Profit]],13,0)),"")</f>
        <v/>
      </c>
      <c r="Q227" s="43" t="str">
        <f>IFERROR(IF(VLOOKUP(B227,Baza[[№]:[Profit]],15,0)=0,"-",VLOOKUP(B227,Baza[[№]:[Profit]],15,0)),"")</f>
        <v/>
      </c>
      <c r="R227" s="43" t="str">
        <f>IFERROR(IF(VLOOKUP(B227,Baza[[№]:[Profit]],16,0)=0,"-",VLOOKUP(B227,Baza[[№]:[Profit]],16,0)),"")</f>
        <v/>
      </c>
      <c r="S227" s="43" t="str">
        <f>IFERROR(IF(VLOOKUP(B227,Baza[[№]:[Profit]],17,0)=0,"-",VLOOKUP(B227,Baza[[№]:[Profit]],17,0)),"")</f>
        <v/>
      </c>
      <c r="T227" s="43" t="str">
        <f>IFERROR(IF(VLOOKUP(B227,Baza[[№]:[Profit]],18,0)=0,"-",VLOOKUP(B227,Baza[[№]:[Profit]],18,0)),"")</f>
        <v/>
      </c>
      <c r="U227" s="41" t="str">
        <f>IFERROR(IF(VLOOKUP(B227,Baza[[№]:[Profit]],19,0)=0,"-",VLOOKUP(B227,Baza[[№]:[Profit]],19,0)),"")</f>
        <v/>
      </c>
      <c r="V227" s="41" t="str">
        <f>IFERROR(VLOOKUP(B227,Baza[[№]:[Profit]],20,0),"")</f>
        <v/>
      </c>
      <c r="W227" s="41" t="str">
        <f>IFERROR(IF(VLOOKUP(B227,Baza[[№]:[Profit]],21,0)=0,"-",VLOOKUP(B227,Baza[[№]:[Profit]],21,0)),"")</f>
        <v/>
      </c>
      <c r="X227" s="45" t="str">
        <f>IFERROR(IF(VLOOKUP(B227,Baza[[№]:[Profit]],22,0)=0,"-",VLOOKUP(B227,Baza[[№]:[Profit]],22,0)),"")</f>
        <v/>
      </c>
      <c r="Y227" s="45" t="str">
        <f>IFERROR(VLOOKUP(B227,Baza[[№]:[Profit]],23,0),"")</f>
        <v/>
      </c>
      <c r="Z227" s="44" t="str">
        <f>IFERROR(VLOOKUP(B227,Baza[[№]:[AFS]],24,0),"")</f>
        <v/>
      </c>
      <c r="AA227" s="45" t="str">
        <f>IF(Таблица2[[#This Row],[Profit]]="","#Н/Д",SUM($Y$40:Y227))</f>
        <v>#Н/Д</v>
      </c>
      <c r="AB227" s="45" t="b">
        <f>IF(Таблица2[[#This Row],[Grafik]]="#Н/Д",FALSE,TRUE)</f>
        <v>0</v>
      </c>
    </row>
    <row r="228" spans="1:28" ht="11.1" hidden="1" customHeight="1" x14ac:dyDescent="0.25">
      <c r="A228" s="93">
        <f t="shared" si="2"/>
        <v>189</v>
      </c>
      <c r="B228"/>
      <c r="C228" s="41" t="str">
        <f>IFERROR(VLOOKUP(B228,Baza[[№]:[Profit]],2,0),"")</f>
        <v/>
      </c>
      <c r="D22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2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28" s="43" t="str">
        <f>IFERROR(VLOOKUP(B228,Baza[[№]:[Profit]],3,0),"")</f>
        <v/>
      </c>
      <c r="G228" s="43" t="str">
        <f>IFERROR(VLOOKUP(B228,Baza[[№]:[Profit]],4,0),"")</f>
        <v/>
      </c>
      <c r="H228" s="43" t="str">
        <f>IFERROR(VLOOKUP(B228,Baza[[№]:[Profit]],5,0),"")</f>
        <v/>
      </c>
      <c r="I228" s="46" t="str">
        <f>IFERROR(VLOOKUP(B228,Baza[[№]:[Profit]],6,0),"")</f>
        <v/>
      </c>
      <c r="J228" s="49" t="str">
        <f>IFERROR(VLOOKUP(B228,Baza[[№]:[Profit]],7,0),"")</f>
        <v/>
      </c>
      <c r="K228" s="43" t="str">
        <f>IFERROR(VLOOKUP(B228,Baza[[№]:[Profit]],8,0),"")</f>
        <v/>
      </c>
      <c r="L228" s="43" t="str">
        <f>IFERROR(VLOOKUP(B228,Baza[[№]:[Profit]],9,0),"")</f>
        <v/>
      </c>
      <c r="M228" s="43" t="str">
        <f>IFERROR(VLOOKUP(B228,Baza[[№]:[Profit]],10,0),"")</f>
        <v/>
      </c>
      <c r="N228" s="43" t="str">
        <f>IFERROR(IF(VLOOKUP(B228,Baza[[№]:[Profit]],11,0)=0,"-",VLOOKUP(B228,Baza[[№]:[Profit]],11,0)),"")</f>
        <v/>
      </c>
      <c r="O228" s="43" t="str">
        <f>IFERROR(IF(VLOOKUP(B228,Baza[[№]:[Profit]],12,0)=0,"-",VLOOKUP(B228,Baza[[№]:[Profit]],12,0)),"")</f>
        <v/>
      </c>
      <c r="P228" s="43" t="str">
        <f>IFERROR(IF(VLOOKUP(B228,Baza[[№]:[Profit]],13,0)=0,"-",VLOOKUP(B228,Baza[[№]:[Profit]],13,0)),"")</f>
        <v/>
      </c>
      <c r="Q228" s="43" t="str">
        <f>IFERROR(IF(VLOOKUP(B228,Baza[[№]:[Profit]],15,0)=0,"-",VLOOKUP(B228,Baza[[№]:[Profit]],15,0)),"")</f>
        <v/>
      </c>
      <c r="R228" s="43" t="str">
        <f>IFERROR(IF(VLOOKUP(B228,Baza[[№]:[Profit]],16,0)=0,"-",VLOOKUP(B228,Baza[[№]:[Profit]],16,0)),"")</f>
        <v/>
      </c>
      <c r="S228" s="43" t="str">
        <f>IFERROR(IF(VLOOKUP(B228,Baza[[№]:[Profit]],17,0)=0,"-",VLOOKUP(B228,Baza[[№]:[Profit]],17,0)),"")</f>
        <v/>
      </c>
      <c r="T228" s="43" t="str">
        <f>IFERROR(IF(VLOOKUP(B228,Baza[[№]:[Profit]],18,0)=0,"-",VLOOKUP(B228,Baza[[№]:[Profit]],18,0)),"")</f>
        <v/>
      </c>
      <c r="U228" s="41" t="str">
        <f>IFERROR(IF(VLOOKUP(B228,Baza[[№]:[Profit]],19,0)=0,"-",VLOOKUP(B228,Baza[[№]:[Profit]],19,0)),"")</f>
        <v/>
      </c>
      <c r="V228" s="41" t="str">
        <f>IFERROR(VLOOKUP(B228,Baza[[№]:[Profit]],20,0),"")</f>
        <v/>
      </c>
      <c r="W228" s="41" t="str">
        <f>IFERROR(IF(VLOOKUP(B228,Baza[[№]:[Profit]],21,0)=0,"-",VLOOKUP(B228,Baza[[№]:[Profit]],21,0)),"")</f>
        <v/>
      </c>
      <c r="X228" s="45" t="str">
        <f>IFERROR(IF(VLOOKUP(B228,Baza[[№]:[Profit]],22,0)=0,"-",VLOOKUP(B228,Baza[[№]:[Profit]],22,0)),"")</f>
        <v/>
      </c>
      <c r="Y228" s="45" t="str">
        <f>IFERROR(VLOOKUP(B228,Baza[[№]:[Profit]],23,0),"")</f>
        <v/>
      </c>
      <c r="Z228" s="44" t="str">
        <f>IFERROR(VLOOKUP(B228,Baza[[№]:[AFS]],24,0),"")</f>
        <v/>
      </c>
      <c r="AA228" s="45" t="str">
        <f>IF(Таблица2[[#This Row],[Profit]]="","#Н/Д",SUM($Y$40:Y228))</f>
        <v>#Н/Д</v>
      </c>
      <c r="AB228" s="45" t="b">
        <f>IF(Таблица2[[#This Row],[Grafik]]="#Н/Д",FALSE,TRUE)</f>
        <v>0</v>
      </c>
    </row>
    <row r="229" spans="1:28" ht="11.1" hidden="1" customHeight="1" x14ac:dyDescent="0.25">
      <c r="A229" s="93">
        <f t="shared" si="2"/>
        <v>190</v>
      </c>
      <c r="B229"/>
      <c r="C229" s="41" t="str">
        <f>IFERROR(VLOOKUP(B229,Baza[[№]:[Profit]],2,0),"")</f>
        <v/>
      </c>
      <c r="D22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2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29" s="43" t="str">
        <f>IFERROR(VLOOKUP(B229,Baza[[№]:[Profit]],3,0),"")</f>
        <v/>
      </c>
      <c r="G229" s="43" t="str">
        <f>IFERROR(VLOOKUP(B229,Baza[[№]:[Profit]],4,0),"")</f>
        <v/>
      </c>
      <c r="H229" s="43" t="str">
        <f>IFERROR(VLOOKUP(B229,Baza[[№]:[Profit]],5,0),"")</f>
        <v/>
      </c>
      <c r="I229" s="46" t="str">
        <f>IFERROR(VLOOKUP(B229,Baza[[№]:[Profit]],6,0),"")</f>
        <v/>
      </c>
      <c r="J229" s="49" t="str">
        <f>IFERROR(VLOOKUP(B229,Baza[[№]:[Profit]],7,0),"")</f>
        <v/>
      </c>
      <c r="K229" s="43" t="str">
        <f>IFERROR(VLOOKUP(B229,Baza[[№]:[Profit]],8,0),"")</f>
        <v/>
      </c>
      <c r="L229" s="43" t="str">
        <f>IFERROR(VLOOKUP(B229,Baza[[№]:[Profit]],9,0),"")</f>
        <v/>
      </c>
      <c r="M229" s="43" t="str">
        <f>IFERROR(VLOOKUP(B229,Baza[[№]:[Profit]],10,0),"")</f>
        <v/>
      </c>
      <c r="N229" s="43" t="str">
        <f>IFERROR(IF(VLOOKUP(B229,Baza[[№]:[Profit]],11,0)=0,"-",VLOOKUP(B229,Baza[[№]:[Profit]],11,0)),"")</f>
        <v/>
      </c>
      <c r="O229" s="43" t="str">
        <f>IFERROR(IF(VLOOKUP(B229,Baza[[№]:[Profit]],12,0)=0,"-",VLOOKUP(B229,Baza[[№]:[Profit]],12,0)),"")</f>
        <v/>
      </c>
      <c r="P229" s="43" t="str">
        <f>IFERROR(IF(VLOOKUP(B229,Baza[[№]:[Profit]],13,0)=0,"-",VLOOKUP(B229,Baza[[№]:[Profit]],13,0)),"")</f>
        <v/>
      </c>
      <c r="Q229" s="43" t="str">
        <f>IFERROR(IF(VLOOKUP(B229,Baza[[№]:[Profit]],15,0)=0,"-",VLOOKUP(B229,Baza[[№]:[Profit]],15,0)),"")</f>
        <v/>
      </c>
      <c r="R229" s="43" t="str">
        <f>IFERROR(IF(VLOOKUP(B229,Baza[[№]:[Profit]],16,0)=0,"-",VLOOKUP(B229,Baza[[№]:[Profit]],16,0)),"")</f>
        <v/>
      </c>
      <c r="S229" s="43" t="str">
        <f>IFERROR(IF(VLOOKUP(B229,Baza[[№]:[Profit]],17,0)=0,"-",VLOOKUP(B229,Baza[[№]:[Profit]],17,0)),"")</f>
        <v/>
      </c>
      <c r="T229" s="43" t="str">
        <f>IFERROR(IF(VLOOKUP(B229,Baza[[№]:[Profit]],18,0)=0,"-",VLOOKUP(B229,Baza[[№]:[Profit]],18,0)),"")</f>
        <v/>
      </c>
      <c r="U229" s="41" t="str">
        <f>IFERROR(IF(VLOOKUP(B229,Baza[[№]:[Profit]],19,0)=0,"-",VLOOKUP(B229,Baza[[№]:[Profit]],19,0)),"")</f>
        <v/>
      </c>
      <c r="V229" s="41" t="str">
        <f>IFERROR(VLOOKUP(B229,Baza[[№]:[Profit]],20,0),"")</f>
        <v/>
      </c>
      <c r="W229" s="41" t="str">
        <f>IFERROR(IF(VLOOKUP(B229,Baza[[№]:[Profit]],21,0)=0,"-",VLOOKUP(B229,Baza[[№]:[Profit]],21,0)),"")</f>
        <v/>
      </c>
      <c r="X229" s="45" t="str">
        <f>IFERROR(IF(VLOOKUP(B229,Baza[[№]:[Profit]],22,0)=0,"-",VLOOKUP(B229,Baza[[№]:[Profit]],22,0)),"")</f>
        <v/>
      </c>
      <c r="Y229" s="45" t="str">
        <f>IFERROR(VLOOKUP(B229,Baza[[№]:[Profit]],23,0),"")</f>
        <v/>
      </c>
      <c r="Z229" s="44" t="str">
        <f>IFERROR(VLOOKUP(B229,Baza[[№]:[AFS]],24,0),"")</f>
        <v/>
      </c>
      <c r="AA229" s="45" t="str">
        <f>IF(Таблица2[[#This Row],[Profit]]="","#Н/Д",SUM($Y$40:Y229))</f>
        <v>#Н/Д</v>
      </c>
      <c r="AB229" s="45" t="b">
        <f>IF(Таблица2[[#This Row],[Grafik]]="#Н/Д",FALSE,TRUE)</f>
        <v>0</v>
      </c>
    </row>
    <row r="230" spans="1:28" ht="11.1" hidden="1" customHeight="1" x14ac:dyDescent="0.25">
      <c r="A230" s="93">
        <f t="shared" si="2"/>
        <v>191</v>
      </c>
      <c r="B230"/>
      <c r="C230" s="41" t="str">
        <f>IFERROR(VLOOKUP(B230,Baza[[№]:[Profit]],2,0),"")</f>
        <v/>
      </c>
      <c r="D23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3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30" s="43" t="str">
        <f>IFERROR(VLOOKUP(B230,Baza[[№]:[Profit]],3,0),"")</f>
        <v/>
      </c>
      <c r="G230" s="43" t="str">
        <f>IFERROR(VLOOKUP(B230,Baza[[№]:[Profit]],4,0),"")</f>
        <v/>
      </c>
      <c r="H230" s="43" t="str">
        <f>IFERROR(VLOOKUP(B230,Baza[[№]:[Profit]],5,0),"")</f>
        <v/>
      </c>
      <c r="I230" s="46" t="str">
        <f>IFERROR(VLOOKUP(B230,Baza[[№]:[Profit]],6,0),"")</f>
        <v/>
      </c>
      <c r="J230" s="49" t="str">
        <f>IFERROR(VLOOKUP(B230,Baza[[№]:[Profit]],7,0),"")</f>
        <v/>
      </c>
      <c r="K230" s="43" t="str">
        <f>IFERROR(VLOOKUP(B230,Baza[[№]:[Profit]],8,0),"")</f>
        <v/>
      </c>
      <c r="L230" s="43" t="str">
        <f>IFERROR(VLOOKUP(B230,Baza[[№]:[Profit]],9,0),"")</f>
        <v/>
      </c>
      <c r="M230" s="43" t="str">
        <f>IFERROR(VLOOKUP(B230,Baza[[№]:[Profit]],10,0),"")</f>
        <v/>
      </c>
      <c r="N230" s="43" t="str">
        <f>IFERROR(IF(VLOOKUP(B230,Baza[[№]:[Profit]],11,0)=0,"-",VLOOKUP(B230,Baza[[№]:[Profit]],11,0)),"")</f>
        <v/>
      </c>
      <c r="O230" s="43" t="str">
        <f>IFERROR(IF(VLOOKUP(B230,Baza[[№]:[Profit]],12,0)=0,"-",VLOOKUP(B230,Baza[[№]:[Profit]],12,0)),"")</f>
        <v/>
      </c>
      <c r="P230" s="43" t="str">
        <f>IFERROR(IF(VLOOKUP(B230,Baza[[№]:[Profit]],13,0)=0,"-",VLOOKUP(B230,Baza[[№]:[Profit]],13,0)),"")</f>
        <v/>
      </c>
      <c r="Q230" s="43" t="str">
        <f>IFERROR(IF(VLOOKUP(B230,Baza[[№]:[Profit]],15,0)=0,"-",VLOOKUP(B230,Baza[[№]:[Profit]],15,0)),"")</f>
        <v/>
      </c>
      <c r="R230" s="43" t="str">
        <f>IFERROR(IF(VLOOKUP(B230,Baza[[№]:[Profit]],16,0)=0,"-",VLOOKUP(B230,Baza[[№]:[Profit]],16,0)),"")</f>
        <v/>
      </c>
      <c r="S230" s="43" t="str">
        <f>IFERROR(IF(VLOOKUP(B230,Baza[[№]:[Profit]],17,0)=0,"-",VLOOKUP(B230,Baza[[№]:[Profit]],17,0)),"")</f>
        <v/>
      </c>
      <c r="T230" s="43" t="str">
        <f>IFERROR(IF(VLOOKUP(B230,Baza[[№]:[Profit]],18,0)=0,"-",VLOOKUP(B230,Baza[[№]:[Profit]],18,0)),"")</f>
        <v/>
      </c>
      <c r="U230" s="41" t="str">
        <f>IFERROR(IF(VLOOKUP(B230,Baza[[№]:[Profit]],19,0)=0,"-",VLOOKUP(B230,Baza[[№]:[Profit]],19,0)),"")</f>
        <v/>
      </c>
      <c r="V230" s="41" t="str">
        <f>IFERROR(VLOOKUP(B230,Baza[[№]:[Profit]],20,0),"")</f>
        <v/>
      </c>
      <c r="W230" s="41" t="str">
        <f>IFERROR(IF(VLOOKUP(B230,Baza[[№]:[Profit]],21,0)=0,"-",VLOOKUP(B230,Baza[[№]:[Profit]],21,0)),"")</f>
        <v/>
      </c>
      <c r="X230" s="45" t="str">
        <f>IFERROR(IF(VLOOKUP(B230,Baza[[№]:[Profit]],22,0)=0,"-",VLOOKUP(B230,Baza[[№]:[Profit]],22,0)),"")</f>
        <v/>
      </c>
      <c r="Y230" s="45" t="str">
        <f>IFERROR(VLOOKUP(B230,Baza[[№]:[Profit]],23,0),"")</f>
        <v/>
      </c>
      <c r="Z230" s="44" t="str">
        <f>IFERROR(VLOOKUP(B230,Baza[[№]:[AFS]],24,0),"")</f>
        <v/>
      </c>
      <c r="AA230" s="45" t="str">
        <f>IF(Таблица2[[#This Row],[Profit]]="","#Н/Д",SUM($Y$40:Y230))</f>
        <v>#Н/Д</v>
      </c>
      <c r="AB230" s="45" t="b">
        <f>IF(Таблица2[[#This Row],[Grafik]]="#Н/Д",FALSE,TRUE)</f>
        <v>0</v>
      </c>
    </row>
    <row r="231" spans="1:28" ht="11.1" hidden="1" customHeight="1" x14ac:dyDescent="0.25">
      <c r="A231" s="93">
        <f t="shared" si="2"/>
        <v>192</v>
      </c>
      <c r="B231"/>
      <c r="C231" s="41" t="str">
        <f>IFERROR(VLOOKUP(B231,Baza[[№]:[Profit]],2,0),"")</f>
        <v/>
      </c>
      <c r="D23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3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31" s="43" t="str">
        <f>IFERROR(VLOOKUP(B231,Baza[[№]:[Profit]],3,0),"")</f>
        <v/>
      </c>
      <c r="G231" s="43" t="str">
        <f>IFERROR(VLOOKUP(B231,Baza[[№]:[Profit]],4,0),"")</f>
        <v/>
      </c>
      <c r="H231" s="43" t="str">
        <f>IFERROR(VLOOKUP(B231,Baza[[№]:[Profit]],5,0),"")</f>
        <v/>
      </c>
      <c r="I231" s="46" t="str">
        <f>IFERROR(VLOOKUP(B231,Baza[[№]:[Profit]],6,0),"")</f>
        <v/>
      </c>
      <c r="J231" s="49" t="str">
        <f>IFERROR(VLOOKUP(B231,Baza[[№]:[Profit]],7,0),"")</f>
        <v/>
      </c>
      <c r="K231" s="43" t="str">
        <f>IFERROR(VLOOKUP(B231,Baza[[№]:[Profit]],8,0),"")</f>
        <v/>
      </c>
      <c r="L231" s="43" t="str">
        <f>IFERROR(VLOOKUP(B231,Baza[[№]:[Profit]],9,0),"")</f>
        <v/>
      </c>
      <c r="M231" s="43" t="str">
        <f>IFERROR(VLOOKUP(B231,Baza[[№]:[Profit]],10,0),"")</f>
        <v/>
      </c>
      <c r="N231" s="43" t="str">
        <f>IFERROR(IF(VLOOKUP(B231,Baza[[№]:[Profit]],11,0)=0,"-",VLOOKUP(B231,Baza[[№]:[Profit]],11,0)),"")</f>
        <v/>
      </c>
      <c r="O231" s="43" t="str">
        <f>IFERROR(IF(VLOOKUP(B231,Baza[[№]:[Profit]],12,0)=0,"-",VLOOKUP(B231,Baza[[№]:[Profit]],12,0)),"")</f>
        <v/>
      </c>
      <c r="P231" s="43" t="str">
        <f>IFERROR(IF(VLOOKUP(B231,Baza[[№]:[Profit]],13,0)=0,"-",VLOOKUP(B231,Baza[[№]:[Profit]],13,0)),"")</f>
        <v/>
      </c>
      <c r="Q231" s="43" t="str">
        <f>IFERROR(IF(VLOOKUP(B231,Baza[[№]:[Profit]],15,0)=0,"-",VLOOKUP(B231,Baza[[№]:[Profit]],15,0)),"")</f>
        <v/>
      </c>
      <c r="R231" s="43" t="str">
        <f>IFERROR(IF(VLOOKUP(B231,Baza[[№]:[Profit]],16,0)=0,"-",VLOOKUP(B231,Baza[[№]:[Profit]],16,0)),"")</f>
        <v/>
      </c>
      <c r="S231" s="43" t="str">
        <f>IFERROR(IF(VLOOKUP(B231,Baza[[№]:[Profit]],17,0)=0,"-",VLOOKUP(B231,Baza[[№]:[Profit]],17,0)),"")</f>
        <v/>
      </c>
      <c r="T231" s="43" t="str">
        <f>IFERROR(IF(VLOOKUP(B231,Baza[[№]:[Profit]],18,0)=0,"-",VLOOKUP(B231,Baza[[№]:[Profit]],18,0)),"")</f>
        <v/>
      </c>
      <c r="U231" s="41" t="str">
        <f>IFERROR(IF(VLOOKUP(B231,Baza[[№]:[Profit]],19,0)=0,"-",VLOOKUP(B231,Baza[[№]:[Profit]],19,0)),"")</f>
        <v/>
      </c>
      <c r="V231" s="41" t="str">
        <f>IFERROR(VLOOKUP(B231,Baza[[№]:[Profit]],20,0),"")</f>
        <v/>
      </c>
      <c r="W231" s="41" t="str">
        <f>IFERROR(IF(VLOOKUP(B231,Baza[[№]:[Profit]],21,0)=0,"-",VLOOKUP(B231,Baza[[№]:[Profit]],21,0)),"")</f>
        <v/>
      </c>
      <c r="X231" s="45" t="str">
        <f>IFERROR(IF(VLOOKUP(B231,Baza[[№]:[Profit]],22,0)=0,"-",VLOOKUP(B231,Baza[[№]:[Profit]],22,0)),"")</f>
        <v/>
      </c>
      <c r="Y231" s="45" t="str">
        <f>IFERROR(VLOOKUP(B231,Baza[[№]:[Profit]],23,0),"")</f>
        <v/>
      </c>
      <c r="Z231" s="44" t="str">
        <f>IFERROR(VLOOKUP(B231,Baza[[№]:[AFS]],24,0),"")</f>
        <v/>
      </c>
      <c r="AA231" s="45" t="str">
        <f>IF(Таблица2[[#This Row],[Profit]]="","#Н/Д",SUM($Y$40:Y231))</f>
        <v>#Н/Д</v>
      </c>
      <c r="AB231" s="45" t="b">
        <f>IF(Таблица2[[#This Row],[Grafik]]="#Н/Д",FALSE,TRUE)</f>
        <v>0</v>
      </c>
    </row>
    <row r="232" spans="1:28" ht="11.1" hidden="1" customHeight="1" x14ac:dyDescent="0.25">
      <c r="A232" s="93">
        <f t="shared" si="2"/>
        <v>193</v>
      </c>
      <c r="B232"/>
      <c r="C232" s="41" t="str">
        <f>IFERROR(VLOOKUP(B232,Baza[[№]:[Profit]],2,0),"")</f>
        <v/>
      </c>
      <c r="D23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3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32" s="43" t="str">
        <f>IFERROR(VLOOKUP(B232,Baza[[№]:[Profit]],3,0),"")</f>
        <v/>
      </c>
      <c r="G232" s="43" t="str">
        <f>IFERROR(VLOOKUP(B232,Baza[[№]:[Profit]],4,0),"")</f>
        <v/>
      </c>
      <c r="H232" s="43" t="str">
        <f>IFERROR(VLOOKUP(B232,Baza[[№]:[Profit]],5,0),"")</f>
        <v/>
      </c>
      <c r="I232" s="46" t="str">
        <f>IFERROR(VLOOKUP(B232,Baza[[№]:[Profit]],6,0),"")</f>
        <v/>
      </c>
      <c r="J232" s="49" t="str">
        <f>IFERROR(VLOOKUP(B232,Baza[[№]:[Profit]],7,0),"")</f>
        <v/>
      </c>
      <c r="K232" s="43" t="str">
        <f>IFERROR(VLOOKUP(B232,Baza[[№]:[Profit]],8,0),"")</f>
        <v/>
      </c>
      <c r="L232" s="43" t="str">
        <f>IFERROR(VLOOKUP(B232,Baza[[№]:[Profit]],9,0),"")</f>
        <v/>
      </c>
      <c r="M232" s="43" t="str">
        <f>IFERROR(VLOOKUP(B232,Baza[[№]:[Profit]],10,0),"")</f>
        <v/>
      </c>
      <c r="N232" s="43" t="str">
        <f>IFERROR(IF(VLOOKUP(B232,Baza[[№]:[Profit]],11,0)=0,"-",VLOOKUP(B232,Baza[[№]:[Profit]],11,0)),"")</f>
        <v/>
      </c>
      <c r="O232" s="43" t="str">
        <f>IFERROR(IF(VLOOKUP(B232,Baza[[№]:[Profit]],12,0)=0,"-",VLOOKUP(B232,Baza[[№]:[Profit]],12,0)),"")</f>
        <v/>
      </c>
      <c r="P232" s="43" t="str">
        <f>IFERROR(IF(VLOOKUP(B232,Baza[[№]:[Profit]],13,0)=0,"-",VLOOKUP(B232,Baza[[№]:[Profit]],13,0)),"")</f>
        <v/>
      </c>
      <c r="Q232" s="43" t="str">
        <f>IFERROR(IF(VLOOKUP(B232,Baza[[№]:[Profit]],15,0)=0,"-",VLOOKUP(B232,Baza[[№]:[Profit]],15,0)),"")</f>
        <v/>
      </c>
      <c r="R232" s="43" t="str">
        <f>IFERROR(IF(VLOOKUP(B232,Baza[[№]:[Profit]],16,0)=0,"-",VLOOKUP(B232,Baza[[№]:[Profit]],16,0)),"")</f>
        <v/>
      </c>
      <c r="S232" s="43" t="str">
        <f>IFERROR(IF(VLOOKUP(B232,Baza[[№]:[Profit]],17,0)=0,"-",VLOOKUP(B232,Baza[[№]:[Profit]],17,0)),"")</f>
        <v/>
      </c>
      <c r="T232" s="43" t="str">
        <f>IFERROR(IF(VLOOKUP(B232,Baza[[№]:[Profit]],18,0)=0,"-",VLOOKUP(B232,Baza[[№]:[Profit]],18,0)),"")</f>
        <v/>
      </c>
      <c r="U232" s="41" t="str">
        <f>IFERROR(IF(VLOOKUP(B232,Baza[[№]:[Profit]],19,0)=0,"-",VLOOKUP(B232,Baza[[№]:[Profit]],19,0)),"")</f>
        <v/>
      </c>
      <c r="V232" s="41" t="str">
        <f>IFERROR(VLOOKUP(B232,Baza[[№]:[Profit]],20,0),"")</f>
        <v/>
      </c>
      <c r="W232" s="41" t="str">
        <f>IFERROR(IF(VLOOKUP(B232,Baza[[№]:[Profit]],21,0)=0,"-",VLOOKUP(B232,Baza[[№]:[Profit]],21,0)),"")</f>
        <v/>
      </c>
      <c r="X232" s="45" t="str">
        <f>IFERROR(IF(VLOOKUP(B232,Baza[[№]:[Profit]],22,0)=0,"-",VLOOKUP(B232,Baza[[№]:[Profit]],22,0)),"")</f>
        <v/>
      </c>
      <c r="Y232" s="45" t="str">
        <f>IFERROR(VLOOKUP(B232,Baza[[№]:[Profit]],23,0),"")</f>
        <v/>
      </c>
      <c r="Z232" s="44" t="str">
        <f>IFERROR(VLOOKUP(B232,Baza[[№]:[AFS]],24,0),"")</f>
        <v/>
      </c>
      <c r="AA232" s="45" t="str">
        <f>IF(Таблица2[[#This Row],[Profit]]="","#Н/Д",SUM($Y$40:Y232))</f>
        <v>#Н/Д</v>
      </c>
      <c r="AB232" s="45" t="b">
        <f>IF(Таблица2[[#This Row],[Grafik]]="#Н/Д",FALSE,TRUE)</f>
        <v>0</v>
      </c>
    </row>
    <row r="233" spans="1:28" ht="11.1" hidden="1" customHeight="1" x14ac:dyDescent="0.25">
      <c r="A233" s="93">
        <f t="shared" ref="A233:A265" si="3">A232+1</f>
        <v>194</v>
      </c>
      <c r="B233"/>
      <c r="C233" s="41" t="str">
        <f>IFERROR(VLOOKUP(B233,Baza[[№]:[Profit]],2,0),"")</f>
        <v/>
      </c>
      <c r="D23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3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33" s="43" t="str">
        <f>IFERROR(VLOOKUP(B233,Baza[[№]:[Profit]],3,0),"")</f>
        <v/>
      </c>
      <c r="G233" s="43" t="str">
        <f>IFERROR(VLOOKUP(B233,Baza[[№]:[Profit]],4,0),"")</f>
        <v/>
      </c>
      <c r="H233" s="43" t="str">
        <f>IFERROR(VLOOKUP(B233,Baza[[№]:[Profit]],5,0),"")</f>
        <v/>
      </c>
      <c r="I233" s="46" t="str">
        <f>IFERROR(VLOOKUP(B233,Baza[[№]:[Profit]],6,0),"")</f>
        <v/>
      </c>
      <c r="J233" s="49" t="str">
        <f>IFERROR(VLOOKUP(B233,Baza[[№]:[Profit]],7,0),"")</f>
        <v/>
      </c>
      <c r="K233" s="43" t="str">
        <f>IFERROR(VLOOKUP(B233,Baza[[№]:[Profit]],8,0),"")</f>
        <v/>
      </c>
      <c r="L233" s="43" t="str">
        <f>IFERROR(VLOOKUP(B233,Baza[[№]:[Profit]],9,0),"")</f>
        <v/>
      </c>
      <c r="M233" s="43" t="str">
        <f>IFERROR(VLOOKUP(B233,Baza[[№]:[Profit]],10,0),"")</f>
        <v/>
      </c>
      <c r="N233" s="43" t="str">
        <f>IFERROR(IF(VLOOKUP(B233,Baza[[№]:[Profit]],11,0)=0,"-",VLOOKUP(B233,Baza[[№]:[Profit]],11,0)),"")</f>
        <v/>
      </c>
      <c r="O233" s="43" t="str">
        <f>IFERROR(IF(VLOOKUP(B233,Baza[[№]:[Profit]],12,0)=0,"-",VLOOKUP(B233,Baza[[№]:[Profit]],12,0)),"")</f>
        <v/>
      </c>
      <c r="P233" s="43" t="str">
        <f>IFERROR(IF(VLOOKUP(B233,Baza[[№]:[Profit]],13,0)=0,"-",VLOOKUP(B233,Baza[[№]:[Profit]],13,0)),"")</f>
        <v/>
      </c>
      <c r="Q233" s="43" t="str">
        <f>IFERROR(IF(VLOOKUP(B233,Baza[[№]:[Profit]],15,0)=0,"-",VLOOKUP(B233,Baza[[№]:[Profit]],15,0)),"")</f>
        <v/>
      </c>
      <c r="R233" s="43" t="str">
        <f>IFERROR(IF(VLOOKUP(B233,Baza[[№]:[Profit]],16,0)=0,"-",VLOOKUP(B233,Baza[[№]:[Profit]],16,0)),"")</f>
        <v/>
      </c>
      <c r="S233" s="43" t="str">
        <f>IFERROR(IF(VLOOKUP(B233,Baza[[№]:[Profit]],17,0)=0,"-",VLOOKUP(B233,Baza[[№]:[Profit]],17,0)),"")</f>
        <v/>
      </c>
      <c r="T233" s="43" t="str">
        <f>IFERROR(IF(VLOOKUP(B233,Baza[[№]:[Profit]],18,0)=0,"-",VLOOKUP(B233,Baza[[№]:[Profit]],18,0)),"")</f>
        <v/>
      </c>
      <c r="U233" s="41" t="str">
        <f>IFERROR(IF(VLOOKUP(B233,Baza[[№]:[Profit]],19,0)=0,"-",VLOOKUP(B233,Baza[[№]:[Profit]],19,0)),"")</f>
        <v/>
      </c>
      <c r="V233" s="41" t="str">
        <f>IFERROR(VLOOKUP(B233,Baza[[№]:[Profit]],20,0),"")</f>
        <v/>
      </c>
      <c r="W233" s="41" t="str">
        <f>IFERROR(IF(VLOOKUP(B233,Baza[[№]:[Profit]],21,0)=0,"-",VLOOKUP(B233,Baza[[№]:[Profit]],21,0)),"")</f>
        <v/>
      </c>
      <c r="X233" s="45" t="str">
        <f>IFERROR(IF(VLOOKUP(B233,Baza[[№]:[Profit]],22,0)=0,"-",VLOOKUP(B233,Baza[[№]:[Profit]],22,0)),"")</f>
        <v/>
      </c>
      <c r="Y233" s="45" t="str">
        <f>IFERROR(VLOOKUP(B233,Baza[[№]:[Profit]],23,0),"")</f>
        <v/>
      </c>
      <c r="Z233" s="44" t="str">
        <f>IFERROR(VLOOKUP(B233,Baza[[№]:[AFS]],24,0),"")</f>
        <v/>
      </c>
      <c r="AA233" s="45" t="str">
        <f>IF(Таблица2[[#This Row],[Profit]]="","#Н/Д",SUM($Y$40:Y233))</f>
        <v>#Н/Д</v>
      </c>
      <c r="AB233" s="45" t="b">
        <f>IF(Таблица2[[#This Row],[Grafik]]="#Н/Д",FALSE,TRUE)</f>
        <v>0</v>
      </c>
    </row>
    <row r="234" spans="1:28" ht="11.1" hidden="1" customHeight="1" x14ac:dyDescent="0.25">
      <c r="A234" s="93">
        <f t="shared" si="3"/>
        <v>195</v>
      </c>
      <c r="B234"/>
      <c r="C234" s="41" t="str">
        <f>IFERROR(VLOOKUP(B234,Baza[[№]:[Profit]],2,0),"")</f>
        <v/>
      </c>
      <c r="D23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3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34" s="43" t="str">
        <f>IFERROR(VLOOKUP(B234,Baza[[№]:[Profit]],3,0),"")</f>
        <v/>
      </c>
      <c r="G234" s="43" t="str">
        <f>IFERROR(VLOOKUP(B234,Baza[[№]:[Profit]],4,0),"")</f>
        <v/>
      </c>
      <c r="H234" s="43" t="str">
        <f>IFERROR(VLOOKUP(B234,Baza[[№]:[Profit]],5,0),"")</f>
        <v/>
      </c>
      <c r="I234" s="46" t="str">
        <f>IFERROR(VLOOKUP(B234,Baza[[№]:[Profit]],6,0),"")</f>
        <v/>
      </c>
      <c r="J234" s="49" t="str">
        <f>IFERROR(VLOOKUP(B234,Baza[[№]:[Profit]],7,0),"")</f>
        <v/>
      </c>
      <c r="K234" s="43" t="str">
        <f>IFERROR(VLOOKUP(B234,Baza[[№]:[Profit]],8,0),"")</f>
        <v/>
      </c>
      <c r="L234" s="43" t="str">
        <f>IFERROR(VLOOKUP(B234,Baza[[№]:[Profit]],9,0),"")</f>
        <v/>
      </c>
      <c r="M234" s="43" t="str">
        <f>IFERROR(VLOOKUP(B234,Baza[[№]:[Profit]],10,0),"")</f>
        <v/>
      </c>
      <c r="N234" s="43" t="str">
        <f>IFERROR(IF(VLOOKUP(B234,Baza[[№]:[Profit]],11,0)=0,"-",VLOOKUP(B234,Baza[[№]:[Profit]],11,0)),"")</f>
        <v/>
      </c>
      <c r="O234" s="43" t="str">
        <f>IFERROR(IF(VLOOKUP(B234,Baza[[№]:[Profit]],12,0)=0,"-",VLOOKUP(B234,Baza[[№]:[Profit]],12,0)),"")</f>
        <v/>
      </c>
      <c r="P234" s="43" t="str">
        <f>IFERROR(IF(VLOOKUP(B234,Baza[[№]:[Profit]],13,0)=0,"-",VLOOKUP(B234,Baza[[№]:[Profit]],13,0)),"")</f>
        <v/>
      </c>
      <c r="Q234" s="43" t="str">
        <f>IFERROR(IF(VLOOKUP(B234,Baza[[№]:[Profit]],15,0)=0,"-",VLOOKUP(B234,Baza[[№]:[Profit]],15,0)),"")</f>
        <v/>
      </c>
      <c r="R234" s="43" t="str">
        <f>IFERROR(IF(VLOOKUP(B234,Baza[[№]:[Profit]],16,0)=0,"-",VLOOKUP(B234,Baza[[№]:[Profit]],16,0)),"")</f>
        <v/>
      </c>
      <c r="S234" s="43" t="str">
        <f>IFERROR(IF(VLOOKUP(B234,Baza[[№]:[Profit]],17,0)=0,"-",VLOOKUP(B234,Baza[[№]:[Profit]],17,0)),"")</f>
        <v/>
      </c>
      <c r="T234" s="43" t="str">
        <f>IFERROR(IF(VLOOKUP(B234,Baza[[№]:[Profit]],18,0)=0,"-",VLOOKUP(B234,Baza[[№]:[Profit]],18,0)),"")</f>
        <v/>
      </c>
      <c r="U234" s="41" t="str">
        <f>IFERROR(IF(VLOOKUP(B234,Baza[[№]:[Profit]],19,0)=0,"-",VLOOKUP(B234,Baza[[№]:[Profit]],19,0)),"")</f>
        <v/>
      </c>
      <c r="V234" s="41" t="str">
        <f>IFERROR(VLOOKUP(B234,Baza[[№]:[Profit]],20,0),"")</f>
        <v/>
      </c>
      <c r="W234" s="41" t="str">
        <f>IFERROR(IF(VLOOKUP(B234,Baza[[№]:[Profit]],21,0)=0,"-",VLOOKUP(B234,Baza[[№]:[Profit]],21,0)),"")</f>
        <v/>
      </c>
      <c r="X234" s="45" t="str">
        <f>IFERROR(IF(VLOOKUP(B234,Baza[[№]:[Profit]],22,0)=0,"-",VLOOKUP(B234,Baza[[№]:[Profit]],22,0)),"")</f>
        <v/>
      </c>
      <c r="Y234" s="45" t="str">
        <f>IFERROR(VLOOKUP(B234,Baza[[№]:[Profit]],23,0),"")</f>
        <v/>
      </c>
      <c r="Z234" s="44" t="str">
        <f>IFERROR(VLOOKUP(B234,Baza[[№]:[AFS]],24,0),"")</f>
        <v/>
      </c>
      <c r="AA234" s="45" t="str">
        <f>IF(Таблица2[[#This Row],[Profit]]="","#Н/Д",SUM($Y$40:Y234))</f>
        <v>#Н/Д</v>
      </c>
      <c r="AB234" s="45" t="b">
        <f>IF(Таблица2[[#This Row],[Grafik]]="#Н/Д",FALSE,TRUE)</f>
        <v>0</v>
      </c>
    </row>
    <row r="235" spans="1:28" ht="11.1" hidden="1" customHeight="1" x14ac:dyDescent="0.25">
      <c r="A235" s="93">
        <f t="shared" si="3"/>
        <v>196</v>
      </c>
      <c r="B235"/>
      <c r="C235" s="41" t="str">
        <f>IFERROR(VLOOKUP(B235,Baza[[№]:[Profit]],2,0),"")</f>
        <v/>
      </c>
      <c r="D23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3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35" s="43" t="str">
        <f>IFERROR(VLOOKUP(B235,Baza[[№]:[Profit]],3,0),"")</f>
        <v/>
      </c>
      <c r="G235" s="43" t="str">
        <f>IFERROR(VLOOKUP(B235,Baza[[№]:[Profit]],4,0),"")</f>
        <v/>
      </c>
      <c r="H235" s="43" t="str">
        <f>IFERROR(VLOOKUP(B235,Baza[[№]:[Profit]],5,0),"")</f>
        <v/>
      </c>
      <c r="I235" s="46" t="str">
        <f>IFERROR(VLOOKUP(B235,Baza[[№]:[Profit]],6,0),"")</f>
        <v/>
      </c>
      <c r="J235" s="49" t="str">
        <f>IFERROR(VLOOKUP(B235,Baza[[№]:[Profit]],7,0),"")</f>
        <v/>
      </c>
      <c r="K235" s="43" t="str">
        <f>IFERROR(VLOOKUP(B235,Baza[[№]:[Profit]],8,0),"")</f>
        <v/>
      </c>
      <c r="L235" s="43" t="str">
        <f>IFERROR(VLOOKUP(B235,Baza[[№]:[Profit]],9,0),"")</f>
        <v/>
      </c>
      <c r="M235" s="43" t="str">
        <f>IFERROR(VLOOKUP(B235,Baza[[№]:[Profit]],10,0),"")</f>
        <v/>
      </c>
      <c r="N235" s="43" t="str">
        <f>IFERROR(IF(VLOOKUP(B235,Baza[[№]:[Profit]],11,0)=0,"-",VLOOKUP(B235,Baza[[№]:[Profit]],11,0)),"")</f>
        <v/>
      </c>
      <c r="O235" s="43" t="str">
        <f>IFERROR(IF(VLOOKUP(B235,Baza[[№]:[Profit]],12,0)=0,"-",VLOOKUP(B235,Baza[[№]:[Profit]],12,0)),"")</f>
        <v/>
      </c>
      <c r="P235" s="43" t="str">
        <f>IFERROR(IF(VLOOKUP(B235,Baza[[№]:[Profit]],13,0)=0,"-",VLOOKUP(B235,Baza[[№]:[Profit]],13,0)),"")</f>
        <v/>
      </c>
      <c r="Q235" s="43" t="str">
        <f>IFERROR(IF(VLOOKUP(B235,Baza[[№]:[Profit]],15,0)=0,"-",VLOOKUP(B235,Baza[[№]:[Profit]],15,0)),"")</f>
        <v/>
      </c>
      <c r="R235" s="43" t="str">
        <f>IFERROR(IF(VLOOKUP(B235,Baza[[№]:[Profit]],16,0)=0,"-",VLOOKUP(B235,Baza[[№]:[Profit]],16,0)),"")</f>
        <v/>
      </c>
      <c r="S235" s="43" t="str">
        <f>IFERROR(IF(VLOOKUP(B235,Baza[[№]:[Profit]],17,0)=0,"-",VLOOKUP(B235,Baza[[№]:[Profit]],17,0)),"")</f>
        <v/>
      </c>
      <c r="T235" s="43" t="str">
        <f>IFERROR(IF(VLOOKUP(B235,Baza[[№]:[Profit]],18,0)=0,"-",VLOOKUP(B235,Baza[[№]:[Profit]],18,0)),"")</f>
        <v/>
      </c>
      <c r="U235" s="41" t="str">
        <f>IFERROR(IF(VLOOKUP(B235,Baza[[№]:[Profit]],19,0)=0,"-",VLOOKUP(B235,Baza[[№]:[Profit]],19,0)),"")</f>
        <v/>
      </c>
      <c r="V235" s="41" t="str">
        <f>IFERROR(VLOOKUP(B235,Baza[[№]:[Profit]],20,0),"")</f>
        <v/>
      </c>
      <c r="W235" s="41" t="str">
        <f>IFERROR(IF(VLOOKUP(B235,Baza[[№]:[Profit]],21,0)=0,"-",VLOOKUP(B235,Baza[[№]:[Profit]],21,0)),"")</f>
        <v/>
      </c>
      <c r="X235" s="45" t="str">
        <f>IFERROR(IF(VLOOKUP(B235,Baza[[№]:[Profit]],22,0)=0,"-",VLOOKUP(B235,Baza[[№]:[Profit]],22,0)),"")</f>
        <v/>
      </c>
      <c r="Y235" s="45" t="str">
        <f>IFERROR(VLOOKUP(B235,Baza[[№]:[Profit]],23,0),"")</f>
        <v/>
      </c>
      <c r="Z235" s="44" t="str">
        <f>IFERROR(VLOOKUP(B235,Baza[[№]:[AFS]],24,0),"")</f>
        <v/>
      </c>
      <c r="AA235" s="45" t="str">
        <f>IF(Таблица2[[#This Row],[Profit]]="","#Н/Д",SUM($Y$40:Y235))</f>
        <v>#Н/Д</v>
      </c>
      <c r="AB235" s="45" t="b">
        <f>IF(Таблица2[[#This Row],[Grafik]]="#Н/Д",FALSE,TRUE)</f>
        <v>0</v>
      </c>
    </row>
    <row r="236" spans="1:28" ht="11.1" hidden="1" customHeight="1" x14ac:dyDescent="0.25">
      <c r="A236" s="93">
        <f t="shared" si="3"/>
        <v>197</v>
      </c>
      <c r="B236"/>
      <c r="C236" s="41" t="str">
        <f>IFERROR(VLOOKUP(B236,Baza[[№]:[Profit]],2,0),"")</f>
        <v/>
      </c>
      <c r="D23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3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36" s="43" t="str">
        <f>IFERROR(VLOOKUP(B236,Baza[[№]:[Profit]],3,0),"")</f>
        <v/>
      </c>
      <c r="G236" s="43" t="str">
        <f>IFERROR(VLOOKUP(B236,Baza[[№]:[Profit]],4,0),"")</f>
        <v/>
      </c>
      <c r="H236" s="43" t="str">
        <f>IFERROR(VLOOKUP(B236,Baza[[№]:[Profit]],5,0),"")</f>
        <v/>
      </c>
      <c r="I236" s="46" t="str">
        <f>IFERROR(VLOOKUP(B236,Baza[[№]:[Profit]],6,0),"")</f>
        <v/>
      </c>
      <c r="J236" s="49" t="str">
        <f>IFERROR(VLOOKUP(B236,Baza[[№]:[Profit]],7,0),"")</f>
        <v/>
      </c>
      <c r="K236" s="43" t="str">
        <f>IFERROR(VLOOKUP(B236,Baza[[№]:[Profit]],8,0),"")</f>
        <v/>
      </c>
      <c r="L236" s="43" t="str">
        <f>IFERROR(VLOOKUP(B236,Baza[[№]:[Profit]],9,0),"")</f>
        <v/>
      </c>
      <c r="M236" s="43" t="str">
        <f>IFERROR(VLOOKUP(B236,Baza[[№]:[Profit]],10,0),"")</f>
        <v/>
      </c>
      <c r="N236" s="43" t="str">
        <f>IFERROR(IF(VLOOKUP(B236,Baza[[№]:[Profit]],11,0)=0,"-",VLOOKUP(B236,Baza[[№]:[Profit]],11,0)),"")</f>
        <v/>
      </c>
      <c r="O236" s="43" t="str">
        <f>IFERROR(IF(VLOOKUP(B236,Baza[[№]:[Profit]],12,0)=0,"-",VLOOKUP(B236,Baza[[№]:[Profit]],12,0)),"")</f>
        <v/>
      </c>
      <c r="P236" s="43" t="str">
        <f>IFERROR(IF(VLOOKUP(B236,Baza[[№]:[Profit]],13,0)=0,"-",VLOOKUP(B236,Baza[[№]:[Profit]],13,0)),"")</f>
        <v/>
      </c>
      <c r="Q236" s="43" t="str">
        <f>IFERROR(IF(VLOOKUP(B236,Baza[[№]:[Profit]],15,0)=0,"-",VLOOKUP(B236,Baza[[№]:[Profit]],15,0)),"")</f>
        <v/>
      </c>
      <c r="R236" s="43" t="str">
        <f>IFERROR(IF(VLOOKUP(B236,Baza[[№]:[Profit]],16,0)=0,"-",VLOOKUP(B236,Baza[[№]:[Profit]],16,0)),"")</f>
        <v/>
      </c>
      <c r="S236" s="43" t="str">
        <f>IFERROR(IF(VLOOKUP(B236,Baza[[№]:[Profit]],17,0)=0,"-",VLOOKUP(B236,Baza[[№]:[Profit]],17,0)),"")</f>
        <v/>
      </c>
      <c r="T236" s="43" t="str">
        <f>IFERROR(IF(VLOOKUP(B236,Baza[[№]:[Profit]],18,0)=0,"-",VLOOKUP(B236,Baza[[№]:[Profit]],18,0)),"")</f>
        <v/>
      </c>
      <c r="U236" s="41" t="str">
        <f>IFERROR(IF(VLOOKUP(B236,Baza[[№]:[Profit]],19,0)=0,"-",VLOOKUP(B236,Baza[[№]:[Profit]],19,0)),"")</f>
        <v/>
      </c>
      <c r="V236" s="41" t="str">
        <f>IFERROR(VLOOKUP(B236,Baza[[№]:[Profit]],20,0),"")</f>
        <v/>
      </c>
      <c r="W236" s="41" t="str">
        <f>IFERROR(IF(VLOOKUP(B236,Baza[[№]:[Profit]],21,0)=0,"-",VLOOKUP(B236,Baza[[№]:[Profit]],21,0)),"")</f>
        <v/>
      </c>
      <c r="X236" s="45" t="str">
        <f>IFERROR(IF(VLOOKUP(B236,Baza[[№]:[Profit]],22,0)=0,"-",VLOOKUP(B236,Baza[[№]:[Profit]],22,0)),"")</f>
        <v/>
      </c>
      <c r="Y236" s="45" t="str">
        <f>IFERROR(VLOOKUP(B236,Baza[[№]:[Profit]],23,0),"")</f>
        <v/>
      </c>
      <c r="Z236" s="44" t="str">
        <f>IFERROR(VLOOKUP(B236,Baza[[№]:[AFS]],24,0),"")</f>
        <v/>
      </c>
      <c r="AA236" s="45" t="str">
        <f>IF(Таблица2[[#This Row],[Profit]]="","#Н/Д",SUM($Y$40:Y236))</f>
        <v>#Н/Д</v>
      </c>
      <c r="AB236" s="45" t="b">
        <f>IF(Таблица2[[#This Row],[Grafik]]="#Н/Д",FALSE,TRUE)</f>
        <v>0</v>
      </c>
    </row>
    <row r="237" spans="1:28" ht="11.1" hidden="1" customHeight="1" x14ac:dyDescent="0.25">
      <c r="A237" s="93">
        <f t="shared" si="3"/>
        <v>198</v>
      </c>
      <c r="B237"/>
      <c r="C237" s="41" t="str">
        <f>IFERROR(VLOOKUP(B237,Baza[[№]:[Profit]],2,0),"")</f>
        <v/>
      </c>
      <c r="D23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3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37" s="43" t="str">
        <f>IFERROR(VLOOKUP(B237,Baza[[№]:[Profit]],3,0),"")</f>
        <v/>
      </c>
      <c r="G237" s="43" t="str">
        <f>IFERROR(VLOOKUP(B237,Baza[[№]:[Profit]],4,0),"")</f>
        <v/>
      </c>
      <c r="H237" s="43" t="str">
        <f>IFERROR(VLOOKUP(B237,Baza[[№]:[Profit]],5,0),"")</f>
        <v/>
      </c>
      <c r="I237" s="46" t="str">
        <f>IFERROR(VLOOKUP(B237,Baza[[№]:[Profit]],6,0),"")</f>
        <v/>
      </c>
      <c r="J237" s="49" t="str">
        <f>IFERROR(VLOOKUP(B237,Baza[[№]:[Profit]],7,0),"")</f>
        <v/>
      </c>
      <c r="K237" s="43" t="str">
        <f>IFERROR(VLOOKUP(B237,Baza[[№]:[Profit]],8,0),"")</f>
        <v/>
      </c>
      <c r="L237" s="43" t="str">
        <f>IFERROR(VLOOKUP(B237,Baza[[№]:[Profit]],9,0),"")</f>
        <v/>
      </c>
      <c r="M237" s="43" t="str">
        <f>IFERROR(VLOOKUP(B237,Baza[[№]:[Profit]],10,0),"")</f>
        <v/>
      </c>
      <c r="N237" s="43" t="str">
        <f>IFERROR(IF(VLOOKUP(B237,Baza[[№]:[Profit]],11,0)=0,"-",VLOOKUP(B237,Baza[[№]:[Profit]],11,0)),"")</f>
        <v/>
      </c>
      <c r="O237" s="43" t="str">
        <f>IFERROR(IF(VLOOKUP(B237,Baza[[№]:[Profit]],12,0)=0,"-",VLOOKUP(B237,Baza[[№]:[Profit]],12,0)),"")</f>
        <v/>
      </c>
      <c r="P237" s="43" t="str">
        <f>IFERROR(IF(VLOOKUP(B237,Baza[[№]:[Profit]],13,0)=0,"-",VLOOKUP(B237,Baza[[№]:[Profit]],13,0)),"")</f>
        <v/>
      </c>
      <c r="Q237" s="43" t="str">
        <f>IFERROR(IF(VLOOKUP(B237,Baza[[№]:[Profit]],15,0)=0,"-",VLOOKUP(B237,Baza[[№]:[Profit]],15,0)),"")</f>
        <v/>
      </c>
      <c r="R237" s="43" t="str">
        <f>IFERROR(IF(VLOOKUP(B237,Baza[[№]:[Profit]],16,0)=0,"-",VLOOKUP(B237,Baza[[№]:[Profit]],16,0)),"")</f>
        <v/>
      </c>
      <c r="S237" s="43" t="str">
        <f>IFERROR(IF(VLOOKUP(B237,Baza[[№]:[Profit]],17,0)=0,"-",VLOOKUP(B237,Baza[[№]:[Profit]],17,0)),"")</f>
        <v/>
      </c>
      <c r="T237" s="43" t="str">
        <f>IFERROR(IF(VLOOKUP(B237,Baza[[№]:[Profit]],18,0)=0,"-",VLOOKUP(B237,Baza[[№]:[Profit]],18,0)),"")</f>
        <v/>
      </c>
      <c r="U237" s="41" t="str">
        <f>IFERROR(IF(VLOOKUP(B237,Baza[[№]:[Profit]],19,0)=0,"-",VLOOKUP(B237,Baza[[№]:[Profit]],19,0)),"")</f>
        <v/>
      </c>
      <c r="V237" s="41" t="str">
        <f>IFERROR(VLOOKUP(B237,Baza[[№]:[Profit]],20,0),"")</f>
        <v/>
      </c>
      <c r="W237" s="41" t="str">
        <f>IFERROR(IF(VLOOKUP(B237,Baza[[№]:[Profit]],21,0)=0,"-",VLOOKUP(B237,Baza[[№]:[Profit]],21,0)),"")</f>
        <v/>
      </c>
      <c r="X237" s="45" t="str">
        <f>IFERROR(IF(VLOOKUP(B237,Baza[[№]:[Profit]],22,0)=0,"-",VLOOKUP(B237,Baza[[№]:[Profit]],22,0)),"")</f>
        <v/>
      </c>
      <c r="Y237" s="45" t="str">
        <f>IFERROR(VLOOKUP(B237,Baza[[№]:[Profit]],23,0),"")</f>
        <v/>
      </c>
      <c r="Z237" s="44" t="str">
        <f>IFERROR(VLOOKUP(B237,Baza[[№]:[AFS]],24,0),"")</f>
        <v/>
      </c>
      <c r="AA237" s="45" t="str">
        <f>IF(Таблица2[[#This Row],[Profit]]="","#Н/Д",SUM($Y$40:Y237))</f>
        <v>#Н/Д</v>
      </c>
      <c r="AB237" s="45" t="b">
        <f>IF(Таблица2[[#This Row],[Grafik]]="#Н/Д",FALSE,TRUE)</f>
        <v>0</v>
      </c>
    </row>
    <row r="238" spans="1:28" ht="11.1" hidden="1" customHeight="1" x14ac:dyDescent="0.25">
      <c r="A238" s="93">
        <f t="shared" si="3"/>
        <v>199</v>
      </c>
      <c r="B238"/>
      <c r="C238" s="41" t="str">
        <f>IFERROR(VLOOKUP(B238,Baza[[№]:[Profit]],2,0),"")</f>
        <v/>
      </c>
      <c r="D23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3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38" s="43" t="str">
        <f>IFERROR(VLOOKUP(B238,Baza[[№]:[Profit]],3,0),"")</f>
        <v/>
      </c>
      <c r="G238" s="43" t="str">
        <f>IFERROR(VLOOKUP(B238,Baza[[№]:[Profit]],4,0),"")</f>
        <v/>
      </c>
      <c r="H238" s="43" t="str">
        <f>IFERROR(VLOOKUP(B238,Baza[[№]:[Profit]],5,0),"")</f>
        <v/>
      </c>
      <c r="I238" s="46" t="str">
        <f>IFERROR(VLOOKUP(B238,Baza[[№]:[Profit]],6,0),"")</f>
        <v/>
      </c>
      <c r="J238" s="49" t="str">
        <f>IFERROR(VLOOKUP(B238,Baza[[№]:[Profit]],7,0),"")</f>
        <v/>
      </c>
      <c r="K238" s="43" t="str">
        <f>IFERROR(VLOOKUP(B238,Baza[[№]:[Profit]],8,0),"")</f>
        <v/>
      </c>
      <c r="L238" s="43" t="str">
        <f>IFERROR(VLOOKUP(B238,Baza[[№]:[Profit]],9,0),"")</f>
        <v/>
      </c>
      <c r="M238" s="43" t="str">
        <f>IFERROR(VLOOKUP(B238,Baza[[№]:[Profit]],10,0),"")</f>
        <v/>
      </c>
      <c r="N238" s="43" t="str">
        <f>IFERROR(IF(VLOOKUP(B238,Baza[[№]:[Profit]],11,0)=0,"-",VLOOKUP(B238,Baza[[№]:[Profit]],11,0)),"")</f>
        <v/>
      </c>
      <c r="O238" s="43" t="str">
        <f>IFERROR(IF(VLOOKUP(B238,Baza[[№]:[Profit]],12,0)=0,"-",VLOOKUP(B238,Baza[[№]:[Profit]],12,0)),"")</f>
        <v/>
      </c>
      <c r="P238" s="43" t="str">
        <f>IFERROR(IF(VLOOKUP(B238,Baza[[№]:[Profit]],13,0)=0,"-",VLOOKUP(B238,Baza[[№]:[Profit]],13,0)),"")</f>
        <v/>
      </c>
      <c r="Q238" s="43" t="str">
        <f>IFERROR(IF(VLOOKUP(B238,Baza[[№]:[Profit]],15,0)=0,"-",VLOOKUP(B238,Baza[[№]:[Profit]],15,0)),"")</f>
        <v/>
      </c>
      <c r="R238" s="43" t="str">
        <f>IFERROR(IF(VLOOKUP(B238,Baza[[№]:[Profit]],16,0)=0,"-",VLOOKUP(B238,Baza[[№]:[Profit]],16,0)),"")</f>
        <v/>
      </c>
      <c r="S238" s="43" t="str">
        <f>IFERROR(IF(VLOOKUP(B238,Baza[[№]:[Profit]],17,0)=0,"-",VLOOKUP(B238,Baza[[№]:[Profit]],17,0)),"")</f>
        <v/>
      </c>
      <c r="T238" s="43" t="str">
        <f>IFERROR(IF(VLOOKUP(B238,Baza[[№]:[Profit]],18,0)=0,"-",VLOOKUP(B238,Baza[[№]:[Profit]],18,0)),"")</f>
        <v/>
      </c>
      <c r="U238" s="41" t="str">
        <f>IFERROR(IF(VLOOKUP(B238,Baza[[№]:[Profit]],19,0)=0,"-",VLOOKUP(B238,Baza[[№]:[Profit]],19,0)),"")</f>
        <v/>
      </c>
      <c r="V238" s="41" t="str">
        <f>IFERROR(VLOOKUP(B238,Baza[[№]:[Profit]],20,0),"")</f>
        <v/>
      </c>
      <c r="W238" s="41" t="str">
        <f>IFERROR(IF(VLOOKUP(B238,Baza[[№]:[Profit]],21,0)=0,"-",VLOOKUP(B238,Baza[[№]:[Profit]],21,0)),"")</f>
        <v/>
      </c>
      <c r="X238" s="45" t="str">
        <f>IFERROR(IF(VLOOKUP(B238,Baza[[№]:[Profit]],22,0)=0,"-",VLOOKUP(B238,Baza[[№]:[Profit]],22,0)),"")</f>
        <v/>
      </c>
      <c r="Y238" s="45" t="str">
        <f>IFERROR(VLOOKUP(B238,Baza[[№]:[Profit]],23,0),"")</f>
        <v/>
      </c>
      <c r="Z238" s="44" t="str">
        <f>IFERROR(VLOOKUP(B238,Baza[[№]:[AFS]],24,0),"")</f>
        <v/>
      </c>
      <c r="AA238" s="45" t="str">
        <f>IF(Таблица2[[#This Row],[Profit]]="","#Н/Д",SUM($Y$40:Y238))</f>
        <v>#Н/Д</v>
      </c>
      <c r="AB238" s="45" t="b">
        <f>IF(Таблица2[[#This Row],[Grafik]]="#Н/Д",FALSE,TRUE)</f>
        <v>0</v>
      </c>
    </row>
    <row r="239" spans="1:28" ht="11.1" hidden="1" customHeight="1" x14ac:dyDescent="0.25">
      <c r="A239" s="93">
        <f t="shared" si="3"/>
        <v>200</v>
      </c>
      <c r="B239"/>
      <c r="C239" s="41" t="str">
        <f>IFERROR(VLOOKUP(B239,Baza[[№]:[Profit]],2,0),"")</f>
        <v/>
      </c>
      <c r="D23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3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39" s="43" t="str">
        <f>IFERROR(VLOOKUP(B239,Baza[[№]:[Profit]],3,0),"")</f>
        <v/>
      </c>
      <c r="G239" s="43" t="str">
        <f>IFERROR(VLOOKUP(B239,Baza[[№]:[Profit]],4,0),"")</f>
        <v/>
      </c>
      <c r="H239" s="43" t="str">
        <f>IFERROR(VLOOKUP(B239,Baza[[№]:[Profit]],5,0),"")</f>
        <v/>
      </c>
      <c r="I239" s="46" t="str">
        <f>IFERROR(VLOOKUP(B239,Baza[[№]:[Profit]],6,0),"")</f>
        <v/>
      </c>
      <c r="J239" s="49" t="str">
        <f>IFERROR(VLOOKUP(B239,Baza[[№]:[Profit]],7,0),"")</f>
        <v/>
      </c>
      <c r="K239" s="43" t="str">
        <f>IFERROR(VLOOKUP(B239,Baza[[№]:[Profit]],8,0),"")</f>
        <v/>
      </c>
      <c r="L239" s="43" t="str">
        <f>IFERROR(VLOOKUP(B239,Baza[[№]:[Profit]],9,0),"")</f>
        <v/>
      </c>
      <c r="M239" s="43" t="str">
        <f>IFERROR(VLOOKUP(B239,Baza[[№]:[Profit]],10,0),"")</f>
        <v/>
      </c>
      <c r="N239" s="43" t="str">
        <f>IFERROR(IF(VLOOKUP(B239,Baza[[№]:[Profit]],11,0)=0,"-",VLOOKUP(B239,Baza[[№]:[Profit]],11,0)),"")</f>
        <v/>
      </c>
      <c r="O239" s="43" t="str">
        <f>IFERROR(IF(VLOOKUP(B239,Baza[[№]:[Profit]],12,0)=0,"-",VLOOKUP(B239,Baza[[№]:[Profit]],12,0)),"")</f>
        <v/>
      </c>
      <c r="P239" s="43" t="str">
        <f>IFERROR(IF(VLOOKUP(B239,Baza[[№]:[Profit]],13,0)=0,"-",VLOOKUP(B239,Baza[[№]:[Profit]],13,0)),"")</f>
        <v/>
      </c>
      <c r="Q239" s="43" t="str">
        <f>IFERROR(IF(VLOOKUP(B239,Baza[[№]:[Profit]],15,0)=0,"-",VLOOKUP(B239,Baza[[№]:[Profit]],15,0)),"")</f>
        <v/>
      </c>
      <c r="R239" s="43" t="str">
        <f>IFERROR(IF(VLOOKUP(B239,Baza[[№]:[Profit]],16,0)=0,"-",VLOOKUP(B239,Baza[[№]:[Profit]],16,0)),"")</f>
        <v/>
      </c>
      <c r="S239" s="43" t="str">
        <f>IFERROR(IF(VLOOKUP(B239,Baza[[№]:[Profit]],17,0)=0,"-",VLOOKUP(B239,Baza[[№]:[Profit]],17,0)),"")</f>
        <v/>
      </c>
      <c r="T239" s="43" t="str">
        <f>IFERROR(IF(VLOOKUP(B239,Baza[[№]:[Profit]],18,0)=0,"-",VLOOKUP(B239,Baza[[№]:[Profit]],18,0)),"")</f>
        <v/>
      </c>
      <c r="U239" s="41" t="str">
        <f>IFERROR(IF(VLOOKUP(B239,Baza[[№]:[Profit]],19,0)=0,"-",VLOOKUP(B239,Baza[[№]:[Profit]],19,0)),"")</f>
        <v/>
      </c>
      <c r="V239" s="41" t="str">
        <f>IFERROR(VLOOKUP(B239,Baza[[№]:[Profit]],20,0),"")</f>
        <v/>
      </c>
      <c r="W239" s="41" t="str">
        <f>IFERROR(IF(VLOOKUP(B239,Baza[[№]:[Profit]],21,0)=0,"-",VLOOKUP(B239,Baza[[№]:[Profit]],21,0)),"")</f>
        <v/>
      </c>
      <c r="X239" s="45" t="str">
        <f>IFERROR(IF(VLOOKUP(B239,Baza[[№]:[Profit]],22,0)=0,"-",VLOOKUP(B239,Baza[[№]:[Profit]],22,0)),"")</f>
        <v/>
      </c>
      <c r="Y239" s="45" t="str">
        <f>IFERROR(VLOOKUP(B239,Baza[[№]:[Profit]],23,0),"")</f>
        <v/>
      </c>
      <c r="Z239" s="44" t="str">
        <f>IFERROR(VLOOKUP(B239,Baza[[№]:[AFS]],24,0),"")</f>
        <v/>
      </c>
      <c r="AA239" s="45" t="str">
        <f>IF(Таблица2[[#This Row],[Profit]]="","#Н/Д",SUM($Y$40:Y239))</f>
        <v>#Н/Д</v>
      </c>
      <c r="AB239" s="45" t="b">
        <f>IF(Таблица2[[#This Row],[Grafik]]="#Н/Д",FALSE,TRUE)</f>
        <v>0</v>
      </c>
    </row>
    <row r="240" spans="1:28" ht="11.1" hidden="1" customHeight="1" x14ac:dyDescent="0.25">
      <c r="A240" s="93">
        <f t="shared" si="3"/>
        <v>201</v>
      </c>
      <c r="B240"/>
      <c r="C240" s="41" t="str">
        <f>IFERROR(VLOOKUP(B240,Baza[[№]:[Profit]],2,0),"")</f>
        <v/>
      </c>
      <c r="D24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4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40" s="43" t="str">
        <f>IFERROR(VLOOKUP(B240,Baza[[№]:[Profit]],3,0),"")</f>
        <v/>
      </c>
      <c r="G240" s="43" t="str">
        <f>IFERROR(VLOOKUP(B240,Baza[[№]:[Profit]],4,0),"")</f>
        <v/>
      </c>
      <c r="H240" s="43" t="str">
        <f>IFERROR(VLOOKUP(B240,Baza[[№]:[Profit]],5,0),"")</f>
        <v/>
      </c>
      <c r="I240" s="46" t="str">
        <f>IFERROR(VLOOKUP(B240,Baza[[№]:[Profit]],6,0),"")</f>
        <v/>
      </c>
      <c r="J240" s="49" t="str">
        <f>IFERROR(VLOOKUP(B240,Baza[[№]:[Profit]],7,0),"")</f>
        <v/>
      </c>
      <c r="K240" s="43" t="str">
        <f>IFERROR(VLOOKUP(B240,Baza[[№]:[Profit]],8,0),"")</f>
        <v/>
      </c>
      <c r="L240" s="43" t="str">
        <f>IFERROR(VLOOKUP(B240,Baza[[№]:[Profit]],9,0),"")</f>
        <v/>
      </c>
      <c r="M240" s="43" t="str">
        <f>IFERROR(VLOOKUP(B240,Baza[[№]:[Profit]],10,0),"")</f>
        <v/>
      </c>
      <c r="N240" s="43" t="str">
        <f>IFERROR(IF(VLOOKUP(B240,Baza[[№]:[Profit]],11,0)=0,"-",VLOOKUP(B240,Baza[[№]:[Profit]],11,0)),"")</f>
        <v/>
      </c>
      <c r="O240" s="43" t="str">
        <f>IFERROR(IF(VLOOKUP(B240,Baza[[№]:[Profit]],12,0)=0,"-",VLOOKUP(B240,Baza[[№]:[Profit]],12,0)),"")</f>
        <v/>
      </c>
      <c r="P240" s="43" t="str">
        <f>IFERROR(IF(VLOOKUP(B240,Baza[[№]:[Profit]],13,0)=0,"-",VLOOKUP(B240,Baza[[№]:[Profit]],13,0)),"")</f>
        <v/>
      </c>
      <c r="Q240" s="43" t="str">
        <f>IFERROR(IF(VLOOKUP(B240,Baza[[№]:[Profit]],15,0)=0,"-",VLOOKUP(B240,Baza[[№]:[Profit]],15,0)),"")</f>
        <v/>
      </c>
      <c r="R240" s="43" t="str">
        <f>IFERROR(IF(VLOOKUP(B240,Baza[[№]:[Profit]],16,0)=0,"-",VLOOKUP(B240,Baza[[№]:[Profit]],16,0)),"")</f>
        <v/>
      </c>
      <c r="S240" s="43" t="str">
        <f>IFERROR(IF(VLOOKUP(B240,Baza[[№]:[Profit]],17,0)=0,"-",VLOOKUP(B240,Baza[[№]:[Profit]],17,0)),"")</f>
        <v/>
      </c>
      <c r="T240" s="43" t="str">
        <f>IFERROR(IF(VLOOKUP(B240,Baza[[№]:[Profit]],18,0)=0,"-",VLOOKUP(B240,Baza[[№]:[Profit]],18,0)),"")</f>
        <v/>
      </c>
      <c r="U240" s="41" t="str">
        <f>IFERROR(IF(VLOOKUP(B240,Baza[[№]:[Profit]],19,0)=0,"-",VLOOKUP(B240,Baza[[№]:[Profit]],19,0)),"")</f>
        <v/>
      </c>
      <c r="V240" s="41" t="str">
        <f>IFERROR(VLOOKUP(B240,Baza[[№]:[Profit]],20,0),"")</f>
        <v/>
      </c>
      <c r="W240" s="41" t="str">
        <f>IFERROR(IF(VLOOKUP(B240,Baza[[№]:[Profit]],21,0)=0,"-",VLOOKUP(B240,Baza[[№]:[Profit]],21,0)),"")</f>
        <v/>
      </c>
      <c r="X240" s="45" t="str">
        <f>IFERROR(IF(VLOOKUP(B240,Baza[[№]:[Profit]],22,0)=0,"-",VLOOKUP(B240,Baza[[№]:[Profit]],22,0)),"")</f>
        <v/>
      </c>
      <c r="Y240" s="45" t="str">
        <f>IFERROR(VLOOKUP(B240,Baza[[№]:[Profit]],23,0),"")</f>
        <v/>
      </c>
      <c r="Z240" s="44" t="str">
        <f>IFERROR(VLOOKUP(B240,Baza[[№]:[AFS]],24,0),"")</f>
        <v/>
      </c>
      <c r="AA240" s="45" t="str">
        <f>IF(Таблица2[[#This Row],[Profit]]="","#Н/Д",SUM($Y$40:Y240))</f>
        <v>#Н/Д</v>
      </c>
      <c r="AB240" s="45" t="b">
        <f>IF(Таблица2[[#This Row],[Grafik]]="#Н/Д",FALSE,TRUE)</f>
        <v>0</v>
      </c>
    </row>
    <row r="241" spans="1:28" ht="11.1" hidden="1" customHeight="1" x14ac:dyDescent="0.25">
      <c r="A241" s="93">
        <f t="shared" si="3"/>
        <v>202</v>
      </c>
      <c r="B241"/>
      <c r="C241" s="41" t="str">
        <f>IFERROR(VLOOKUP(B241,Baza[[№]:[Profit]],2,0),"")</f>
        <v/>
      </c>
      <c r="D24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4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41" s="43" t="str">
        <f>IFERROR(VLOOKUP(B241,Baza[[№]:[Profit]],3,0),"")</f>
        <v/>
      </c>
      <c r="G241" s="43" t="str">
        <f>IFERROR(VLOOKUP(B241,Baza[[№]:[Profit]],4,0),"")</f>
        <v/>
      </c>
      <c r="H241" s="43" t="str">
        <f>IFERROR(VLOOKUP(B241,Baza[[№]:[Profit]],5,0),"")</f>
        <v/>
      </c>
      <c r="I241" s="46" t="str">
        <f>IFERROR(VLOOKUP(B241,Baza[[№]:[Profit]],6,0),"")</f>
        <v/>
      </c>
      <c r="J241" s="49" t="str">
        <f>IFERROR(VLOOKUP(B241,Baza[[№]:[Profit]],7,0),"")</f>
        <v/>
      </c>
      <c r="K241" s="43" t="str">
        <f>IFERROR(VLOOKUP(B241,Baza[[№]:[Profit]],8,0),"")</f>
        <v/>
      </c>
      <c r="L241" s="43" t="str">
        <f>IFERROR(VLOOKUP(B241,Baza[[№]:[Profit]],9,0),"")</f>
        <v/>
      </c>
      <c r="M241" s="43" t="str">
        <f>IFERROR(VLOOKUP(B241,Baza[[№]:[Profit]],10,0),"")</f>
        <v/>
      </c>
      <c r="N241" s="43" t="str">
        <f>IFERROR(IF(VLOOKUP(B241,Baza[[№]:[Profit]],11,0)=0,"-",VLOOKUP(B241,Baza[[№]:[Profit]],11,0)),"")</f>
        <v/>
      </c>
      <c r="O241" s="43" t="str">
        <f>IFERROR(IF(VLOOKUP(B241,Baza[[№]:[Profit]],12,0)=0,"-",VLOOKUP(B241,Baza[[№]:[Profit]],12,0)),"")</f>
        <v/>
      </c>
      <c r="P241" s="43" t="str">
        <f>IFERROR(IF(VLOOKUP(B241,Baza[[№]:[Profit]],13,0)=0,"-",VLOOKUP(B241,Baza[[№]:[Profit]],13,0)),"")</f>
        <v/>
      </c>
      <c r="Q241" s="43" t="str">
        <f>IFERROR(IF(VLOOKUP(B241,Baza[[№]:[Profit]],15,0)=0,"-",VLOOKUP(B241,Baza[[№]:[Profit]],15,0)),"")</f>
        <v/>
      </c>
      <c r="R241" s="43" t="str">
        <f>IFERROR(IF(VLOOKUP(B241,Baza[[№]:[Profit]],16,0)=0,"-",VLOOKUP(B241,Baza[[№]:[Profit]],16,0)),"")</f>
        <v/>
      </c>
      <c r="S241" s="43" t="str">
        <f>IFERROR(IF(VLOOKUP(B241,Baza[[№]:[Profit]],17,0)=0,"-",VLOOKUP(B241,Baza[[№]:[Profit]],17,0)),"")</f>
        <v/>
      </c>
      <c r="T241" s="43" t="str">
        <f>IFERROR(IF(VLOOKUP(B241,Baza[[№]:[Profit]],18,0)=0,"-",VLOOKUP(B241,Baza[[№]:[Profit]],18,0)),"")</f>
        <v/>
      </c>
      <c r="U241" s="41" t="str">
        <f>IFERROR(IF(VLOOKUP(B241,Baza[[№]:[Profit]],19,0)=0,"-",VLOOKUP(B241,Baza[[№]:[Profit]],19,0)),"")</f>
        <v/>
      </c>
      <c r="V241" s="41" t="str">
        <f>IFERROR(VLOOKUP(B241,Baza[[№]:[Profit]],20,0),"")</f>
        <v/>
      </c>
      <c r="W241" s="41" t="str">
        <f>IFERROR(IF(VLOOKUP(B241,Baza[[№]:[Profit]],21,0)=0,"-",VLOOKUP(B241,Baza[[№]:[Profit]],21,0)),"")</f>
        <v/>
      </c>
      <c r="X241" s="45" t="str">
        <f>IFERROR(IF(VLOOKUP(B241,Baza[[№]:[Profit]],22,0)=0,"-",VLOOKUP(B241,Baza[[№]:[Profit]],22,0)),"")</f>
        <v/>
      </c>
      <c r="Y241" s="45" t="str">
        <f>IFERROR(VLOOKUP(B241,Baza[[№]:[Profit]],23,0),"")</f>
        <v/>
      </c>
      <c r="Z241" s="44" t="str">
        <f>IFERROR(VLOOKUP(B241,Baza[[№]:[AFS]],24,0),"")</f>
        <v/>
      </c>
      <c r="AA241" s="45" t="str">
        <f>IF(Таблица2[[#This Row],[Profit]]="","#Н/Д",SUM($Y$40:Y241))</f>
        <v>#Н/Д</v>
      </c>
      <c r="AB241" s="45" t="b">
        <f>IF(Таблица2[[#This Row],[Grafik]]="#Н/Д",FALSE,TRUE)</f>
        <v>0</v>
      </c>
    </row>
    <row r="242" spans="1:28" ht="11.1" hidden="1" customHeight="1" x14ac:dyDescent="0.25">
      <c r="A242" s="93">
        <f t="shared" si="3"/>
        <v>203</v>
      </c>
      <c r="B242"/>
      <c r="C242" s="41" t="str">
        <f>IFERROR(VLOOKUP(B242,Baza[[№]:[Profit]],2,0),"")</f>
        <v/>
      </c>
      <c r="D24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4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42" s="43" t="str">
        <f>IFERROR(VLOOKUP(B242,Baza[[№]:[Profit]],3,0),"")</f>
        <v/>
      </c>
      <c r="G242" s="43" t="str">
        <f>IFERROR(VLOOKUP(B242,Baza[[№]:[Profit]],4,0),"")</f>
        <v/>
      </c>
      <c r="H242" s="43" t="str">
        <f>IFERROR(VLOOKUP(B242,Baza[[№]:[Profit]],5,0),"")</f>
        <v/>
      </c>
      <c r="I242" s="46" t="str">
        <f>IFERROR(VLOOKUP(B242,Baza[[№]:[Profit]],6,0),"")</f>
        <v/>
      </c>
      <c r="J242" s="49" t="str">
        <f>IFERROR(VLOOKUP(B242,Baza[[№]:[Profit]],7,0),"")</f>
        <v/>
      </c>
      <c r="K242" s="43" t="str">
        <f>IFERROR(VLOOKUP(B242,Baza[[№]:[Profit]],8,0),"")</f>
        <v/>
      </c>
      <c r="L242" s="43" t="str">
        <f>IFERROR(VLOOKUP(B242,Baza[[№]:[Profit]],9,0),"")</f>
        <v/>
      </c>
      <c r="M242" s="43" t="str">
        <f>IFERROR(VLOOKUP(B242,Baza[[№]:[Profit]],10,0),"")</f>
        <v/>
      </c>
      <c r="N242" s="43" t="str">
        <f>IFERROR(IF(VLOOKUP(B242,Baza[[№]:[Profit]],11,0)=0,"-",VLOOKUP(B242,Baza[[№]:[Profit]],11,0)),"")</f>
        <v/>
      </c>
      <c r="O242" s="43" t="str">
        <f>IFERROR(IF(VLOOKUP(B242,Baza[[№]:[Profit]],12,0)=0,"-",VLOOKUP(B242,Baza[[№]:[Profit]],12,0)),"")</f>
        <v/>
      </c>
      <c r="P242" s="43" t="str">
        <f>IFERROR(IF(VLOOKUP(B242,Baza[[№]:[Profit]],13,0)=0,"-",VLOOKUP(B242,Baza[[№]:[Profit]],13,0)),"")</f>
        <v/>
      </c>
      <c r="Q242" s="43" t="str">
        <f>IFERROR(IF(VLOOKUP(B242,Baza[[№]:[Profit]],15,0)=0,"-",VLOOKUP(B242,Baza[[№]:[Profit]],15,0)),"")</f>
        <v/>
      </c>
      <c r="R242" s="43" t="str">
        <f>IFERROR(IF(VLOOKUP(B242,Baza[[№]:[Profit]],16,0)=0,"-",VLOOKUP(B242,Baza[[№]:[Profit]],16,0)),"")</f>
        <v/>
      </c>
      <c r="S242" s="43" t="str">
        <f>IFERROR(IF(VLOOKUP(B242,Baza[[№]:[Profit]],17,0)=0,"-",VLOOKUP(B242,Baza[[№]:[Profit]],17,0)),"")</f>
        <v/>
      </c>
      <c r="T242" s="43" t="str">
        <f>IFERROR(IF(VLOOKUP(B242,Baza[[№]:[Profit]],18,0)=0,"-",VLOOKUP(B242,Baza[[№]:[Profit]],18,0)),"")</f>
        <v/>
      </c>
      <c r="U242" s="41" t="str">
        <f>IFERROR(IF(VLOOKUP(B242,Baza[[№]:[Profit]],19,0)=0,"-",VLOOKUP(B242,Baza[[№]:[Profit]],19,0)),"")</f>
        <v/>
      </c>
      <c r="V242" s="41" t="str">
        <f>IFERROR(VLOOKUP(B242,Baza[[№]:[Profit]],20,0),"")</f>
        <v/>
      </c>
      <c r="W242" s="41" t="str">
        <f>IFERROR(IF(VLOOKUP(B242,Baza[[№]:[Profit]],21,0)=0,"-",VLOOKUP(B242,Baza[[№]:[Profit]],21,0)),"")</f>
        <v/>
      </c>
      <c r="X242" s="45" t="str">
        <f>IFERROR(IF(VLOOKUP(B242,Baza[[№]:[Profit]],22,0)=0,"-",VLOOKUP(B242,Baza[[№]:[Profit]],22,0)),"")</f>
        <v/>
      </c>
      <c r="Y242" s="45" t="str">
        <f>IFERROR(VLOOKUP(B242,Baza[[№]:[Profit]],23,0),"")</f>
        <v/>
      </c>
      <c r="Z242" s="44" t="str">
        <f>IFERROR(VLOOKUP(B242,Baza[[№]:[AFS]],24,0),"")</f>
        <v/>
      </c>
      <c r="AA242" s="45" t="str">
        <f>IF(Таблица2[[#This Row],[Profit]]="","#Н/Д",SUM($Y$40:Y242))</f>
        <v>#Н/Д</v>
      </c>
      <c r="AB242" s="45" t="b">
        <f>IF(Таблица2[[#This Row],[Grafik]]="#Н/Д",FALSE,TRUE)</f>
        <v>0</v>
      </c>
    </row>
    <row r="243" spans="1:28" ht="11.1" hidden="1" customHeight="1" x14ac:dyDescent="0.25">
      <c r="A243" s="93">
        <f t="shared" si="3"/>
        <v>204</v>
      </c>
      <c r="B243"/>
      <c r="C243" s="41" t="str">
        <f>IFERROR(VLOOKUP(B243,Baza[[№]:[Profit]],2,0),"")</f>
        <v/>
      </c>
      <c r="D24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4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43" s="43" t="str">
        <f>IFERROR(VLOOKUP(B243,Baza[[№]:[Profit]],3,0),"")</f>
        <v/>
      </c>
      <c r="G243" s="43" t="str">
        <f>IFERROR(VLOOKUP(B243,Baza[[№]:[Profit]],4,0),"")</f>
        <v/>
      </c>
      <c r="H243" s="43" t="str">
        <f>IFERROR(VLOOKUP(B243,Baza[[№]:[Profit]],5,0),"")</f>
        <v/>
      </c>
      <c r="I243" s="46" t="str">
        <f>IFERROR(VLOOKUP(B243,Baza[[№]:[Profit]],6,0),"")</f>
        <v/>
      </c>
      <c r="J243" s="49" t="str">
        <f>IFERROR(VLOOKUP(B243,Baza[[№]:[Profit]],7,0),"")</f>
        <v/>
      </c>
      <c r="K243" s="43" t="str">
        <f>IFERROR(VLOOKUP(B243,Baza[[№]:[Profit]],8,0),"")</f>
        <v/>
      </c>
      <c r="L243" s="43" t="str">
        <f>IFERROR(VLOOKUP(B243,Baza[[№]:[Profit]],9,0),"")</f>
        <v/>
      </c>
      <c r="M243" s="43" t="str">
        <f>IFERROR(VLOOKUP(B243,Baza[[№]:[Profit]],10,0),"")</f>
        <v/>
      </c>
      <c r="N243" s="43" t="str">
        <f>IFERROR(IF(VLOOKUP(B243,Baza[[№]:[Profit]],11,0)=0,"-",VLOOKUP(B243,Baza[[№]:[Profit]],11,0)),"")</f>
        <v/>
      </c>
      <c r="O243" s="43" t="str">
        <f>IFERROR(IF(VLOOKUP(B243,Baza[[№]:[Profit]],12,0)=0,"-",VLOOKUP(B243,Baza[[№]:[Profit]],12,0)),"")</f>
        <v/>
      </c>
      <c r="P243" s="43" t="str">
        <f>IFERROR(IF(VLOOKUP(B243,Baza[[№]:[Profit]],13,0)=0,"-",VLOOKUP(B243,Baza[[№]:[Profit]],13,0)),"")</f>
        <v/>
      </c>
      <c r="Q243" s="43" t="str">
        <f>IFERROR(IF(VLOOKUP(B243,Baza[[№]:[Profit]],15,0)=0,"-",VLOOKUP(B243,Baza[[№]:[Profit]],15,0)),"")</f>
        <v/>
      </c>
      <c r="R243" s="43" t="str">
        <f>IFERROR(IF(VLOOKUP(B243,Baza[[№]:[Profit]],16,0)=0,"-",VLOOKUP(B243,Baza[[№]:[Profit]],16,0)),"")</f>
        <v/>
      </c>
      <c r="S243" s="43" t="str">
        <f>IFERROR(IF(VLOOKUP(B243,Baza[[№]:[Profit]],17,0)=0,"-",VLOOKUP(B243,Baza[[№]:[Profit]],17,0)),"")</f>
        <v/>
      </c>
      <c r="T243" s="43" t="str">
        <f>IFERROR(IF(VLOOKUP(B243,Baza[[№]:[Profit]],18,0)=0,"-",VLOOKUP(B243,Baza[[№]:[Profit]],18,0)),"")</f>
        <v/>
      </c>
      <c r="U243" s="41" t="str">
        <f>IFERROR(IF(VLOOKUP(B243,Baza[[№]:[Profit]],19,0)=0,"-",VLOOKUP(B243,Baza[[№]:[Profit]],19,0)),"")</f>
        <v/>
      </c>
      <c r="V243" s="41" t="str">
        <f>IFERROR(VLOOKUP(B243,Baza[[№]:[Profit]],20,0),"")</f>
        <v/>
      </c>
      <c r="W243" s="41" t="str">
        <f>IFERROR(IF(VLOOKUP(B243,Baza[[№]:[Profit]],21,0)=0,"-",VLOOKUP(B243,Baza[[№]:[Profit]],21,0)),"")</f>
        <v/>
      </c>
      <c r="X243" s="45" t="str">
        <f>IFERROR(IF(VLOOKUP(B243,Baza[[№]:[Profit]],22,0)=0,"-",VLOOKUP(B243,Baza[[№]:[Profit]],22,0)),"")</f>
        <v/>
      </c>
      <c r="Y243" s="45" t="str">
        <f>IFERROR(VLOOKUP(B243,Baza[[№]:[Profit]],23,0),"")</f>
        <v/>
      </c>
      <c r="Z243" s="44" t="str">
        <f>IFERROR(VLOOKUP(B243,Baza[[№]:[AFS]],24,0),"")</f>
        <v/>
      </c>
      <c r="AA243" s="45" t="str">
        <f>IF(Таблица2[[#This Row],[Profit]]="","#Н/Д",SUM($Y$40:Y243))</f>
        <v>#Н/Д</v>
      </c>
      <c r="AB243" s="45" t="b">
        <f>IF(Таблица2[[#This Row],[Grafik]]="#Н/Д",FALSE,TRUE)</f>
        <v>0</v>
      </c>
    </row>
    <row r="244" spans="1:28" ht="11.1" hidden="1" customHeight="1" x14ac:dyDescent="0.25">
      <c r="A244" s="93">
        <f t="shared" si="3"/>
        <v>205</v>
      </c>
      <c r="B244"/>
      <c r="C244" s="41" t="str">
        <f>IFERROR(VLOOKUP(B244,Baza[[№]:[Profit]],2,0),"")</f>
        <v/>
      </c>
      <c r="D24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4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44" s="43" t="str">
        <f>IFERROR(VLOOKUP(B244,Baza[[№]:[Profit]],3,0),"")</f>
        <v/>
      </c>
      <c r="G244" s="43" t="str">
        <f>IFERROR(VLOOKUP(B244,Baza[[№]:[Profit]],4,0),"")</f>
        <v/>
      </c>
      <c r="H244" s="43" t="str">
        <f>IFERROR(VLOOKUP(B244,Baza[[№]:[Profit]],5,0),"")</f>
        <v/>
      </c>
      <c r="I244" s="46" t="str">
        <f>IFERROR(VLOOKUP(B244,Baza[[№]:[Profit]],6,0),"")</f>
        <v/>
      </c>
      <c r="J244" s="49" t="str">
        <f>IFERROR(VLOOKUP(B244,Baza[[№]:[Profit]],7,0),"")</f>
        <v/>
      </c>
      <c r="K244" s="43" t="str">
        <f>IFERROR(VLOOKUP(B244,Baza[[№]:[Profit]],8,0),"")</f>
        <v/>
      </c>
      <c r="L244" s="43" t="str">
        <f>IFERROR(VLOOKUP(B244,Baza[[№]:[Profit]],9,0),"")</f>
        <v/>
      </c>
      <c r="M244" s="43" t="str">
        <f>IFERROR(VLOOKUP(B244,Baza[[№]:[Profit]],10,0),"")</f>
        <v/>
      </c>
      <c r="N244" s="43" t="str">
        <f>IFERROR(IF(VLOOKUP(B244,Baza[[№]:[Profit]],11,0)=0,"-",VLOOKUP(B244,Baza[[№]:[Profit]],11,0)),"")</f>
        <v/>
      </c>
      <c r="O244" s="43" t="str">
        <f>IFERROR(IF(VLOOKUP(B244,Baza[[№]:[Profit]],12,0)=0,"-",VLOOKUP(B244,Baza[[№]:[Profit]],12,0)),"")</f>
        <v/>
      </c>
      <c r="P244" s="43" t="str">
        <f>IFERROR(IF(VLOOKUP(B244,Baza[[№]:[Profit]],13,0)=0,"-",VLOOKUP(B244,Baza[[№]:[Profit]],13,0)),"")</f>
        <v/>
      </c>
      <c r="Q244" s="43" t="str">
        <f>IFERROR(IF(VLOOKUP(B244,Baza[[№]:[Profit]],15,0)=0,"-",VLOOKUP(B244,Baza[[№]:[Profit]],15,0)),"")</f>
        <v/>
      </c>
      <c r="R244" s="43" t="str">
        <f>IFERROR(IF(VLOOKUP(B244,Baza[[№]:[Profit]],16,0)=0,"-",VLOOKUP(B244,Baza[[№]:[Profit]],16,0)),"")</f>
        <v/>
      </c>
      <c r="S244" s="43" t="str">
        <f>IFERROR(IF(VLOOKUP(B244,Baza[[№]:[Profit]],17,0)=0,"-",VLOOKUP(B244,Baza[[№]:[Profit]],17,0)),"")</f>
        <v/>
      </c>
      <c r="T244" s="43" t="str">
        <f>IFERROR(IF(VLOOKUP(B244,Baza[[№]:[Profit]],18,0)=0,"-",VLOOKUP(B244,Baza[[№]:[Profit]],18,0)),"")</f>
        <v/>
      </c>
      <c r="U244" s="41" t="str">
        <f>IFERROR(IF(VLOOKUP(B244,Baza[[№]:[Profit]],19,0)=0,"-",VLOOKUP(B244,Baza[[№]:[Profit]],19,0)),"")</f>
        <v/>
      </c>
      <c r="V244" s="41" t="str">
        <f>IFERROR(VLOOKUP(B244,Baza[[№]:[Profit]],20,0),"")</f>
        <v/>
      </c>
      <c r="W244" s="41" t="str">
        <f>IFERROR(IF(VLOOKUP(B244,Baza[[№]:[Profit]],21,0)=0,"-",VLOOKUP(B244,Baza[[№]:[Profit]],21,0)),"")</f>
        <v/>
      </c>
      <c r="X244" s="45" t="str">
        <f>IFERROR(IF(VLOOKUP(B244,Baza[[№]:[Profit]],22,0)=0,"-",VLOOKUP(B244,Baza[[№]:[Profit]],22,0)),"")</f>
        <v/>
      </c>
      <c r="Y244" s="45" t="str">
        <f>IFERROR(VLOOKUP(B244,Baza[[№]:[Profit]],23,0),"")</f>
        <v/>
      </c>
      <c r="Z244" s="44" t="str">
        <f>IFERROR(VLOOKUP(B244,Baza[[№]:[AFS]],24,0),"")</f>
        <v/>
      </c>
      <c r="AA244" s="45" t="str">
        <f>IF(Таблица2[[#This Row],[Profit]]="","#Н/Д",SUM($Y$40:Y244))</f>
        <v>#Н/Д</v>
      </c>
      <c r="AB244" s="45" t="b">
        <f>IF(Таблица2[[#This Row],[Grafik]]="#Н/Д",FALSE,TRUE)</f>
        <v>0</v>
      </c>
    </row>
    <row r="245" spans="1:28" ht="11.1" hidden="1" customHeight="1" x14ac:dyDescent="0.25">
      <c r="A245" s="93">
        <f t="shared" si="3"/>
        <v>206</v>
      </c>
      <c r="B245"/>
      <c r="C245" s="41" t="str">
        <f>IFERROR(VLOOKUP(B245,Baza[[№]:[Profit]],2,0),"")</f>
        <v/>
      </c>
      <c r="D24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4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45" s="43" t="str">
        <f>IFERROR(VLOOKUP(B245,Baza[[№]:[Profit]],3,0),"")</f>
        <v/>
      </c>
      <c r="G245" s="43" t="str">
        <f>IFERROR(VLOOKUP(B245,Baza[[№]:[Profit]],4,0),"")</f>
        <v/>
      </c>
      <c r="H245" s="43" t="str">
        <f>IFERROR(VLOOKUP(B245,Baza[[№]:[Profit]],5,0),"")</f>
        <v/>
      </c>
      <c r="I245" s="46" t="str">
        <f>IFERROR(VLOOKUP(B245,Baza[[№]:[Profit]],6,0),"")</f>
        <v/>
      </c>
      <c r="J245" s="49" t="str">
        <f>IFERROR(VLOOKUP(B245,Baza[[№]:[Profit]],7,0),"")</f>
        <v/>
      </c>
      <c r="K245" s="43" t="str">
        <f>IFERROR(VLOOKUP(B245,Baza[[№]:[Profit]],8,0),"")</f>
        <v/>
      </c>
      <c r="L245" s="43" t="str">
        <f>IFERROR(VLOOKUP(B245,Baza[[№]:[Profit]],9,0),"")</f>
        <v/>
      </c>
      <c r="M245" s="43" t="str">
        <f>IFERROR(VLOOKUP(B245,Baza[[№]:[Profit]],10,0),"")</f>
        <v/>
      </c>
      <c r="N245" s="43" t="str">
        <f>IFERROR(IF(VLOOKUP(B245,Baza[[№]:[Profit]],11,0)=0,"-",VLOOKUP(B245,Baza[[№]:[Profit]],11,0)),"")</f>
        <v/>
      </c>
      <c r="O245" s="43" t="str">
        <f>IFERROR(IF(VLOOKUP(B245,Baza[[№]:[Profit]],12,0)=0,"-",VLOOKUP(B245,Baza[[№]:[Profit]],12,0)),"")</f>
        <v/>
      </c>
      <c r="P245" s="43" t="str">
        <f>IFERROR(IF(VLOOKUP(B245,Baza[[№]:[Profit]],13,0)=0,"-",VLOOKUP(B245,Baza[[№]:[Profit]],13,0)),"")</f>
        <v/>
      </c>
      <c r="Q245" s="43" t="str">
        <f>IFERROR(IF(VLOOKUP(B245,Baza[[№]:[Profit]],15,0)=0,"-",VLOOKUP(B245,Baza[[№]:[Profit]],15,0)),"")</f>
        <v/>
      </c>
      <c r="R245" s="43" t="str">
        <f>IFERROR(IF(VLOOKUP(B245,Baza[[№]:[Profit]],16,0)=0,"-",VLOOKUP(B245,Baza[[№]:[Profit]],16,0)),"")</f>
        <v/>
      </c>
      <c r="S245" s="43" t="str">
        <f>IFERROR(IF(VLOOKUP(B245,Baza[[№]:[Profit]],17,0)=0,"-",VLOOKUP(B245,Baza[[№]:[Profit]],17,0)),"")</f>
        <v/>
      </c>
      <c r="T245" s="43" t="str">
        <f>IFERROR(IF(VLOOKUP(B245,Baza[[№]:[Profit]],18,0)=0,"-",VLOOKUP(B245,Baza[[№]:[Profit]],18,0)),"")</f>
        <v/>
      </c>
      <c r="U245" s="41" t="str">
        <f>IFERROR(IF(VLOOKUP(B245,Baza[[№]:[Profit]],19,0)=0,"-",VLOOKUP(B245,Baza[[№]:[Profit]],19,0)),"")</f>
        <v/>
      </c>
      <c r="V245" s="41" t="str">
        <f>IFERROR(VLOOKUP(B245,Baza[[№]:[Profit]],20,0),"")</f>
        <v/>
      </c>
      <c r="W245" s="41" t="str">
        <f>IFERROR(IF(VLOOKUP(B245,Baza[[№]:[Profit]],21,0)=0,"-",VLOOKUP(B245,Baza[[№]:[Profit]],21,0)),"")</f>
        <v/>
      </c>
      <c r="X245" s="45" t="str">
        <f>IFERROR(IF(VLOOKUP(B245,Baza[[№]:[Profit]],22,0)=0,"-",VLOOKUP(B245,Baza[[№]:[Profit]],22,0)),"")</f>
        <v/>
      </c>
      <c r="Y245" s="45" t="str">
        <f>IFERROR(VLOOKUP(B245,Baza[[№]:[Profit]],23,0),"")</f>
        <v/>
      </c>
      <c r="Z245" s="44" t="str">
        <f>IFERROR(VLOOKUP(B245,Baza[[№]:[AFS]],24,0),"")</f>
        <v/>
      </c>
      <c r="AA245" s="45" t="str">
        <f>IF(Таблица2[[#This Row],[Profit]]="","#Н/Д",SUM($Y$40:Y245))</f>
        <v>#Н/Д</v>
      </c>
      <c r="AB245" s="45" t="b">
        <f>IF(Таблица2[[#This Row],[Grafik]]="#Н/Д",FALSE,TRUE)</f>
        <v>0</v>
      </c>
    </row>
    <row r="246" spans="1:28" ht="11.1" hidden="1" customHeight="1" x14ac:dyDescent="0.25">
      <c r="A246" s="93">
        <f t="shared" si="3"/>
        <v>207</v>
      </c>
      <c r="B246"/>
      <c r="C246" s="41" t="str">
        <f>IFERROR(VLOOKUP(B246,Baza[[№]:[Profit]],2,0),"")</f>
        <v/>
      </c>
      <c r="D24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4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46" s="43" t="str">
        <f>IFERROR(VLOOKUP(B246,Baza[[№]:[Profit]],3,0),"")</f>
        <v/>
      </c>
      <c r="G246" s="43" t="str">
        <f>IFERROR(VLOOKUP(B246,Baza[[№]:[Profit]],4,0),"")</f>
        <v/>
      </c>
      <c r="H246" s="43" t="str">
        <f>IFERROR(VLOOKUP(B246,Baza[[№]:[Profit]],5,0),"")</f>
        <v/>
      </c>
      <c r="I246" s="46" t="str">
        <f>IFERROR(VLOOKUP(B246,Baza[[№]:[Profit]],6,0),"")</f>
        <v/>
      </c>
      <c r="J246" s="49" t="str">
        <f>IFERROR(VLOOKUP(B246,Baza[[№]:[Profit]],7,0),"")</f>
        <v/>
      </c>
      <c r="K246" s="43" t="str">
        <f>IFERROR(VLOOKUP(B246,Baza[[№]:[Profit]],8,0),"")</f>
        <v/>
      </c>
      <c r="L246" s="43" t="str">
        <f>IFERROR(VLOOKUP(B246,Baza[[№]:[Profit]],9,0),"")</f>
        <v/>
      </c>
      <c r="M246" s="43" t="str">
        <f>IFERROR(VLOOKUP(B246,Baza[[№]:[Profit]],10,0),"")</f>
        <v/>
      </c>
      <c r="N246" s="43" t="str">
        <f>IFERROR(IF(VLOOKUP(B246,Baza[[№]:[Profit]],11,0)=0,"-",VLOOKUP(B246,Baza[[№]:[Profit]],11,0)),"")</f>
        <v/>
      </c>
      <c r="O246" s="43" t="str">
        <f>IFERROR(IF(VLOOKUP(B246,Baza[[№]:[Profit]],12,0)=0,"-",VLOOKUP(B246,Baza[[№]:[Profit]],12,0)),"")</f>
        <v/>
      </c>
      <c r="P246" s="43" t="str">
        <f>IFERROR(IF(VLOOKUP(B246,Baza[[№]:[Profit]],13,0)=0,"-",VLOOKUP(B246,Baza[[№]:[Profit]],13,0)),"")</f>
        <v/>
      </c>
      <c r="Q246" s="43" t="str">
        <f>IFERROR(IF(VLOOKUP(B246,Baza[[№]:[Profit]],15,0)=0,"-",VLOOKUP(B246,Baza[[№]:[Profit]],15,0)),"")</f>
        <v/>
      </c>
      <c r="R246" s="43" t="str">
        <f>IFERROR(IF(VLOOKUP(B246,Baza[[№]:[Profit]],16,0)=0,"-",VLOOKUP(B246,Baza[[№]:[Profit]],16,0)),"")</f>
        <v/>
      </c>
      <c r="S246" s="43" t="str">
        <f>IFERROR(IF(VLOOKUP(B246,Baza[[№]:[Profit]],17,0)=0,"-",VLOOKUP(B246,Baza[[№]:[Profit]],17,0)),"")</f>
        <v/>
      </c>
      <c r="T246" s="43" t="str">
        <f>IFERROR(IF(VLOOKUP(B246,Baza[[№]:[Profit]],18,0)=0,"-",VLOOKUP(B246,Baza[[№]:[Profit]],18,0)),"")</f>
        <v/>
      </c>
      <c r="U246" s="41" t="str">
        <f>IFERROR(IF(VLOOKUP(B246,Baza[[№]:[Profit]],19,0)=0,"-",VLOOKUP(B246,Baza[[№]:[Profit]],19,0)),"")</f>
        <v/>
      </c>
      <c r="V246" s="41" t="str">
        <f>IFERROR(VLOOKUP(B246,Baza[[№]:[Profit]],20,0),"")</f>
        <v/>
      </c>
      <c r="W246" s="41" t="str">
        <f>IFERROR(IF(VLOOKUP(B246,Baza[[№]:[Profit]],21,0)=0,"-",VLOOKUP(B246,Baza[[№]:[Profit]],21,0)),"")</f>
        <v/>
      </c>
      <c r="X246" s="45" t="str">
        <f>IFERROR(IF(VLOOKUP(B246,Baza[[№]:[Profit]],22,0)=0,"-",VLOOKUP(B246,Baza[[№]:[Profit]],22,0)),"")</f>
        <v/>
      </c>
      <c r="Y246" s="45" t="str">
        <f>IFERROR(VLOOKUP(B246,Baza[[№]:[Profit]],23,0),"")</f>
        <v/>
      </c>
      <c r="Z246" s="44" t="str">
        <f>IFERROR(VLOOKUP(B246,Baza[[№]:[AFS]],24,0),"")</f>
        <v/>
      </c>
      <c r="AA246" s="45" t="str">
        <f>IF(Таблица2[[#This Row],[Profit]]="","#Н/Д",SUM($Y$40:Y246))</f>
        <v>#Н/Д</v>
      </c>
      <c r="AB246" s="45" t="b">
        <f>IF(Таблица2[[#This Row],[Grafik]]="#Н/Д",FALSE,TRUE)</f>
        <v>0</v>
      </c>
    </row>
    <row r="247" spans="1:28" ht="11.1" hidden="1" customHeight="1" x14ac:dyDescent="0.25">
      <c r="A247" s="93">
        <f t="shared" si="3"/>
        <v>208</v>
      </c>
      <c r="B247"/>
      <c r="C247" s="41" t="str">
        <f>IFERROR(VLOOKUP(B247,Baza[[№]:[Profit]],2,0),"")</f>
        <v/>
      </c>
      <c r="D24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4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47" s="43" t="str">
        <f>IFERROR(VLOOKUP(B247,Baza[[№]:[Profit]],3,0),"")</f>
        <v/>
      </c>
      <c r="G247" s="43" t="str">
        <f>IFERROR(VLOOKUP(B247,Baza[[№]:[Profit]],4,0),"")</f>
        <v/>
      </c>
      <c r="H247" s="43" t="str">
        <f>IFERROR(VLOOKUP(B247,Baza[[№]:[Profit]],5,0),"")</f>
        <v/>
      </c>
      <c r="I247" s="46" t="str">
        <f>IFERROR(VLOOKUP(B247,Baza[[№]:[Profit]],6,0),"")</f>
        <v/>
      </c>
      <c r="J247" s="49" t="str">
        <f>IFERROR(VLOOKUP(B247,Baza[[№]:[Profit]],7,0),"")</f>
        <v/>
      </c>
      <c r="K247" s="43" t="str">
        <f>IFERROR(VLOOKUP(B247,Baza[[№]:[Profit]],8,0),"")</f>
        <v/>
      </c>
      <c r="L247" s="43" t="str">
        <f>IFERROR(VLOOKUP(B247,Baza[[№]:[Profit]],9,0),"")</f>
        <v/>
      </c>
      <c r="M247" s="43" t="str">
        <f>IFERROR(VLOOKUP(B247,Baza[[№]:[Profit]],10,0),"")</f>
        <v/>
      </c>
      <c r="N247" s="43" t="str">
        <f>IFERROR(IF(VLOOKUP(B247,Baza[[№]:[Profit]],11,0)=0,"-",VLOOKUP(B247,Baza[[№]:[Profit]],11,0)),"")</f>
        <v/>
      </c>
      <c r="O247" s="43" t="str">
        <f>IFERROR(IF(VLOOKUP(B247,Baza[[№]:[Profit]],12,0)=0,"-",VLOOKUP(B247,Baza[[№]:[Profit]],12,0)),"")</f>
        <v/>
      </c>
      <c r="P247" s="43" t="str">
        <f>IFERROR(IF(VLOOKUP(B247,Baza[[№]:[Profit]],13,0)=0,"-",VLOOKUP(B247,Baza[[№]:[Profit]],13,0)),"")</f>
        <v/>
      </c>
      <c r="Q247" s="43" t="str">
        <f>IFERROR(IF(VLOOKUP(B247,Baza[[№]:[Profit]],15,0)=0,"-",VLOOKUP(B247,Baza[[№]:[Profit]],15,0)),"")</f>
        <v/>
      </c>
      <c r="R247" s="43" t="str">
        <f>IFERROR(IF(VLOOKUP(B247,Baza[[№]:[Profit]],16,0)=0,"-",VLOOKUP(B247,Baza[[№]:[Profit]],16,0)),"")</f>
        <v/>
      </c>
      <c r="S247" s="43" t="str">
        <f>IFERROR(IF(VLOOKUP(B247,Baza[[№]:[Profit]],17,0)=0,"-",VLOOKUP(B247,Baza[[№]:[Profit]],17,0)),"")</f>
        <v/>
      </c>
      <c r="T247" s="43" t="str">
        <f>IFERROR(IF(VLOOKUP(B247,Baza[[№]:[Profit]],18,0)=0,"-",VLOOKUP(B247,Baza[[№]:[Profit]],18,0)),"")</f>
        <v/>
      </c>
      <c r="U247" s="41" t="str">
        <f>IFERROR(IF(VLOOKUP(B247,Baza[[№]:[Profit]],19,0)=0,"-",VLOOKUP(B247,Baza[[№]:[Profit]],19,0)),"")</f>
        <v/>
      </c>
      <c r="V247" s="41" t="str">
        <f>IFERROR(VLOOKUP(B247,Baza[[№]:[Profit]],20,0),"")</f>
        <v/>
      </c>
      <c r="W247" s="41" t="str">
        <f>IFERROR(IF(VLOOKUP(B247,Baza[[№]:[Profit]],21,0)=0,"-",VLOOKUP(B247,Baza[[№]:[Profit]],21,0)),"")</f>
        <v/>
      </c>
      <c r="X247" s="45" t="str">
        <f>IFERROR(IF(VLOOKUP(B247,Baza[[№]:[Profit]],22,0)=0,"-",VLOOKUP(B247,Baza[[№]:[Profit]],22,0)),"")</f>
        <v/>
      </c>
      <c r="Y247" s="45" t="str">
        <f>IFERROR(VLOOKUP(B247,Baza[[№]:[Profit]],23,0),"")</f>
        <v/>
      </c>
      <c r="Z247" s="44" t="str">
        <f>IFERROR(VLOOKUP(B247,Baza[[№]:[AFS]],24,0),"")</f>
        <v/>
      </c>
      <c r="AA247" s="45" t="str">
        <f>IF(Таблица2[[#This Row],[Profit]]="","#Н/Д",SUM($Y$40:Y247))</f>
        <v>#Н/Д</v>
      </c>
      <c r="AB247" s="45" t="b">
        <f>IF(Таблица2[[#This Row],[Grafik]]="#Н/Д",FALSE,TRUE)</f>
        <v>0</v>
      </c>
    </row>
    <row r="248" spans="1:28" ht="11.1" hidden="1" customHeight="1" x14ac:dyDescent="0.25">
      <c r="A248" s="93">
        <f t="shared" si="3"/>
        <v>209</v>
      </c>
      <c r="B248"/>
      <c r="C248" s="41" t="str">
        <f>IFERROR(VLOOKUP(B248,Baza[[№]:[Profit]],2,0),"")</f>
        <v/>
      </c>
      <c r="D24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4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48" s="43" t="str">
        <f>IFERROR(VLOOKUP(B248,Baza[[№]:[Profit]],3,0),"")</f>
        <v/>
      </c>
      <c r="G248" s="43" t="str">
        <f>IFERROR(VLOOKUP(B248,Baza[[№]:[Profit]],4,0),"")</f>
        <v/>
      </c>
      <c r="H248" s="43" t="str">
        <f>IFERROR(VLOOKUP(B248,Baza[[№]:[Profit]],5,0),"")</f>
        <v/>
      </c>
      <c r="I248" s="46" t="str">
        <f>IFERROR(VLOOKUP(B248,Baza[[№]:[Profit]],6,0),"")</f>
        <v/>
      </c>
      <c r="J248" s="49" t="str">
        <f>IFERROR(VLOOKUP(B248,Baza[[№]:[Profit]],7,0),"")</f>
        <v/>
      </c>
      <c r="K248" s="43" t="str">
        <f>IFERROR(VLOOKUP(B248,Baza[[№]:[Profit]],8,0),"")</f>
        <v/>
      </c>
      <c r="L248" s="43" t="str">
        <f>IFERROR(VLOOKUP(B248,Baza[[№]:[Profit]],9,0),"")</f>
        <v/>
      </c>
      <c r="M248" s="43" t="str">
        <f>IFERROR(VLOOKUP(B248,Baza[[№]:[Profit]],10,0),"")</f>
        <v/>
      </c>
      <c r="N248" s="43" t="str">
        <f>IFERROR(IF(VLOOKUP(B248,Baza[[№]:[Profit]],11,0)=0,"-",VLOOKUP(B248,Baza[[№]:[Profit]],11,0)),"")</f>
        <v/>
      </c>
      <c r="O248" s="43" t="str">
        <f>IFERROR(IF(VLOOKUP(B248,Baza[[№]:[Profit]],12,0)=0,"-",VLOOKUP(B248,Baza[[№]:[Profit]],12,0)),"")</f>
        <v/>
      </c>
      <c r="P248" s="43" t="str">
        <f>IFERROR(IF(VLOOKUP(B248,Baza[[№]:[Profit]],13,0)=0,"-",VLOOKUP(B248,Baza[[№]:[Profit]],13,0)),"")</f>
        <v/>
      </c>
      <c r="Q248" s="43" t="str">
        <f>IFERROR(IF(VLOOKUP(B248,Baza[[№]:[Profit]],15,0)=0,"-",VLOOKUP(B248,Baza[[№]:[Profit]],15,0)),"")</f>
        <v/>
      </c>
      <c r="R248" s="43" t="str">
        <f>IFERROR(IF(VLOOKUP(B248,Baza[[№]:[Profit]],16,0)=0,"-",VLOOKUP(B248,Baza[[№]:[Profit]],16,0)),"")</f>
        <v/>
      </c>
      <c r="S248" s="43" t="str">
        <f>IFERROR(IF(VLOOKUP(B248,Baza[[№]:[Profit]],17,0)=0,"-",VLOOKUP(B248,Baza[[№]:[Profit]],17,0)),"")</f>
        <v/>
      </c>
      <c r="T248" s="43" t="str">
        <f>IFERROR(IF(VLOOKUP(B248,Baza[[№]:[Profit]],18,0)=0,"-",VLOOKUP(B248,Baza[[№]:[Profit]],18,0)),"")</f>
        <v/>
      </c>
      <c r="U248" s="41" t="str">
        <f>IFERROR(IF(VLOOKUP(B248,Baza[[№]:[Profit]],19,0)=0,"-",VLOOKUP(B248,Baza[[№]:[Profit]],19,0)),"")</f>
        <v/>
      </c>
      <c r="V248" s="41" t="str">
        <f>IFERROR(VLOOKUP(B248,Baza[[№]:[Profit]],20,0),"")</f>
        <v/>
      </c>
      <c r="W248" s="41" t="str">
        <f>IFERROR(IF(VLOOKUP(B248,Baza[[№]:[Profit]],21,0)=0,"-",VLOOKUP(B248,Baza[[№]:[Profit]],21,0)),"")</f>
        <v/>
      </c>
      <c r="X248" s="45" t="str">
        <f>IFERROR(IF(VLOOKUP(B248,Baza[[№]:[Profit]],22,0)=0,"-",VLOOKUP(B248,Baza[[№]:[Profit]],22,0)),"")</f>
        <v/>
      </c>
      <c r="Y248" s="45" t="str">
        <f>IFERROR(VLOOKUP(B248,Baza[[№]:[Profit]],23,0),"")</f>
        <v/>
      </c>
      <c r="Z248" s="44" t="str">
        <f>IFERROR(VLOOKUP(B248,Baza[[№]:[AFS]],24,0),"")</f>
        <v/>
      </c>
      <c r="AA248" s="45" t="str">
        <f>IF(Таблица2[[#This Row],[Profit]]="","#Н/Д",SUM($Y$40:Y248))</f>
        <v>#Н/Д</v>
      </c>
      <c r="AB248" s="45" t="b">
        <f>IF(Таблица2[[#This Row],[Grafik]]="#Н/Д",FALSE,TRUE)</f>
        <v>0</v>
      </c>
    </row>
    <row r="249" spans="1:28" ht="11.1" hidden="1" customHeight="1" x14ac:dyDescent="0.25">
      <c r="A249" s="93">
        <f t="shared" si="3"/>
        <v>210</v>
      </c>
      <c r="B249"/>
      <c r="C249" s="41" t="str">
        <f>IFERROR(VLOOKUP(B249,Baza[[№]:[Profit]],2,0),"")</f>
        <v/>
      </c>
      <c r="D24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4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49" s="43" t="str">
        <f>IFERROR(VLOOKUP(B249,Baza[[№]:[Profit]],3,0),"")</f>
        <v/>
      </c>
      <c r="G249" s="43" t="str">
        <f>IFERROR(VLOOKUP(B249,Baza[[№]:[Profit]],4,0),"")</f>
        <v/>
      </c>
      <c r="H249" s="43" t="str">
        <f>IFERROR(VLOOKUP(B249,Baza[[№]:[Profit]],5,0),"")</f>
        <v/>
      </c>
      <c r="I249" s="46" t="str">
        <f>IFERROR(VLOOKUP(B249,Baza[[№]:[Profit]],6,0),"")</f>
        <v/>
      </c>
      <c r="J249" s="49" t="str">
        <f>IFERROR(VLOOKUP(B249,Baza[[№]:[Profit]],7,0),"")</f>
        <v/>
      </c>
      <c r="K249" s="43" t="str">
        <f>IFERROR(VLOOKUP(B249,Baza[[№]:[Profit]],8,0),"")</f>
        <v/>
      </c>
      <c r="L249" s="43" t="str">
        <f>IFERROR(VLOOKUP(B249,Baza[[№]:[Profit]],9,0),"")</f>
        <v/>
      </c>
      <c r="M249" s="43" t="str">
        <f>IFERROR(VLOOKUP(B249,Baza[[№]:[Profit]],10,0),"")</f>
        <v/>
      </c>
      <c r="N249" s="43" t="str">
        <f>IFERROR(IF(VLOOKUP(B249,Baza[[№]:[Profit]],11,0)=0,"-",VLOOKUP(B249,Baza[[№]:[Profit]],11,0)),"")</f>
        <v/>
      </c>
      <c r="O249" s="43" t="str">
        <f>IFERROR(IF(VLOOKUP(B249,Baza[[№]:[Profit]],12,0)=0,"-",VLOOKUP(B249,Baza[[№]:[Profit]],12,0)),"")</f>
        <v/>
      </c>
      <c r="P249" s="43" t="str">
        <f>IFERROR(IF(VLOOKUP(B249,Baza[[№]:[Profit]],13,0)=0,"-",VLOOKUP(B249,Baza[[№]:[Profit]],13,0)),"")</f>
        <v/>
      </c>
      <c r="Q249" s="43" t="str">
        <f>IFERROR(IF(VLOOKUP(B249,Baza[[№]:[Profit]],15,0)=0,"-",VLOOKUP(B249,Baza[[№]:[Profit]],15,0)),"")</f>
        <v/>
      </c>
      <c r="R249" s="43" t="str">
        <f>IFERROR(IF(VLOOKUP(B249,Baza[[№]:[Profit]],16,0)=0,"-",VLOOKUP(B249,Baza[[№]:[Profit]],16,0)),"")</f>
        <v/>
      </c>
      <c r="S249" s="43" t="str">
        <f>IFERROR(IF(VLOOKUP(B249,Baza[[№]:[Profit]],17,0)=0,"-",VLOOKUP(B249,Baza[[№]:[Profit]],17,0)),"")</f>
        <v/>
      </c>
      <c r="T249" s="43" t="str">
        <f>IFERROR(IF(VLOOKUP(B249,Baza[[№]:[Profit]],18,0)=0,"-",VLOOKUP(B249,Baza[[№]:[Profit]],18,0)),"")</f>
        <v/>
      </c>
      <c r="U249" s="41" t="str">
        <f>IFERROR(IF(VLOOKUP(B249,Baza[[№]:[Profit]],19,0)=0,"-",VLOOKUP(B249,Baza[[№]:[Profit]],19,0)),"")</f>
        <v/>
      </c>
      <c r="V249" s="41" t="str">
        <f>IFERROR(VLOOKUP(B249,Baza[[№]:[Profit]],20,0),"")</f>
        <v/>
      </c>
      <c r="W249" s="41" t="str">
        <f>IFERROR(IF(VLOOKUP(B249,Baza[[№]:[Profit]],21,0)=0,"-",VLOOKUP(B249,Baza[[№]:[Profit]],21,0)),"")</f>
        <v/>
      </c>
      <c r="X249" s="45" t="str">
        <f>IFERROR(IF(VLOOKUP(B249,Baza[[№]:[Profit]],22,0)=0,"-",VLOOKUP(B249,Baza[[№]:[Profit]],22,0)),"")</f>
        <v/>
      </c>
      <c r="Y249" s="45" t="str">
        <f>IFERROR(VLOOKUP(B249,Baza[[№]:[Profit]],23,0),"")</f>
        <v/>
      </c>
      <c r="Z249" s="44" t="str">
        <f>IFERROR(VLOOKUP(B249,Baza[[№]:[AFS]],24,0),"")</f>
        <v/>
      </c>
      <c r="AA249" s="45" t="str">
        <f>IF(Таблица2[[#This Row],[Profit]]="","#Н/Д",SUM($Y$40:Y249))</f>
        <v>#Н/Д</v>
      </c>
      <c r="AB249" s="45" t="b">
        <f>IF(Таблица2[[#This Row],[Grafik]]="#Н/Д",FALSE,TRUE)</f>
        <v>0</v>
      </c>
    </row>
    <row r="250" spans="1:28" ht="11.1" hidden="1" customHeight="1" x14ac:dyDescent="0.25">
      <c r="A250" s="93">
        <f t="shared" si="3"/>
        <v>211</v>
      </c>
      <c r="B250"/>
      <c r="C250" s="41" t="str">
        <f>IFERROR(VLOOKUP(B250,Baza[[№]:[Profit]],2,0),"")</f>
        <v/>
      </c>
      <c r="D25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5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50" s="43" t="str">
        <f>IFERROR(VLOOKUP(B250,Baza[[№]:[Profit]],3,0),"")</f>
        <v/>
      </c>
      <c r="G250" s="43" t="str">
        <f>IFERROR(VLOOKUP(B250,Baza[[№]:[Profit]],4,0),"")</f>
        <v/>
      </c>
      <c r="H250" s="43" t="str">
        <f>IFERROR(VLOOKUP(B250,Baza[[№]:[Profit]],5,0),"")</f>
        <v/>
      </c>
      <c r="I250" s="46" t="str">
        <f>IFERROR(VLOOKUP(B250,Baza[[№]:[Profit]],6,0),"")</f>
        <v/>
      </c>
      <c r="J250" s="49" t="str">
        <f>IFERROR(VLOOKUP(B250,Baza[[№]:[Profit]],7,0),"")</f>
        <v/>
      </c>
      <c r="K250" s="43" t="str">
        <f>IFERROR(VLOOKUP(B250,Baza[[№]:[Profit]],8,0),"")</f>
        <v/>
      </c>
      <c r="L250" s="43" t="str">
        <f>IFERROR(VLOOKUP(B250,Baza[[№]:[Profit]],9,0),"")</f>
        <v/>
      </c>
      <c r="M250" s="43" t="str">
        <f>IFERROR(VLOOKUP(B250,Baza[[№]:[Profit]],10,0),"")</f>
        <v/>
      </c>
      <c r="N250" s="43" t="str">
        <f>IFERROR(IF(VLOOKUP(B250,Baza[[№]:[Profit]],11,0)=0,"-",VLOOKUP(B250,Baza[[№]:[Profit]],11,0)),"")</f>
        <v/>
      </c>
      <c r="O250" s="43" t="str">
        <f>IFERROR(IF(VLOOKUP(B250,Baza[[№]:[Profit]],12,0)=0,"-",VLOOKUP(B250,Baza[[№]:[Profit]],12,0)),"")</f>
        <v/>
      </c>
      <c r="P250" s="43" t="str">
        <f>IFERROR(IF(VLOOKUP(B250,Baza[[№]:[Profit]],13,0)=0,"-",VLOOKUP(B250,Baza[[№]:[Profit]],13,0)),"")</f>
        <v/>
      </c>
      <c r="Q250" s="43" t="str">
        <f>IFERROR(IF(VLOOKUP(B250,Baza[[№]:[Profit]],15,0)=0,"-",VLOOKUP(B250,Baza[[№]:[Profit]],15,0)),"")</f>
        <v/>
      </c>
      <c r="R250" s="43" t="str">
        <f>IFERROR(IF(VLOOKUP(B250,Baza[[№]:[Profit]],16,0)=0,"-",VLOOKUP(B250,Baza[[№]:[Profit]],16,0)),"")</f>
        <v/>
      </c>
      <c r="S250" s="43" t="str">
        <f>IFERROR(IF(VLOOKUP(B250,Baza[[№]:[Profit]],17,0)=0,"-",VLOOKUP(B250,Baza[[№]:[Profit]],17,0)),"")</f>
        <v/>
      </c>
      <c r="T250" s="43" t="str">
        <f>IFERROR(IF(VLOOKUP(B250,Baza[[№]:[Profit]],18,0)=0,"-",VLOOKUP(B250,Baza[[№]:[Profit]],18,0)),"")</f>
        <v/>
      </c>
      <c r="U250" s="41" t="str">
        <f>IFERROR(IF(VLOOKUP(B250,Baza[[№]:[Profit]],19,0)=0,"-",VLOOKUP(B250,Baza[[№]:[Profit]],19,0)),"")</f>
        <v/>
      </c>
      <c r="V250" s="41" t="str">
        <f>IFERROR(VLOOKUP(B250,Baza[[№]:[Profit]],20,0),"")</f>
        <v/>
      </c>
      <c r="W250" s="41" t="str">
        <f>IFERROR(IF(VLOOKUP(B250,Baza[[№]:[Profit]],21,0)=0,"-",VLOOKUP(B250,Baza[[№]:[Profit]],21,0)),"")</f>
        <v/>
      </c>
      <c r="X250" s="45" t="str">
        <f>IFERROR(IF(VLOOKUP(B250,Baza[[№]:[Profit]],22,0)=0,"-",VLOOKUP(B250,Baza[[№]:[Profit]],22,0)),"")</f>
        <v/>
      </c>
      <c r="Y250" s="45" t="str">
        <f>IFERROR(VLOOKUP(B250,Baza[[№]:[Profit]],23,0),"")</f>
        <v/>
      </c>
      <c r="Z250" s="44" t="str">
        <f>IFERROR(VLOOKUP(B250,Baza[[№]:[AFS]],24,0),"")</f>
        <v/>
      </c>
      <c r="AA250" s="45" t="str">
        <f>IF(Таблица2[[#This Row],[Profit]]="","#Н/Д",SUM($Y$40:Y250))</f>
        <v>#Н/Д</v>
      </c>
      <c r="AB250" s="45" t="b">
        <f>IF(Таблица2[[#This Row],[Grafik]]="#Н/Д",FALSE,TRUE)</f>
        <v>0</v>
      </c>
    </row>
    <row r="251" spans="1:28" ht="11.1" hidden="1" customHeight="1" x14ac:dyDescent="0.25">
      <c r="A251" s="93">
        <f t="shared" si="3"/>
        <v>212</v>
      </c>
      <c r="B251"/>
      <c r="C251" s="41" t="str">
        <f>IFERROR(VLOOKUP(B251,Baza[[№]:[Profit]],2,0),"")</f>
        <v/>
      </c>
      <c r="D25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5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51" s="43" t="str">
        <f>IFERROR(VLOOKUP(B251,Baza[[№]:[Profit]],3,0),"")</f>
        <v/>
      </c>
      <c r="G251" s="43" t="str">
        <f>IFERROR(VLOOKUP(B251,Baza[[№]:[Profit]],4,0),"")</f>
        <v/>
      </c>
      <c r="H251" s="43" t="str">
        <f>IFERROR(VLOOKUP(B251,Baza[[№]:[Profit]],5,0),"")</f>
        <v/>
      </c>
      <c r="I251" s="46" t="str">
        <f>IFERROR(VLOOKUP(B251,Baza[[№]:[Profit]],6,0),"")</f>
        <v/>
      </c>
      <c r="J251" s="49" t="str">
        <f>IFERROR(VLOOKUP(B251,Baza[[№]:[Profit]],7,0),"")</f>
        <v/>
      </c>
      <c r="K251" s="43" t="str">
        <f>IFERROR(VLOOKUP(B251,Baza[[№]:[Profit]],8,0),"")</f>
        <v/>
      </c>
      <c r="L251" s="43" t="str">
        <f>IFERROR(VLOOKUP(B251,Baza[[№]:[Profit]],9,0),"")</f>
        <v/>
      </c>
      <c r="M251" s="43" t="str">
        <f>IFERROR(VLOOKUP(B251,Baza[[№]:[Profit]],10,0),"")</f>
        <v/>
      </c>
      <c r="N251" s="43" t="str">
        <f>IFERROR(IF(VLOOKUP(B251,Baza[[№]:[Profit]],11,0)=0,"-",VLOOKUP(B251,Baza[[№]:[Profit]],11,0)),"")</f>
        <v/>
      </c>
      <c r="O251" s="43" t="str">
        <f>IFERROR(IF(VLOOKUP(B251,Baza[[№]:[Profit]],12,0)=0,"-",VLOOKUP(B251,Baza[[№]:[Profit]],12,0)),"")</f>
        <v/>
      </c>
      <c r="P251" s="43" t="str">
        <f>IFERROR(IF(VLOOKUP(B251,Baza[[№]:[Profit]],13,0)=0,"-",VLOOKUP(B251,Baza[[№]:[Profit]],13,0)),"")</f>
        <v/>
      </c>
      <c r="Q251" s="43" t="str">
        <f>IFERROR(IF(VLOOKUP(B251,Baza[[№]:[Profit]],15,0)=0,"-",VLOOKUP(B251,Baza[[№]:[Profit]],15,0)),"")</f>
        <v/>
      </c>
      <c r="R251" s="43" t="str">
        <f>IFERROR(IF(VLOOKUP(B251,Baza[[№]:[Profit]],16,0)=0,"-",VLOOKUP(B251,Baza[[№]:[Profit]],16,0)),"")</f>
        <v/>
      </c>
      <c r="S251" s="43" t="str">
        <f>IFERROR(IF(VLOOKUP(B251,Baza[[№]:[Profit]],17,0)=0,"-",VLOOKUP(B251,Baza[[№]:[Profit]],17,0)),"")</f>
        <v/>
      </c>
      <c r="T251" s="43" t="str">
        <f>IFERROR(IF(VLOOKUP(B251,Baza[[№]:[Profit]],18,0)=0,"-",VLOOKUP(B251,Baza[[№]:[Profit]],18,0)),"")</f>
        <v/>
      </c>
      <c r="U251" s="41" t="str">
        <f>IFERROR(IF(VLOOKUP(B251,Baza[[№]:[Profit]],19,0)=0,"-",VLOOKUP(B251,Baza[[№]:[Profit]],19,0)),"")</f>
        <v/>
      </c>
      <c r="V251" s="41" t="str">
        <f>IFERROR(VLOOKUP(B251,Baza[[№]:[Profit]],20,0),"")</f>
        <v/>
      </c>
      <c r="W251" s="41" t="str">
        <f>IFERROR(IF(VLOOKUP(B251,Baza[[№]:[Profit]],21,0)=0,"-",VLOOKUP(B251,Baza[[№]:[Profit]],21,0)),"")</f>
        <v/>
      </c>
      <c r="X251" s="45" t="str">
        <f>IFERROR(IF(VLOOKUP(B251,Baza[[№]:[Profit]],22,0)=0,"-",VLOOKUP(B251,Baza[[№]:[Profit]],22,0)),"")</f>
        <v/>
      </c>
      <c r="Y251" s="45" t="str">
        <f>IFERROR(VLOOKUP(B251,Baza[[№]:[Profit]],23,0),"")</f>
        <v/>
      </c>
      <c r="Z251" s="44" t="str">
        <f>IFERROR(VLOOKUP(B251,Baza[[№]:[AFS]],24,0),"")</f>
        <v/>
      </c>
      <c r="AA251" s="45" t="str">
        <f>IF(Таблица2[[#This Row],[Profit]]="","#Н/Д",SUM($Y$40:Y251))</f>
        <v>#Н/Д</v>
      </c>
      <c r="AB251" s="45" t="b">
        <f>IF(Таблица2[[#This Row],[Grafik]]="#Н/Д",FALSE,TRUE)</f>
        <v>0</v>
      </c>
    </row>
    <row r="252" spans="1:28" ht="11.1" hidden="1" customHeight="1" x14ac:dyDescent="0.25">
      <c r="A252" s="93">
        <f t="shared" si="3"/>
        <v>213</v>
      </c>
      <c r="B252"/>
      <c r="C252" s="41" t="str">
        <f>IFERROR(VLOOKUP(B252,Baza[[№]:[Profit]],2,0),"")</f>
        <v/>
      </c>
      <c r="D25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5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52" s="43" t="str">
        <f>IFERROR(VLOOKUP(B252,Baza[[№]:[Profit]],3,0),"")</f>
        <v/>
      </c>
      <c r="G252" s="43" t="str">
        <f>IFERROR(VLOOKUP(B252,Baza[[№]:[Profit]],4,0),"")</f>
        <v/>
      </c>
      <c r="H252" s="43" t="str">
        <f>IFERROR(VLOOKUP(B252,Baza[[№]:[Profit]],5,0),"")</f>
        <v/>
      </c>
      <c r="I252" s="46" t="str">
        <f>IFERROR(VLOOKUP(B252,Baza[[№]:[Profit]],6,0),"")</f>
        <v/>
      </c>
      <c r="J252" s="49" t="str">
        <f>IFERROR(VLOOKUP(B252,Baza[[№]:[Profit]],7,0),"")</f>
        <v/>
      </c>
      <c r="K252" s="43" t="str">
        <f>IFERROR(VLOOKUP(B252,Baza[[№]:[Profit]],8,0),"")</f>
        <v/>
      </c>
      <c r="L252" s="43" t="str">
        <f>IFERROR(VLOOKUP(B252,Baza[[№]:[Profit]],9,0),"")</f>
        <v/>
      </c>
      <c r="M252" s="43" t="str">
        <f>IFERROR(VLOOKUP(B252,Baza[[№]:[Profit]],10,0),"")</f>
        <v/>
      </c>
      <c r="N252" s="43" t="str">
        <f>IFERROR(IF(VLOOKUP(B252,Baza[[№]:[Profit]],11,0)=0,"-",VLOOKUP(B252,Baza[[№]:[Profit]],11,0)),"")</f>
        <v/>
      </c>
      <c r="O252" s="43" t="str">
        <f>IFERROR(IF(VLOOKUP(B252,Baza[[№]:[Profit]],12,0)=0,"-",VLOOKUP(B252,Baza[[№]:[Profit]],12,0)),"")</f>
        <v/>
      </c>
      <c r="P252" s="43" t="str">
        <f>IFERROR(IF(VLOOKUP(B252,Baza[[№]:[Profit]],13,0)=0,"-",VLOOKUP(B252,Baza[[№]:[Profit]],13,0)),"")</f>
        <v/>
      </c>
      <c r="Q252" s="43" t="str">
        <f>IFERROR(IF(VLOOKUP(B252,Baza[[№]:[Profit]],15,0)=0,"-",VLOOKUP(B252,Baza[[№]:[Profit]],15,0)),"")</f>
        <v/>
      </c>
      <c r="R252" s="43" t="str">
        <f>IFERROR(IF(VLOOKUP(B252,Baza[[№]:[Profit]],16,0)=0,"-",VLOOKUP(B252,Baza[[№]:[Profit]],16,0)),"")</f>
        <v/>
      </c>
      <c r="S252" s="43" t="str">
        <f>IFERROR(IF(VLOOKUP(B252,Baza[[№]:[Profit]],17,0)=0,"-",VLOOKUP(B252,Baza[[№]:[Profit]],17,0)),"")</f>
        <v/>
      </c>
      <c r="T252" s="43" t="str">
        <f>IFERROR(IF(VLOOKUP(B252,Baza[[№]:[Profit]],18,0)=0,"-",VLOOKUP(B252,Baza[[№]:[Profit]],18,0)),"")</f>
        <v/>
      </c>
      <c r="U252" s="41" t="str">
        <f>IFERROR(IF(VLOOKUP(B252,Baza[[№]:[Profit]],19,0)=0,"-",VLOOKUP(B252,Baza[[№]:[Profit]],19,0)),"")</f>
        <v/>
      </c>
      <c r="V252" s="41" t="str">
        <f>IFERROR(VLOOKUP(B252,Baza[[№]:[Profit]],20,0),"")</f>
        <v/>
      </c>
      <c r="W252" s="41" t="str">
        <f>IFERROR(IF(VLOOKUP(B252,Baza[[№]:[Profit]],21,0)=0,"-",VLOOKUP(B252,Baza[[№]:[Profit]],21,0)),"")</f>
        <v/>
      </c>
      <c r="X252" s="45" t="str">
        <f>IFERROR(IF(VLOOKUP(B252,Baza[[№]:[Profit]],22,0)=0,"-",VLOOKUP(B252,Baza[[№]:[Profit]],22,0)),"")</f>
        <v/>
      </c>
      <c r="Y252" s="45" t="str">
        <f>IFERROR(VLOOKUP(B252,Baza[[№]:[Profit]],23,0),"")</f>
        <v/>
      </c>
      <c r="Z252" s="44" t="str">
        <f>IFERROR(VLOOKUP(B252,Baza[[№]:[AFS]],24,0),"")</f>
        <v/>
      </c>
      <c r="AA252" s="45" t="str">
        <f>IF(Таблица2[[#This Row],[Profit]]="","#Н/Д",SUM($Y$40:Y252))</f>
        <v>#Н/Д</v>
      </c>
      <c r="AB252" s="45" t="b">
        <f>IF(Таблица2[[#This Row],[Grafik]]="#Н/Д",FALSE,TRUE)</f>
        <v>0</v>
      </c>
    </row>
    <row r="253" spans="1:28" ht="11.1" hidden="1" customHeight="1" x14ac:dyDescent="0.25">
      <c r="A253" s="93">
        <f t="shared" si="3"/>
        <v>214</v>
      </c>
      <c r="B253"/>
      <c r="C253" s="41" t="str">
        <f>IFERROR(VLOOKUP(B253,Baza[[№]:[Profit]],2,0),"")</f>
        <v/>
      </c>
      <c r="D25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5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53" s="43" t="str">
        <f>IFERROR(VLOOKUP(B253,Baza[[№]:[Profit]],3,0),"")</f>
        <v/>
      </c>
      <c r="G253" s="43" t="str">
        <f>IFERROR(VLOOKUP(B253,Baza[[№]:[Profit]],4,0),"")</f>
        <v/>
      </c>
      <c r="H253" s="43" t="str">
        <f>IFERROR(VLOOKUP(B253,Baza[[№]:[Profit]],5,0),"")</f>
        <v/>
      </c>
      <c r="I253" s="46" t="str">
        <f>IFERROR(VLOOKUP(B253,Baza[[№]:[Profit]],6,0),"")</f>
        <v/>
      </c>
      <c r="J253" s="49" t="str">
        <f>IFERROR(VLOOKUP(B253,Baza[[№]:[Profit]],7,0),"")</f>
        <v/>
      </c>
      <c r="K253" s="43" t="str">
        <f>IFERROR(VLOOKUP(B253,Baza[[№]:[Profit]],8,0),"")</f>
        <v/>
      </c>
      <c r="L253" s="43" t="str">
        <f>IFERROR(VLOOKUP(B253,Baza[[№]:[Profit]],9,0),"")</f>
        <v/>
      </c>
      <c r="M253" s="43" t="str">
        <f>IFERROR(VLOOKUP(B253,Baza[[№]:[Profit]],10,0),"")</f>
        <v/>
      </c>
      <c r="N253" s="43" t="str">
        <f>IFERROR(IF(VLOOKUP(B253,Baza[[№]:[Profit]],11,0)=0,"-",VLOOKUP(B253,Baza[[№]:[Profit]],11,0)),"")</f>
        <v/>
      </c>
      <c r="O253" s="43" t="str">
        <f>IFERROR(IF(VLOOKUP(B253,Baza[[№]:[Profit]],12,0)=0,"-",VLOOKUP(B253,Baza[[№]:[Profit]],12,0)),"")</f>
        <v/>
      </c>
      <c r="P253" s="43" t="str">
        <f>IFERROR(IF(VLOOKUP(B253,Baza[[№]:[Profit]],13,0)=0,"-",VLOOKUP(B253,Baza[[№]:[Profit]],13,0)),"")</f>
        <v/>
      </c>
      <c r="Q253" s="43" t="str">
        <f>IFERROR(IF(VLOOKUP(B253,Baza[[№]:[Profit]],15,0)=0,"-",VLOOKUP(B253,Baza[[№]:[Profit]],15,0)),"")</f>
        <v/>
      </c>
      <c r="R253" s="43" t="str">
        <f>IFERROR(IF(VLOOKUP(B253,Baza[[№]:[Profit]],16,0)=0,"-",VLOOKUP(B253,Baza[[№]:[Profit]],16,0)),"")</f>
        <v/>
      </c>
      <c r="S253" s="43" t="str">
        <f>IFERROR(IF(VLOOKUP(B253,Baza[[№]:[Profit]],17,0)=0,"-",VLOOKUP(B253,Baza[[№]:[Profit]],17,0)),"")</f>
        <v/>
      </c>
      <c r="T253" s="43" t="str">
        <f>IFERROR(IF(VLOOKUP(B253,Baza[[№]:[Profit]],18,0)=0,"-",VLOOKUP(B253,Baza[[№]:[Profit]],18,0)),"")</f>
        <v/>
      </c>
      <c r="U253" s="41" t="str">
        <f>IFERROR(IF(VLOOKUP(B253,Baza[[№]:[Profit]],19,0)=0,"-",VLOOKUP(B253,Baza[[№]:[Profit]],19,0)),"")</f>
        <v/>
      </c>
      <c r="V253" s="41" t="str">
        <f>IFERROR(VLOOKUP(B253,Baza[[№]:[Profit]],20,0),"")</f>
        <v/>
      </c>
      <c r="W253" s="41" t="str">
        <f>IFERROR(IF(VLOOKUP(B253,Baza[[№]:[Profit]],21,0)=0,"-",VLOOKUP(B253,Baza[[№]:[Profit]],21,0)),"")</f>
        <v/>
      </c>
      <c r="X253" s="45" t="str">
        <f>IFERROR(IF(VLOOKUP(B253,Baza[[№]:[Profit]],22,0)=0,"-",VLOOKUP(B253,Baza[[№]:[Profit]],22,0)),"")</f>
        <v/>
      </c>
      <c r="Y253" s="45" t="str">
        <f>IFERROR(VLOOKUP(B253,Baza[[№]:[Profit]],23,0),"")</f>
        <v/>
      </c>
      <c r="Z253" s="44" t="str">
        <f>IFERROR(VLOOKUP(B253,Baza[[№]:[AFS]],24,0),"")</f>
        <v/>
      </c>
      <c r="AA253" s="45" t="str">
        <f>IF(Таблица2[[#This Row],[Profit]]="","#Н/Д",SUM($Y$40:Y253))</f>
        <v>#Н/Д</v>
      </c>
      <c r="AB253" s="45" t="b">
        <f>IF(Таблица2[[#This Row],[Grafik]]="#Н/Д",FALSE,TRUE)</f>
        <v>0</v>
      </c>
    </row>
    <row r="254" spans="1:28" ht="11.1" hidden="1" customHeight="1" x14ac:dyDescent="0.25">
      <c r="A254" s="93">
        <f t="shared" si="3"/>
        <v>215</v>
      </c>
      <c r="B254"/>
      <c r="C254" s="41" t="str">
        <f>IFERROR(VLOOKUP(B254,Baza[[№]:[Profit]],2,0),"")</f>
        <v/>
      </c>
      <c r="D25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5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54" s="43" t="str">
        <f>IFERROR(VLOOKUP(B254,Baza[[№]:[Profit]],3,0),"")</f>
        <v/>
      </c>
      <c r="G254" s="43" t="str">
        <f>IFERROR(VLOOKUP(B254,Baza[[№]:[Profit]],4,0),"")</f>
        <v/>
      </c>
      <c r="H254" s="43" t="str">
        <f>IFERROR(VLOOKUP(B254,Baza[[№]:[Profit]],5,0),"")</f>
        <v/>
      </c>
      <c r="I254" s="46" t="str">
        <f>IFERROR(VLOOKUP(B254,Baza[[№]:[Profit]],6,0),"")</f>
        <v/>
      </c>
      <c r="J254" s="49" t="str">
        <f>IFERROR(VLOOKUP(B254,Baza[[№]:[Profit]],7,0),"")</f>
        <v/>
      </c>
      <c r="K254" s="43" t="str">
        <f>IFERROR(VLOOKUP(B254,Baza[[№]:[Profit]],8,0),"")</f>
        <v/>
      </c>
      <c r="L254" s="43" t="str">
        <f>IFERROR(VLOOKUP(B254,Baza[[№]:[Profit]],9,0),"")</f>
        <v/>
      </c>
      <c r="M254" s="43" t="str">
        <f>IFERROR(VLOOKUP(B254,Baza[[№]:[Profit]],10,0),"")</f>
        <v/>
      </c>
      <c r="N254" s="43" t="str">
        <f>IFERROR(IF(VLOOKUP(B254,Baza[[№]:[Profit]],11,0)=0,"-",VLOOKUP(B254,Baza[[№]:[Profit]],11,0)),"")</f>
        <v/>
      </c>
      <c r="O254" s="43" t="str">
        <f>IFERROR(IF(VLOOKUP(B254,Baza[[№]:[Profit]],12,0)=0,"-",VLOOKUP(B254,Baza[[№]:[Profit]],12,0)),"")</f>
        <v/>
      </c>
      <c r="P254" s="43" t="str">
        <f>IFERROR(IF(VLOOKUP(B254,Baza[[№]:[Profit]],13,0)=0,"-",VLOOKUP(B254,Baza[[№]:[Profit]],13,0)),"")</f>
        <v/>
      </c>
      <c r="Q254" s="43" t="str">
        <f>IFERROR(IF(VLOOKUP(B254,Baza[[№]:[Profit]],15,0)=0,"-",VLOOKUP(B254,Baza[[№]:[Profit]],15,0)),"")</f>
        <v/>
      </c>
      <c r="R254" s="43" t="str">
        <f>IFERROR(IF(VLOOKUP(B254,Baza[[№]:[Profit]],16,0)=0,"-",VLOOKUP(B254,Baza[[№]:[Profit]],16,0)),"")</f>
        <v/>
      </c>
      <c r="S254" s="43" t="str">
        <f>IFERROR(IF(VLOOKUP(B254,Baza[[№]:[Profit]],17,0)=0,"-",VLOOKUP(B254,Baza[[№]:[Profit]],17,0)),"")</f>
        <v/>
      </c>
      <c r="T254" s="43" t="str">
        <f>IFERROR(IF(VLOOKUP(B254,Baza[[№]:[Profit]],18,0)=0,"-",VLOOKUP(B254,Baza[[№]:[Profit]],18,0)),"")</f>
        <v/>
      </c>
      <c r="U254" s="41" t="str">
        <f>IFERROR(IF(VLOOKUP(B254,Baza[[№]:[Profit]],19,0)=0,"-",VLOOKUP(B254,Baza[[№]:[Profit]],19,0)),"")</f>
        <v/>
      </c>
      <c r="V254" s="41" t="str">
        <f>IFERROR(VLOOKUP(B254,Baza[[№]:[Profit]],20,0),"")</f>
        <v/>
      </c>
      <c r="W254" s="41" t="str">
        <f>IFERROR(IF(VLOOKUP(B254,Baza[[№]:[Profit]],21,0)=0,"-",VLOOKUP(B254,Baza[[№]:[Profit]],21,0)),"")</f>
        <v/>
      </c>
      <c r="X254" s="45" t="str">
        <f>IFERROR(IF(VLOOKUP(B254,Baza[[№]:[Profit]],22,0)=0,"-",VLOOKUP(B254,Baza[[№]:[Profit]],22,0)),"")</f>
        <v/>
      </c>
      <c r="Y254" s="45" t="str">
        <f>IFERROR(VLOOKUP(B254,Baza[[№]:[Profit]],23,0),"")</f>
        <v/>
      </c>
      <c r="Z254" s="44" t="str">
        <f>IFERROR(VLOOKUP(B254,Baza[[№]:[AFS]],24,0),"")</f>
        <v/>
      </c>
      <c r="AA254" s="45" t="str">
        <f>IF(Таблица2[[#This Row],[Profit]]="","#Н/Д",SUM($Y$40:Y254))</f>
        <v>#Н/Д</v>
      </c>
      <c r="AB254" s="45" t="b">
        <f>IF(Таблица2[[#This Row],[Grafik]]="#Н/Д",FALSE,TRUE)</f>
        <v>0</v>
      </c>
    </row>
    <row r="255" spans="1:28" ht="11.1" hidden="1" customHeight="1" x14ac:dyDescent="0.25">
      <c r="A255" s="93">
        <f t="shared" si="3"/>
        <v>216</v>
      </c>
      <c r="B255"/>
      <c r="C255" s="41" t="str">
        <f>IFERROR(VLOOKUP(B255,Baza[[№]:[Profit]],2,0),"")</f>
        <v/>
      </c>
      <c r="D25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5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55" s="43" t="str">
        <f>IFERROR(VLOOKUP(B255,Baza[[№]:[Profit]],3,0),"")</f>
        <v/>
      </c>
      <c r="G255" s="43" t="str">
        <f>IFERROR(VLOOKUP(B255,Baza[[№]:[Profit]],4,0),"")</f>
        <v/>
      </c>
      <c r="H255" s="43" t="str">
        <f>IFERROR(VLOOKUP(B255,Baza[[№]:[Profit]],5,0),"")</f>
        <v/>
      </c>
      <c r="I255" s="46" t="str">
        <f>IFERROR(VLOOKUP(B255,Baza[[№]:[Profit]],6,0),"")</f>
        <v/>
      </c>
      <c r="J255" s="49" t="str">
        <f>IFERROR(VLOOKUP(B255,Baza[[№]:[Profit]],7,0),"")</f>
        <v/>
      </c>
      <c r="K255" s="43" t="str">
        <f>IFERROR(VLOOKUP(B255,Baza[[№]:[Profit]],8,0),"")</f>
        <v/>
      </c>
      <c r="L255" s="43" t="str">
        <f>IFERROR(VLOOKUP(B255,Baza[[№]:[Profit]],9,0),"")</f>
        <v/>
      </c>
      <c r="M255" s="43" t="str">
        <f>IFERROR(VLOOKUP(B255,Baza[[№]:[Profit]],10,0),"")</f>
        <v/>
      </c>
      <c r="N255" s="43" t="str">
        <f>IFERROR(IF(VLOOKUP(B255,Baza[[№]:[Profit]],11,0)=0,"-",VLOOKUP(B255,Baza[[№]:[Profit]],11,0)),"")</f>
        <v/>
      </c>
      <c r="O255" s="43" t="str">
        <f>IFERROR(IF(VLOOKUP(B255,Baza[[№]:[Profit]],12,0)=0,"-",VLOOKUP(B255,Baza[[№]:[Profit]],12,0)),"")</f>
        <v/>
      </c>
      <c r="P255" s="43" t="str">
        <f>IFERROR(IF(VLOOKUP(B255,Baza[[№]:[Profit]],13,0)=0,"-",VLOOKUP(B255,Baza[[№]:[Profit]],13,0)),"")</f>
        <v/>
      </c>
      <c r="Q255" s="43" t="str">
        <f>IFERROR(IF(VLOOKUP(B255,Baza[[№]:[Profit]],15,0)=0,"-",VLOOKUP(B255,Baza[[№]:[Profit]],15,0)),"")</f>
        <v/>
      </c>
      <c r="R255" s="43" t="str">
        <f>IFERROR(IF(VLOOKUP(B255,Baza[[№]:[Profit]],16,0)=0,"-",VLOOKUP(B255,Baza[[№]:[Profit]],16,0)),"")</f>
        <v/>
      </c>
      <c r="S255" s="43" t="str">
        <f>IFERROR(IF(VLOOKUP(B255,Baza[[№]:[Profit]],17,0)=0,"-",VLOOKUP(B255,Baza[[№]:[Profit]],17,0)),"")</f>
        <v/>
      </c>
      <c r="T255" s="43" t="str">
        <f>IFERROR(IF(VLOOKUP(B255,Baza[[№]:[Profit]],18,0)=0,"-",VLOOKUP(B255,Baza[[№]:[Profit]],18,0)),"")</f>
        <v/>
      </c>
      <c r="U255" s="41" t="str">
        <f>IFERROR(IF(VLOOKUP(B255,Baza[[№]:[Profit]],19,0)=0,"-",VLOOKUP(B255,Baza[[№]:[Profit]],19,0)),"")</f>
        <v/>
      </c>
      <c r="V255" s="41" t="str">
        <f>IFERROR(VLOOKUP(B255,Baza[[№]:[Profit]],20,0),"")</f>
        <v/>
      </c>
      <c r="W255" s="41" t="str">
        <f>IFERROR(IF(VLOOKUP(B255,Baza[[№]:[Profit]],21,0)=0,"-",VLOOKUP(B255,Baza[[№]:[Profit]],21,0)),"")</f>
        <v/>
      </c>
      <c r="X255" s="45" t="str">
        <f>IFERROR(IF(VLOOKUP(B255,Baza[[№]:[Profit]],22,0)=0,"-",VLOOKUP(B255,Baza[[№]:[Profit]],22,0)),"")</f>
        <v/>
      </c>
      <c r="Y255" s="45" t="str">
        <f>IFERROR(VLOOKUP(B255,Baza[[№]:[Profit]],23,0),"")</f>
        <v/>
      </c>
      <c r="Z255" s="44" t="str">
        <f>IFERROR(VLOOKUP(B255,Baza[[№]:[AFS]],24,0),"")</f>
        <v/>
      </c>
      <c r="AA255" s="45" t="str">
        <f>IF(Таблица2[[#This Row],[Profit]]="","#Н/Д",SUM($Y$40:Y255))</f>
        <v>#Н/Д</v>
      </c>
      <c r="AB255" s="45" t="b">
        <f>IF(Таблица2[[#This Row],[Grafik]]="#Н/Д",FALSE,TRUE)</f>
        <v>0</v>
      </c>
    </row>
    <row r="256" spans="1:28" ht="11.1" hidden="1" customHeight="1" x14ac:dyDescent="0.25">
      <c r="A256" s="93">
        <f t="shared" si="3"/>
        <v>217</v>
      </c>
      <c r="B256"/>
      <c r="C256" s="41" t="str">
        <f>IFERROR(VLOOKUP(B256,Baza[[№]:[Profit]],2,0),"")</f>
        <v/>
      </c>
      <c r="D25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5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56" s="43" t="str">
        <f>IFERROR(VLOOKUP(B256,Baza[[№]:[Profit]],3,0),"")</f>
        <v/>
      </c>
      <c r="G256" s="43" t="str">
        <f>IFERROR(VLOOKUP(B256,Baza[[№]:[Profit]],4,0),"")</f>
        <v/>
      </c>
      <c r="H256" s="43" t="str">
        <f>IFERROR(VLOOKUP(B256,Baza[[№]:[Profit]],5,0),"")</f>
        <v/>
      </c>
      <c r="I256" s="46" t="str">
        <f>IFERROR(VLOOKUP(B256,Baza[[№]:[Profit]],6,0),"")</f>
        <v/>
      </c>
      <c r="J256" s="49" t="str">
        <f>IFERROR(VLOOKUP(B256,Baza[[№]:[Profit]],7,0),"")</f>
        <v/>
      </c>
      <c r="K256" s="43" t="str">
        <f>IFERROR(VLOOKUP(B256,Baza[[№]:[Profit]],8,0),"")</f>
        <v/>
      </c>
      <c r="L256" s="43" t="str">
        <f>IFERROR(VLOOKUP(B256,Baza[[№]:[Profit]],9,0),"")</f>
        <v/>
      </c>
      <c r="M256" s="43" t="str">
        <f>IFERROR(VLOOKUP(B256,Baza[[№]:[Profit]],10,0),"")</f>
        <v/>
      </c>
      <c r="N256" s="43" t="str">
        <f>IFERROR(IF(VLOOKUP(B256,Baza[[№]:[Profit]],11,0)=0,"-",VLOOKUP(B256,Baza[[№]:[Profit]],11,0)),"")</f>
        <v/>
      </c>
      <c r="O256" s="43" t="str">
        <f>IFERROR(IF(VLOOKUP(B256,Baza[[№]:[Profit]],12,0)=0,"-",VLOOKUP(B256,Baza[[№]:[Profit]],12,0)),"")</f>
        <v/>
      </c>
      <c r="P256" s="43" t="str">
        <f>IFERROR(IF(VLOOKUP(B256,Baza[[№]:[Profit]],13,0)=0,"-",VLOOKUP(B256,Baza[[№]:[Profit]],13,0)),"")</f>
        <v/>
      </c>
      <c r="Q256" s="43" t="str">
        <f>IFERROR(IF(VLOOKUP(B256,Baza[[№]:[Profit]],15,0)=0,"-",VLOOKUP(B256,Baza[[№]:[Profit]],15,0)),"")</f>
        <v/>
      </c>
      <c r="R256" s="43" t="str">
        <f>IFERROR(IF(VLOOKUP(B256,Baza[[№]:[Profit]],16,0)=0,"-",VLOOKUP(B256,Baza[[№]:[Profit]],16,0)),"")</f>
        <v/>
      </c>
      <c r="S256" s="43" t="str">
        <f>IFERROR(IF(VLOOKUP(B256,Baza[[№]:[Profit]],17,0)=0,"-",VLOOKUP(B256,Baza[[№]:[Profit]],17,0)),"")</f>
        <v/>
      </c>
      <c r="T256" s="43" t="str">
        <f>IFERROR(IF(VLOOKUP(B256,Baza[[№]:[Profit]],18,0)=0,"-",VLOOKUP(B256,Baza[[№]:[Profit]],18,0)),"")</f>
        <v/>
      </c>
      <c r="U256" s="41" t="str">
        <f>IFERROR(IF(VLOOKUP(B256,Baza[[№]:[Profit]],19,0)=0,"-",VLOOKUP(B256,Baza[[№]:[Profit]],19,0)),"")</f>
        <v/>
      </c>
      <c r="V256" s="41" t="str">
        <f>IFERROR(VLOOKUP(B256,Baza[[№]:[Profit]],20,0),"")</f>
        <v/>
      </c>
      <c r="W256" s="41" t="str">
        <f>IFERROR(IF(VLOOKUP(B256,Baza[[№]:[Profit]],21,0)=0,"-",VLOOKUP(B256,Baza[[№]:[Profit]],21,0)),"")</f>
        <v/>
      </c>
      <c r="X256" s="45" t="str">
        <f>IFERROR(IF(VLOOKUP(B256,Baza[[№]:[Profit]],22,0)=0,"-",VLOOKUP(B256,Baza[[№]:[Profit]],22,0)),"")</f>
        <v/>
      </c>
      <c r="Y256" s="45" t="str">
        <f>IFERROR(VLOOKUP(B256,Baza[[№]:[Profit]],23,0),"")</f>
        <v/>
      </c>
      <c r="Z256" s="44" t="str">
        <f>IFERROR(VLOOKUP(B256,Baza[[№]:[AFS]],24,0),"")</f>
        <v/>
      </c>
      <c r="AA256" s="45" t="str">
        <f>IF(Таблица2[[#This Row],[Profit]]="","#Н/Д",SUM($Y$40:Y256))</f>
        <v>#Н/Д</v>
      </c>
      <c r="AB256" s="45" t="b">
        <f>IF(Таблица2[[#This Row],[Grafik]]="#Н/Д",FALSE,TRUE)</f>
        <v>0</v>
      </c>
    </row>
    <row r="257" spans="1:28" ht="11.1" hidden="1" customHeight="1" x14ac:dyDescent="0.25">
      <c r="A257" s="93">
        <f t="shared" si="3"/>
        <v>218</v>
      </c>
      <c r="B257"/>
      <c r="C257" s="41" t="str">
        <f>IFERROR(VLOOKUP(B257,Baza[[№]:[Profit]],2,0),"")</f>
        <v/>
      </c>
      <c r="D25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5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57" s="43" t="str">
        <f>IFERROR(VLOOKUP(B257,Baza[[№]:[Profit]],3,0),"")</f>
        <v/>
      </c>
      <c r="G257" s="43" t="str">
        <f>IFERROR(VLOOKUP(B257,Baza[[№]:[Profit]],4,0),"")</f>
        <v/>
      </c>
      <c r="H257" s="43" t="str">
        <f>IFERROR(VLOOKUP(B257,Baza[[№]:[Profit]],5,0),"")</f>
        <v/>
      </c>
      <c r="I257" s="46" t="str">
        <f>IFERROR(VLOOKUP(B257,Baza[[№]:[Profit]],6,0),"")</f>
        <v/>
      </c>
      <c r="J257" s="49" t="str">
        <f>IFERROR(VLOOKUP(B257,Baza[[№]:[Profit]],7,0),"")</f>
        <v/>
      </c>
      <c r="K257" s="43" t="str">
        <f>IFERROR(VLOOKUP(B257,Baza[[№]:[Profit]],8,0),"")</f>
        <v/>
      </c>
      <c r="L257" s="43" t="str">
        <f>IFERROR(VLOOKUP(B257,Baza[[№]:[Profit]],9,0),"")</f>
        <v/>
      </c>
      <c r="M257" s="43" t="str">
        <f>IFERROR(VLOOKUP(B257,Baza[[№]:[Profit]],10,0),"")</f>
        <v/>
      </c>
      <c r="N257" s="43" t="str">
        <f>IFERROR(IF(VLOOKUP(B257,Baza[[№]:[Profit]],11,0)=0,"-",VLOOKUP(B257,Baza[[№]:[Profit]],11,0)),"")</f>
        <v/>
      </c>
      <c r="O257" s="43" t="str">
        <f>IFERROR(IF(VLOOKUP(B257,Baza[[№]:[Profit]],12,0)=0,"-",VLOOKUP(B257,Baza[[№]:[Profit]],12,0)),"")</f>
        <v/>
      </c>
      <c r="P257" s="43" t="str">
        <f>IFERROR(IF(VLOOKUP(B257,Baza[[№]:[Profit]],13,0)=0,"-",VLOOKUP(B257,Baza[[№]:[Profit]],13,0)),"")</f>
        <v/>
      </c>
      <c r="Q257" s="43" t="str">
        <f>IFERROR(IF(VLOOKUP(B257,Baza[[№]:[Profit]],15,0)=0,"-",VLOOKUP(B257,Baza[[№]:[Profit]],15,0)),"")</f>
        <v/>
      </c>
      <c r="R257" s="43" t="str">
        <f>IFERROR(IF(VLOOKUP(B257,Baza[[№]:[Profit]],16,0)=0,"-",VLOOKUP(B257,Baza[[№]:[Profit]],16,0)),"")</f>
        <v/>
      </c>
      <c r="S257" s="43" t="str">
        <f>IFERROR(IF(VLOOKUP(B257,Baza[[№]:[Profit]],17,0)=0,"-",VLOOKUP(B257,Baza[[№]:[Profit]],17,0)),"")</f>
        <v/>
      </c>
      <c r="T257" s="43" t="str">
        <f>IFERROR(IF(VLOOKUP(B257,Baza[[№]:[Profit]],18,0)=0,"-",VLOOKUP(B257,Baza[[№]:[Profit]],18,0)),"")</f>
        <v/>
      </c>
      <c r="U257" s="41" t="str">
        <f>IFERROR(IF(VLOOKUP(B257,Baza[[№]:[Profit]],19,0)=0,"-",VLOOKUP(B257,Baza[[№]:[Profit]],19,0)),"")</f>
        <v/>
      </c>
      <c r="V257" s="41" t="str">
        <f>IFERROR(VLOOKUP(B257,Baza[[№]:[Profit]],20,0),"")</f>
        <v/>
      </c>
      <c r="W257" s="41" t="str">
        <f>IFERROR(IF(VLOOKUP(B257,Baza[[№]:[Profit]],21,0)=0,"-",VLOOKUP(B257,Baza[[№]:[Profit]],21,0)),"")</f>
        <v/>
      </c>
      <c r="X257" s="45" t="str">
        <f>IFERROR(IF(VLOOKUP(B257,Baza[[№]:[Profit]],22,0)=0,"-",VLOOKUP(B257,Baza[[№]:[Profit]],22,0)),"")</f>
        <v/>
      </c>
      <c r="Y257" s="45" t="str">
        <f>IFERROR(VLOOKUP(B257,Baza[[№]:[Profit]],23,0),"")</f>
        <v/>
      </c>
      <c r="Z257" s="44" t="str">
        <f>IFERROR(VLOOKUP(B257,Baza[[№]:[AFS]],24,0),"")</f>
        <v/>
      </c>
      <c r="AA257" s="45" t="str">
        <f>IF(Таблица2[[#This Row],[Profit]]="","#Н/Д",SUM($Y$40:Y257))</f>
        <v>#Н/Д</v>
      </c>
      <c r="AB257" s="45" t="b">
        <f>IF(Таблица2[[#This Row],[Grafik]]="#Н/Д",FALSE,TRUE)</f>
        <v>0</v>
      </c>
    </row>
    <row r="258" spans="1:28" ht="11.1" hidden="1" customHeight="1" x14ac:dyDescent="0.25">
      <c r="A258" s="93">
        <f t="shared" si="3"/>
        <v>219</v>
      </c>
      <c r="B258"/>
      <c r="C258" s="41" t="str">
        <f>IFERROR(VLOOKUP(B258,Baza[[№]:[Profit]],2,0),"")</f>
        <v/>
      </c>
      <c r="D25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5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58" s="43" t="str">
        <f>IFERROR(VLOOKUP(B258,Baza[[№]:[Profit]],3,0),"")</f>
        <v/>
      </c>
      <c r="G258" s="43" t="str">
        <f>IFERROR(VLOOKUP(B258,Baza[[№]:[Profit]],4,0),"")</f>
        <v/>
      </c>
      <c r="H258" s="43" t="str">
        <f>IFERROR(VLOOKUP(B258,Baza[[№]:[Profit]],5,0),"")</f>
        <v/>
      </c>
      <c r="I258" s="46" t="str">
        <f>IFERROR(VLOOKUP(B258,Baza[[№]:[Profit]],6,0),"")</f>
        <v/>
      </c>
      <c r="J258" s="49" t="str">
        <f>IFERROR(VLOOKUP(B258,Baza[[№]:[Profit]],7,0),"")</f>
        <v/>
      </c>
      <c r="K258" s="43" t="str">
        <f>IFERROR(VLOOKUP(B258,Baza[[№]:[Profit]],8,0),"")</f>
        <v/>
      </c>
      <c r="L258" s="43" t="str">
        <f>IFERROR(VLOOKUP(B258,Baza[[№]:[Profit]],9,0),"")</f>
        <v/>
      </c>
      <c r="M258" s="43" t="str">
        <f>IFERROR(VLOOKUP(B258,Baza[[№]:[Profit]],10,0),"")</f>
        <v/>
      </c>
      <c r="N258" s="43" t="str">
        <f>IFERROR(IF(VLOOKUP(B258,Baza[[№]:[Profit]],11,0)=0,"-",VLOOKUP(B258,Baza[[№]:[Profit]],11,0)),"")</f>
        <v/>
      </c>
      <c r="O258" s="43" t="str">
        <f>IFERROR(IF(VLOOKUP(B258,Baza[[№]:[Profit]],12,0)=0,"-",VLOOKUP(B258,Baza[[№]:[Profit]],12,0)),"")</f>
        <v/>
      </c>
      <c r="P258" s="43" t="str">
        <f>IFERROR(IF(VLOOKUP(B258,Baza[[№]:[Profit]],13,0)=0,"-",VLOOKUP(B258,Baza[[№]:[Profit]],13,0)),"")</f>
        <v/>
      </c>
      <c r="Q258" s="43" t="str">
        <f>IFERROR(IF(VLOOKUP(B258,Baza[[№]:[Profit]],15,0)=0,"-",VLOOKUP(B258,Baza[[№]:[Profit]],15,0)),"")</f>
        <v/>
      </c>
      <c r="R258" s="43" t="str">
        <f>IFERROR(IF(VLOOKUP(B258,Baza[[№]:[Profit]],16,0)=0,"-",VLOOKUP(B258,Baza[[№]:[Profit]],16,0)),"")</f>
        <v/>
      </c>
      <c r="S258" s="43" t="str">
        <f>IFERROR(IF(VLOOKUP(B258,Baza[[№]:[Profit]],17,0)=0,"-",VLOOKUP(B258,Baza[[№]:[Profit]],17,0)),"")</f>
        <v/>
      </c>
      <c r="T258" s="43" t="str">
        <f>IFERROR(IF(VLOOKUP(B258,Baza[[№]:[Profit]],18,0)=0,"-",VLOOKUP(B258,Baza[[№]:[Profit]],18,0)),"")</f>
        <v/>
      </c>
      <c r="U258" s="41" t="str">
        <f>IFERROR(IF(VLOOKUP(B258,Baza[[№]:[Profit]],19,0)=0,"-",VLOOKUP(B258,Baza[[№]:[Profit]],19,0)),"")</f>
        <v/>
      </c>
      <c r="V258" s="41" t="str">
        <f>IFERROR(VLOOKUP(B258,Baza[[№]:[Profit]],20,0),"")</f>
        <v/>
      </c>
      <c r="W258" s="41" t="str">
        <f>IFERROR(IF(VLOOKUP(B258,Baza[[№]:[Profit]],21,0)=0,"-",VLOOKUP(B258,Baza[[№]:[Profit]],21,0)),"")</f>
        <v/>
      </c>
      <c r="X258" s="45" t="str">
        <f>IFERROR(IF(VLOOKUP(B258,Baza[[№]:[Profit]],22,0)=0,"-",VLOOKUP(B258,Baza[[№]:[Profit]],22,0)),"")</f>
        <v/>
      </c>
      <c r="Y258" s="45" t="str">
        <f>IFERROR(VLOOKUP(B258,Baza[[№]:[Profit]],23,0),"")</f>
        <v/>
      </c>
      <c r="Z258" s="44" t="str">
        <f>IFERROR(VLOOKUP(B258,Baza[[№]:[AFS]],24,0),"")</f>
        <v/>
      </c>
      <c r="AA258" s="45" t="str">
        <f>IF(Таблица2[[#This Row],[Profit]]="","#Н/Д",SUM($Y$40:Y258))</f>
        <v>#Н/Д</v>
      </c>
      <c r="AB258" s="45" t="b">
        <f>IF(Таблица2[[#This Row],[Grafik]]="#Н/Д",FALSE,TRUE)</f>
        <v>0</v>
      </c>
    </row>
    <row r="259" spans="1:28" ht="11.1" hidden="1" customHeight="1" x14ac:dyDescent="0.25">
      <c r="A259" s="93">
        <f t="shared" si="3"/>
        <v>220</v>
      </c>
      <c r="B259"/>
      <c r="C259" s="41" t="str">
        <f>IFERROR(VLOOKUP(B259,Baza[[№]:[Profit]],2,0),"")</f>
        <v/>
      </c>
      <c r="D25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5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59" s="43" t="str">
        <f>IFERROR(VLOOKUP(B259,Baza[[№]:[Profit]],3,0),"")</f>
        <v/>
      </c>
      <c r="G259" s="43" t="str">
        <f>IFERROR(VLOOKUP(B259,Baza[[№]:[Profit]],4,0),"")</f>
        <v/>
      </c>
      <c r="H259" s="43" t="str">
        <f>IFERROR(VLOOKUP(B259,Baza[[№]:[Profit]],5,0),"")</f>
        <v/>
      </c>
      <c r="I259" s="46" t="str">
        <f>IFERROR(VLOOKUP(B259,Baza[[№]:[Profit]],6,0),"")</f>
        <v/>
      </c>
      <c r="J259" s="49" t="str">
        <f>IFERROR(VLOOKUP(B259,Baza[[№]:[Profit]],7,0),"")</f>
        <v/>
      </c>
      <c r="K259" s="43" t="str">
        <f>IFERROR(VLOOKUP(B259,Baza[[№]:[Profit]],8,0),"")</f>
        <v/>
      </c>
      <c r="L259" s="43" t="str">
        <f>IFERROR(VLOOKUP(B259,Baza[[№]:[Profit]],9,0),"")</f>
        <v/>
      </c>
      <c r="M259" s="43" t="str">
        <f>IFERROR(VLOOKUP(B259,Baza[[№]:[Profit]],10,0),"")</f>
        <v/>
      </c>
      <c r="N259" s="43" t="str">
        <f>IFERROR(IF(VLOOKUP(B259,Baza[[№]:[Profit]],11,0)=0,"-",VLOOKUP(B259,Baza[[№]:[Profit]],11,0)),"")</f>
        <v/>
      </c>
      <c r="O259" s="43" t="str">
        <f>IFERROR(IF(VLOOKUP(B259,Baza[[№]:[Profit]],12,0)=0,"-",VLOOKUP(B259,Baza[[№]:[Profit]],12,0)),"")</f>
        <v/>
      </c>
      <c r="P259" s="43" t="str">
        <f>IFERROR(IF(VLOOKUP(B259,Baza[[№]:[Profit]],13,0)=0,"-",VLOOKUP(B259,Baza[[№]:[Profit]],13,0)),"")</f>
        <v/>
      </c>
      <c r="Q259" s="43" t="str">
        <f>IFERROR(IF(VLOOKUP(B259,Baza[[№]:[Profit]],15,0)=0,"-",VLOOKUP(B259,Baza[[№]:[Profit]],15,0)),"")</f>
        <v/>
      </c>
      <c r="R259" s="43" t="str">
        <f>IFERROR(IF(VLOOKUP(B259,Baza[[№]:[Profit]],16,0)=0,"-",VLOOKUP(B259,Baza[[№]:[Profit]],16,0)),"")</f>
        <v/>
      </c>
      <c r="S259" s="43" t="str">
        <f>IFERROR(IF(VLOOKUP(B259,Baza[[№]:[Profit]],17,0)=0,"-",VLOOKUP(B259,Baza[[№]:[Profit]],17,0)),"")</f>
        <v/>
      </c>
      <c r="T259" s="43" t="str">
        <f>IFERROR(IF(VLOOKUP(B259,Baza[[№]:[Profit]],18,0)=0,"-",VLOOKUP(B259,Baza[[№]:[Profit]],18,0)),"")</f>
        <v/>
      </c>
      <c r="U259" s="41" t="str">
        <f>IFERROR(IF(VLOOKUP(B259,Baza[[№]:[Profit]],19,0)=0,"-",VLOOKUP(B259,Baza[[№]:[Profit]],19,0)),"")</f>
        <v/>
      </c>
      <c r="V259" s="41" t="str">
        <f>IFERROR(VLOOKUP(B259,Baza[[№]:[Profit]],20,0),"")</f>
        <v/>
      </c>
      <c r="W259" s="41" t="str">
        <f>IFERROR(IF(VLOOKUP(B259,Baza[[№]:[Profit]],21,0)=0,"-",VLOOKUP(B259,Baza[[№]:[Profit]],21,0)),"")</f>
        <v/>
      </c>
      <c r="X259" s="45" t="str">
        <f>IFERROR(IF(VLOOKUP(B259,Baza[[№]:[Profit]],22,0)=0,"-",VLOOKUP(B259,Baza[[№]:[Profit]],22,0)),"")</f>
        <v/>
      </c>
      <c r="Y259" s="45" t="str">
        <f>IFERROR(VLOOKUP(B259,Baza[[№]:[Profit]],23,0),"")</f>
        <v/>
      </c>
      <c r="Z259" s="44" t="str">
        <f>IFERROR(VLOOKUP(B259,Baza[[№]:[AFS]],24,0),"")</f>
        <v/>
      </c>
      <c r="AA259" s="45" t="str">
        <f>IF(Таблица2[[#This Row],[Profit]]="","#Н/Д",SUM($Y$40:Y259))</f>
        <v>#Н/Д</v>
      </c>
      <c r="AB259" s="45" t="b">
        <f>IF(Таблица2[[#This Row],[Grafik]]="#Н/Д",FALSE,TRUE)</f>
        <v>0</v>
      </c>
    </row>
    <row r="260" spans="1:28" ht="11.1" hidden="1" customHeight="1" x14ac:dyDescent="0.25">
      <c r="A260" s="93">
        <f t="shared" si="3"/>
        <v>221</v>
      </c>
      <c r="B260"/>
      <c r="C260" s="41" t="str">
        <f>IFERROR(VLOOKUP(B260,Baza[[№]:[Profit]],2,0),"")</f>
        <v/>
      </c>
      <c r="D26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6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60" s="43" t="str">
        <f>IFERROR(VLOOKUP(B260,Baza[[№]:[Profit]],3,0),"")</f>
        <v/>
      </c>
      <c r="G260" s="43" t="str">
        <f>IFERROR(VLOOKUP(B260,Baza[[№]:[Profit]],4,0),"")</f>
        <v/>
      </c>
      <c r="H260" s="43" t="str">
        <f>IFERROR(VLOOKUP(B260,Baza[[№]:[Profit]],5,0),"")</f>
        <v/>
      </c>
      <c r="I260" s="46" t="str">
        <f>IFERROR(VLOOKUP(B260,Baza[[№]:[Profit]],6,0),"")</f>
        <v/>
      </c>
      <c r="J260" s="49" t="str">
        <f>IFERROR(VLOOKUP(B260,Baza[[№]:[Profit]],7,0),"")</f>
        <v/>
      </c>
      <c r="K260" s="43" t="str">
        <f>IFERROR(VLOOKUP(B260,Baza[[№]:[Profit]],8,0),"")</f>
        <v/>
      </c>
      <c r="L260" s="43" t="str">
        <f>IFERROR(VLOOKUP(B260,Baza[[№]:[Profit]],9,0),"")</f>
        <v/>
      </c>
      <c r="M260" s="43" t="str">
        <f>IFERROR(VLOOKUP(B260,Baza[[№]:[Profit]],10,0),"")</f>
        <v/>
      </c>
      <c r="N260" s="43" t="str">
        <f>IFERROR(IF(VLOOKUP(B260,Baza[[№]:[Profit]],11,0)=0,"-",VLOOKUP(B260,Baza[[№]:[Profit]],11,0)),"")</f>
        <v/>
      </c>
      <c r="O260" s="43" t="str">
        <f>IFERROR(IF(VLOOKUP(B260,Baza[[№]:[Profit]],12,0)=0,"-",VLOOKUP(B260,Baza[[№]:[Profit]],12,0)),"")</f>
        <v/>
      </c>
      <c r="P260" s="43" t="str">
        <f>IFERROR(IF(VLOOKUP(B260,Baza[[№]:[Profit]],13,0)=0,"-",VLOOKUP(B260,Baza[[№]:[Profit]],13,0)),"")</f>
        <v/>
      </c>
      <c r="Q260" s="43" t="str">
        <f>IFERROR(IF(VLOOKUP(B260,Baza[[№]:[Profit]],15,0)=0,"-",VLOOKUP(B260,Baza[[№]:[Profit]],15,0)),"")</f>
        <v/>
      </c>
      <c r="R260" s="43" t="str">
        <f>IFERROR(IF(VLOOKUP(B260,Baza[[№]:[Profit]],16,0)=0,"-",VLOOKUP(B260,Baza[[№]:[Profit]],16,0)),"")</f>
        <v/>
      </c>
      <c r="S260" s="43" t="str">
        <f>IFERROR(IF(VLOOKUP(B260,Baza[[№]:[Profit]],17,0)=0,"-",VLOOKUP(B260,Baza[[№]:[Profit]],17,0)),"")</f>
        <v/>
      </c>
      <c r="T260" s="43" t="str">
        <f>IFERROR(IF(VLOOKUP(B260,Baza[[№]:[Profit]],18,0)=0,"-",VLOOKUP(B260,Baza[[№]:[Profit]],18,0)),"")</f>
        <v/>
      </c>
      <c r="U260" s="41" t="str">
        <f>IFERROR(IF(VLOOKUP(B260,Baza[[№]:[Profit]],19,0)=0,"-",VLOOKUP(B260,Baza[[№]:[Profit]],19,0)),"")</f>
        <v/>
      </c>
      <c r="V260" s="41" t="str">
        <f>IFERROR(VLOOKUP(B260,Baza[[№]:[Profit]],20,0),"")</f>
        <v/>
      </c>
      <c r="W260" s="41" t="str">
        <f>IFERROR(IF(VLOOKUP(B260,Baza[[№]:[Profit]],21,0)=0,"-",VLOOKUP(B260,Baza[[№]:[Profit]],21,0)),"")</f>
        <v/>
      </c>
      <c r="X260" s="45" t="str">
        <f>IFERROR(IF(VLOOKUP(B260,Baza[[№]:[Profit]],22,0)=0,"-",VLOOKUP(B260,Baza[[№]:[Profit]],22,0)),"")</f>
        <v/>
      </c>
      <c r="Y260" s="45" t="str">
        <f>IFERROR(VLOOKUP(B260,Baza[[№]:[Profit]],23,0),"")</f>
        <v/>
      </c>
      <c r="Z260" s="44" t="str">
        <f>IFERROR(VLOOKUP(B260,Baza[[№]:[AFS]],24,0),"")</f>
        <v/>
      </c>
      <c r="AA260" s="45" t="str">
        <f>IF(Таблица2[[#This Row],[Profit]]="","#Н/Д",SUM($Y$40:Y260))</f>
        <v>#Н/Д</v>
      </c>
      <c r="AB260" s="45" t="b">
        <f>IF(Таблица2[[#This Row],[Grafik]]="#Н/Д",FALSE,TRUE)</f>
        <v>0</v>
      </c>
    </row>
    <row r="261" spans="1:28" ht="11.1" hidden="1" customHeight="1" x14ac:dyDescent="0.25">
      <c r="A261" s="93">
        <f t="shared" si="3"/>
        <v>222</v>
      </c>
      <c r="B261"/>
      <c r="C261" s="41" t="str">
        <f>IFERROR(VLOOKUP(B261,Baza[[№]:[Profit]],2,0),"")</f>
        <v/>
      </c>
      <c r="D26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6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61" s="43" t="str">
        <f>IFERROR(VLOOKUP(B261,Baza[[№]:[Profit]],3,0),"")</f>
        <v/>
      </c>
      <c r="G261" s="43" t="str">
        <f>IFERROR(VLOOKUP(B261,Baza[[№]:[Profit]],4,0),"")</f>
        <v/>
      </c>
      <c r="H261" s="43" t="str">
        <f>IFERROR(VLOOKUP(B261,Baza[[№]:[Profit]],5,0),"")</f>
        <v/>
      </c>
      <c r="I261" s="46" t="str">
        <f>IFERROR(VLOOKUP(B261,Baza[[№]:[Profit]],6,0),"")</f>
        <v/>
      </c>
      <c r="J261" s="49" t="str">
        <f>IFERROR(VLOOKUP(B261,Baza[[№]:[Profit]],7,0),"")</f>
        <v/>
      </c>
      <c r="K261" s="43" t="str">
        <f>IFERROR(VLOOKUP(B261,Baza[[№]:[Profit]],8,0),"")</f>
        <v/>
      </c>
      <c r="L261" s="43" t="str">
        <f>IFERROR(VLOOKUP(B261,Baza[[№]:[Profit]],9,0),"")</f>
        <v/>
      </c>
      <c r="M261" s="43" t="str">
        <f>IFERROR(VLOOKUP(B261,Baza[[№]:[Profit]],10,0),"")</f>
        <v/>
      </c>
      <c r="N261" s="43" t="str">
        <f>IFERROR(IF(VLOOKUP(B261,Baza[[№]:[Profit]],11,0)=0,"-",VLOOKUP(B261,Baza[[№]:[Profit]],11,0)),"")</f>
        <v/>
      </c>
      <c r="O261" s="43" t="str">
        <f>IFERROR(IF(VLOOKUP(B261,Baza[[№]:[Profit]],12,0)=0,"-",VLOOKUP(B261,Baza[[№]:[Profit]],12,0)),"")</f>
        <v/>
      </c>
      <c r="P261" s="43" t="str">
        <f>IFERROR(IF(VLOOKUP(B261,Baza[[№]:[Profit]],13,0)=0,"-",VLOOKUP(B261,Baza[[№]:[Profit]],13,0)),"")</f>
        <v/>
      </c>
      <c r="Q261" s="43" t="str">
        <f>IFERROR(IF(VLOOKUP(B261,Baza[[№]:[Profit]],15,0)=0,"-",VLOOKUP(B261,Baza[[№]:[Profit]],15,0)),"")</f>
        <v/>
      </c>
      <c r="R261" s="43" t="str">
        <f>IFERROR(IF(VLOOKUP(B261,Baza[[№]:[Profit]],16,0)=0,"-",VLOOKUP(B261,Baza[[№]:[Profit]],16,0)),"")</f>
        <v/>
      </c>
      <c r="S261" s="43" t="str">
        <f>IFERROR(IF(VLOOKUP(B261,Baza[[№]:[Profit]],17,0)=0,"-",VLOOKUP(B261,Baza[[№]:[Profit]],17,0)),"")</f>
        <v/>
      </c>
      <c r="T261" s="43" t="str">
        <f>IFERROR(IF(VLOOKUP(B261,Baza[[№]:[Profit]],18,0)=0,"-",VLOOKUP(B261,Baza[[№]:[Profit]],18,0)),"")</f>
        <v/>
      </c>
      <c r="U261" s="41" t="str">
        <f>IFERROR(IF(VLOOKUP(B261,Baza[[№]:[Profit]],19,0)=0,"-",VLOOKUP(B261,Baza[[№]:[Profit]],19,0)),"")</f>
        <v/>
      </c>
      <c r="V261" s="41" t="str">
        <f>IFERROR(VLOOKUP(B261,Baza[[№]:[Profit]],20,0),"")</f>
        <v/>
      </c>
      <c r="W261" s="41" t="str">
        <f>IFERROR(IF(VLOOKUP(B261,Baza[[№]:[Profit]],21,0)=0,"-",VLOOKUP(B261,Baza[[№]:[Profit]],21,0)),"")</f>
        <v/>
      </c>
      <c r="X261" s="45" t="str">
        <f>IFERROR(IF(VLOOKUP(B261,Baza[[№]:[Profit]],22,0)=0,"-",VLOOKUP(B261,Baza[[№]:[Profit]],22,0)),"")</f>
        <v/>
      </c>
      <c r="Y261" s="45" t="str">
        <f>IFERROR(VLOOKUP(B261,Baza[[№]:[Profit]],23,0),"")</f>
        <v/>
      </c>
      <c r="Z261" s="44" t="str">
        <f>IFERROR(VLOOKUP(B261,Baza[[№]:[AFS]],24,0),"")</f>
        <v/>
      </c>
      <c r="AA261" s="45" t="str">
        <f>IF(Таблица2[[#This Row],[Profit]]="","#Н/Д",SUM($Y$40:Y261))</f>
        <v>#Н/Д</v>
      </c>
      <c r="AB261" s="45" t="b">
        <f>IF(Таблица2[[#This Row],[Grafik]]="#Н/Д",FALSE,TRUE)</f>
        <v>0</v>
      </c>
    </row>
    <row r="262" spans="1:28" ht="11.1" hidden="1" customHeight="1" x14ac:dyDescent="0.25">
      <c r="A262" s="93">
        <f t="shared" si="3"/>
        <v>223</v>
      </c>
      <c r="B262"/>
      <c r="C262" s="41" t="str">
        <f>IFERROR(VLOOKUP(B262,Baza[[№]:[Profit]],2,0),"")</f>
        <v/>
      </c>
      <c r="D26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6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62" s="43" t="str">
        <f>IFERROR(VLOOKUP(B262,Baza[[№]:[Profit]],3,0),"")</f>
        <v/>
      </c>
      <c r="G262" s="43" t="str">
        <f>IFERROR(VLOOKUP(B262,Baza[[№]:[Profit]],4,0),"")</f>
        <v/>
      </c>
      <c r="H262" s="43" t="str">
        <f>IFERROR(VLOOKUP(B262,Baza[[№]:[Profit]],5,0),"")</f>
        <v/>
      </c>
      <c r="I262" s="46" t="str">
        <f>IFERROR(VLOOKUP(B262,Baza[[№]:[Profit]],6,0),"")</f>
        <v/>
      </c>
      <c r="J262" s="49" t="str">
        <f>IFERROR(VLOOKUP(B262,Baza[[№]:[Profit]],7,0),"")</f>
        <v/>
      </c>
      <c r="K262" s="43" t="str">
        <f>IFERROR(VLOOKUP(B262,Baza[[№]:[Profit]],8,0),"")</f>
        <v/>
      </c>
      <c r="L262" s="43" t="str">
        <f>IFERROR(VLOOKUP(B262,Baza[[№]:[Profit]],9,0),"")</f>
        <v/>
      </c>
      <c r="M262" s="43" t="str">
        <f>IFERROR(VLOOKUP(B262,Baza[[№]:[Profit]],10,0),"")</f>
        <v/>
      </c>
      <c r="N262" s="43" t="str">
        <f>IFERROR(IF(VLOOKUP(B262,Baza[[№]:[Profit]],11,0)=0,"-",VLOOKUP(B262,Baza[[№]:[Profit]],11,0)),"")</f>
        <v/>
      </c>
      <c r="O262" s="43" t="str">
        <f>IFERROR(IF(VLOOKUP(B262,Baza[[№]:[Profit]],12,0)=0,"-",VLOOKUP(B262,Baza[[№]:[Profit]],12,0)),"")</f>
        <v/>
      </c>
      <c r="P262" s="43" t="str">
        <f>IFERROR(IF(VLOOKUP(B262,Baza[[№]:[Profit]],13,0)=0,"-",VLOOKUP(B262,Baza[[№]:[Profit]],13,0)),"")</f>
        <v/>
      </c>
      <c r="Q262" s="43" t="str">
        <f>IFERROR(IF(VLOOKUP(B262,Baza[[№]:[Profit]],15,0)=0,"-",VLOOKUP(B262,Baza[[№]:[Profit]],15,0)),"")</f>
        <v/>
      </c>
      <c r="R262" s="43" t="str">
        <f>IFERROR(IF(VLOOKUP(B262,Baza[[№]:[Profit]],16,0)=0,"-",VLOOKUP(B262,Baza[[№]:[Profit]],16,0)),"")</f>
        <v/>
      </c>
      <c r="S262" s="43" t="str">
        <f>IFERROR(IF(VLOOKUP(B262,Baza[[№]:[Profit]],17,0)=0,"-",VLOOKUP(B262,Baza[[№]:[Profit]],17,0)),"")</f>
        <v/>
      </c>
      <c r="T262" s="43" t="str">
        <f>IFERROR(IF(VLOOKUP(B262,Baza[[№]:[Profit]],18,0)=0,"-",VLOOKUP(B262,Baza[[№]:[Profit]],18,0)),"")</f>
        <v/>
      </c>
      <c r="U262" s="41" t="str">
        <f>IFERROR(IF(VLOOKUP(B262,Baza[[№]:[Profit]],19,0)=0,"-",VLOOKUP(B262,Baza[[№]:[Profit]],19,0)),"")</f>
        <v/>
      </c>
      <c r="V262" s="41" t="str">
        <f>IFERROR(VLOOKUP(B262,Baza[[№]:[Profit]],20,0),"")</f>
        <v/>
      </c>
      <c r="W262" s="41" t="str">
        <f>IFERROR(IF(VLOOKUP(B262,Baza[[№]:[Profit]],21,0)=0,"-",VLOOKUP(B262,Baza[[№]:[Profit]],21,0)),"")</f>
        <v/>
      </c>
      <c r="X262" s="45" t="str">
        <f>IFERROR(IF(VLOOKUP(B262,Baza[[№]:[Profit]],22,0)=0,"-",VLOOKUP(B262,Baza[[№]:[Profit]],22,0)),"")</f>
        <v/>
      </c>
      <c r="Y262" s="45" t="str">
        <f>IFERROR(VLOOKUP(B262,Baza[[№]:[Profit]],23,0),"")</f>
        <v/>
      </c>
      <c r="Z262" s="44" t="str">
        <f>IFERROR(VLOOKUP(B262,Baza[[№]:[AFS]],24,0),"")</f>
        <v/>
      </c>
      <c r="AA262" s="45" t="str">
        <f>IF(Таблица2[[#This Row],[Profit]]="","#Н/Д",SUM($Y$40:Y262))</f>
        <v>#Н/Д</v>
      </c>
      <c r="AB262" s="45" t="b">
        <f>IF(Таблица2[[#This Row],[Grafik]]="#Н/Д",FALSE,TRUE)</f>
        <v>0</v>
      </c>
    </row>
    <row r="263" spans="1:28" ht="11.1" hidden="1" customHeight="1" x14ac:dyDescent="0.25">
      <c r="A263" s="93">
        <f t="shared" si="3"/>
        <v>224</v>
      </c>
      <c r="B263"/>
      <c r="C263" s="41" t="str">
        <f>IFERROR(VLOOKUP(B263,Baza[[№]:[Profit]],2,0),"")</f>
        <v/>
      </c>
      <c r="D26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6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63" s="43" t="str">
        <f>IFERROR(VLOOKUP(B263,Baza[[№]:[Profit]],3,0),"")</f>
        <v/>
      </c>
      <c r="G263" s="43" t="str">
        <f>IFERROR(VLOOKUP(B263,Baza[[№]:[Profit]],4,0),"")</f>
        <v/>
      </c>
      <c r="H263" s="43" t="str">
        <f>IFERROR(VLOOKUP(B263,Baza[[№]:[Profit]],5,0),"")</f>
        <v/>
      </c>
      <c r="I263" s="46" t="str">
        <f>IFERROR(VLOOKUP(B263,Baza[[№]:[Profit]],6,0),"")</f>
        <v/>
      </c>
      <c r="J263" s="49" t="str">
        <f>IFERROR(VLOOKUP(B263,Baza[[№]:[Profit]],7,0),"")</f>
        <v/>
      </c>
      <c r="K263" s="43" t="str">
        <f>IFERROR(VLOOKUP(B263,Baza[[№]:[Profit]],8,0),"")</f>
        <v/>
      </c>
      <c r="L263" s="43" t="str">
        <f>IFERROR(VLOOKUP(B263,Baza[[№]:[Profit]],9,0),"")</f>
        <v/>
      </c>
      <c r="M263" s="43" t="str">
        <f>IFERROR(VLOOKUP(B263,Baza[[№]:[Profit]],10,0),"")</f>
        <v/>
      </c>
      <c r="N263" s="43" t="str">
        <f>IFERROR(IF(VLOOKUP(B263,Baza[[№]:[Profit]],11,0)=0,"-",VLOOKUP(B263,Baza[[№]:[Profit]],11,0)),"")</f>
        <v/>
      </c>
      <c r="O263" s="43" t="str">
        <f>IFERROR(IF(VLOOKUP(B263,Baza[[№]:[Profit]],12,0)=0,"-",VLOOKUP(B263,Baza[[№]:[Profit]],12,0)),"")</f>
        <v/>
      </c>
      <c r="P263" s="43" t="str">
        <f>IFERROR(IF(VLOOKUP(B263,Baza[[№]:[Profit]],13,0)=0,"-",VLOOKUP(B263,Baza[[№]:[Profit]],13,0)),"")</f>
        <v/>
      </c>
      <c r="Q263" s="43" t="str">
        <f>IFERROR(IF(VLOOKUP(B263,Baza[[№]:[Profit]],15,0)=0,"-",VLOOKUP(B263,Baza[[№]:[Profit]],15,0)),"")</f>
        <v/>
      </c>
      <c r="R263" s="43" t="str">
        <f>IFERROR(IF(VLOOKUP(B263,Baza[[№]:[Profit]],16,0)=0,"-",VLOOKUP(B263,Baza[[№]:[Profit]],16,0)),"")</f>
        <v/>
      </c>
      <c r="S263" s="43" t="str">
        <f>IFERROR(IF(VLOOKUP(B263,Baza[[№]:[Profit]],17,0)=0,"-",VLOOKUP(B263,Baza[[№]:[Profit]],17,0)),"")</f>
        <v/>
      </c>
      <c r="T263" s="43" t="str">
        <f>IFERROR(IF(VLOOKUP(B263,Baza[[№]:[Profit]],18,0)=0,"-",VLOOKUP(B263,Baza[[№]:[Profit]],18,0)),"")</f>
        <v/>
      </c>
      <c r="U263" s="41" t="str">
        <f>IFERROR(IF(VLOOKUP(B263,Baza[[№]:[Profit]],19,0)=0,"-",VLOOKUP(B263,Baza[[№]:[Profit]],19,0)),"")</f>
        <v/>
      </c>
      <c r="V263" s="41" t="str">
        <f>IFERROR(VLOOKUP(B263,Baza[[№]:[Profit]],20,0),"")</f>
        <v/>
      </c>
      <c r="W263" s="41" t="str">
        <f>IFERROR(IF(VLOOKUP(B263,Baza[[№]:[Profit]],21,0)=0,"-",VLOOKUP(B263,Baza[[№]:[Profit]],21,0)),"")</f>
        <v/>
      </c>
      <c r="X263" s="45" t="str">
        <f>IFERROR(IF(VLOOKUP(B263,Baza[[№]:[Profit]],22,0)=0,"-",VLOOKUP(B263,Baza[[№]:[Profit]],22,0)),"")</f>
        <v/>
      </c>
      <c r="Y263" s="45" t="str">
        <f>IFERROR(VLOOKUP(B263,Baza[[№]:[Profit]],23,0),"")</f>
        <v/>
      </c>
      <c r="Z263" s="44" t="str">
        <f>IFERROR(VLOOKUP(B263,Baza[[№]:[AFS]],24,0),"")</f>
        <v/>
      </c>
      <c r="AA263" s="45" t="str">
        <f>IF(Таблица2[[#This Row],[Profit]]="","#Н/Д",SUM($Y$40:Y263))</f>
        <v>#Н/Д</v>
      </c>
      <c r="AB263" s="45" t="b">
        <f>IF(Таблица2[[#This Row],[Grafik]]="#Н/Д",FALSE,TRUE)</f>
        <v>0</v>
      </c>
    </row>
    <row r="264" spans="1:28" ht="11.1" hidden="1" customHeight="1" x14ac:dyDescent="0.25">
      <c r="A264" s="93">
        <f t="shared" si="3"/>
        <v>225</v>
      </c>
      <c r="B264"/>
      <c r="C264" s="41" t="str">
        <f>IFERROR(VLOOKUP(B264,Baza[[№]:[Profit]],2,0),"")</f>
        <v/>
      </c>
      <c r="D26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6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64" s="43" t="str">
        <f>IFERROR(VLOOKUP(B264,Baza[[№]:[Profit]],3,0),"")</f>
        <v/>
      </c>
      <c r="G264" s="43" t="str">
        <f>IFERROR(VLOOKUP(B264,Baza[[№]:[Profit]],4,0),"")</f>
        <v/>
      </c>
      <c r="H264" s="43" t="str">
        <f>IFERROR(VLOOKUP(B264,Baza[[№]:[Profit]],5,0),"")</f>
        <v/>
      </c>
      <c r="I264" s="46" t="str">
        <f>IFERROR(VLOOKUP(B264,Baza[[№]:[Profit]],6,0),"")</f>
        <v/>
      </c>
      <c r="J264" s="49" t="str">
        <f>IFERROR(VLOOKUP(B264,Baza[[№]:[Profit]],7,0),"")</f>
        <v/>
      </c>
      <c r="K264" s="43" t="str">
        <f>IFERROR(VLOOKUP(B264,Baza[[№]:[Profit]],8,0),"")</f>
        <v/>
      </c>
      <c r="L264" s="43" t="str">
        <f>IFERROR(VLOOKUP(B264,Baza[[№]:[Profit]],9,0),"")</f>
        <v/>
      </c>
      <c r="M264" s="43" t="str">
        <f>IFERROR(VLOOKUP(B264,Baza[[№]:[Profit]],10,0),"")</f>
        <v/>
      </c>
      <c r="N264" s="43" t="str">
        <f>IFERROR(IF(VLOOKUP(B264,Baza[[№]:[Profit]],11,0)=0,"-",VLOOKUP(B264,Baza[[№]:[Profit]],11,0)),"")</f>
        <v/>
      </c>
      <c r="O264" s="43" t="str">
        <f>IFERROR(IF(VLOOKUP(B264,Baza[[№]:[Profit]],12,0)=0,"-",VLOOKUP(B264,Baza[[№]:[Profit]],12,0)),"")</f>
        <v/>
      </c>
      <c r="P264" s="43" t="str">
        <f>IFERROR(IF(VLOOKUP(B264,Baza[[№]:[Profit]],13,0)=0,"-",VLOOKUP(B264,Baza[[№]:[Profit]],13,0)),"")</f>
        <v/>
      </c>
      <c r="Q264" s="43" t="str">
        <f>IFERROR(IF(VLOOKUP(B264,Baza[[№]:[Profit]],15,0)=0,"-",VLOOKUP(B264,Baza[[№]:[Profit]],15,0)),"")</f>
        <v/>
      </c>
      <c r="R264" s="43" t="str">
        <f>IFERROR(IF(VLOOKUP(B264,Baza[[№]:[Profit]],16,0)=0,"-",VLOOKUP(B264,Baza[[№]:[Profit]],16,0)),"")</f>
        <v/>
      </c>
      <c r="S264" s="43" t="str">
        <f>IFERROR(IF(VLOOKUP(B264,Baza[[№]:[Profit]],17,0)=0,"-",VLOOKUP(B264,Baza[[№]:[Profit]],17,0)),"")</f>
        <v/>
      </c>
      <c r="T264" s="43" t="str">
        <f>IFERROR(IF(VLOOKUP(B264,Baza[[№]:[Profit]],18,0)=0,"-",VLOOKUP(B264,Baza[[№]:[Profit]],18,0)),"")</f>
        <v/>
      </c>
      <c r="U264" s="41" t="str">
        <f>IFERROR(IF(VLOOKUP(B264,Baza[[№]:[Profit]],19,0)=0,"-",VLOOKUP(B264,Baza[[№]:[Profit]],19,0)),"")</f>
        <v/>
      </c>
      <c r="V264" s="41" t="str">
        <f>IFERROR(VLOOKUP(B264,Baza[[№]:[Profit]],20,0),"")</f>
        <v/>
      </c>
      <c r="W264" s="41" t="str">
        <f>IFERROR(IF(VLOOKUP(B264,Baza[[№]:[Profit]],21,0)=0,"-",VLOOKUP(B264,Baza[[№]:[Profit]],21,0)),"")</f>
        <v/>
      </c>
      <c r="X264" s="45" t="str">
        <f>IFERROR(IF(VLOOKUP(B264,Baza[[№]:[Profit]],22,0)=0,"-",VLOOKUP(B264,Baza[[№]:[Profit]],22,0)),"")</f>
        <v/>
      </c>
      <c r="Y264" s="45" t="str">
        <f>IFERROR(VLOOKUP(B264,Baza[[№]:[Profit]],23,0),"")</f>
        <v/>
      </c>
      <c r="Z264" s="44" t="str">
        <f>IFERROR(VLOOKUP(B264,Baza[[№]:[AFS]],24,0),"")</f>
        <v/>
      </c>
      <c r="AA264" s="45" t="str">
        <f>IF(Таблица2[[#This Row],[Profit]]="","#Н/Д",SUM($Y$40:Y264))</f>
        <v>#Н/Д</v>
      </c>
      <c r="AB264" s="45" t="b">
        <f>IF(Таблица2[[#This Row],[Grafik]]="#Н/Д",FALSE,TRUE)</f>
        <v>0</v>
      </c>
    </row>
    <row r="265" spans="1:28" ht="11.1" hidden="1" customHeight="1" x14ac:dyDescent="0.25">
      <c r="A265" s="93">
        <f t="shared" si="3"/>
        <v>226</v>
      </c>
      <c r="B265"/>
      <c r="C265" s="41" t="str">
        <f>IFERROR(VLOOKUP(B265,Baza[[№]:[Profit]],2,0),"")</f>
        <v/>
      </c>
      <c r="D26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6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65" s="43" t="str">
        <f>IFERROR(VLOOKUP(B265,Baza[[№]:[Profit]],3,0),"")</f>
        <v/>
      </c>
      <c r="G265" s="43" t="str">
        <f>IFERROR(VLOOKUP(B265,Baza[[№]:[Profit]],4,0),"")</f>
        <v/>
      </c>
      <c r="H265" s="43" t="str">
        <f>IFERROR(VLOOKUP(B265,Baza[[№]:[Profit]],5,0),"")</f>
        <v/>
      </c>
      <c r="I265" s="46" t="str">
        <f>IFERROR(VLOOKUP(B265,Baza[[№]:[Profit]],6,0),"")</f>
        <v/>
      </c>
      <c r="J265" s="49" t="str">
        <f>IFERROR(VLOOKUP(B265,Baza[[№]:[Profit]],7,0),"")</f>
        <v/>
      </c>
      <c r="K265" s="43" t="str">
        <f>IFERROR(VLOOKUP(B265,Baza[[№]:[Profit]],8,0),"")</f>
        <v/>
      </c>
      <c r="L265" s="43" t="str">
        <f>IFERROR(VLOOKUP(B265,Baza[[№]:[Profit]],9,0),"")</f>
        <v/>
      </c>
      <c r="M265" s="43" t="str">
        <f>IFERROR(VLOOKUP(B265,Baza[[№]:[Profit]],10,0),"")</f>
        <v/>
      </c>
      <c r="N265" s="43" t="str">
        <f>IFERROR(IF(VLOOKUP(B265,Baza[[№]:[Profit]],11,0)=0,"-",VLOOKUP(B265,Baza[[№]:[Profit]],11,0)),"")</f>
        <v/>
      </c>
      <c r="O265" s="43" t="str">
        <f>IFERROR(IF(VLOOKUP(B265,Baza[[№]:[Profit]],12,0)=0,"-",VLOOKUP(B265,Baza[[№]:[Profit]],12,0)),"")</f>
        <v/>
      </c>
      <c r="P265" s="43" t="str">
        <f>IFERROR(IF(VLOOKUP(B265,Baza[[№]:[Profit]],13,0)=0,"-",VLOOKUP(B265,Baza[[№]:[Profit]],13,0)),"")</f>
        <v/>
      </c>
      <c r="Q265" s="43" t="str">
        <f>IFERROR(IF(VLOOKUP(B265,Baza[[№]:[Profit]],15,0)=0,"-",VLOOKUP(B265,Baza[[№]:[Profit]],15,0)),"")</f>
        <v/>
      </c>
      <c r="R265" s="43" t="str">
        <f>IFERROR(IF(VLOOKUP(B265,Baza[[№]:[Profit]],16,0)=0,"-",VLOOKUP(B265,Baza[[№]:[Profit]],16,0)),"")</f>
        <v/>
      </c>
      <c r="S265" s="43" t="str">
        <f>IFERROR(IF(VLOOKUP(B265,Baza[[№]:[Profit]],17,0)=0,"-",VLOOKUP(B265,Baza[[№]:[Profit]],17,0)),"")</f>
        <v/>
      </c>
      <c r="T265" s="43" t="str">
        <f>IFERROR(IF(VLOOKUP(B265,Baza[[№]:[Profit]],18,0)=0,"-",VLOOKUP(B265,Baza[[№]:[Profit]],18,0)),"")</f>
        <v/>
      </c>
      <c r="U265" s="41" t="str">
        <f>IFERROR(IF(VLOOKUP(B265,Baza[[№]:[Profit]],19,0)=0,"-",VLOOKUP(B265,Baza[[№]:[Profit]],19,0)),"")</f>
        <v/>
      </c>
      <c r="V265" s="41" t="str">
        <f>IFERROR(VLOOKUP(B265,Baza[[№]:[Profit]],20,0),"")</f>
        <v/>
      </c>
      <c r="W265" s="41" t="str">
        <f>IFERROR(IF(VLOOKUP(B265,Baza[[№]:[Profit]],21,0)=0,"-",VLOOKUP(B265,Baza[[№]:[Profit]],21,0)),"")</f>
        <v/>
      </c>
      <c r="X265" s="45" t="str">
        <f>IFERROR(IF(VLOOKUP(B265,Baza[[№]:[Profit]],22,0)=0,"-",VLOOKUP(B265,Baza[[№]:[Profit]],22,0)),"")</f>
        <v/>
      </c>
      <c r="Y265" s="45" t="str">
        <f>IFERROR(VLOOKUP(B265,Baza[[№]:[Profit]],23,0),"")</f>
        <v/>
      </c>
      <c r="Z265" s="44" t="str">
        <f>IFERROR(VLOOKUP(B265,Baza[[№]:[AFS]],24,0),"")</f>
        <v/>
      </c>
      <c r="AA265" s="45" t="str">
        <f>IF(Таблица2[[#This Row],[Profit]]="","#Н/Д",SUM($Y$40:Y265))</f>
        <v>#Н/Д</v>
      </c>
      <c r="AB265" s="45" t="b">
        <f>IF(Таблица2[[#This Row],[Grafik]]="#Н/Д",FALSE,TRUE)</f>
        <v>0</v>
      </c>
    </row>
    <row r="266" spans="1:28" ht="11.1" hidden="1" customHeight="1" x14ac:dyDescent="0.25">
      <c r="B266"/>
      <c r="C266" s="41" t="str">
        <f>IFERROR(VLOOKUP(B266,Baza[[№]:[Profit]],2,0),"")</f>
        <v/>
      </c>
      <c r="D26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6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66" s="43" t="str">
        <f>IFERROR(VLOOKUP(B266,Baza[[№]:[Profit]],3,0),"")</f>
        <v/>
      </c>
      <c r="G266" s="43" t="str">
        <f>IFERROR(VLOOKUP(B266,Baza[[№]:[Profit]],4,0),"")</f>
        <v/>
      </c>
      <c r="H266" s="43" t="str">
        <f>IFERROR(VLOOKUP(B266,Baza[[№]:[Profit]],5,0),"")</f>
        <v/>
      </c>
      <c r="I266" s="46" t="str">
        <f>IFERROR(VLOOKUP(B266,Baza[[№]:[Profit]],6,0),"")</f>
        <v/>
      </c>
      <c r="J266" s="49" t="str">
        <f>IFERROR(VLOOKUP(B266,Baza[[№]:[Profit]],7,0),"")</f>
        <v/>
      </c>
      <c r="K266" s="43" t="str">
        <f>IFERROR(VLOOKUP(B266,Baza[[№]:[Profit]],8,0),"")</f>
        <v/>
      </c>
      <c r="L266" s="43" t="str">
        <f>IFERROR(VLOOKUP(B266,Baza[[№]:[Profit]],9,0),"")</f>
        <v/>
      </c>
      <c r="M266" s="43" t="str">
        <f>IFERROR(VLOOKUP(B266,Baza[[№]:[Profit]],10,0),"")</f>
        <v/>
      </c>
      <c r="N266" s="43" t="str">
        <f>IFERROR(IF(VLOOKUP(B266,Baza[[№]:[Profit]],11,0)=0,"-",VLOOKUP(B266,Baza[[№]:[Profit]],11,0)),"")</f>
        <v/>
      </c>
      <c r="O266" s="43" t="str">
        <f>IFERROR(IF(VLOOKUP(B266,Baza[[№]:[Profit]],12,0)=0,"-",VLOOKUP(B266,Baza[[№]:[Profit]],12,0)),"")</f>
        <v/>
      </c>
      <c r="P266" s="43" t="str">
        <f>IFERROR(IF(VLOOKUP(B266,Baza[[№]:[Profit]],13,0)=0,"-",VLOOKUP(B266,Baza[[№]:[Profit]],13,0)),"")</f>
        <v/>
      </c>
      <c r="Q266" s="43" t="str">
        <f>IFERROR(IF(VLOOKUP(B266,Baza[[№]:[Profit]],15,0)=0,"-",VLOOKUP(B266,Baza[[№]:[Profit]],15,0)),"")</f>
        <v/>
      </c>
      <c r="R266" s="43" t="str">
        <f>IFERROR(IF(VLOOKUP(B266,Baza[[№]:[Profit]],16,0)=0,"-",VLOOKUP(B266,Baza[[№]:[Profit]],16,0)),"")</f>
        <v/>
      </c>
      <c r="S266" s="43" t="str">
        <f>IFERROR(IF(VLOOKUP(B266,Baza[[№]:[Profit]],17,0)=0,"-",VLOOKUP(B266,Baza[[№]:[Profit]],17,0)),"")</f>
        <v/>
      </c>
      <c r="T266" s="43" t="str">
        <f>IFERROR(IF(VLOOKUP(B266,Baza[[№]:[Profit]],18,0)=0,"-",VLOOKUP(B266,Baza[[№]:[Profit]],18,0)),"")</f>
        <v/>
      </c>
      <c r="U266" s="41" t="str">
        <f>IFERROR(IF(VLOOKUP(B266,Baza[[№]:[Profit]],19,0)=0,"-",VLOOKUP(B266,Baza[[№]:[Profit]],19,0)),"")</f>
        <v/>
      </c>
      <c r="V266" s="41" t="str">
        <f>IFERROR(VLOOKUP(B266,Baza[[№]:[Profit]],20,0),"")</f>
        <v/>
      </c>
      <c r="W266" s="41" t="str">
        <f>IFERROR(IF(VLOOKUP(B266,Baza[[№]:[Profit]],21,0)=0,"-",VLOOKUP(B266,Baza[[№]:[Profit]],21,0)),"")</f>
        <v/>
      </c>
      <c r="X266" s="45" t="str">
        <f>IFERROR(IF(VLOOKUP(B266,Baza[[№]:[Profit]],22,0)=0,"-",VLOOKUP(B266,Baza[[№]:[Profit]],22,0)),"")</f>
        <v/>
      </c>
      <c r="Y266" s="45" t="str">
        <f>IFERROR(VLOOKUP(B266,Baza[[№]:[Profit]],23,0),"")</f>
        <v/>
      </c>
      <c r="Z266" s="44" t="str">
        <f>IFERROR(VLOOKUP(B266,Baza[[№]:[AFS]],24,0),"")</f>
        <v/>
      </c>
      <c r="AA266" s="45" t="str">
        <f>IF(Таблица2[[#This Row],[Profit]]="","#Н/Д",SUM($Y$40:Y266))</f>
        <v>#Н/Д</v>
      </c>
      <c r="AB266" s="45" t="b">
        <f>IF(Таблица2[[#This Row],[Grafik]]="#Н/Д",FALSE,TRUE)</f>
        <v>0</v>
      </c>
    </row>
    <row r="267" spans="1:28" ht="11.1" hidden="1" customHeight="1" x14ac:dyDescent="0.25">
      <c r="B267"/>
      <c r="C267" s="41" t="str">
        <f>IFERROR(VLOOKUP(B267,Baza[[№]:[Profit]],2,0),"")</f>
        <v/>
      </c>
      <c r="D26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6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67" s="43" t="str">
        <f>IFERROR(VLOOKUP(B267,Baza[[№]:[Profit]],3,0),"")</f>
        <v/>
      </c>
      <c r="G267" s="43" t="str">
        <f>IFERROR(VLOOKUP(B267,Baza[[№]:[Profit]],4,0),"")</f>
        <v/>
      </c>
      <c r="H267" s="43" t="str">
        <f>IFERROR(VLOOKUP(B267,Baza[[№]:[Profit]],5,0),"")</f>
        <v/>
      </c>
      <c r="I267" s="46" t="str">
        <f>IFERROR(VLOOKUP(B267,Baza[[№]:[Profit]],6,0),"")</f>
        <v/>
      </c>
      <c r="J267" s="49" t="str">
        <f>IFERROR(VLOOKUP(B267,Baza[[№]:[Profit]],7,0),"")</f>
        <v/>
      </c>
      <c r="K267" s="43" t="str">
        <f>IFERROR(VLOOKUP(B267,Baza[[№]:[Profit]],8,0),"")</f>
        <v/>
      </c>
      <c r="L267" s="43" t="str">
        <f>IFERROR(VLOOKUP(B267,Baza[[№]:[Profit]],9,0),"")</f>
        <v/>
      </c>
      <c r="M267" s="43" t="str">
        <f>IFERROR(VLOOKUP(B267,Baza[[№]:[Profit]],10,0),"")</f>
        <v/>
      </c>
      <c r="N267" s="43" t="str">
        <f>IFERROR(IF(VLOOKUP(B267,Baza[[№]:[Profit]],11,0)=0,"-",VLOOKUP(B267,Baza[[№]:[Profit]],11,0)),"")</f>
        <v/>
      </c>
      <c r="O267" s="43" t="str">
        <f>IFERROR(IF(VLOOKUP(B267,Baza[[№]:[Profit]],12,0)=0,"-",VLOOKUP(B267,Baza[[№]:[Profit]],12,0)),"")</f>
        <v/>
      </c>
      <c r="P267" s="43" t="str">
        <f>IFERROR(IF(VLOOKUP(B267,Baza[[№]:[Profit]],13,0)=0,"-",VLOOKUP(B267,Baza[[№]:[Profit]],13,0)),"")</f>
        <v/>
      </c>
      <c r="Q267" s="43" t="str">
        <f>IFERROR(IF(VLOOKUP(B267,Baza[[№]:[Profit]],15,0)=0,"-",VLOOKUP(B267,Baza[[№]:[Profit]],15,0)),"")</f>
        <v/>
      </c>
      <c r="R267" s="43" t="str">
        <f>IFERROR(IF(VLOOKUP(B267,Baza[[№]:[Profit]],16,0)=0,"-",VLOOKUP(B267,Baza[[№]:[Profit]],16,0)),"")</f>
        <v/>
      </c>
      <c r="S267" s="43" t="str">
        <f>IFERROR(IF(VLOOKUP(B267,Baza[[№]:[Profit]],17,0)=0,"-",VLOOKUP(B267,Baza[[№]:[Profit]],17,0)),"")</f>
        <v/>
      </c>
      <c r="T267" s="43" t="str">
        <f>IFERROR(IF(VLOOKUP(B267,Baza[[№]:[Profit]],18,0)=0,"-",VLOOKUP(B267,Baza[[№]:[Profit]],18,0)),"")</f>
        <v/>
      </c>
      <c r="U267" s="41" t="str">
        <f>IFERROR(IF(VLOOKUP(B267,Baza[[№]:[Profit]],19,0)=0,"-",VLOOKUP(B267,Baza[[№]:[Profit]],19,0)),"")</f>
        <v/>
      </c>
      <c r="V267" s="41" t="str">
        <f>IFERROR(VLOOKUP(B267,Baza[[№]:[Profit]],20,0),"")</f>
        <v/>
      </c>
      <c r="W267" s="41" t="str">
        <f>IFERROR(IF(VLOOKUP(B267,Baza[[№]:[Profit]],21,0)=0,"-",VLOOKUP(B267,Baza[[№]:[Profit]],21,0)),"")</f>
        <v/>
      </c>
      <c r="X267" s="45" t="str">
        <f>IFERROR(IF(VLOOKUP(B267,Baza[[№]:[Profit]],22,0)=0,"-",VLOOKUP(B267,Baza[[№]:[Profit]],22,0)),"")</f>
        <v/>
      </c>
      <c r="Y267" s="45" t="str">
        <f>IFERROR(VLOOKUP(B267,Baza[[№]:[Profit]],23,0),"")</f>
        <v/>
      </c>
      <c r="Z267" s="44" t="str">
        <f>IFERROR(VLOOKUP(B267,Baza[[№]:[AFS]],24,0),"")</f>
        <v/>
      </c>
      <c r="AA267" s="45" t="str">
        <f>IF(Таблица2[[#This Row],[Profit]]="","#Н/Д",SUM($Y$40:Y267))</f>
        <v>#Н/Д</v>
      </c>
      <c r="AB267" s="45" t="b">
        <f>IF(Таблица2[[#This Row],[Grafik]]="#Н/Д",FALSE,TRUE)</f>
        <v>0</v>
      </c>
    </row>
    <row r="268" spans="1:28" ht="11.1" hidden="1" customHeight="1" x14ac:dyDescent="0.25">
      <c r="B268"/>
      <c r="C268" s="41" t="str">
        <f>IFERROR(VLOOKUP(B268,Baza[[№]:[Profit]],2,0),"")</f>
        <v/>
      </c>
      <c r="D26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6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68" s="43" t="str">
        <f>IFERROR(VLOOKUP(B268,Baza[[№]:[Profit]],3,0),"")</f>
        <v/>
      </c>
      <c r="G268" s="43" t="str">
        <f>IFERROR(VLOOKUP(B268,Baza[[№]:[Profit]],4,0),"")</f>
        <v/>
      </c>
      <c r="H268" s="43" t="str">
        <f>IFERROR(VLOOKUP(B268,Baza[[№]:[Profit]],5,0),"")</f>
        <v/>
      </c>
      <c r="I268" s="46" t="str">
        <f>IFERROR(VLOOKUP(B268,Baza[[№]:[Profit]],6,0),"")</f>
        <v/>
      </c>
      <c r="J268" s="49" t="str">
        <f>IFERROR(VLOOKUP(B268,Baza[[№]:[Profit]],7,0),"")</f>
        <v/>
      </c>
      <c r="K268" s="43" t="str">
        <f>IFERROR(VLOOKUP(B268,Baza[[№]:[Profit]],8,0),"")</f>
        <v/>
      </c>
      <c r="L268" s="43" t="str">
        <f>IFERROR(VLOOKUP(B268,Baza[[№]:[Profit]],9,0),"")</f>
        <v/>
      </c>
      <c r="M268" s="43" t="str">
        <f>IFERROR(VLOOKUP(B268,Baza[[№]:[Profit]],10,0),"")</f>
        <v/>
      </c>
      <c r="N268" s="43" t="str">
        <f>IFERROR(IF(VLOOKUP(B268,Baza[[№]:[Profit]],11,0)=0,"-",VLOOKUP(B268,Baza[[№]:[Profit]],11,0)),"")</f>
        <v/>
      </c>
      <c r="O268" s="43" t="str">
        <f>IFERROR(IF(VLOOKUP(B268,Baza[[№]:[Profit]],12,0)=0,"-",VLOOKUP(B268,Baza[[№]:[Profit]],12,0)),"")</f>
        <v/>
      </c>
      <c r="P268" s="43" t="str">
        <f>IFERROR(IF(VLOOKUP(B268,Baza[[№]:[Profit]],13,0)=0,"-",VLOOKUP(B268,Baza[[№]:[Profit]],13,0)),"")</f>
        <v/>
      </c>
      <c r="Q268" s="43" t="str">
        <f>IFERROR(IF(VLOOKUP(B268,Baza[[№]:[Profit]],15,0)=0,"-",VLOOKUP(B268,Baza[[№]:[Profit]],15,0)),"")</f>
        <v/>
      </c>
      <c r="R268" s="43" t="str">
        <f>IFERROR(IF(VLOOKUP(B268,Baza[[№]:[Profit]],16,0)=0,"-",VLOOKUP(B268,Baza[[№]:[Profit]],16,0)),"")</f>
        <v/>
      </c>
      <c r="S268" s="43" t="str">
        <f>IFERROR(IF(VLOOKUP(B268,Baza[[№]:[Profit]],17,0)=0,"-",VLOOKUP(B268,Baza[[№]:[Profit]],17,0)),"")</f>
        <v/>
      </c>
      <c r="T268" s="43" t="str">
        <f>IFERROR(IF(VLOOKUP(B268,Baza[[№]:[Profit]],18,0)=0,"-",VLOOKUP(B268,Baza[[№]:[Profit]],18,0)),"")</f>
        <v/>
      </c>
      <c r="U268" s="41" t="str">
        <f>IFERROR(IF(VLOOKUP(B268,Baza[[№]:[Profit]],19,0)=0,"-",VLOOKUP(B268,Baza[[№]:[Profit]],19,0)),"")</f>
        <v/>
      </c>
      <c r="V268" s="41" t="str">
        <f>IFERROR(VLOOKUP(B268,Baza[[№]:[Profit]],20,0),"")</f>
        <v/>
      </c>
      <c r="W268" s="41" t="str">
        <f>IFERROR(IF(VLOOKUP(B268,Baza[[№]:[Profit]],21,0)=0,"-",VLOOKUP(B268,Baza[[№]:[Profit]],21,0)),"")</f>
        <v/>
      </c>
      <c r="X268" s="45" t="str">
        <f>IFERROR(IF(VLOOKUP(B268,Baza[[№]:[Profit]],22,0)=0,"-",VLOOKUP(B268,Baza[[№]:[Profit]],22,0)),"")</f>
        <v/>
      </c>
      <c r="Y268" s="45" t="str">
        <f>IFERROR(VLOOKUP(B268,Baza[[№]:[Profit]],23,0),"")</f>
        <v/>
      </c>
      <c r="Z268" s="44" t="str">
        <f>IFERROR(VLOOKUP(B268,Baza[[№]:[AFS]],24,0),"")</f>
        <v/>
      </c>
      <c r="AA268" s="45" t="str">
        <f>IF(Таблица2[[#This Row],[Profit]]="","#Н/Д",SUM($Y$40:Y268))</f>
        <v>#Н/Д</v>
      </c>
      <c r="AB268" s="45" t="b">
        <f>IF(Таблица2[[#This Row],[Grafik]]="#Н/Д",FALSE,TRUE)</f>
        <v>0</v>
      </c>
    </row>
    <row r="269" spans="1:28" ht="11.1" hidden="1" customHeight="1" x14ac:dyDescent="0.25">
      <c r="B269"/>
      <c r="C269" s="41" t="str">
        <f>IFERROR(VLOOKUP(B269,Baza[[№]:[Profit]],2,0),"")</f>
        <v/>
      </c>
      <c r="D26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6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69" s="43" t="str">
        <f>IFERROR(VLOOKUP(B269,Baza[[№]:[Profit]],3,0),"")</f>
        <v/>
      </c>
      <c r="G269" s="43" t="str">
        <f>IFERROR(VLOOKUP(B269,Baza[[№]:[Profit]],4,0),"")</f>
        <v/>
      </c>
      <c r="H269" s="43" t="str">
        <f>IFERROR(VLOOKUP(B269,Baza[[№]:[Profit]],5,0),"")</f>
        <v/>
      </c>
      <c r="I269" s="46" t="str">
        <f>IFERROR(VLOOKUP(B269,Baza[[№]:[Profit]],6,0),"")</f>
        <v/>
      </c>
      <c r="J269" s="49" t="str">
        <f>IFERROR(VLOOKUP(B269,Baza[[№]:[Profit]],7,0),"")</f>
        <v/>
      </c>
      <c r="K269" s="43" t="str">
        <f>IFERROR(VLOOKUP(B269,Baza[[№]:[Profit]],8,0),"")</f>
        <v/>
      </c>
      <c r="L269" s="43" t="str">
        <f>IFERROR(VLOOKUP(B269,Baza[[№]:[Profit]],9,0),"")</f>
        <v/>
      </c>
      <c r="M269" s="43" t="str">
        <f>IFERROR(VLOOKUP(B269,Baza[[№]:[Profit]],10,0),"")</f>
        <v/>
      </c>
      <c r="N269" s="43" t="str">
        <f>IFERROR(IF(VLOOKUP(B269,Baza[[№]:[Profit]],11,0)=0,"-",VLOOKUP(B269,Baza[[№]:[Profit]],11,0)),"")</f>
        <v/>
      </c>
      <c r="O269" s="43" t="str">
        <f>IFERROR(IF(VLOOKUP(B269,Baza[[№]:[Profit]],12,0)=0,"-",VLOOKUP(B269,Baza[[№]:[Profit]],12,0)),"")</f>
        <v/>
      </c>
      <c r="P269" s="43" t="str">
        <f>IFERROR(IF(VLOOKUP(B269,Baza[[№]:[Profit]],13,0)=0,"-",VLOOKUP(B269,Baza[[№]:[Profit]],13,0)),"")</f>
        <v/>
      </c>
      <c r="Q269" s="43" t="str">
        <f>IFERROR(IF(VLOOKUP(B269,Baza[[№]:[Profit]],15,0)=0,"-",VLOOKUP(B269,Baza[[№]:[Profit]],15,0)),"")</f>
        <v/>
      </c>
      <c r="R269" s="43" t="str">
        <f>IFERROR(IF(VLOOKUP(B269,Baza[[№]:[Profit]],16,0)=0,"-",VLOOKUP(B269,Baza[[№]:[Profit]],16,0)),"")</f>
        <v/>
      </c>
      <c r="S269" s="43" t="str">
        <f>IFERROR(IF(VLOOKUP(B269,Baza[[№]:[Profit]],17,0)=0,"-",VLOOKUP(B269,Baza[[№]:[Profit]],17,0)),"")</f>
        <v/>
      </c>
      <c r="T269" s="43" t="str">
        <f>IFERROR(IF(VLOOKUP(B269,Baza[[№]:[Profit]],18,0)=0,"-",VLOOKUP(B269,Baza[[№]:[Profit]],18,0)),"")</f>
        <v/>
      </c>
      <c r="U269" s="41" t="str">
        <f>IFERROR(IF(VLOOKUP(B269,Baza[[№]:[Profit]],19,0)=0,"-",VLOOKUP(B269,Baza[[№]:[Profit]],19,0)),"")</f>
        <v/>
      </c>
      <c r="V269" s="41" t="str">
        <f>IFERROR(VLOOKUP(B269,Baza[[№]:[Profit]],20,0),"")</f>
        <v/>
      </c>
      <c r="W269" s="41" t="str">
        <f>IFERROR(IF(VLOOKUP(B269,Baza[[№]:[Profit]],21,0)=0,"-",VLOOKUP(B269,Baza[[№]:[Profit]],21,0)),"")</f>
        <v/>
      </c>
      <c r="X269" s="45" t="str">
        <f>IFERROR(IF(VLOOKUP(B269,Baza[[№]:[Profit]],22,0)=0,"-",VLOOKUP(B269,Baza[[№]:[Profit]],22,0)),"")</f>
        <v/>
      </c>
      <c r="Y269" s="45" t="str">
        <f>IFERROR(VLOOKUP(B269,Baza[[№]:[Profit]],23,0),"")</f>
        <v/>
      </c>
      <c r="Z269" s="44" t="str">
        <f>IFERROR(VLOOKUP(B269,Baza[[№]:[AFS]],24,0),"")</f>
        <v/>
      </c>
      <c r="AA269" s="45" t="str">
        <f>IF(Таблица2[[#This Row],[Profit]]="","#Н/Д",SUM($Y$40:Y269))</f>
        <v>#Н/Д</v>
      </c>
      <c r="AB269" s="45" t="b">
        <f>IF(Таблица2[[#This Row],[Grafik]]="#Н/Д",FALSE,TRUE)</f>
        <v>0</v>
      </c>
    </row>
    <row r="270" spans="1:28" ht="11.1" hidden="1" customHeight="1" x14ac:dyDescent="0.25">
      <c r="B270"/>
      <c r="C270" s="41" t="str">
        <f>IFERROR(VLOOKUP(B270,Baza[[№]:[Profit]],2,0),"")</f>
        <v/>
      </c>
      <c r="D27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7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70" s="43" t="str">
        <f>IFERROR(VLOOKUP(B270,Baza[[№]:[Profit]],3,0),"")</f>
        <v/>
      </c>
      <c r="G270" s="43" t="str">
        <f>IFERROR(VLOOKUP(B270,Baza[[№]:[Profit]],4,0),"")</f>
        <v/>
      </c>
      <c r="H270" s="43" t="str">
        <f>IFERROR(VLOOKUP(B270,Baza[[№]:[Profit]],5,0),"")</f>
        <v/>
      </c>
      <c r="I270" s="46" t="str">
        <f>IFERROR(VLOOKUP(B270,Baza[[№]:[Profit]],6,0),"")</f>
        <v/>
      </c>
      <c r="J270" s="49" t="str">
        <f>IFERROR(VLOOKUP(B270,Baza[[№]:[Profit]],7,0),"")</f>
        <v/>
      </c>
      <c r="K270" s="43" t="str">
        <f>IFERROR(VLOOKUP(B270,Baza[[№]:[Profit]],8,0),"")</f>
        <v/>
      </c>
      <c r="L270" s="43" t="str">
        <f>IFERROR(VLOOKUP(B270,Baza[[№]:[Profit]],9,0),"")</f>
        <v/>
      </c>
      <c r="M270" s="43" t="str">
        <f>IFERROR(VLOOKUP(B270,Baza[[№]:[Profit]],10,0),"")</f>
        <v/>
      </c>
      <c r="N270" s="43" t="str">
        <f>IFERROR(IF(VLOOKUP(B270,Baza[[№]:[Profit]],11,0)=0,"-",VLOOKUP(B270,Baza[[№]:[Profit]],11,0)),"")</f>
        <v/>
      </c>
      <c r="O270" s="43" t="str">
        <f>IFERROR(IF(VLOOKUP(B270,Baza[[№]:[Profit]],12,0)=0,"-",VLOOKUP(B270,Baza[[№]:[Profit]],12,0)),"")</f>
        <v/>
      </c>
      <c r="P270" s="43" t="str">
        <f>IFERROR(IF(VLOOKUP(B270,Baza[[№]:[Profit]],13,0)=0,"-",VLOOKUP(B270,Baza[[№]:[Profit]],13,0)),"")</f>
        <v/>
      </c>
      <c r="Q270" s="43" t="str">
        <f>IFERROR(IF(VLOOKUP(B270,Baza[[№]:[Profit]],15,0)=0,"-",VLOOKUP(B270,Baza[[№]:[Profit]],15,0)),"")</f>
        <v/>
      </c>
      <c r="R270" s="43" t="str">
        <f>IFERROR(IF(VLOOKUP(B270,Baza[[№]:[Profit]],16,0)=0,"-",VLOOKUP(B270,Baza[[№]:[Profit]],16,0)),"")</f>
        <v/>
      </c>
      <c r="S270" s="43" t="str">
        <f>IFERROR(IF(VLOOKUP(B270,Baza[[№]:[Profit]],17,0)=0,"-",VLOOKUP(B270,Baza[[№]:[Profit]],17,0)),"")</f>
        <v/>
      </c>
      <c r="T270" s="43" t="str">
        <f>IFERROR(IF(VLOOKUP(B270,Baza[[№]:[Profit]],18,0)=0,"-",VLOOKUP(B270,Baza[[№]:[Profit]],18,0)),"")</f>
        <v/>
      </c>
      <c r="U270" s="41" t="str">
        <f>IFERROR(IF(VLOOKUP(B270,Baza[[№]:[Profit]],19,0)=0,"-",VLOOKUP(B270,Baza[[№]:[Profit]],19,0)),"")</f>
        <v/>
      </c>
      <c r="V270" s="41" t="str">
        <f>IFERROR(VLOOKUP(B270,Baza[[№]:[Profit]],20,0),"")</f>
        <v/>
      </c>
      <c r="W270" s="41" t="str">
        <f>IFERROR(IF(VLOOKUP(B270,Baza[[№]:[Profit]],21,0)=0,"-",VLOOKUP(B270,Baza[[№]:[Profit]],21,0)),"")</f>
        <v/>
      </c>
      <c r="X270" s="45" t="str">
        <f>IFERROR(IF(VLOOKUP(B270,Baza[[№]:[Profit]],22,0)=0,"-",VLOOKUP(B270,Baza[[№]:[Profit]],22,0)),"")</f>
        <v/>
      </c>
      <c r="Y270" s="45" t="str">
        <f>IFERROR(VLOOKUP(B270,Baza[[№]:[Profit]],23,0),"")</f>
        <v/>
      </c>
      <c r="Z270" s="44" t="str">
        <f>IFERROR(VLOOKUP(B270,Baza[[№]:[AFS]],24,0),"")</f>
        <v/>
      </c>
      <c r="AA270" s="45" t="str">
        <f>IF(Таблица2[[#This Row],[Profit]]="","#Н/Д",SUM($Y$40:Y270))</f>
        <v>#Н/Д</v>
      </c>
      <c r="AB270" s="45" t="b">
        <f>IF(Таблица2[[#This Row],[Grafik]]="#Н/Д",FALSE,TRUE)</f>
        <v>0</v>
      </c>
    </row>
    <row r="271" spans="1:28" ht="11.1" hidden="1" customHeight="1" x14ac:dyDescent="0.25">
      <c r="B271"/>
      <c r="C271" s="41" t="str">
        <f>IFERROR(VLOOKUP(B271,Baza[[№]:[Profit]],2,0),"")</f>
        <v/>
      </c>
      <c r="D27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7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71" s="43" t="str">
        <f>IFERROR(VLOOKUP(B271,Baza[[№]:[Profit]],3,0),"")</f>
        <v/>
      </c>
      <c r="G271" s="43" t="str">
        <f>IFERROR(VLOOKUP(B271,Baza[[№]:[Profit]],4,0),"")</f>
        <v/>
      </c>
      <c r="H271" s="43" t="str">
        <f>IFERROR(VLOOKUP(B271,Baza[[№]:[Profit]],5,0),"")</f>
        <v/>
      </c>
      <c r="I271" s="46" t="str">
        <f>IFERROR(VLOOKUP(B271,Baza[[№]:[Profit]],6,0),"")</f>
        <v/>
      </c>
      <c r="J271" s="49" t="str">
        <f>IFERROR(VLOOKUP(B271,Baza[[№]:[Profit]],7,0),"")</f>
        <v/>
      </c>
      <c r="K271" s="43" t="str">
        <f>IFERROR(VLOOKUP(B271,Baza[[№]:[Profit]],8,0),"")</f>
        <v/>
      </c>
      <c r="L271" s="43" t="str">
        <f>IFERROR(VLOOKUP(B271,Baza[[№]:[Profit]],9,0),"")</f>
        <v/>
      </c>
      <c r="M271" s="43" t="str">
        <f>IFERROR(VLOOKUP(B271,Baza[[№]:[Profit]],10,0),"")</f>
        <v/>
      </c>
      <c r="N271" s="43" t="str">
        <f>IFERROR(IF(VLOOKUP(B271,Baza[[№]:[Profit]],11,0)=0,"-",VLOOKUP(B271,Baza[[№]:[Profit]],11,0)),"")</f>
        <v/>
      </c>
      <c r="O271" s="43" t="str">
        <f>IFERROR(IF(VLOOKUP(B271,Baza[[№]:[Profit]],12,0)=0,"-",VLOOKUP(B271,Baza[[№]:[Profit]],12,0)),"")</f>
        <v/>
      </c>
      <c r="P271" s="43" t="str">
        <f>IFERROR(IF(VLOOKUP(B271,Baza[[№]:[Profit]],13,0)=0,"-",VLOOKUP(B271,Baza[[№]:[Profit]],13,0)),"")</f>
        <v/>
      </c>
      <c r="Q271" s="43" t="str">
        <f>IFERROR(IF(VLOOKUP(B271,Baza[[№]:[Profit]],15,0)=0,"-",VLOOKUP(B271,Baza[[№]:[Profit]],15,0)),"")</f>
        <v/>
      </c>
      <c r="R271" s="43" t="str">
        <f>IFERROR(IF(VLOOKUP(B271,Baza[[№]:[Profit]],16,0)=0,"-",VLOOKUP(B271,Baza[[№]:[Profit]],16,0)),"")</f>
        <v/>
      </c>
      <c r="S271" s="43" t="str">
        <f>IFERROR(IF(VLOOKUP(B271,Baza[[№]:[Profit]],17,0)=0,"-",VLOOKUP(B271,Baza[[№]:[Profit]],17,0)),"")</f>
        <v/>
      </c>
      <c r="T271" s="43" t="str">
        <f>IFERROR(IF(VLOOKUP(B271,Baza[[№]:[Profit]],18,0)=0,"-",VLOOKUP(B271,Baza[[№]:[Profit]],18,0)),"")</f>
        <v/>
      </c>
      <c r="U271" s="41" t="str">
        <f>IFERROR(IF(VLOOKUP(B271,Baza[[№]:[Profit]],19,0)=0,"-",VLOOKUP(B271,Baza[[№]:[Profit]],19,0)),"")</f>
        <v/>
      </c>
      <c r="V271" s="41" t="str">
        <f>IFERROR(VLOOKUP(B271,Baza[[№]:[Profit]],20,0),"")</f>
        <v/>
      </c>
      <c r="W271" s="41" t="str">
        <f>IFERROR(IF(VLOOKUP(B271,Baza[[№]:[Profit]],21,0)=0,"-",VLOOKUP(B271,Baza[[№]:[Profit]],21,0)),"")</f>
        <v/>
      </c>
      <c r="X271" s="45" t="str">
        <f>IFERROR(IF(VLOOKUP(B271,Baza[[№]:[Profit]],22,0)=0,"-",VLOOKUP(B271,Baza[[№]:[Profit]],22,0)),"")</f>
        <v/>
      </c>
      <c r="Y271" s="45" t="str">
        <f>IFERROR(VLOOKUP(B271,Baza[[№]:[Profit]],23,0),"")</f>
        <v/>
      </c>
      <c r="Z271" s="44" t="str">
        <f>IFERROR(VLOOKUP(B271,Baza[[№]:[AFS]],24,0),"")</f>
        <v/>
      </c>
      <c r="AA271" s="45" t="str">
        <f>IF(Таблица2[[#This Row],[Profit]]="","#Н/Д",SUM($Y$40:Y271))</f>
        <v>#Н/Д</v>
      </c>
      <c r="AB271" s="45" t="b">
        <f>IF(Таблица2[[#This Row],[Grafik]]="#Н/Д",FALSE,TRUE)</f>
        <v>0</v>
      </c>
    </row>
    <row r="272" spans="1:28" ht="11.1" hidden="1" customHeight="1" x14ac:dyDescent="0.25">
      <c r="B272"/>
      <c r="C272" s="41" t="str">
        <f>IFERROR(VLOOKUP(B272,Baza[[№]:[Profit]],2,0),"")</f>
        <v/>
      </c>
      <c r="D27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7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72" s="43" t="str">
        <f>IFERROR(VLOOKUP(B272,Baza[[№]:[Profit]],3,0),"")</f>
        <v/>
      </c>
      <c r="G272" s="43" t="str">
        <f>IFERROR(VLOOKUP(B272,Baza[[№]:[Profit]],4,0),"")</f>
        <v/>
      </c>
      <c r="H272" s="43" t="str">
        <f>IFERROR(VLOOKUP(B272,Baza[[№]:[Profit]],5,0),"")</f>
        <v/>
      </c>
      <c r="I272" s="46" t="str">
        <f>IFERROR(VLOOKUP(B272,Baza[[№]:[Profit]],6,0),"")</f>
        <v/>
      </c>
      <c r="J272" s="49" t="str">
        <f>IFERROR(VLOOKUP(B272,Baza[[№]:[Profit]],7,0),"")</f>
        <v/>
      </c>
      <c r="K272" s="43" t="str">
        <f>IFERROR(VLOOKUP(B272,Baza[[№]:[Profit]],8,0),"")</f>
        <v/>
      </c>
      <c r="L272" s="43" t="str">
        <f>IFERROR(VLOOKUP(B272,Baza[[№]:[Profit]],9,0),"")</f>
        <v/>
      </c>
      <c r="M272" s="43" t="str">
        <f>IFERROR(VLOOKUP(B272,Baza[[№]:[Profit]],10,0),"")</f>
        <v/>
      </c>
      <c r="N272" s="43" t="str">
        <f>IFERROR(IF(VLOOKUP(B272,Baza[[№]:[Profit]],11,0)=0,"-",VLOOKUP(B272,Baza[[№]:[Profit]],11,0)),"")</f>
        <v/>
      </c>
      <c r="O272" s="43" t="str">
        <f>IFERROR(IF(VLOOKUP(B272,Baza[[№]:[Profit]],12,0)=0,"-",VLOOKUP(B272,Baza[[№]:[Profit]],12,0)),"")</f>
        <v/>
      </c>
      <c r="P272" s="43" t="str">
        <f>IFERROR(IF(VLOOKUP(B272,Baza[[№]:[Profit]],13,0)=0,"-",VLOOKUP(B272,Baza[[№]:[Profit]],13,0)),"")</f>
        <v/>
      </c>
      <c r="Q272" s="43" t="str">
        <f>IFERROR(IF(VLOOKUP(B272,Baza[[№]:[Profit]],15,0)=0,"-",VLOOKUP(B272,Baza[[№]:[Profit]],15,0)),"")</f>
        <v/>
      </c>
      <c r="R272" s="43" t="str">
        <f>IFERROR(IF(VLOOKUP(B272,Baza[[№]:[Profit]],16,0)=0,"-",VLOOKUP(B272,Baza[[№]:[Profit]],16,0)),"")</f>
        <v/>
      </c>
      <c r="S272" s="43" t="str">
        <f>IFERROR(IF(VLOOKUP(B272,Baza[[№]:[Profit]],17,0)=0,"-",VLOOKUP(B272,Baza[[№]:[Profit]],17,0)),"")</f>
        <v/>
      </c>
      <c r="T272" s="43" t="str">
        <f>IFERROR(IF(VLOOKUP(B272,Baza[[№]:[Profit]],18,0)=0,"-",VLOOKUP(B272,Baza[[№]:[Profit]],18,0)),"")</f>
        <v/>
      </c>
      <c r="U272" s="41" t="str">
        <f>IFERROR(IF(VLOOKUP(B272,Baza[[№]:[Profit]],19,0)=0,"-",VLOOKUP(B272,Baza[[№]:[Profit]],19,0)),"")</f>
        <v/>
      </c>
      <c r="V272" s="41" t="str">
        <f>IFERROR(VLOOKUP(B272,Baza[[№]:[Profit]],20,0),"")</f>
        <v/>
      </c>
      <c r="W272" s="41" t="str">
        <f>IFERROR(IF(VLOOKUP(B272,Baza[[№]:[Profit]],21,0)=0,"-",VLOOKUP(B272,Baza[[№]:[Profit]],21,0)),"")</f>
        <v/>
      </c>
      <c r="X272" s="45" t="str">
        <f>IFERROR(IF(VLOOKUP(B272,Baza[[№]:[Profit]],22,0)=0,"-",VLOOKUP(B272,Baza[[№]:[Profit]],22,0)),"")</f>
        <v/>
      </c>
      <c r="Y272" s="45" t="str">
        <f>IFERROR(VLOOKUP(B272,Baza[[№]:[Profit]],23,0),"")</f>
        <v/>
      </c>
      <c r="Z272" s="44" t="str">
        <f>IFERROR(VLOOKUP(B272,Baza[[№]:[AFS]],24,0),"")</f>
        <v/>
      </c>
      <c r="AA272" s="45" t="str">
        <f>IF(Таблица2[[#This Row],[Profit]]="","#Н/Д",SUM($Y$40:Y272))</f>
        <v>#Н/Д</v>
      </c>
      <c r="AB272" s="45" t="b">
        <f>IF(Таблица2[[#This Row],[Grafik]]="#Н/Д",FALSE,TRUE)</f>
        <v>0</v>
      </c>
    </row>
    <row r="273" spans="2:28" ht="11.1" hidden="1" customHeight="1" x14ac:dyDescent="0.25">
      <c r="B273"/>
      <c r="C273" s="41" t="str">
        <f>IFERROR(VLOOKUP(B273,Baza[[№]:[Profit]],2,0),"")</f>
        <v/>
      </c>
      <c r="D27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7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73" s="43" t="str">
        <f>IFERROR(VLOOKUP(B273,Baza[[№]:[Profit]],3,0),"")</f>
        <v/>
      </c>
      <c r="G273" s="43" t="str">
        <f>IFERROR(VLOOKUP(B273,Baza[[№]:[Profit]],4,0),"")</f>
        <v/>
      </c>
      <c r="H273" s="43" t="str">
        <f>IFERROR(VLOOKUP(B273,Baza[[№]:[Profit]],5,0),"")</f>
        <v/>
      </c>
      <c r="I273" s="46" t="str">
        <f>IFERROR(VLOOKUP(B273,Baza[[№]:[Profit]],6,0),"")</f>
        <v/>
      </c>
      <c r="J273" s="49" t="str">
        <f>IFERROR(VLOOKUP(B273,Baza[[№]:[Profit]],7,0),"")</f>
        <v/>
      </c>
      <c r="K273" s="43" t="str">
        <f>IFERROR(VLOOKUP(B273,Baza[[№]:[Profit]],8,0),"")</f>
        <v/>
      </c>
      <c r="L273" s="43" t="str">
        <f>IFERROR(VLOOKUP(B273,Baza[[№]:[Profit]],9,0),"")</f>
        <v/>
      </c>
      <c r="M273" s="43" t="str">
        <f>IFERROR(VLOOKUP(B273,Baza[[№]:[Profit]],10,0),"")</f>
        <v/>
      </c>
      <c r="N273" s="43" t="str">
        <f>IFERROR(IF(VLOOKUP(B273,Baza[[№]:[Profit]],11,0)=0,"-",VLOOKUP(B273,Baza[[№]:[Profit]],11,0)),"")</f>
        <v/>
      </c>
      <c r="O273" s="43" t="str">
        <f>IFERROR(IF(VLOOKUP(B273,Baza[[№]:[Profit]],12,0)=0,"-",VLOOKUP(B273,Baza[[№]:[Profit]],12,0)),"")</f>
        <v/>
      </c>
      <c r="P273" s="43" t="str">
        <f>IFERROR(IF(VLOOKUP(B273,Baza[[№]:[Profit]],13,0)=0,"-",VLOOKUP(B273,Baza[[№]:[Profit]],13,0)),"")</f>
        <v/>
      </c>
      <c r="Q273" s="43" t="str">
        <f>IFERROR(IF(VLOOKUP(B273,Baza[[№]:[Profit]],15,0)=0,"-",VLOOKUP(B273,Baza[[№]:[Profit]],15,0)),"")</f>
        <v/>
      </c>
      <c r="R273" s="43" t="str">
        <f>IFERROR(IF(VLOOKUP(B273,Baza[[№]:[Profit]],16,0)=0,"-",VLOOKUP(B273,Baza[[№]:[Profit]],16,0)),"")</f>
        <v/>
      </c>
      <c r="S273" s="43" t="str">
        <f>IFERROR(IF(VLOOKUP(B273,Baza[[№]:[Profit]],17,0)=0,"-",VLOOKUP(B273,Baza[[№]:[Profit]],17,0)),"")</f>
        <v/>
      </c>
      <c r="T273" s="43" t="str">
        <f>IFERROR(IF(VLOOKUP(B273,Baza[[№]:[Profit]],18,0)=0,"-",VLOOKUP(B273,Baza[[№]:[Profit]],18,0)),"")</f>
        <v/>
      </c>
      <c r="U273" s="41" t="str">
        <f>IFERROR(IF(VLOOKUP(B273,Baza[[№]:[Profit]],19,0)=0,"-",VLOOKUP(B273,Baza[[№]:[Profit]],19,0)),"")</f>
        <v/>
      </c>
      <c r="V273" s="41" t="str">
        <f>IFERROR(VLOOKUP(B273,Baza[[№]:[Profit]],20,0),"")</f>
        <v/>
      </c>
      <c r="W273" s="41" t="str">
        <f>IFERROR(IF(VLOOKUP(B273,Baza[[№]:[Profit]],21,0)=0,"-",VLOOKUP(B273,Baza[[№]:[Profit]],21,0)),"")</f>
        <v/>
      </c>
      <c r="X273" s="45" t="str">
        <f>IFERROR(IF(VLOOKUP(B273,Baza[[№]:[Profit]],22,0)=0,"-",VLOOKUP(B273,Baza[[№]:[Profit]],22,0)),"")</f>
        <v/>
      </c>
      <c r="Y273" s="45" t="str">
        <f>IFERROR(VLOOKUP(B273,Baza[[№]:[Profit]],23,0),"")</f>
        <v/>
      </c>
      <c r="Z273" s="44" t="str">
        <f>IFERROR(VLOOKUP(B273,Baza[[№]:[AFS]],24,0),"")</f>
        <v/>
      </c>
      <c r="AA273" s="45" t="str">
        <f>IF(Таблица2[[#This Row],[Profit]]="","#Н/Д",SUM($Y$40:Y273))</f>
        <v>#Н/Д</v>
      </c>
      <c r="AB273" s="45" t="b">
        <f>IF(Таблица2[[#This Row],[Grafik]]="#Н/Д",FALSE,TRUE)</f>
        <v>0</v>
      </c>
    </row>
    <row r="274" spans="2:28" ht="11.1" hidden="1" customHeight="1" x14ac:dyDescent="0.25">
      <c r="B274"/>
      <c r="C274" s="41" t="str">
        <f>IFERROR(VLOOKUP(B274,Baza[[№]:[Profit]],2,0),"")</f>
        <v/>
      </c>
      <c r="D27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7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74" s="43" t="str">
        <f>IFERROR(VLOOKUP(B274,Baza[[№]:[Profit]],3,0),"")</f>
        <v/>
      </c>
      <c r="G274" s="43" t="str">
        <f>IFERROR(VLOOKUP(B274,Baza[[№]:[Profit]],4,0),"")</f>
        <v/>
      </c>
      <c r="H274" s="43" t="str">
        <f>IFERROR(VLOOKUP(B274,Baza[[№]:[Profit]],5,0),"")</f>
        <v/>
      </c>
      <c r="I274" s="46" t="str">
        <f>IFERROR(VLOOKUP(B274,Baza[[№]:[Profit]],6,0),"")</f>
        <v/>
      </c>
      <c r="J274" s="49" t="str">
        <f>IFERROR(VLOOKUP(B274,Baza[[№]:[Profit]],7,0),"")</f>
        <v/>
      </c>
      <c r="K274" s="43" t="str">
        <f>IFERROR(VLOOKUP(B274,Baza[[№]:[Profit]],8,0),"")</f>
        <v/>
      </c>
      <c r="L274" s="43" t="str">
        <f>IFERROR(VLOOKUP(B274,Baza[[№]:[Profit]],9,0),"")</f>
        <v/>
      </c>
      <c r="M274" s="43" t="str">
        <f>IFERROR(VLOOKUP(B274,Baza[[№]:[Profit]],10,0),"")</f>
        <v/>
      </c>
      <c r="N274" s="43" t="str">
        <f>IFERROR(IF(VLOOKUP(B274,Baza[[№]:[Profit]],11,0)=0,"-",VLOOKUP(B274,Baza[[№]:[Profit]],11,0)),"")</f>
        <v/>
      </c>
      <c r="O274" s="43" t="str">
        <f>IFERROR(IF(VLOOKUP(B274,Baza[[№]:[Profit]],12,0)=0,"-",VLOOKUP(B274,Baza[[№]:[Profit]],12,0)),"")</f>
        <v/>
      </c>
      <c r="P274" s="43" t="str">
        <f>IFERROR(IF(VLOOKUP(B274,Baza[[№]:[Profit]],13,0)=0,"-",VLOOKUP(B274,Baza[[№]:[Profit]],13,0)),"")</f>
        <v/>
      </c>
      <c r="Q274" s="43" t="str">
        <f>IFERROR(IF(VLOOKUP(B274,Baza[[№]:[Profit]],15,0)=0,"-",VLOOKUP(B274,Baza[[№]:[Profit]],15,0)),"")</f>
        <v/>
      </c>
      <c r="R274" s="43" t="str">
        <f>IFERROR(IF(VLOOKUP(B274,Baza[[№]:[Profit]],16,0)=0,"-",VLOOKUP(B274,Baza[[№]:[Profit]],16,0)),"")</f>
        <v/>
      </c>
      <c r="S274" s="43" t="str">
        <f>IFERROR(IF(VLOOKUP(B274,Baza[[№]:[Profit]],17,0)=0,"-",VLOOKUP(B274,Baza[[№]:[Profit]],17,0)),"")</f>
        <v/>
      </c>
      <c r="T274" s="43" t="str">
        <f>IFERROR(IF(VLOOKUP(B274,Baza[[№]:[Profit]],18,0)=0,"-",VLOOKUP(B274,Baza[[№]:[Profit]],18,0)),"")</f>
        <v/>
      </c>
      <c r="U274" s="41" t="str">
        <f>IFERROR(IF(VLOOKUP(B274,Baza[[№]:[Profit]],19,0)=0,"-",VLOOKUP(B274,Baza[[№]:[Profit]],19,0)),"")</f>
        <v/>
      </c>
      <c r="V274" s="41" t="str">
        <f>IFERROR(VLOOKUP(B274,Baza[[№]:[Profit]],20,0),"")</f>
        <v/>
      </c>
      <c r="W274" s="41" t="str">
        <f>IFERROR(IF(VLOOKUP(B274,Baza[[№]:[Profit]],21,0)=0,"-",VLOOKUP(B274,Baza[[№]:[Profit]],21,0)),"")</f>
        <v/>
      </c>
      <c r="X274" s="45" t="str">
        <f>IFERROR(IF(VLOOKUP(B274,Baza[[№]:[Profit]],22,0)=0,"-",VLOOKUP(B274,Baza[[№]:[Profit]],22,0)),"")</f>
        <v/>
      </c>
      <c r="Y274" s="45" t="str">
        <f>IFERROR(VLOOKUP(B274,Baza[[№]:[Profit]],23,0),"")</f>
        <v/>
      </c>
      <c r="Z274" s="44" t="str">
        <f>IFERROR(VLOOKUP(B274,Baza[[№]:[AFS]],24,0),"")</f>
        <v/>
      </c>
      <c r="AA274" s="45" t="str">
        <f>IF(Таблица2[[#This Row],[Profit]]="","#Н/Д",SUM($Y$40:Y274))</f>
        <v>#Н/Д</v>
      </c>
      <c r="AB274" s="45" t="b">
        <f>IF(Таблица2[[#This Row],[Grafik]]="#Н/Д",FALSE,TRUE)</f>
        <v>0</v>
      </c>
    </row>
    <row r="275" spans="2:28" ht="11.1" hidden="1" customHeight="1" x14ac:dyDescent="0.25">
      <c r="B275"/>
      <c r="C275" s="41" t="str">
        <f>IFERROR(VLOOKUP(B275,Baza[[№]:[Profit]],2,0),"")</f>
        <v/>
      </c>
      <c r="D27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7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75" s="43" t="str">
        <f>IFERROR(VLOOKUP(B275,Baza[[№]:[Profit]],3,0),"")</f>
        <v/>
      </c>
      <c r="G275" s="43" t="str">
        <f>IFERROR(VLOOKUP(B275,Baza[[№]:[Profit]],4,0),"")</f>
        <v/>
      </c>
      <c r="H275" s="43" t="str">
        <f>IFERROR(VLOOKUP(B275,Baza[[№]:[Profit]],5,0),"")</f>
        <v/>
      </c>
      <c r="I275" s="46" t="str">
        <f>IFERROR(VLOOKUP(B275,Baza[[№]:[Profit]],6,0),"")</f>
        <v/>
      </c>
      <c r="J275" s="49" t="str">
        <f>IFERROR(VLOOKUP(B275,Baza[[№]:[Profit]],7,0),"")</f>
        <v/>
      </c>
      <c r="K275" s="43" t="str">
        <f>IFERROR(VLOOKUP(B275,Baza[[№]:[Profit]],8,0),"")</f>
        <v/>
      </c>
      <c r="L275" s="43" t="str">
        <f>IFERROR(VLOOKUP(B275,Baza[[№]:[Profit]],9,0),"")</f>
        <v/>
      </c>
      <c r="M275" s="43" t="str">
        <f>IFERROR(VLOOKUP(B275,Baza[[№]:[Profit]],10,0),"")</f>
        <v/>
      </c>
      <c r="N275" s="43" t="str">
        <f>IFERROR(IF(VLOOKUP(B275,Baza[[№]:[Profit]],11,0)=0,"-",VLOOKUP(B275,Baza[[№]:[Profit]],11,0)),"")</f>
        <v/>
      </c>
      <c r="O275" s="43" t="str">
        <f>IFERROR(IF(VLOOKUP(B275,Baza[[№]:[Profit]],12,0)=0,"-",VLOOKUP(B275,Baza[[№]:[Profit]],12,0)),"")</f>
        <v/>
      </c>
      <c r="P275" s="43" t="str">
        <f>IFERROR(IF(VLOOKUP(B275,Baza[[№]:[Profit]],13,0)=0,"-",VLOOKUP(B275,Baza[[№]:[Profit]],13,0)),"")</f>
        <v/>
      </c>
      <c r="Q275" s="43" t="str">
        <f>IFERROR(IF(VLOOKUP(B275,Baza[[№]:[Profit]],15,0)=0,"-",VLOOKUP(B275,Baza[[№]:[Profit]],15,0)),"")</f>
        <v/>
      </c>
      <c r="R275" s="43" t="str">
        <f>IFERROR(IF(VLOOKUP(B275,Baza[[№]:[Profit]],16,0)=0,"-",VLOOKUP(B275,Baza[[№]:[Profit]],16,0)),"")</f>
        <v/>
      </c>
      <c r="S275" s="43" t="str">
        <f>IFERROR(IF(VLOOKUP(B275,Baza[[№]:[Profit]],17,0)=0,"-",VLOOKUP(B275,Baza[[№]:[Profit]],17,0)),"")</f>
        <v/>
      </c>
      <c r="T275" s="43" t="str">
        <f>IFERROR(IF(VLOOKUP(B275,Baza[[№]:[Profit]],18,0)=0,"-",VLOOKUP(B275,Baza[[№]:[Profit]],18,0)),"")</f>
        <v/>
      </c>
      <c r="U275" s="41" t="str">
        <f>IFERROR(IF(VLOOKUP(B275,Baza[[№]:[Profit]],19,0)=0,"-",VLOOKUP(B275,Baza[[№]:[Profit]],19,0)),"")</f>
        <v/>
      </c>
      <c r="V275" s="41" t="str">
        <f>IFERROR(VLOOKUP(B275,Baza[[№]:[Profit]],20,0),"")</f>
        <v/>
      </c>
      <c r="W275" s="41" t="str">
        <f>IFERROR(IF(VLOOKUP(B275,Baza[[№]:[Profit]],21,0)=0,"-",VLOOKUP(B275,Baza[[№]:[Profit]],21,0)),"")</f>
        <v/>
      </c>
      <c r="X275" s="45" t="str">
        <f>IFERROR(IF(VLOOKUP(B275,Baza[[№]:[Profit]],22,0)=0,"-",VLOOKUP(B275,Baza[[№]:[Profit]],22,0)),"")</f>
        <v/>
      </c>
      <c r="Y275" s="45" t="str">
        <f>IFERROR(VLOOKUP(B275,Baza[[№]:[Profit]],23,0),"")</f>
        <v/>
      </c>
      <c r="Z275" s="44" t="str">
        <f>IFERROR(VLOOKUP(B275,Baza[[№]:[AFS]],24,0),"")</f>
        <v/>
      </c>
      <c r="AA275" s="45" t="str">
        <f>IF(Таблица2[[#This Row],[Profit]]="","#Н/Д",SUM($Y$40:Y275))</f>
        <v>#Н/Д</v>
      </c>
      <c r="AB275" s="45" t="b">
        <f>IF(Таблица2[[#This Row],[Grafik]]="#Н/Д",FALSE,TRUE)</f>
        <v>0</v>
      </c>
    </row>
    <row r="276" spans="2:28" ht="11.1" hidden="1" customHeight="1" x14ac:dyDescent="0.25">
      <c r="B276"/>
      <c r="C276" s="41" t="str">
        <f>IFERROR(VLOOKUP(B276,Baza[[№]:[Profit]],2,0),"")</f>
        <v/>
      </c>
      <c r="D27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7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76" s="43" t="str">
        <f>IFERROR(VLOOKUP(B276,Baza[[№]:[Profit]],3,0),"")</f>
        <v/>
      </c>
      <c r="G276" s="43" t="str">
        <f>IFERROR(VLOOKUP(B276,Baza[[№]:[Profit]],4,0),"")</f>
        <v/>
      </c>
      <c r="H276" s="43" t="str">
        <f>IFERROR(VLOOKUP(B276,Baza[[№]:[Profit]],5,0),"")</f>
        <v/>
      </c>
      <c r="I276" s="46" t="str">
        <f>IFERROR(VLOOKUP(B276,Baza[[№]:[Profit]],6,0),"")</f>
        <v/>
      </c>
      <c r="J276" s="49" t="str">
        <f>IFERROR(VLOOKUP(B276,Baza[[№]:[Profit]],7,0),"")</f>
        <v/>
      </c>
      <c r="K276" s="43" t="str">
        <f>IFERROR(VLOOKUP(B276,Baza[[№]:[Profit]],8,0),"")</f>
        <v/>
      </c>
      <c r="L276" s="43" t="str">
        <f>IFERROR(VLOOKUP(B276,Baza[[№]:[Profit]],9,0),"")</f>
        <v/>
      </c>
      <c r="M276" s="43" t="str">
        <f>IFERROR(VLOOKUP(B276,Baza[[№]:[Profit]],10,0),"")</f>
        <v/>
      </c>
      <c r="N276" s="43" t="str">
        <f>IFERROR(IF(VLOOKUP(B276,Baza[[№]:[Profit]],11,0)=0,"-",VLOOKUP(B276,Baza[[№]:[Profit]],11,0)),"")</f>
        <v/>
      </c>
      <c r="O276" s="43" t="str">
        <f>IFERROR(IF(VLOOKUP(B276,Baza[[№]:[Profit]],12,0)=0,"-",VLOOKUP(B276,Baza[[№]:[Profit]],12,0)),"")</f>
        <v/>
      </c>
      <c r="P276" s="43" t="str">
        <f>IFERROR(IF(VLOOKUP(B276,Baza[[№]:[Profit]],13,0)=0,"-",VLOOKUP(B276,Baza[[№]:[Profit]],13,0)),"")</f>
        <v/>
      </c>
      <c r="Q276" s="43" t="str">
        <f>IFERROR(IF(VLOOKUP(B276,Baza[[№]:[Profit]],15,0)=0,"-",VLOOKUP(B276,Baza[[№]:[Profit]],15,0)),"")</f>
        <v/>
      </c>
      <c r="R276" s="43" t="str">
        <f>IFERROR(IF(VLOOKUP(B276,Baza[[№]:[Profit]],16,0)=0,"-",VLOOKUP(B276,Baza[[№]:[Profit]],16,0)),"")</f>
        <v/>
      </c>
      <c r="S276" s="43" t="str">
        <f>IFERROR(IF(VLOOKUP(B276,Baza[[№]:[Profit]],17,0)=0,"-",VLOOKUP(B276,Baza[[№]:[Profit]],17,0)),"")</f>
        <v/>
      </c>
      <c r="T276" s="43" t="str">
        <f>IFERROR(IF(VLOOKUP(B276,Baza[[№]:[Profit]],18,0)=0,"-",VLOOKUP(B276,Baza[[№]:[Profit]],18,0)),"")</f>
        <v/>
      </c>
      <c r="U276" s="41" t="str">
        <f>IFERROR(IF(VLOOKUP(B276,Baza[[№]:[Profit]],19,0)=0,"-",VLOOKUP(B276,Baza[[№]:[Profit]],19,0)),"")</f>
        <v/>
      </c>
      <c r="V276" s="41" t="str">
        <f>IFERROR(VLOOKUP(B276,Baza[[№]:[Profit]],20,0),"")</f>
        <v/>
      </c>
      <c r="W276" s="41" t="str">
        <f>IFERROR(IF(VLOOKUP(B276,Baza[[№]:[Profit]],21,0)=0,"-",VLOOKUP(B276,Baza[[№]:[Profit]],21,0)),"")</f>
        <v/>
      </c>
      <c r="X276" s="45" t="str">
        <f>IFERROR(IF(VLOOKUP(B276,Baza[[№]:[Profit]],22,0)=0,"-",VLOOKUP(B276,Baza[[№]:[Profit]],22,0)),"")</f>
        <v/>
      </c>
      <c r="Y276" s="45" t="str">
        <f>IFERROR(VLOOKUP(B276,Baza[[№]:[Profit]],23,0),"")</f>
        <v/>
      </c>
      <c r="Z276" s="44" t="str">
        <f>IFERROR(VLOOKUP(B276,Baza[[№]:[AFS]],24,0),"")</f>
        <v/>
      </c>
      <c r="AA276" s="45" t="str">
        <f>IF(Таблица2[[#This Row],[Profit]]="","#Н/Д",SUM($Y$40:Y276))</f>
        <v>#Н/Д</v>
      </c>
      <c r="AB276" s="45" t="b">
        <f>IF(Таблица2[[#This Row],[Grafik]]="#Н/Д",FALSE,TRUE)</f>
        <v>0</v>
      </c>
    </row>
    <row r="277" spans="2:28" ht="11.1" hidden="1" customHeight="1" x14ac:dyDescent="0.25">
      <c r="B277"/>
      <c r="C277" s="41" t="str">
        <f>IFERROR(VLOOKUP(B277,Baza[[№]:[Profit]],2,0),"")</f>
        <v/>
      </c>
      <c r="D27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7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77" s="43" t="str">
        <f>IFERROR(VLOOKUP(B277,Baza[[№]:[Profit]],3,0),"")</f>
        <v/>
      </c>
      <c r="G277" s="43" t="str">
        <f>IFERROR(VLOOKUP(B277,Baza[[№]:[Profit]],4,0),"")</f>
        <v/>
      </c>
      <c r="H277" s="43" t="str">
        <f>IFERROR(VLOOKUP(B277,Baza[[№]:[Profit]],5,0),"")</f>
        <v/>
      </c>
      <c r="I277" s="46" t="str">
        <f>IFERROR(VLOOKUP(B277,Baza[[№]:[Profit]],6,0),"")</f>
        <v/>
      </c>
      <c r="J277" s="49" t="str">
        <f>IFERROR(VLOOKUP(B277,Baza[[№]:[Profit]],7,0),"")</f>
        <v/>
      </c>
      <c r="K277" s="43" t="str">
        <f>IFERROR(VLOOKUP(B277,Baza[[№]:[Profit]],8,0),"")</f>
        <v/>
      </c>
      <c r="L277" s="43" t="str">
        <f>IFERROR(VLOOKUP(B277,Baza[[№]:[Profit]],9,0),"")</f>
        <v/>
      </c>
      <c r="M277" s="43" t="str">
        <f>IFERROR(VLOOKUP(B277,Baza[[№]:[Profit]],10,0),"")</f>
        <v/>
      </c>
      <c r="N277" s="43" t="str">
        <f>IFERROR(IF(VLOOKUP(B277,Baza[[№]:[Profit]],11,0)=0,"-",VLOOKUP(B277,Baza[[№]:[Profit]],11,0)),"")</f>
        <v/>
      </c>
      <c r="O277" s="43" t="str">
        <f>IFERROR(IF(VLOOKUP(B277,Baza[[№]:[Profit]],12,0)=0,"-",VLOOKUP(B277,Baza[[№]:[Profit]],12,0)),"")</f>
        <v/>
      </c>
      <c r="P277" s="43" t="str">
        <f>IFERROR(IF(VLOOKUP(B277,Baza[[№]:[Profit]],13,0)=0,"-",VLOOKUP(B277,Baza[[№]:[Profit]],13,0)),"")</f>
        <v/>
      </c>
      <c r="Q277" s="43" t="str">
        <f>IFERROR(IF(VLOOKUP(B277,Baza[[№]:[Profit]],15,0)=0,"-",VLOOKUP(B277,Baza[[№]:[Profit]],15,0)),"")</f>
        <v/>
      </c>
      <c r="R277" s="43" t="str">
        <f>IFERROR(IF(VLOOKUP(B277,Baza[[№]:[Profit]],16,0)=0,"-",VLOOKUP(B277,Baza[[№]:[Profit]],16,0)),"")</f>
        <v/>
      </c>
      <c r="S277" s="43" t="str">
        <f>IFERROR(IF(VLOOKUP(B277,Baza[[№]:[Profit]],17,0)=0,"-",VLOOKUP(B277,Baza[[№]:[Profit]],17,0)),"")</f>
        <v/>
      </c>
      <c r="T277" s="43" t="str">
        <f>IFERROR(IF(VLOOKUP(B277,Baza[[№]:[Profit]],18,0)=0,"-",VLOOKUP(B277,Baza[[№]:[Profit]],18,0)),"")</f>
        <v/>
      </c>
      <c r="U277" s="41" t="str">
        <f>IFERROR(IF(VLOOKUP(B277,Baza[[№]:[Profit]],19,0)=0,"-",VLOOKUP(B277,Baza[[№]:[Profit]],19,0)),"")</f>
        <v/>
      </c>
      <c r="V277" s="41" t="str">
        <f>IFERROR(VLOOKUP(B277,Baza[[№]:[Profit]],20,0),"")</f>
        <v/>
      </c>
      <c r="W277" s="41" t="str">
        <f>IFERROR(IF(VLOOKUP(B277,Baza[[№]:[Profit]],21,0)=0,"-",VLOOKUP(B277,Baza[[№]:[Profit]],21,0)),"")</f>
        <v/>
      </c>
      <c r="X277" s="45" t="str">
        <f>IFERROR(IF(VLOOKUP(B277,Baza[[№]:[Profit]],22,0)=0,"-",VLOOKUP(B277,Baza[[№]:[Profit]],22,0)),"")</f>
        <v/>
      </c>
      <c r="Y277" s="45" t="str">
        <f>IFERROR(VLOOKUP(B277,Baza[[№]:[Profit]],23,0),"")</f>
        <v/>
      </c>
      <c r="Z277" s="44" t="str">
        <f>IFERROR(VLOOKUP(B277,Baza[[№]:[AFS]],24,0),"")</f>
        <v/>
      </c>
      <c r="AA277" s="45" t="str">
        <f>IF(Таблица2[[#This Row],[Profit]]="","#Н/Д",SUM($Y$40:Y277))</f>
        <v>#Н/Д</v>
      </c>
      <c r="AB277" s="45" t="b">
        <f>IF(Таблица2[[#This Row],[Grafik]]="#Н/Д",FALSE,TRUE)</f>
        <v>0</v>
      </c>
    </row>
    <row r="278" spans="2:28" ht="11.1" hidden="1" customHeight="1" x14ac:dyDescent="0.25">
      <c r="B278"/>
      <c r="C278" s="41" t="str">
        <f>IFERROR(VLOOKUP(B278,Baza[[№]:[Profit]],2,0),"")</f>
        <v/>
      </c>
      <c r="D27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7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78" s="43" t="str">
        <f>IFERROR(VLOOKUP(B278,Baza[[№]:[Profit]],3,0),"")</f>
        <v/>
      </c>
      <c r="G278" s="43" t="str">
        <f>IFERROR(VLOOKUP(B278,Baza[[№]:[Profit]],4,0),"")</f>
        <v/>
      </c>
      <c r="H278" s="43" t="str">
        <f>IFERROR(VLOOKUP(B278,Baza[[№]:[Profit]],5,0),"")</f>
        <v/>
      </c>
      <c r="I278" s="46" t="str">
        <f>IFERROR(VLOOKUP(B278,Baza[[№]:[Profit]],6,0),"")</f>
        <v/>
      </c>
      <c r="J278" s="49" t="str">
        <f>IFERROR(VLOOKUP(B278,Baza[[№]:[Profit]],7,0),"")</f>
        <v/>
      </c>
      <c r="K278" s="43" t="str">
        <f>IFERROR(VLOOKUP(B278,Baza[[№]:[Profit]],8,0),"")</f>
        <v/>
      </c>
      <c r="L278" s="43" t="str">
        <f>IFERROR(VLOOKUP(B278,Baza[[№]:[Profit]],9,0),"")</f>
        <v/>
      </c>
      <c r="M278" s="43" t="str">
        <f>IFERROR(VLOOKUP(B278,Baza[[№]:[Profit]],10,0),"")</f>
        <v/>
      </c>
      <c r="N278" s="43" t="str">
        <f>IFERROR(IF(VLOOKUP(B278,Baza[[№]:[Profit]],11,0)=0,"-",VLOOKUP(B278,Baza[[№]:[Profit]],11,0)),"")</f>
        <v/>
      </c>
      <c r="O278" s="43" t="str">
        <f>IFERROR(IF(VLOOKUP(B278,Baza[[№]:[Profit]],12,0)=0,"-",VLOOKUP(B278,Baza[[№]:[Profit]],12,0)),"")</f>
        <v/>
      </c>
      <c r="P278" s="43" t="str">
        <f>IFERROR(IF(VLOOKUP(B278,Baza[[№]:[Profit]],13,0)=0,"-",VLOOKUP(B278,Baza[[№]:[Profit]],13,0)),"")</f>
        <v/>
      </c>
      <c r="Q278" s="43" t="str">
        <f>IFERROR(IF(VLOOKUP(B278,Baza[[№]:[Profit]],15,0)=0,"-",VLOOKUP(B278,Baza[[№]:[Profit]],15,0)),"")</f>
        <v/>
      </c>
      <c r="R278" s="43" t="str">
        <f>IFERROR(IF(VLOOKUP(B278,Baza[[№]:[Profit]],16,0)=0,"-",VLOOKUP(B278,Baza[[№]:[Profit]],16,0)),"")</f>
        <v/>
      </c>
      <c r="S278" s="43" t="str">
        <f>IFERROR(IF(VLOOKUP(B278,Baza[[№]:[Profit]],17,0)=0,"-",VLOOKUP(B278,Baza[[№]:[Profit]],17,0)),"")</f>
        <v/>
      </c>
      <c r="T278" s="43" t="str">
        <f>IFERROR(IF(VLOOKUP(B278,Baza[[№]:[Profit]],18,0)=0,"-",VLOOKUP(B278,Baza[[№]:[Profit]],18,0)),"")</f>
        <v/>
      </c>
      <c r="U278" s="41" t="str">
        <f>IFERROR(IF(VLOOKUP(B278,Baza[[№]:[Profit]],19,0)=0,"-",VLOOKUP(B278,Baza[[№]:[Profit]],19,0)),"")</f>
        <v/>
      </c>
      <c r="V278" s="41" t="str">
        <f>IFERROR(VLOOKUP(B278,Baza[[№]:[Profit]],20,0),"")</f>
        <v/>
      </c>
      <c r="W278" s="41" t="str">
        <f>IFERROR(IF(VLOOKUP(B278,Baza[[№]:[Profit]],21,0)=0,"-",VLOOKUP(B278,Baza[[№]:[Profit]],21,0)),"")</f>
        <v/>
      </c>
      <c r="X278" s="45" t="str">
        <f>IFERROR(IF(VLOOKUP(B278,Baza[[№]:[Profit]],22,0)=0,"-",VLOOKUP(B278,Baza[[№]:[Profit]],22,0)),"")</f>
        <v/>
      </c>
      <c r="Y278" s="45" t="str">
        <f>IFERROR(VLOOKUP(B278,Baza[[№]:[Profit]],23,0),"")</f>
        <v/>
      </c>
      <c r="Z278" s="44" t="str">
        <f>IFERROR(VLOOKUP(B278,Baza[[№]:[AFS]],24,0),"")</f>
        <v/>
      </c>
      <c r="AA278" s="45" t="str">
        <f>IF(Таблица2[[#This Row],[Profit]]="","#Н/Д",SUM($Y$40:Y278))</f>
        <v>#Н/Д</v>
      </c>
      <c r="AB278" s="45" t="b">
        <f>IF(Таблица2[[#This Row],[Grafik]]="#Н/Д",FALSE,TRUE)</f>
        <v>0</v>
      </c>
    </row>
    <row r="279" spans="2:28" ht="11.1" hidden="1" customHeight="1" x14ac:dyDescent="0.25">
      <c r="B279"/>
      <c r="C279" s="41" t="str">
        <f>IFERROR(VLOOKUP(B279,Baza[[№]:[Profit]],2,0),"")</f>
        <v/>
      </c>
      <c r="D27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7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79" s="43" t="str">
        <f>IFERROR(VLOOKUP(B279,Baza[[№]:[Profit]],3,0),"")</f>
        <v/>
      </c>
      <c r="G279" s="43" t="str">
        <f>IFERROR(VLOOKUP(B279,Baza[[№]:[Profit]],4,0),"")</f>
        <v/>
      </c>
      <c r="H279" s="43" t="str">
        <f>IFERROR(VLOOKUP(B279,Baza[[№]:[Profit]],5,0),"")</f>
        <v/>
      </c>
      <c r="I279" s="46" t="str">
        <f>IFERROR(VLOOKUP(B279,Baza[[№]:[Profit]],6,0),"")</f>
        <v/>
      </c>
      <c r="J279" s="49" t="str">
        <f>IFERROR(VLOOKUP(B279,Baza[[№]:[Profit]],7,0),"")</f>
        <v/>
      </c>
      <c r="K279" s="43" t="str">
        <f>IFERROR(VLOOKUP(B279,Baza[[№]:[Profit]],8,0),"")</f>
        <v/>
      </c>
      <c r="L279" s="43" t="str">
        <f>IFERROR(VLOOKUP(B279,Baza[[№]:[Profit]],9,0),"")</f>
        <v/>
      </c>
      <c r="M279" s="43" t="str">
        <f>IFERROR(VLOOKUP(B279,Baza[[№]:[Profit]],10,0),"")</f>
        <v/>
      </c>
      <c r="N279" s="43" t="str">
        <f>IFERROR(IF(VLOOKUP(B279,Baza[[№]:[Profit]],11,0)=0,"-",VLOOKUP(B279,Baza[[№]:[Profit]],11,0)),"")</f>
        <v/>
      </c>
      <c r="O279" s="43" t="str">
        <f>IFERROR(IF(VLOOKUP(B279,Baza[[№]:[Profit]],12,0)=0,"-",VLOOKUP(B279,Baza[[№]:[Profit]],12,0)),"")</f>
        <v/>
      </c>
      <c r="P279" s="43" t="str">
        <f>IFERROR(IF(VLOOKUP(B279,Baza[[№]:[Profit]],13,0)=0,"-",VLOOKUP(B279,Baza[[№]:[Profit]],13,0)),"")</f>
        <v/>
      </c>
      <c r="Q279" s="43" t="str">
        <f>IFERROR(IF(VLOOKUP(B279,Baza[[№]:[Profit]],15,0)=0,"-",VLOOKUP(B279,Baza[[№]:[Profit]],15,0)),"")</f>
        <v/>
      </c>
      <c r="R279" s="43" t="str">
        <f>IFERROR(IF(VLOOKUP(B279,Baza[[№]:[Profit]],16,0)=0,"-",VLOOKUP(B279,Baza[[№]:[Profit]],16,0)),"")</f>
        <v/>
      </c>
      <c r="S279" s="43" t="str">
        <f>IFERROR(IF(VLOOKUP(B279,Baza[[№]:[Profit]],17,0)=0,"-",VLOOKUP(B279,Baza[[№]:[Profit]],17,0)),"")</f>
        <v/>
      </c>
      <c r="T279" s="43" t="str">
        <f>IFERROR(IF(VLOOKUP(B279,Baza[[№]:[Profit]],18,0)=0,"-",VLOOKUP(B279,Baza[[№]:[Profit]],18,0)),"")</f>
        <v/>
      </c>
      <c r="U279" s="41" t="str">
        <f>IFERROR(IF(VLOOKUP(B279,Baza[[№]:[Profit]],19,0)=0,"-",VLOOKUP(B279,Baza[[№]:[Profit]],19,0)),"")</f>
        <v/>
      </c>
      <c r="V279" s="41" t="str">
        <f>IFERROR(VLOOKUP(B279,Baza[[№]:[Profit]],20,0),"")</f>
        <v/>
      </c>
      <c r="W279" s="41" t="str">
        <f>IFERROR(IF(VLOOKUP(B279,Baza[[№]:[Profit]],21,0)=0,"-",VLOOKUP(B279,Baza[[№]:[Profit]],21,0)),"")</f>
        <v/>
      </c>
      <c r="X279" s="45" t="str">
        <f>IFERROR(IF(VLOOKUP(B279,Baza[[№]:[Profit]],22,0)=0,"-",VLOOKUP(B279,Baza[[№]:[Profit]],22,0)),"")</f>
        <v/>
      </c>
      <c r="Y279" s="45" t="str">
        <f>IFERROR(VLOOKUP(B279,Baza[[№]:[Profit]],23,0),"")</f>
        <v/>
      </c>
      <c r="Z279" s="44" t="str">
        <f>IFERROR(VLOOKUP(B279,Baza[[№]:[AFS]],24,0),"")</f>
        <v/>
      </c>
      <c r="AA279" s="45" t="str">
        <f>IF(Таблица2[[#This Row],[Profit]]="","#Н/Д",SUM($Y$40:Y279))</f>
        <v>#Н/Д</v>
      </c>
      <c r="AB279" s="45" t="b">
        <f>IF(Таблица2[[#This Row],[Grafik]]="#Н/Д",FALSE,TRUE)</f>
        <v>0</v>
      </c>
    </row>
    <row r="280" spans="2:28" ht="11.1" hidden="1" customHeight="1" x14ac:dyDescent="0.25">
      <c r="B280"/>
      <c r="C280" s="41" t="str">
        <f>IFERROR(VLOOKUP(B280,Baza[[№]:[Profit]],2,0),"")</f>
        <v/>
      </c>
      <c r="D28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8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80" s="43" t="str">
        <f>IFERROR(VLOOKUP(B280,Baza[[№]:[Profit]],3,0),"")</f>
        <v/>
      </c>
      <c r="G280" s="43" t="str">
        <f>IFERROR(VLOOKUP(B280,Baza[[№]:[Profit]],4,0),"")</f>
        <v/>
      </c>
      <c r="H280" s="43" t="str">
        <f>IFERROR(VLOOKUP(B280,Baza[[№]:[Profit]],5,0),"")</f>
        <v/>
      </c>
      <c r="I280" s="46" t="str">
        <f>IFERROR(VLOOKUP(B280,Baza[[№]:[Profit]],6,0),"")</f>
        <v/>
      </c>
      <c r="J280" s="49" t="str">
        <f>IFERROR(VLOOKUP(B280,Baza[[№]:[Profit]],7,0),"")</f>
        <v/>
      </c>
      <c r="K280" s="43" t="str">
        <f>IFERROR(VLOOKUP(B280,Baza[[№]:[Profit]],8,0),"")</f>
        <v/>
      </c>
      <c r="L280" s="43" t="str">
        <f>IFERROR(VLOOKUP(B280,Baza[[№]:[Profit]],9,0),"")</f>
        <v/>
      </c>
      <c r="M280" s="43" t="str">
        <f>IFERROR(VLOOKUP(B280,Baza[[№]:[Profit]],10,0),"")</f>
        <v/>
      </c>
      <c r="N280" s="43" t="str">
        <f>IFERROR(IF(VLOOKUP(B280,Baza[[№]:[Profit]],11,0)=0,"-",VLOOKUP(B280,Baza[[№]:[Profit]],11,0)),"")</f>
        <v/>
      </c>
      <c r="O280" s="43" t="str">
        <f>IFERROR(IF(VLOOKUP(B280,Baza[[№]:[Profit]],12,0)=0,"-",VLOOKUP(B280,Baza[[№]:[Profit]],12,0)),"")</f>
        <v/>
      </c>
      <c r="P280" s="43" t="str">
        <f>IFERROR(IF(VLOOKUP(B280,Baza[[№]:[Profit]],13,0)=0,"-",VLOOKUP(B280,Baza[[№]:[Profit]],13,0)),"")</f>
        <v/>
      </c>
      <c r="Q280" s="43" t="str">
        <f>IFERROR(IF(VLOOKUP(B280,Baza[[№]:[Profit]],15,0)=0,"-",VLOOKUP(B280,Baza[[№]:[Profit]],15,0)),"")</f>
        <v/>
      </c>
      <c r="R280" s="43" t="str">
        <f>IFERROR(IF(VLOOKUP(B280,Baza[[№]:[Profit]],16,0)=0,"-",VLOOKUP(B280,Baza[[№]:[Profit]],16,0)),"")</f>
        <v/>
      </c>
      <c r="S280" s="43" t="str">
        <f>IFERROR(IF(VLOOKUP(B280,Baza[[№]:[Profit]],17,0)=0,"-",VLOOKUP(B280,Baza[[№]:[Profit]],17,0)),"")</f>
        <v/>
      </c>
      <c r="T280" s="43" t="str">
        <f>IFERROR(IF(VLOOKUP(B280,Baza[[№]:[Profit]],18,0)=0,"-",VLOOKUP(B280,Baza[[№]:[Profit]],18,0)),"")</f>
        <v/>
      </c>
      <c r="U280" s="41" t="str">
        <f>IFERROR(IF(VLOOKUP(B280,Baza[[№]:[Profit]],19,0)=0,"-",VLOOKUP(B280,Baza[[№]:[Profit]],19,0)),"")</f>
        <v/>
      </c>
      <c r="V280" s="41" t="str">
        <f>IFERROR(VLOOKUP(B280,Baza[[№]:[Profit]],20,0),"")</f>
        <v/>
      </c>
      <c r="W280" s="41" t="str">
        <f>IFERROR(IF(VLOOKUP(B280,Baza[[№]:[Profit]],21,0)=0,"-",VLOOKUP(B280,Baza[[№]:[Profit]],21,0)),"")</f>
        <v/>
      </c>
      <c r="X280" s="45" t="str">
        <f>IFERROR(IF(VLOOKUP(B280,Baza[[№]:[Profit]],22,0)=0,"-",VLOOKUP(B280,Baza[[№]:[Profit]],22,0)),"")</f>
        <v/>
      </c>
      <c r="Y280" s="45" t="str">
        <f>IFERROR(VLOOKUP(B280,Baza[[№]:[Profit]],23,0),"")</f>
        <v/>
      </c>
      <c r="Z280" s="44" t="str">
        <f>IFERROR(VLOOKUP(B280,Baza[[№]:[AFS]],24,0),"")</f>
        <v/>
      </c>
      <c r="AA280" s="45" t="str">
        <f>IF(Таблица2[[#This Row],[Profit]]="","#Н/Д",SUM($Y$40:Y280))</f>
        <v>#Н/Д</v>
      </c>
      <c r="AB280" s="45" t="b">
        <f>IF(Таблица2[[#This Row],[Grafik]]="#Н/Д",FALSE,TRUE)</f>
        <v>0</v>
      </c>
    </row>
    <row r="281" spans="2:28" ht="11.1" hidden="1" customHeight="1" x14ac:dyDescent="0.25">
      <c r="B281"/>
      <c r="C281" s="41" t="str">
        <f>IFERROR(VLOOKUP(B281,Baza[[№]:[Profit]],2,0),"")</f>
        <v/>
      </c>
      <c r="D28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8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81" s="43" t="str">
        <f>IFERROR(VLOOKUP(B281,Baza[[№]:[Profit]],3,0),"")</f>
        <v/>
      </c>
      <c r="G281" s="43" t="str">
        <f>IFERROR(VLOOKUP(B281,Baza[[№]:[Profit]],4,0),"")</f>
        <v/>
      </c>
      <c r="H281" s="43" t="str">
        <f>IFERROR(VLOOKUP(B281,Baza[[№]:[Profit]],5,0),"")</f>
        <v/>
      </c>
      <c r="I281" s="46" t="str">
        <f>IFERROR(VLOOKUP(B281,Baza[[№]:[Profit]],6,0),"")</f>
        <v/>
      </c>
      <c r="J281" s="49" t="str">
        <f>IFERROR(VLOOKUP(B281,Baza[[№]:[Profit]],7,0),"")</f>
        <v/>
      </c>
      <c r="K281" s="43" t="str">
        <f>IFERROR(VLOOKUP(B281,Baza[[№]:[Profit]],8,0),"")</f>
        <v/>
      </c>
      <c r="L281" s="43" t="str">
        <f>IFERROR(VLOOKUP(B281,Baza[[№]:[Profit]],9,0),"")</f>
        <v/>
      </c>
      <c r="M281" s="43" t="str">
        <f>IFERROR(VLOOKUP(B281,Baza[[№]:[Profit]],10,0),"")</f>
        <v/>
      </c>
      <c r="N281" s="43" t="str">
        <f>IFERROR(IF(VLOOKUP(B281,Baza[[№]:[Profit]],11,0)=0,"-",VLOOKUP(B281,Baza[[№]:[Profit]],11,0)),"")</f>
        <v/>
      </c>
      <c r="O281" s="43" t="str">
        <f>IFERROR(IF(VLOOKUP(B281,Baza[[№]:[Profit]],12,0)=0,"-",VLOOKUP(B281,Baza[[№]:[Profit]],12,0)),"")</f>
        <v/>
      </c>
      <c r="P281" s="43" t="str">
        <f>IFERROR(IF(VLOOKUP(B281,Baza[[№]:[Profit]],13,0)=0,"-",VLOOKUP(B281,Baza[[№]:[Profit]],13,0)),"")</f>
        <v/>
      </c>
      <c r="Q281" s="43" t="str">
        <f>IFERROR(IF(VLOOKUP(B281,Baza[[№]:[Profit]],15,0)=0,"-",VLOOKUP(B281,Baza[[№]:[Profit]],15,0)),"")</f>
        <v/>
      </c>
      <c r="R281" s="43" t="str">
        <f>IFERROR(IF(VLOOKUP(B281,Baza[[№]:[Profit]],16,0)=0,"-",VLOOKUP(B281,Baza[[№]:[Profit]],16,0)),"")</f>
        <v/>
      </c>
      <c r="S281" s="43" t="str">
        <f>IFERROR(IF(VLOOKUP(B281,Baza[[№]:[Profit]],17,0)=0,"-",VLOOKUP(B281,Baza[[№]:[Profit]],17,0)),"")</f>
        <v/>
      </c>
      <c r="T281" s="43" t="str">
        <f>IFERROR(IF(VLOOKUP(B281,Baza[[№]:[Profit]],18,0)=0,"-",VLOOKUP(B281,Baza[[№]:[Profit]],18,0)),"")</f>
        <v/>
      </c>
      <c r="U281" s="41" t="str">
        <f>IFERROR(IF(VLOOKUP(B281,Baza[[№]:[Profit]],19,0)=0,"-",VLOOKUP(B281,Baza[[№]:[Profit]],19,0)),"")</f>
        <v/>
      </c>
      <c r="V281" s="41" t="str">
        <f>IFERROR(VLOOKUP(B281,Baza[[№]:[Profit]],20,0),"")</f>
        <v/>
      </c>
      <c r="W281" s="41" t="str">
        <f>IFERROR(IF(VLOOKUP(B281,Baza[[№]:[Profit]],21,0)=0,"-",VLOOKUP(B281,Baza[[№]:[Profit]],21,0)),"")</f>
        <v/>
      </c>
      <c r="X281" s="45" t="str">
        <f>IFERROR(IF(VLOOKUP(B281,Baza[[№]:[Profit]],22,0)=0,"-",VLOOKUP(B281,Baza[[№]:[Profit]],22,0)),"")</f>
        <v/>
      </c>
      <c r="Y281" s="45" t="str">
        <f>IFERROR(VLOOKUP(B281,Baza[[№]:[Profit]],23,0),"")</f>
        <v/>
      </c>
      <c r="Z281" s="44" t="str">
        <f>IFERROR(VLOOKUP(B281,Baza[[№]:[AFS]],24,0),"")</f>
        <v/>
      </c>
      <c r="AA281" s="45" t="str">
        <f>IF(Таблица2[[#This Row],[Profit]]="","#Н/Д",SUM($Y$40:Y281))</f>
        <v>#Н/Д</v>
      </c>
      <c r="AB281" s="45" t="b">
        <f>IF(Таблица2[[#This Row],[Grafik]]="#Н/Д",FALSE,TRUE)</f>
        <v>0</v>
      </c>
    </row>
    <row r="282" spans="2:28" ht="11.1" hidden="1" customHeight="1" x14ac:dyDescent="0.25">
      <c r="B282"/>
      <c r="C282" s="41" t="str">
        <f>IFERROR(VLOOKUP(B282,Baza[[№]:[Profit]],2,0),"")</f>
        <v/>
      </c>
      <c r="D28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8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82" s="43" t="str">
        <f>IFERROR(VLOOKUP(B282,Baza[[№]:[Profit]],3,0),"")</f>
        <v/>
      </c>
      <c r="G282" s="43" t="str">
        <f>IFERROR(VLOOKUP(B282,Baza[[№]:[Profit]],4,0),"")</f>
        <v/>
      </c>
      <c r="H282" s="43" t="str">
        <f>IFERROR(VLOOKUP(B282,Baza[[№]:[Profit]],5,0),"")</f>
        <v/>
      </c>
      <c r="I282" s="46" t="str">
        <f>IFERROR(VLOOKUP(B282,Baza[[№]:[Profit]],6,0),"")</f>
        <v/>
      </c>
      <c r="J282" s="49" t="str">
        <f>IFERROR(VLOOKUP(B282,Baza[[№]:[Profit]],7,0),"")</f>
        <v/>
      </c>
      <c r="K282" s="43" t="str">
        <f>IFERROR(VLOOKUP(B282,Baza[[№]:[Profit]],8,0),"")</f>
        <v/>
      </c>
      <c r="L282" s="43" t="str">
        <f>IFERROR(VLOOKUP(B282,Baza[[№]:[Profit]],9,0),"")</f>
        <v/>
      </c>
      <c r="M282" s="43" t="str">
        <f>IFERROR(VLOOKUP(B282,Baza[[№]:[Profit]],10,0),"")</f>
        <v/>
      </c>
      <c r="N282" s="43" t="str">
        <f>IFERROR(IF(VLOOKUP(B282,Baza[[№]:[Profit]],11,0)=0,"-",VLOOKUP(B282,Baza[[№]:[Profit]],11,0)),"")</f>
        <v/>
      </c>
      <c r="O282" s="43" t="str">
        <f>IFERROR(IF(VLOOKUP(B282,Baza[[№]:[Profit]],12,0)=0,"-",VLOOKUP(B282,Baza[[№]:[Profit]],12,0)),"")</f>
        <v/>
      </c>
      <c r="P282" s="43" t="str">
        <f>IFERROR(IF(VLOOKUP(B282,Baza[[№]:[Profit]],13,0)=0,"-",VLOOKUP(B282,Baza[[№]:[Profit]],13,0)),"")</f>
        <v/>
      </c>
      <c r="Q282" s="43" t="str">
        <f>IFERROR(IF(VLOOKUP(B282,Baza[[№]:[Profit]],15,0)=0,"-",VLOOKUP(B282,Baza[[№]:[Profit]],15,0)),"")</f>
        <v/>
      </c>
      <c r="R282" s="43" t="str">
        <f>IFERROR(IF(VLOOKUP(B282,Baza[[№]:[Profit]],16,0)=0,"-",VLOOKUP(B282,Baza[[№]:[Profit]],16,0)),"")</f>
        <v/>
      </c>
      <c r="S282" s="43" t="str">
        <f>IFERROR(IF(VLOOKUP(B282,Baza[[№]:[Profit]],17,0)=0,"-",VLOOKUP(B282,Baza[[№]:[Profit]],17,0)),"")</f>
        <v/>
      </c>
      <c r="T282" s="43" t="str">
        <f>IFERROR(IF(VLOOKUP(B282,Baza[[№]:[Profit]],18,0)=0,"-",VLOOKUP(B282,Baza[[№]:[Profit]],18,0)),"")</f>
        <v/>
      </c>
      <c r="U282" s="41" t="str">
        <f>IFERROR(IF(VLOOKUP(B282,Baza[[№]:[Profit]],19,0)=0,"-",VLOOKUP(B282,Baza[[№]:[Profit]],19,0)),"")</f>
        <v/>
      </c>
      <c r="V282" s="41" t="str">
        <f>IFERROR(VLOOKUP(B282,Baza[[№]:[Profit]],20,0),"")</f>
        <v/>
      </c>
      <c r="W282" s="41" t="str">
        <f>IFERROR(IF(VLOOKUP(B282,Baza[[№]:[Profit]],21,0)=0,"-",VLOOKUP(B282,Baza[[№]:[Profit]],21,0)),"")</f>
        <v/>
      </c>
      <c r="X282" s="45" t="str">
        <f>IFERROR(IF(VLOOKUP(B282,Baza[[№]:[Profit]],22,0)=0,"-",VLOOKUP(B282,Baza[[№]:[Profit]],22,0)),"")</f>
        <v/>
      </c>
      <c r="Y282" s="45" t="str">
        <f>IFERROR(VLOOKUP(B282,Baza[[№]:[Profit]],23,0),"")</f>
        <v/>
      </c>
      <c r="Z282" s="44" t="str">
        <f>IFERROR(VLOOKUP(B282,Baza[[№]:[AFS]],24,0),"")</f>
        <v/>
      </c>
      <c r="AA282" s="45" t="str">
        <f>IF(Таблица2[[#This Row],[Profit]]="","#Н/Д",SUM($Y$40:Y282))</f>
        <v>#Н/Д</v>
      </c>
      <c r="AB282" s="45" t="b">
        <f>IF(Таблица2[[#This Row],[Grafik]]="#Н/Д",FALSE,TRUE)</f>
        <v>0</v>
      </c>
    </row>
    <row r="283" spans="2:28" ht="11.1" hidden="1" customHeight="1" x14ac:dyDescent="0.25">
      <c r="B283"/>
      <c r="C283" s="41" t="str">
        <f>IFERROR(VLOOKUP(B283,Baza[[№]:[Profit]],2,0),"")</f>
        <v/>
      </c>
      <c r="D28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8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83" s="43" t="str">
        <f>IFERROR(VLOOKUP(B283,Baza[[№]:[Profit]],3,0),"")</f>
        <v/>
      </c>
      <c r="G283" s="43" t="str">
        <f>IFERROR(VLOOKUP(B283,Baza[[№]:[Profit]],4,0),"")</f>
        <v/>
      </c>
      <c r="H283" s="43" t="str">
        <f>IFERROR(VLOOKUP(B283,Baza[[№]:[Profit]],5,0),"")</f>
        <v/>
      </c>
      <c r="I283" s="46" t="str">
        <f>IFERROR(VLOOKUP(B283,Baza[[№]:[Profit]],6,0),"")</f>
        <v/>
      </c>
      <c r="J283" s="49" t="str">
        <f>IFERROR(VLOOKUP(B283,Baza[[№]:[Profit]],7,0),"")</f>
        <v/>
      </c>
      <c r="K283" s="43" t="str">
        <f>IFERROR(VLOOKUP(B283,Baza[[№]:[Profit]],8,0),"")</f>
        <v/>
      </c>
      <c r="L283" s="43" t="str">
        <f>IFERROR(VLOOKUP(B283,Baza[[№]:[Profit]],9,0),"")</f>
        <v/>
      </c>
      <c r="M283" s="43" t="str">
        <f>IFERROR(VLOOKUP(B283,Baza[[№]:[Profit]],10,0),"")</f>
        <v/>
      </c>
      <c r="N283" s="43" t="str">
        <f>IFERROR(IF(VLOOKUP(B283,Baza[[№]:[Profit]],11,0)=0,"-",VLOOKUP(B283,Baza[[№]:[Profit]],11,0)),"")</f>
        <v/>
      </c>
      <c r="O283" s="43" t="str">
        <f>IFERROR(IF(VLOOKUP(B283,Baza[[№]:[Profit]],12,0)=0,"-",VLOOKUP(B283,Baza[[№]:[Profit]],12,0)),"")</f>
        <v/>
      </c>
      <c r="P283" s="43" t="str">
        <f>IFERROR(IF(VLOOKUP(B283,Baza[[№]:[Profit]],13,0)=0,"-",VLOOKUP(B283,Baza[[№]:[Profit]],13,0)),"")</f>
        <v/>
      </c>
      <c r="Q283" s="43" t="str">
        <f>IFERROR(IF(VLOOKUP(B283,Baza[[№]:[Profit]],15,0)=0,"-",VLOOKUP(B283,Baza[[№]:[Profit]],15,0)),"")</f>
        <v/>
      </c>
      <c r="R283" s="43" t="str">
        <f>IFERROR(IF(VLOOKUP(B283,Baza[[№]:[Profit]],16,0)=0,"-",VLOOKUP(B283,Baza[[№]:[Profit]],16,0)),"")</f>
        <v/>
      </c>
      <c r="S283" s="43" t="str">
        <f>IFERROR(IF(VLOOKUP(B283,Baza[[№]:[Profit]],17,0)=0,"-",VLOOKUP(B283,Baza[[№]:[Profit]],17,0)),"")</f>
        <v/>
      </c>
      <c r="T283" s="43" t="str">
        <f>IFERROR(IF(VLOOKUP(B283,Baza[[№]:[Profit]],18,0)=0,"-",VLOOKUP(B283,Baza[[№]:[Profit]],18,0)),"")</f>
        <v/>
      </c>
      <c r="U283" s="41" t="str">
        <f>IFERROR(IF(VLOOKUP(B283,Baza[[№]:[Profit]],19,0)=0,"-",VLOOKUP(B283,Baza[[№]:[Profit]],19,0)),"")</f>
        <v/>
      </c>
      <c r="V283" s="41" t="str">
        <f>IFERROR(VLOOKUP(B283,Baza[[№]:[Profit]],20,0),"")</f>
        <v/>
      </c>
      <c r="W283" s="41" t="str">
        <f>IFERROR(IF(VLOOKUP(B283,Baza[[№]:[Profit]],21,0)=0,"-",VLOOKUP(B283,Baza[[№]:[Profit]],21,0)),"")</f>
        <v/>
      </c>
      <c r="X283" s="45" t="str">
        <f>IFERROR(IF(VLOOKUP(B283,Baza[[№]:[Profit]],22,0)=0,"-",VLOOKUP(B283,Baza[[№]:[Profit]],22,0)),"")</f>
        <v/>
      </c>
      <c r="Y283" s="45" t="str">
        <f>IFERROR(VLOOKUP(B283,Baza[[№]:[Profit]],23,0),"")</f>
        <v/>
      </c>
      <c r="Z283" s="44" t="str">
        <f>IFERROR(VLOOKUP(B283,Baza[[№]:[AFS]],24,0),"")</f>
        <v/>
      </c>
      <c r="AA283" s="45" t="str">
        <f>IF(Таблица2[[#This Row],[Profit]]="","#Н/Д",SUM($Y$40:Y283))</f>
        <v>#Н/Д</v>
      </c>
      <c r="AB283" s="45" t="b">
        <f>IF(Таблица2[[#This Row],[Grafik]]="#Н/Д",FALSE,TRUE)</f>
        <v>0</v>
      </c>
    </row>
    <row r="284" spans="2:28" ht="11.1" hidden="1" customHeight="1" x14ac:dyDescent="0.25">
      <c r="B284"/>
      <c r="C284" s="41" t="str">
        <f>IFERROR(VLOOKUP(B284,Baza[[№]:[Profit]],2,0),"")</f>
        <v/>
      </c>
      <c r="D28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8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84" s="43" t="str">
        <f>IFERROR(VLOOKUP(B284,Baza[[№]:[Profit]],3,0),"")</f>
        <v/>
      </c>
      <c r="G284" s="43" t="str">
        <f>IFERROR(VLOOKUP(B284,Baza[[№]:[Profit]],4,0),"")</f>
        <v/>
      </c>
      <c r="H284" s="43" t="str">
        <f>IFERROR(VLOOKUP(B284,Baza[[№]:[Profit]],5,0),"")</f>
        <v/>
      </c>
      <c r="I284" s="46" t="str">
        <f>IFERROR(VLOOKUP(B284,Baza[[№]:[Profit]],6,0),"")</f>
        <v/>
      </c>
      <c r="J284" s="49" t="str">
        <f>IFERROR(VLOOKUP(B284,Baza[[№]:[Profit]],7,0),"")</f>
        <v/>
      </c>
      <c r="K284" s="43" t="str">
        <f>IFERROR(VLOOKUP(B284,Baza[[№]:[Profit]],8,0),"")</f>
        <v/>
      </c>
      <c r="L284" s="43" t="str">
        <f>IFERROR(VLOOKUP(B284,Baza[[№]:[Profit]],9,0),"")</f>
        <v/>
      </c>
      <c r="M284" s="43" t="str">
        <f>IFERROR(VLOOKUP(B284,Baza[[№]:[Profit]],10,0),"")</f>
        <v/>
      </c>
      <c r="N284" s="43" t="str">
        <f>IFERROR(IF(VLOOKUP(B284,Baza[[№]:[Profit]],11,0)=0,"-",VLOOKUP(B284,Baza[[№]:[Profit]],11,0)),"")</f>
        <v/>
      </c>
      <c r="O284" s="43" t="str">
        <f>IFERROR(IF(VLOOKUP(B284,Baza[[№]:[Profit]],12,0)=0,"-",VLOOKUP(B284,Baza[[№]:[Profit]],12,0)),"")</f>
        <v/>
      </c>
      <c r="P284" s="43" t="str">
        <f>IFERROR(IF(VLOOKUP(B284,Baza[[№]:[Profit]],13,0)=0,"-",VLOOKUP(B284,Baza[[№]:[Profit]],13,0)),"")</f>
        <v/>
      </c>
      <c r="Q284" s="43" t="str">
        <f>IFERROR(IF(VLOOKUP(B284,Baza[[№]:[Profit]],15,0)=0,"-",VLOOKUP(B284,Baza[[№]:[Profit]],15,0)),"")</f>
        <v/>
      </c>
      <c r="R284" s="43" t="str">
        <f>IFERROR(IF(VLOOKUP(B284,Baza[[№]:[Profit]],16,0)=0,"-",VLOOKUP(B284,Baza[[№]:[Profit]],16,0)),"")</f>
        <v/>
      </c>
      <c r="S284" s="43" t="str">
        <f>IFERROR(IF(VLOOKUP(B284,Baza[[№]:[Profit]],17,0)=0,"-",VLOOKUP(B284,Baza[[№]:[Profit]],17,0)),"")</f>
        <v/>
      </c>
      <c r="T284" s="43" t="str">
        <f>IFERROR(IF(VLOOKUP(B284,Baza[[№]:[Profit]],18,0)=0,"-",VLOOKUP(B284,Baza[[№]:[Profit]],18,0)),"")</f>
        <v/>
      </c>
      <c r="U284" s="41" t="str">
        <f>IFERROR(IF(VLOOKUP(B284,Baza[[№]:[Profit]],19,0)=0,"-",VLOOKUP(B284,Baza[[№]:[Profit]],19,0)),"")</f>
        <v/>
      </c>
      <c r="V284" s="41" t="str">
        <f>IFERROR(VLOOKUP(B284,Baza[[№]:[Profit]],20,0),"")</f>
        <v/>
      </c>
      <c r="W284" s="41" t="str">
        <f>IFERROR(IF(VLOOKUP(B284,Baza[[№]:[Profit]],21,0)=0,"-",VLOOKUP(B284,Baza[[№]:[Profit]],21,0)),"")</f>
        <v/>
      </c>
      <c r="X284" s="45" t="str">
        <f>IFERROR(IF(VLOOKUP(B284,Baza[[№]:[Profit]],22,0)=0,"-",VLOOKUP(B284,Baza[[№]:[Profit]],22,0)),"")</f>
        <v/>
      </c>
      <c r="Y284" s="45" t="str">
        <f>IFERROR(VLOOKUP(B284,Baza[[№]:[Profit]],23,0),"")</f>
        <v/>
      </c>
      <c r="Z284" s="44" t="str">
        <f>IFERROR(VLOOKUP(B284,Baza[[№]:[AFS]],24,0),"")</f>
        <v/>
      </c>
      <c r="AA284" s="45" t="str">
        <f>IF(Таблица2[[#This Row],[Profit]]="","#Н/Д",SUM($Y$40:Y284))</f>
        <v>#Н/Д</v>
      </c>
      <c r="AB284" s="45" t="b">
        <f>IF(Таблица2[[#This Row],[Grafik]]="#Н/Д",FALSE,TRUE)</f>
        <v>0</v>
      </c>
    </row>
    <row r="285" spans="2:28" ht="11.1" hidden="1" customHeight="1" x14ac:dyDescent="0.25">
      <c r="B285"/>
      <c r="C285" s="41" t="str">
        <f>IFERROR(VLOOKUP(B285,Baza[[№]:[Profit]],2,0),"")</f>
        <v/>
      </c>
      <c r="D28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8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85" s="43" t="str">
        <f>IFERROR(VLOOKUP(B285,Baza[[№]:[Profit]],3,0),"")</f>
        <v/>
      </c>
      <c r="G285" s="43" t="str">
        <f>IFERROR(VLOOKUP(B285,Baza[[№]:[Profit]],4,0),"")</f>
        <v/>
      </c>
      <c r="H285" s="43" t="str">
        <f>IFERROR(VLOOKUP(B285,Baza[[№]:[Profit]],5,0),"")</f>
        <v/>
      </c>
      <c r="I285" s="46" t="str">
        <f>IFERROR(VLOOKUP(B285,Baza[[№]:[Profit]],6,0),"")</f>
        <v/>
      </c>
      <c r="J285" s="49" t="str">
        <f>IFERROR(VLOOKUP(B285,Baza[[№]:[Profit]],7,0),"")</f>
        <v/>
      </c>
      <c r="K285" s="43" t="str">
        <f>IFERROR(VLOOKUP(B285,Baza[[№]:[Profit]],8,0),"")</f>
        <v/>
      </c>
      <c r="L285" s="43" t="str">
        <f>IFERROR(VLOOKUP(B285,Baza[[№]:[Profit]],9,0),"")</f>
        <v/>
      </c>
      <c r="M285" s="43" t="str">
        <f>IFERROR(VLOOKUP(B285,Baza[[№]:[Profit]],10,0),"")</f>
        <v/>
      </c>
      <c r="N285" s="43" t="str">
        <f>IFERROR(IF(VLOOKUP(B285,Baza[[№]:[Profit]],11,0)=0,"-",VLOOKUP(B285,Baza[[№]:[Profit]],11,0)),"")</f>
        <v/>
      </c>
      <c r="O285" s="43" t="str">
        <f>IFERROR(IF(VLOOKUP(B285,Baza[[№]:[Profit]],12,0)=0,"-",VLOOKUP(B285,Baza[[№]:[Profit]],12,0)),"")</f>
        <v/>
      </c>
      <c r="P285" s="43" t="str">
        <f>IFERROR(IF(VLOOKUP(B285,Baza[[№]:[Profit]],13,0)=0,"-",VLOOKUP(B285,Baza[[№]:[Profit]],13,0)),"")</f>
        <v/>
      </c>
      <c r="Q285" s="43" t="str">
        <f>IFERROR(IF(VLOOKUP(B285,Baza[[№]:[Profit]],15,0)=0,"-",VLOOKUP(B285,Baza[[№]:[Profit]],15,0)),"")</f>
        <v/>
      </c>
      <c r="R285" s="43" t="str">
        <f>IFERROR(IF(VLOOKUP(B285,Baza[[№]:[Profit]],16,0)=0,"-",VLOOKUP(B285,Baza[[№]:[Profit]],16,0)),"")</f>
        <v/>
      </c>
      <c r="S285" s="43" t="str">
        <f>IFERROR(IF(VLOOKUP(B285,Baza[[№]:[Profit]],17,0)=0,"-",VLOOKUP(B285,Baza[[№]:[Profit]],17,0)),"")</f>
        <v/>
      </c>
      <c r="T285" s="43" t="str">
        <f>IFERROR(IF(VLOOKUP(B285,Baza[[№]:[Profit]],18,0)=0,"-",VLOOKUP(B285,Baza[[№]:[Profit]],18,0)),"")</f>
        <v/>
      </c>
      <c r="U285" s="41" t="str">
        <f>IFERROR(IF(VLOOKUP(B285,Baza[[№]:[Profit]],19,0)=0,"-",VLOOKUP(B285,Baza[[№]:[Profit]],19,0)),"")</f>
        <v/>
      </c>
      <c r="V285" s="41" t="str">
        <f>IFERROR(VLOOKUP(B285,Baza[[№]:[Profit]],20,0),"")</f>
        <v/>
      </c>
      <c r="W285" s="41" t="str">
        <f>IFERROR(IF(VLOOKUP(B285,Baza[[№]:[Profit]],21,0)=0,"-",VLOOKUP(B285,Baza[[№]:[Profit]],21,0)),"")</f>
        <v/>
      </c>
      <c r="X285" s="45" t="str">
        <f>IFERROR(IF(VLOOKUP(B285,Baza[[№]:[Profit]],22,0)=0,"-",VLOOKUP(B285,Baza[[№]:[Profit]],22,0)),"")</f>
        <v/>
      </c>
      <c r="Y285" s="45" t="str">
        <f>IFERROR(VLOOKUP(B285,Baza[[№]:[Profit]],23,0),"")</f>
        <v/>
      </c>
      <c r="Z285" s="44" t="str">
        <f>IFERROR(VLOOKUP(B285,Baza[[№]:[AFS]],24,0),"")</f>
        <v/>
      </c>
      <c r="AA285" s="45" t="str">
        <f>IF(Таблица2[[#This Row],[Profit]]="","#Н/Д",SUM($Y$40:Y285))</f>
        <v>#Н/Д</v>
      </c>
      <c r="AB285" s="45" t="b">
        <f>IF(Таблица2[[#This Row],[Grafik]]="#Н/Д",FALSE,TRUE)</f>
        <v>0</v>
      </c>
    </row>
    <row r="286" spans="2:28" ht="11.1" hidden="1" customHeight="1" x14ac:dyDescent="0.25">
      <c r="B286"/>
      <c r="C286" s="41" t="str">
        <f>IFERROR(VLOOKUP(B286,Baza[[№]:[Profit]],2,0),"")</f>
        <v/>
      </c>
      <c r="D28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8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86" s="43" t="str">
        <f>IFERROR(VLOOKUP(B286,Baza[[№]:[Profit]],3,0),"")</f>
        <v/>
      </c>
      <c r="G286" s="43" t="str">
        <f>IFERROR(VLOOKUP(B286,Baza[[№]:[Profit]],4,0),"")</f>
        <v/>
      </c>
      <c r="H286" s="43" t="str">
        <f>IFERROR(VLOOKUP(B286,Baza[[№]:[Profit]],5,0),"")</f>
        <v/>
      </c>
      <c r="I286" s="46" t="str">
        <f>IFERROR(VLOOKUP(B286,Baza[[№]:[Profit]],6,0),"")</f>
        <v/>
      </c>
      <c r="J286" s="49" t="str">
        <f>IFERROR(VLOOKUP(B286,Baza[[№]:[Profit]],7,0),"")</f>
        <v/>
      </c>
      <c r="K286" s="43" t="str">
        <f>IFERROR(VLOOKUP(B286,Baza[[№]:[Profit]],8,0),"")</f>
        <v/>
      </c>
      <c r="L286" s="43" t="str">
        <f>IFERROR(VLOOKUP(B286,Baza[[№]:[Profit]],9,0),"")</f>
        <v/>
      </c>
      <c r="M286" s="43" t="str">
        <f>IFERROR(VLOOKUP(B286,Baza[[№]:[Profit]],10,0),"")</f>
        <v/>
      </c>
      <c r="N286" s="43" t="str">
        <f>IFERROR(IF(VLOOKUP(B286,Baza[[№]:[Profit]],11,0)=0,"-",VLOOKUP(B286,Baza[[№]:[Profit]],11,0)),"")</f>
        <v/>
      </c>
      <c r="O286" s="43" t="str">
        <f>IFERROR(IF(VLOOKUP(B286,Baza[[№]:[Profit]],12,0)=0,"-",VLOOKUP(B286,Baza[[№]:[Profit]],12,0)),"")</f>
        <v/>
      </c>
      <c r="P286" s="43" t="str">
        <f>IFERROR(IF(VLOOKUP(B286,Baza[[№]:[Profit]],13,0)=0,"-",VLOOKUP(B286,Baza[[№]:[Profit]],13,0)),"")</f>
        <v/>
      </c>
      <c r="Q286" s="43" t="str">
        <f>IFERROR(IF(VLOOKUP(B286,Baza[[№]:[Profit]],15,0)=0,"-",VLOOKUP(B286,Baza[[№]:[Profit]],15,0)),"")</f>
        <v/>
      </c>
      <c r="R286" s="43" t="str">
        <f>IFERROR(IF(VLOOKUP(B286,Baza[[№]:[Profit]],16,0)=0,"-",VLOOKUP(B286,Baza[[№]:[Profit]],16,0)),"")</f>
        <v/>
      </c>
      <c r="S286" s="43" t="str">
        <f>IFERROR(IF(VLOOKUP(B286,Baza[[№]:[Profit]],17,0)=0,"-",VLOOKUP(B286,Baza[[№]:[Profit]],17,0)),"")</f>
        <v/>
      </c>
      <c r="T286" s="43" t="str">
        <f>IFERROR(IF(VLOOKUP(B286,Baza[[№]:[Profit]],18,0)=0,"-",VLOOKUP(B286,Baza[[№]:[Profit]],18,0)),"")</f>
        <v/>
      </c>
      <c r="U286" s="41" t="str">
        <f>IFERROR(IF(VLOOKUP(B286,Baza[[№]:[Profit]],19,0)=0,"-",VLOOKUP(B286,Baza[[№]:[Profit]],19,0)),"")</f>
        <v/>
      </c>
      <c r="V286" s="41" t="str">
        <f>IFERROR(VLOOKUP(B286,Baza[[№]:[Profit]],20,0),"")</f>
        <v/>
      </c>
      <c r="W286" s="41" t="str">
        <f>IFERROR(IF(VLOOKUP(B286,Baza[[№]:[Profit]],21,0)=0,"-",VLOOKUP(B286,Baza[[№]:[Profit]],21,0)),"")</f>
        <v/>
      </c>
      <c r="X286" s="45" t="str">
        <f>IFERROR(IF(VLOOKUP(B286,Baza[[№]:[Profit]],22,0)=0,"-",VLOOKUP(B286,Baza[[№]:[Profit]],22,0)),"")</f>
        <v/>
      </c>
      <c r="Y286" s="45" t="str">
        <f>IFERROR(VLOOKUP(B286,Baza[[№]:[Profit]],23,0),"")</f>
        <v/>
      </c>
      <c r="Z286" s="44" t="str">
        <f>IFERROR(VLOOKUP(B286,Baza[[№]:[AFS]],24,0),"")</f>
        <v/>
      </c>
      <c r="AA286" s="45" t="str">
        <f>IF(Таблица2[[#This Row],[Profit]]="","#Н/Д",SUM($Y$40:Y286))</f>
        <v>#Н/Д</v>
      </c>
      <c r="AB286" s="45" t="b">
        <f>IF(Таблица2[[#This Row],[Grafik]]="#Н/Д",FALSE,TRUE)</f>
        <v>0</v>
      </c>
    </row>
    <row r="287" spans="2:28" ht="11.1" hidden="1" customHeight="1" x14ac:dyDescent="0.25">
      <c r="B287"/>
      <c r="C287" s="41" t="str">
        <f>IFERROR(VLOOKUP(B287,Baza[[№]:[Profit]],2,0),"")</f>
        <v/>
      </c>
      <c r="D28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8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87" s="43" t="str">
        <f>IFERROR(VLOOKUP(B287,Baza[[№]:[Profit]],3,0),"")</f>
        <v/>
      </c>
      <c r="G287" s="43" t="str">
        <f>IFERROR(VLOOKUP(B287,Baza[[№]:[Profit]],4,0),"")</f>
        <v/>
      </c>
      <c r="H287" s="43" t="str">
        <f>IFERROR(VLOOKUP(B287,Baza[[№]:[Profit]],5,0),"")</f>
        <v/>
      </c>
      <c r="I287" s="46" t="str">
        <f>IFERROR(VLOOKUP(B287,Baza[[№]:[Profit]],6,0),"")</f>
        <v/>
      </c>
      <c r="J287" s="49" t="str">
        <f>IFERROR(VLOOKUP(B287,Baza[[№]:[Profit]],7,0),"")</f>
        <v/>
      </c>
      <c r="K287" s="43" t="str">
        <f>IFERROR(VLOOKUP(B287,Baza[[№]:[Profit]],8,0),"")</f>
        <v/>
      </c>
      <c r="L287" s="43" t="str">
        <f>IFERROR(VLOOKUP(B287,Baza[[№]:[Profit]],9,0),"")</f>
        <v/>
      </c>
      <c r="M287" s="43" t="str">
        <f>IFERROR(VLOOKUP(B287,Baza[[№]:[Profit]],10,0),"")</f>
        <v/>
      </c>
      <c r="N287" s="43" t="str">
        <f>IFERROR(IF(VLOOKUP(B287,Baza[[№]:[Profit]],11,0)=0,"-",VLOOKUP(B287,Baza[[№]:[Profit]],11,0)),"")</f>
        <v/>
      </c>
      <c r="O287" s="43" t="str">
        <f>IFERROR(IF(VLOOKUP(B287,Baza[[№]:[Profit]],12,0)=0,"-",VLOOKUP(B287,Baza[[№]:[Profit]],12,0)),"")</f>
        <v/>
      </c>
      <c r="P287" s="43" t="str">
        <f>IFERROR(IF(VLOOKUP(B287,Baza[[№]:[Profit]],13,0)=0,"-",VLOOKUP(B287,Baza[[№]:[Profit]],13,0)),"")</f>
        <v/>
      </c>
      <c r="Q287" s="43" t="str">
        <f>IFERROR(IF(VLOOKUP(B287,Baza[[№]:[Profit]],15,0)=0,"-",VLOOKUP(B287,Baza[[№]:[Profit]],15,0)),"")</f>
        <v/>
      </c>
      <c r="R287" s="43" t="str">
        <f>IFERROR(IF(VLOOKUP(B287,Baza[[№]:[Profit]],16,0)=0,"-",VLOOKUP(B287,Baza[[№]:[Profit]],16,0)),"")</f>
        <v/>
      </c>
      <c r="S287" s="43" t="str">
        <f>IFERROR(IF(VLOOKUP(B287,Baza[[№]:[Profit]],17,0)=0,"-",VLOOKUP(B287,Baza[[№]:[Profit]],17,0)),"")</f>
        <v/>
      </c>
      <c r="T287" s="43" t="str">
        <f>IFERROR(IF(VLOOKUP(B287,Baza[[№]:[Profit]],18,0)=0,"-",VLOOKUP(B287,Baza[[№]:[Profit]],18,0)),"")</f>
        <v/>
      </c>
      <c r="U287" s="41" t="str">
        <f>IFERROR(IF(VLOOKUP(B287,Baza[[№]:[Profit]],19,0)=0,"-",VLOOKUP(B287,Baza[[№]:[Profit]],19,0)),"")</f>
        <v/>
      </c>
      <c r="V287" s="41" t="str">
        <f>IFERROR(VLOOKUP(B287,Baza[[№]:[Profit]],20,0),"")</f>
        <v/>
      </c>
      <c r="W287" s="41" t="str">
        <f>IFERROR(IF(VLOOKUP(B287,Baza[[№]:[Profit]],21,0)=0,"-",VLOOKUP(B287,Baza[[№]:[Profit]],21,0)),"")</f>
        <v/>
      </c>
      <c r="X287" s="45" t="str">
        <f>IFERROR(IF(VLOOKUP(B287,Baza[[№]:[Profit]],22,0)=0,"-",VLOOKUP(B287,Baza[[№]:[Profit]],22,0)),"")</f>
        <v/>
      </c>
      <c r="Y287" s="45" t="str">
        <f>IFERROR(VLOOKUP(B287,Baza[[№]:[Profit]],23,0),"")</f>
        <v/>
      </c>
      <c r="Z287" s="44" t="str">
        <f>IFERROR(VLOOKUP(B287,Baza[[№]:[AFS]],24,0),"")</f>
        <v/>
      </c>
      <c r="AA287" s="45" t="str">
        <f>IF(Таблица2[[#This Row],[Profit]]="","#Н/Д",SUM($Y$40:Y287))</f>
        <v>#Н/Д</v>
      </c>
      <c r="AB287" s="45" t="b">
        <f>IF(Таблица2[[#This Row],[Grafik]]="#Н/Д",FALSE,TRUE)</f>
        <v>0</v>
      </c>
    </row>
    <row r="288" spans="2:28" ht="11.1" hidden="1" customHeight="1" x14ac:dyDescent="0.25">
      <c r="B288"/>
      <c r="C288" s="41" t="str">
        <f>IFERROR(VLOOKUP(B288,Baza[[№]:[Profit]],2,0),"")</f>
        <v/>
      </c>
      <c r="D28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8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88" s="43" t="str">
        <f>IFERROR(VLOOKUP(B288,Baza[[№]:[Profit]],3,0),"")</f>
        <v/>
      </c>
      <c r="G288" s="43" t="str">
        <f>IFERROR(VLOOKUP(B288,Baza[[№]:[Profit]],4,0),"")</f>
        <v/>
      </c>
      <c r="H288" s="43" t="str">
        <f>IFERROR(VLOOKUP(B288,Baza[[№]:[Profit]],5,0),"")</f>
        <v/>
      </c>
      <c r="I288" s="46" t="str">
        <f>IFERROR(VLOOKUP(B288,Baza[[№]:[Profit]],6,0),"")</f>
        <v/>
      </c>
      <c r="J288" s="49" t="str">
        <f>IFERROR(VLOOKUP(B288,Baza[[№]:[Profit]],7,0),"")</f>
        <v/>
      </c>
      <c r="K288" s="43" t="str">
        <f>IFERROR(VLOOKUP(B288,Baza[[№]:[Profit]],8,0),"")</f>
        <v/>
      </c>
      <c r="L288" s="43" t="str">
        <f>IFERROR(VLOOKUP(B288,Baza[[№]:[Profit]],9,0),"")</f>
        <v/>
      </c>
      <c r="M288" s="43" t="str">
        <f>IFERROR(VLOOKUP(B288,Baza[[№]:[Profit]],10,0),"")</f>
        <v/>
      </c>
      <c r="N288" s="43" t="str">
        <f>IFERROR(IF(VLOOKUP(B288,Baza[[№]:[Profit]],11,0)=0,"-",VLOOKUP(B288,Baza[[№]:[Profit]],11,0)),"")</f>
        <v/>
      </c>
      <c r="O288" s="43" t="str">
        <f>IFERROR(IF(VLOOKUP(B288,Baza[[№]:[Profit]],12,0)=0,"-",VLOOKUP(B288,Baza[[№]:[Profit]],12,0)),"")</f>
        <v/>
      </c>
      <c r="P288" s="43" t="str">
        <f>IFERROR(IF(VLOOKUP(B288,Baza[[№]:[Profit]],13,0)=0,"-",VLOOKUP(B288,Baza[[№]:[Profit]],13,0)),"")</f>
        <v/>
      </c>
      <c r="Q288" s="43" t="str">
        <f>IFERROR(IF(VLOOKUP(B288,Baza[[№]:[Profit]],15,0)=0,"-",VLOOKUP(B288,Baza[[№]:[Profit]],15,0)),"")</f>
        <v/>
      </c>
      <c r="R288" s="43" t="str">
        <f>IFERROR(IF(VLOOKUP(B288,Baza[[№]:[Profit]],16,0)=0,"-",VLOOKUP(B288,Baza[[№]:[Profit]],16,0)),"")</f>
        <v/>
      </c>
      <c r="S288" s="43" t="str">
        <f>IFERROR(IF(VLOOKUP(B288,Baza[[№]:[Profit]],17,0)=0,"-",VLOOKUP(B288,Baza[[№]:[Profit]],17,0)),"")</f>
        <v/>
      </c>
      <c r="T288" s="43" t="str">
        <f>IFERROR(IF(VLOOKUP(B288,Baza[[№]:[Profit]],18,0)=0,"-",VLOOKUP(B288,Baza[[№]:[Profit]],18,0)),"")</f>
        <v/>
      </c>
      <c r="U288" s="41" t="str">
        <f>IFERROR(IF(VLOOKUP(B288,Baza[[№]:[Profit]],19,0)=0,"-",VLOOKUP(B288,Baza[[№]:[Profit]],19,0)),"")</f>
        <v/>
      </c>
      <c r="V288" s="41" t="str">
        <f>IFERROR(VLOOKUP(B288,Baza[[№]:[Profit]],20,0),"")</f>
        <v/>
      </c>
      <c r="W288" s="41" t="str">
        <f>IFERROR(IF(VLOOKUP(B288,Baza[[№]:[Profit]],21,0)=0,"-",VLOOKUP(B288,Baza[[№]:[Profit]],21,0)),"")</f>
        <v/>
      </c>
      <c r="X288" s="45" t="str">
        <f>IFERROR(IF(VLOOKUP(B288,Baza[[№]:[Profit]],22,0)=0,"-",VLOOKUP(B288,Baza[[№]:[Profit]],22,0)),"")</f>
        <v/>
      </c>
      <c r="Y288" s="45" t="str">
        <f>IFERROR(VLOOKUP(B288,Baza[[№]:[Profit]],23,0),"")</f>
        <v/>
      </c>
      <c r="Z288" s="44" t="str">
        <f>IFERROR(VLOOKUP(B288,Baza[[№]:[AFS]],24,0),"")</f>
        <v/>
      </c>
      <c r="AA288" s="45" t="str">
        <f>IF(Таблица2[[#This Row],[Profit]]="","#Н/Д",SUM($Y$40:Y288))</f>
        <v>#Н/Д</v>
      </c>
      <c r="AB288" s="45" t="b">
        <f>IF(Таблица2[[#This Row],[Grafik]]="#Н/Д",FALSE,TRUE)</f>
        <v>0</v>
      </c>
    </row>
    <row r="289" spans="2:28" ht="11.1" hidden="1" customHeight="1" x14ac:dyDescent="0.25">
      <c r="B289"/>
      <c r="C289" s="41" t="str">
        <f>IFERROR(VLOOKUP(B289,Baza[[№]:[Profit]],2,0),"")</f>
        <v/>
      </c>
      <c r="D28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8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89" s="43" t="str">
        <f>IFERROR(VLOOKUP(B289,Baza[[№]:[Profit]],3,0),"")</f>
        <v/>
      </c>
      <c r="G289" s="43" t="str">
        <f>IFERROR(VLOOKUP(B289,Baza[[№]:[Profit]],4,0),"")</f>
        <v/>
      </c>
      <c r="H289" s="43" t="str">
        <f>IFERROR(VLOOKUP(B289,Baza[[№]:[Profit]],5,0),"")</f>
        <v/>
      </c>
      <c r="I289" s="46" t="str">
        <f>IFERROR(VLOOKUP(B289,Baza[[№]:[Profit]],6,0),"")</f>
        <v/>
      </c>
      <c r="J289" s="49" t="str">
        <f>IFERROR(VLOOKUP(B289,Baza[[№]:[Profit]],7,0),"")</f>
        <v/>
      </c>
      <c r="K289" s="43" t="str">
        <f>IFERROR(VLOOKUP(B289,Baza[[№]:[Profit]],8,0),"")</f>
        <v/>
      </c>
      <c r="L289" s="43" t="str">
        <f>IFERROR(VLOOKUP(B289,Baza[[№]:[Profit]],9,0),"")</f>
        <v/>
      </c>
      <c r="M289" s="43" t="str">
        <f>IFERROR(VLOOKUP(B289,Baza[[№]:[Profit]],10,0),"")</f>
        <v/>
      </c>
      <c r="N289" s="43" t="str">
        <f>IFERROR(IF(VLOOKUP(B289,Baza[[№]:[Profit]],11,0)=0,"-",VLOOKUP(B289,Baza[[№]:[Profit]],11,0)),"")</f>
        <v/>
      </c>
      <c r="O289" s="43" t="str">
        <f>IFERROR(IF(VLOOKUP(B289,Baza[[№]:[Profit]],12,0)=0,"-",VLOOKUP(B289,Baza[[№]:[Profit]],12,0)),"")</f>
        <v/>
      </c>
      <c r="P289" s="43" t="str">
        <f>IFERROR(IF(VLOOKUP(B289,Baza[[№]:[Profit]],13,0)=0,"-",VLOOKUP(B289,Baza[[№]:[Profit]],13,0)),"")</f>
        <v/>
      </c>
      <c r="Q289" s="43" t="str">
        <f>IFERROR(IF(VLOOKUP(B289,Baza[[№]:[Profit]],15,0)=0,"-",VLOOKUP(B289,Baza[[№]:[Profit]],15,0)),"")</f>
        <v/>
      </c>
      <c r="R289" s="43" t="str">
        <f>IFERROR(IF(VLOOKUP(B289,Baza[[№]:[Profit]],16,0)=0,"-",VLOOKUP(B289,Baza[[№]:[Profit]],16,0)),"")</f>
        <v/>
      </c>
      <c r="S289" s="43" t="str">
        <f>IFERROR(IF(VLOOKUP(B289,Baza[[№]:[Profit]],17,0)=0,"-",VLOOKUP(B289,Baza[[№]:[Profit]],17,0)),"")</f>
        <v/>
      </c>
      <c r="T289" s="43" t="str">
        <f>IFERROR(IF(VLOOKUP(B289,Baza[[№]:[Profit]],18,0)=0,"-",VLOOKUP(B289,Baza[[№]:[Profit]],18,0)),"")</f>
        <v/>
      </c>
      <c r="U289" s="41" t="str">
        <f>IFERROR(IF(VLOOKUP(B289,Baza[[№]:[Profit]],19,0)=0,"-",VLOOKUP(B289,Baza[[№]:[Profit]],19,0)),"")</f>
        <v/>
      </c>
      <c r="V289" s="41" t="str">
        <f>IFERROR(VLOOKUP(B289,Baza[[№]:[Profit]],20,0),"")</f>
        <v/>
      </c>
      <c r="W289" s="41" t="str">
        <f>IFERROR(IF(VLOOKUP(B289,Baza[[№]:[Profit]],21,0)=0,"-",VLOOKUP(B289,Baza[[№]:[Profit]],21,0)),"")</f>
        <v/>
      </c>
      <c r="X289" s="45" t="str">
        <f>IFERROR(IF(VLOOKUP(B289,Baza[[№]:[Profit]],22,0)=0,"-",VLOOKUP(B289,Baza[[№]:[Profit]],22,0)),"")</f>
        <v/>
      </c>
      <c r="Y289" s="45" t="str">
        <f>IFERROR(VLOOKUP(B289,Baza[[№]:[Profit]],23,0),"")</f>
        <v/>
      </c>
      <c r="Z289" s="44" t="str">
        <f>IFERROR(VLOOKUP(B289,Baza[[№]:[AFS]],24,0),"")</f>
        <v/>
      </c>
      <c r="AA289" s="45" t="str">
        <f>IF(Таблица2[[#This Row],[Profit]]="","#Н/Д",SUM($Y$40:Y289))</f>
        <v>#Н/Д</v>
      </c>
      <c r="AB289" s="45" t="b">
        <f>IF(Таблица2[[#This Row],[Grafik]]="#Н/Д",FALSE,TRUE)</f>
        <v>0</v>
      </c>
    </row>
    <row r="290" spans="2:28" ht="11.1" hidden="1" customHeight="1" x14ac:dyDescent="0.25">
      <c r="B290"/>
      <c r="C290" s="41" t="str">
        <f>IFERROR(VLOOKUP(B290,Baza[[№]:[Profit]],2,0),"")</f>
        <v/>
      </c>
      <c r="D29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9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90" s="43" t="str">
        <f>IFERROR(VLOOKUP(B290,Baza[[№]:[Profit]],3,0),"")</f>
        <v/>
      </c>
      <c r="G290" s="43" t="str">
        <f>IFERROR(VLOOKUP(B290,Baza[[№]:[Profit]],4,0),"")</f>
        <v/>
      </c>
      <c r="H290" s="43" t="str">
        <f>IFERROR(VLOOKUP(B290,Baza[[№]:[Profit]],5,0),"")</f>
        <v/>
      </c>
      <c r="I290" s="46" t="str">
        <f>IFERROR(VLOOKUP(B290,Baza[[№]:[Profit]],6,0),"")</f>
        <v/>
      </c>
      <c r="J290" s="49" t="str">
        <f>IFERROR(VLOOKUP(B290,Baza[[№]:[Profit]],7,0),"")</f>
        <v/>
      </c>
      <c r="K290" s="43" t="str">
        <f>IFERROR(VLOOKUP(B290,Baza[[№]:[Profit]],8,0),"")</f>
        <v/>
      </c>
      <c r="L290" s="43" t="str">
        <f>IFERROR(VLOOKUP(B290,Baza[[№]:[Profit]],9,0),"")</f>
        <v/>
      </c>
      <c r="M290" s="43" t="str">
        <f>IFERROR(VLOOKUP(B290,Baza[[№]:[Profit]],10,0),"")</f>
        <v/>
      </c>
      <c r="N290" s="43" t="str">
        <f>IFERROR(IF(VLOOKUP(B290,Baza[[№]:[Profit]],11,0)=0,"-",VLOOKUP(B290,Baza[[№]:[Profit]],11,0)),"")</f>
        <v/>
      </c>
      <c r="O290" s="43" t="str">
        <f>IFERROR(IF(VLOOKUP(B290,Baza[[№]:[Profit]],12,0)=0,"-",VLOOKUP(B290,Baza[[№]:[Profit]],12,0)),"")</f>
        <v/>
      </c>
      <c r="P290" s="43" t="str">
        <f>IFERROR(IF(VLOOKUP(B290,Baza[[№]:[Profit]],13,0)=0,"-",VLOOKUP(B290,Baza[[№]:[Profit]],13,0)),"")</f>
        <v/>
      </c>
      <c r="Q290" s="43" t="str">
        <f>IFERROR(IF(VLOOKUP(B290,Baza[[№]:[Profit]],15,0)=0,"-",VLOOKUP(B290,Baza[[№]:[Profit]],15,0)),"")</f>
        <v/>
      </c>
      <c r="R290" s="43" t="str">
        <f>IFERROR(IF(VLOOKUP(B290,Baza[[№]:[Profit]],16,0)=0,"-",VLOOKUP(B290,Baza[[№]:[Profit]],16,0)),"")</f>
        <v/>
      </c>
      <c r="S290" s="43" t="str">
        <f>IFERROR(IF(VLOOKUP(B290,Baza[[№]:[Profit]],17,0)=0,"-",VLOOKUP(B290,Baza[[№]:[Profit]],17,0)),"")</f>
        <v/>
      </c>
      <c r="T290" s="43" t="str">
        <f>IFERROR(IF(VLOOKUP(B290,Baza[[№]:[Profit]],18,0)=0,"-",VLOOKUP(B290,Baza[[№]:[Profit]],18,0)),"")</f>
        <v/>
      </c>
      <c r="U290" s="41" t="str">
        <f>IFERROR(IF(VLOOKUP(B290,Baza[[№]:[Profit]],19,0)=0,"-",VLOOKUP(B290,Baza[[№]:[Profit]],19,0)),"")</f>
        <v/>
      </c>
      <c r="V290" s="41" t="str">
        <f>IFERROR(VLOOKUP(B290,Baza[[№]:[Profit]],20,0),"")</f>
        <v/>
      </c>
      <c r="W290" s="41" t="str">
        <f>IFERROR(IF(VLOOKUP(B290,Baza[[№]:[Profit]],21,0)=0,"-",VLOOKUP(B290,Baza[[№]:[Profit]],21,0)),"")</f>
        <v/>
      </c>
      <c r="X290" s="45" t="str">
        <f>IFERROR(IF(VLOOKUP(B290,Baza[[№]:[Profit]],22,0)=0,"-",VLOOKUP(B290,Baza[[№]:[Profit]],22,0)),"")</f>
        <v/>
      </c>
      <c r="Y290" s="45" t="str">
        <f>IFERROR(VLOOKUP(B290,Baza[[№]:[Profit]],23,0),"")</f>
        <v/>
      </c>
      <c r="Z290" s="44" t="str">
        <f>IFERROR(VLOOKUP(B290,Baza[[№]:[AFS]],24,0),"")</f>
        <v/>
      </c>
      <c r="AA290" s="45" t="str">
        <f>IF(Таблица2[[#This Row],[Profit]]="","#Н/Д",SUM($Y$40:Y290))</f>
        <v>#Н/Д</v>
      </c>
      <c r="AB290" s="45" t="b">
        <f>IF(Таблица2[[#This Row],[Grafik]]="#Н/Д",FALSE,TRUE)</f>
        <v>0</v>
      </c>
    </row>
    <row r="291" spans="2:28" ht="11.1" hidden="1" customHeight="1" x14ac:dyDescent="0.25">
      <c r="B291"/>
      <c r="C291" s="41" t="str">
        <f>IFERROR(VLOOKUP(B291,Baza[[№]:[Profit]],2,0),"")</f>
        <v/>
      </c>
      <c r="D29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9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91" s="43" t="str">
        <f>IFERROR(VLOOKUP(B291,Baza[[№]:[Profit]],3,0),"")</f>
        <v/>
      </c>
      <c r="G291" s="43" t="str">
        <f>IFERROR(VLOOKUP(B291,Baza[[№]:[Profit]],4,0),"")</f>
        <v/>
      </c>
      <c r="H291" s="43" t="str">
        <f>IFERROR(VLOOKUP(B291,Baza[[№]:[Profit]],5,0),"")</f>
        <v/>
      </c>
      <c r="I291" s="46" t="str">
        <f>IFERROR(VLOOKUP(B291,Baza[[№]:[Profit]],6,0),"")</f>
        <v/>
      </c>
      <c r="J291" s="49" t="str">
        <f>IFERROR(VLOOKUP(B291,Baza[[№]:[Profit]],7,0),"")</f>
        <v/>
      </c>
      <c r="K291" s="43" t="str">
        <f>IFERROR(VLOOKUP(B291,Baza[[№]:[Profit]],8,0),"")</f>
        <v/>
      </c>
      <c r="L291" s="43" t="str">
        <f>IFERROR(VLOOKUP(B291,Baza[[№]:[Profit]],9,0),"")</f>
        <v/>
      </c>
      <c r="M291" s="43" t="str">
        <f>IFERROR(VLOOKUP(B291,Baza[[№]:[Profit]],10,0),"")</f>
        <v/>
      </c>
      <c r="N291" s="43" t="str">
        <f>IFERROR(IF(VLOOKUP(B291,Baza[[№]:[Profit]],11,0)=0,"-",VLOOKUP(B291,Baza[[№]:[Profit]],11,0)),"")</f>
        <v/>
      </c>
      <c r="O291" s="43" t="str">
        <f>IFERROR(IF(VLOOKUP(B291,Baza[[№]:[Profit]],12,0)=0,"-",VLOOKUP(B291,Baza[[№]:[Profit]],12,0)),"")</f>
        <v/>
      </c>
      <c r="P291" s="43" t="str">
        <f>IFERROR(IF(VLOOKUP(B291,Baza[[№]:[Profit]],13,0)=0,"-",VLOOKUP(B291,Baza[[№]:[Profit]],13,0)),"")</f>
        <v/>
      </c>
      <c r="Q291" s="43" t="str">
        <f>IFERROR(IF(VLOOKUP(B291,Baza[[№]:[Profit]],15,0)=0,"-",VLOOKUP(B291,Baza[[№]:[Profit]],15,0)),"")</f>
        <v/>
      </c>
      <c r="R291" s="43" t="str">
        <f>IFERROR(IF(VLOOKUP(B291,Baza[[№]:[Profit]],16,0)=0,"-",VLOOKUP(B291,Baza[[№]:[Profit]],16,0)),"")</f>
        <v/>
      </c>
      <c r="S291" s="43" t="str">
        <f>IFERROR(IF(VLOOKUP(B291,Baza[[№]:[Profit]],17,0)=0,"-",VLOOKUP(B291,Baza[[№]:[Profit]],17,0)),"")</f>
        <v/>
      </c>
      <c r="T291" s="43" t="str">
        <f>IFERROR(IF(VLOOKUP(B291,Baza[[№]:[Profit]],18,0)=0,"-",VLOOKUP(B291,Baza[[№]:[Profit]],18,0)),"")</f>
        <v/>
      </c>
      <c r="U291" s="41" t="str">
        <f>IFERROR(IF(VLOOKUP(B291,Baza[[№]:[Profit]],19,0)=0,"-",VLOOKUP(B291,Baza[[№]:[Profit]],19,0)),"")</f>
        <v/>
      </c>
      <c r="V291" s="41" t="str">
        <f>IFERROR(VLOOKUP(B291,Baza[[№]:[Profit]],20,0),"")</f>
        <v/>
      </c>
      <c r="W291" s="41" t="str">
        <f>IFERROR(IF(VLOOKUP(B291,Baza[[№]:[Profit]],21,0)=0,"-",VLOOKUP(B291,Baza[[№]:[Profit]],21,0)),"")</f>
        <v/>
      </c>
      <c r="X291" s="45" t="str">
        <f>IFERROR(IF(VLOOKUP(B291,Baza[[№]:[Profit]],22,0)=0,"-",VLOOKUP(B291,Baza[[№]:[Profit]],22,0)),"")</f>
        <v/>
      </c>
      <c r="Y291" s="45" t="str">
        <f>IFERROR(VLOOKUP(B291,Baza[[№]:[Profit]],23,0),"")</f>
        <v/>
      </c>
      <c r="Z291" s="44" t="str">
        <f>IFERROR(VLOOKUP(B291,Baza[[№]:[AFS]],24,0),"")</f>
        <v/>
      </c>
      <c r="AA291" s="45" t="str">
        <f>IF(Таблица2[[#This Row],[Profit]]="","#Н/Д",SUM($Y$40:Y291))</f>
        <v>#Н/Д</v>
      </c>
      <c r="AB291" s="45" t="b">
        <f>IF(Таблица2[[#This Row],[Grafik]]="#Н/Д",FALSE,TRUE)</f>
        <v>0</v>
      </c>
    </row>
    <row r="292" spans="2:28" ht="11.1" hidden="1" customHeight="1" x14ac:dyDescent="0.25">
      <c r="B292"/>
      <c r="C292" s="41" t="str">
        <f>IFERROR(VLOOKUP(B292,Baza[[№]:[Profit]],2,0),"")</f>
        <v/>
      </c>
      <c r="D29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9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92" s="43" t="str">
        <f>IFERROR(VLOOKUP(B292,Baza[[№]:[Profit]],3,0),"")</f>
        <v/>
      </c>
      <c r="G292" s="43" t="str">
        <f>IFERROR(VLOOKUP(B292,Baza[[№]:[Profit]],4,0),"")</f>
        <v/>
      </c>
      <c r="H292" s="43" t="str">
        <f>IFERROR(VLOOKUP(B292,Baza[[№]:[Profit]],5,0),"")</f>
        <v/>
      </c>
      <c r="I292" s="46" t="str">
        <f>IFERROR(VLOOKUP(B292,Baza[[№]:[Profit]],6,0),"")</f>
        <v/>
      </c>
      <c r="J292" s="49" t="str">
        <f>IFERROR(VLOOKUP(B292,Baza[[№]:[Profit]],7,0),"")</f>
        <v/>
      </c>
      <c r="K292" s="43" t="str">
        <f>IFERROR(VLOOKUP(B292,Baza[[№]:[Profit]],8,0),"")</f>
        <v/>
      </c>
      <c r="L292" s="43" t="str">
        <f>IFERROR(VLOOKUP(B292,Baza[[№]:[Profit]],9,0),"")</f>
        <v/>
      </c>
      <c r="M292" s="43" t="str">
        <f>IFERROR(VLOOKUP(B292,Baza[[№]:[Profit]],10,0),"")</f>
        <v/>
      </c>
      <c r="N292" s="43" t="str">
        <f>IFERROR(IF(VLOOKUP(B292,Baza[[№]:[Profit]],11,0)=0,"-",VLOOKUP(B292,Baza[[№]:[Profit]],11,0)),"")</f>
        <v/>
      </c>
      <c r="O292" s="43" t="str">
        <f>IFERROR(IF(VLOOKUP(B292,Baza[[№]:[Profit]],12,0)=0,"-",VLOOKUP(B292,Baza[[№]:[Profit]],12,0)),"")</f>
        <v/>
      </c>
      <c r="P292" s="43" t="str">
        <f>IFERROR(IF(VLOOKUP(B292,Baza[[№]:[Profit]],13,0)=0,"-",VLOOKUP(B292,Baza[[№]:[Profit]],13,0)),"")</f>
        <v/>
      </c>
      <c r="Q292" s="43" t="str">
        <f>IFERROR(IF(VLOOKUP(B292,Baza[[№]:[Profit]],15,0)=0,"-",VLOOKUP(B292,Baza[[№]:[Profit]],15,0)),"")</f>
        <v/>
      </c>
      <c r="R292" s="43" t="str">
        <f>IFERROR(IF(VLOOKUP(B292,Baza[[№]:[Profit]],16,0)=0,"-",VLOOKUP(B292,Baza[[№]:[Profit]],16,0)),"")</f>
        <v/>
      </c>
      <c r="S292" s="43" t="str">
        <f>IFERROR(IF(VLOOKUP(B292,Baza[[№]:[Profit]],17,0)=0,"-",VLOOKUP(B292,Baza[[№]:[Profit]],17,0)),"")</f>
        <v/>
      </c>
      <c r="T292" s="43" t="str">
        <f>IFERROR(IF(VLOOKUP(B292,Baza[[№]:[Profit]],18,0)=0,"-",VLOOKUP(B292,Baza[[№]:[Profit]],18,0)),"")</f>
        <v/>
      </c>
      <c r="U292" s="41" t="str">
        <f>IFERROR(IF(VLOOKUP(B292,Baza[[№]:[Profit]],19,0)=0,"-",VLOOKUP(B292,Baza[[№]:[Profit]],19,0)),"")</f>
        <v/>
      </c>
      <c r="V292" s="41" t="str">
        <f>IFERROR(VLOOKUP(B292,Baza[[№]:[Profit]],20,0),"")</f>
        <v/>
      </c>
      <c r="W292" s="41" t="str">
        <f>IFERROR(IF(VLOOKUP(B292,Baza[[№]:[Profit]],21,0)=0,"-",VLOOKUP(B292,Baza[[№]:[Profit]],21,0)),"")</f>
        <v/>
      </c>
      <c r="X292" s="45" t="str">
        <f>IFERROR(IF(VLOOKUP(B292,Baza[[№]:[Profit]],22,0)=0,"-",VLOOKUP(B292,Baza[[№]:[Profit]],22,0)),"")</f>
        <v/>
      </c>
      <c r="Y292" s="45" t="str">
        <f>IFERROR(VLOOKUP(B292,Baza[[№]:[Profit]],23,0),"")</f>
        <v/>
      </c>
      <c r="Z292" s="44" t="str">
        <f>IFERROR(VLOOKUP(B292,Baza[[№]:[AFS]],24,0),"")</f>
        <v/>
      </c>
      <c r="AA292" s="45" t="str">
        <f>IF(Таблица2[[#This Row],[Profit]]="","#Н/Д",SUM($Y$40:Y292))</f>
        <v>#Н/Д</v>
      </c>
      <c r="AB292" s="45" t="b">
        <f>IF(Таблица2[[#This Row],[Grafik]]="#Н/Д",FALSE,TRUE)</f>
        <v>0</v>
      </c>
    </row>
    <row r="293" spans="2:28" ht="11.1" hidden="1" customHeight="1" x14ac:dyDescent="0.25">
      <c r="B293"/>
      <c r="C293" s="41" t="str">
        <f>IFERROR(VLOOKUP(B293,Baza[[№]:[Profit]],2,0),"")</f>
        <v/>
      </c>
      <c r="D29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9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93" s="43" t="str">
        <f>IFERROR(VLOOKUP(B293,Baza[[№]:[Profit]],3,0),"")</f>
        <v/>
      </c>
      <c r="G293" s="43" t="str">
        <f>IFERROR(VLOOKUP(B293,Baza[[№]:[Profit]],4,0),"")</f>
        <v/>
      </c>
      <c r="H293" s="43" t="str">
        <f>IFERROR(VLOOKUP(B293,Baza[[№]:[Profit]],5,0),"")</f>
        <v/>
      </c>
      <c r="I293" s="46" t="str">
        <f>IFERROR(VLOOKUP(B293,Baza[[№]:[Profit]],6,0),"")</f>
        <v/>
      </c>
      <c r="J293" s="49" t="str">
        <f>IFERROR(VLOOKUP(B293,Baza[[№]:[Profit]],7,0),"")</f>
        <v/>
      </c>
      <c r="K293" s="43" t="str">
        <f>IFERROR(VLOOKUP(B293,Baza[[№]:[Profit]],8,0),"")</f>
        <v/>
      </c>
      <c r="L293" s="43" t="str">
        <f>IFERROR(VLOOKUP(B293,Baza[[№]:[Profit]],9,0),"")</f>
        <v/>
      </c>
      <c r="M293" s="43" t="str">
        <f>IFERROR(VLOOKUP(B293,Baza[[№]:[Profit]],10,0),"")</f>
        <v/>
      </c>
      <c r="N293" s="43" t="str">
        <f>IFERROR(IF(VLOOKUP(B293,Baza[[№]:[Profit]],11,0)=0,"-",VLOOKUP(B293,Baza[[№]:[Profit]],11,0)),"")</f>
        <v/>
      </c>
      <c r="O293" s="43" t="str">
        <f>IFERROR(IF(VLOOKUP(B293,Baza[[№]:[Profit]],12,0)=0,"-",VLOOKUP(B293,Baza[[№]:[Profit]],12,0)),"")</f>
        <v/>
      </c>
      <c r="P293" s="43" t="str">
        <f>IFERROR(IF(VLOOKUP(B293,Baza[[№]:[Profit]],13,0)=0,"-",VLOOKUP(B293,Baza[[№]:[Profit]],13,0)),"")</f>
        <v/>
      </c>
      <c r="Q293" s="43" t="str">
        <f>IFERROR(IF(VLOOKUP(B293,Baza[[№]:[Profit]],15,0)=0,"-",VLOOKUP(B293,Baza[[№]:[Profit]],15,0)),"")</f>
        <v/>
      </c>
      <c r="R293" s="43" t="str">
        <f>IFERROR(IF(VLOOKUP(B293,Baza[[№]:[Profit]],16,0)=0,"-",VLOOKUP(B293,Baza[[№]:[Profit]],16,0)),"")</f>
        <v/>
      </c>
      <c r="S293" s="43" t="str">
        <f>IFERROR(IF(VLOOKUP(B293,Baza[[№]:[Profit]],17,0)=0,"-",VLOOKUP(B293,Baza[[№]:[Profit]],17,0)),"")</f>
        <v/>
      </c>
      <c r="T293" s="43" t="str">
        <f>IFERROR(IF(VLOOKUP(B293,Baza[[№]:[Profit]],18,0)=0,"-",VLOOKUP(B293,Baza[[№]:[Profit]],18,0)),"")</f>
        <v/>
      </c>
      <c r="U293" s="41" t="str">
        <f>IFERROR(IF(VLOOKUP(B293,Baza[[№]:[Profit]],19,0)=0,"-",VLOOKUP(B293,Baza[[№]:[Profit]],19,0)),"")</f>
        <v/>
      </c>
      <c r="V293" s="41" t="str">
        <f>IFERROR(VLOOKUP(B293,Baza[[№]:[Profit]],20,0),"")</f>
        <v/>
      </c>
      <c r="W293" s="41" t="str">
        <f>IFERROR(IF(VLOOKUP(B293,Baza[[№]:[Profit]],21,0)=0,"-",VLOOKUP(B293,Baza[[№]:[Profit]],21,0)),"")</f>
        <v/>
      </c>
      <c r="X293" s="45" t="str">
        <f>IFERROR(IF(VLOOKUP(B293,Baza[[№]:[Profit]],22,0)=0,"-",VLOOKUP(B293,Baza[[№]:[Profit]],22,0)),"")</f>
        <v/>
      </c>
      <c r="Y293" s="45" t="str">
        <f>IFERROR(VLOOKUP(B293,Baza[[№]:[Profit]],23,0),"")</f>
        <v/>
      </c>
      <c r="Z293" s="44" t="str">
        <f>IFERROR(VLOOKUP(B293,Baza[[№]:[AFS]],24,0),"")</f>
        <v/>
      </c>
      <c r="AA293" s="45" t="str">
        <f>IF(Таблица2[[#This Row],[Profit]]="","#Н/Д",SUM($Y$40:Y293))</f>
        <v>#Н/Д</v>
      </c>
      <c r="AB293" s="45" t="b">
        <f>IF(Таблица2[[#This Row],[Grafik]]="#Н/Д",FALSE,TRUE)</f>
        <v>0</v>
      </c>
    </row>
    <row r="294" spans="2:28" ht="11.1" hidden="1" customHeight="1" x14ac:dyDescent="0.25">
      <c r="B294"/>
      <c r="C294" s="41" t="str">
        <f>IFERROR(VLOOKUP(B294,Baza[[№]:[Profit]],2,0),"")</f>
        <v/>
      </c>
      <c r="D29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9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94" s="43" t="str">
        <f>IFERROR(VLOOKUP(B294,Baza[[№]:[Profit]],3,0),"")</f>
        <v/>
      </c>
      <c r="G294" s="43" t="str">
        <f>IFERROR(VLOOKUP(B294,Baza[[№]:[Profit]],4,0),"")</f>
        <v/>
      </c>
      <c r="H294" s="43" t="str">
        <f>IFERROR(VLOOKUP(B294,Baza[[№]:[Profit]],5,0),"")</f>
        <v/>
      </c>
      <c r="I294" s="46" t="str">
        <f>IFERROR(VLOOKUP(B294,Baza[[№]:[Profit]],6,0),"")</f>
        <v/>
      </c>
      <c r="J294" s="49" t="str">
        <f>IFERROR(VLOOKUP(B294,Baza[[№]:[Profit]],7,0),"")</f>
        <v/>
      </c>
      <c r="K294" s="43" t="str">
        <f>IFERROR(VLOOKUP(B294,Baza[[№]:[Profit]],8,0),"")</f>
        <v/>
      </c>
      <c r="L294" s="43" t="str">
        <f>IFERROR(VLOOKUP(B294,Baza[[№]:[Profit]],9,0),"")</f>
        <v/>
      </c>
      <c r="M294" s="43" t="str">
        <f>IFERROR(VLOOKUP(B294,Baza[[№]:[Profit]],10,0),"")</f>
        <v/>
      </c>
      <c r="N294" s="43" t="str">
        <f>IFERROR(IF(VLOOKUP(B294,Baza[[№]:[Profit]],11,0)=0,"-",VLOOKUP(B294,Baza[[№]:[Profit]],11,0)),"")</f>
        <v/>
      </c>
      <c r="O294" s="43" t="str">
        <f>IFERROR(IF(VLOOKUP(B294,Baza[[№]:[Profit]],12,0)=0,"-",VLOOKUP(B294,Baza[[№]:[Profit]],12,0)),"")</f>
        <v/>
      </c>
      <c r="P294" s="43" t="str">
        <f>IFERROR(IF(VLOOKUP(B294,Baza[[№]:[Profit]],13,0)=0,"-",VLOOKUP(B294,Baza[[№]:[Profit]],13,0)),"")</f>
        <v/>
      </c>
      <c r="Q294" s="43" t="str">
        <f>IFERROR(IF(VLOOKUP(B294,Baza[[№]:[Profit]],15,0)=0,"-",VLOOKUP(B294,Baza[[№]:[Profit]],15,0)),"")</f>
        <v/>
      </c>
      <c r="R294" s="43" t="str">
        <f>IFERROR(IF(VLOOKUP(B294,Baza[[№]:[Profit]],16,0)=0,"-",VLOOKUP(B294,Baza[[№]:[Profit]],16,0)),"")</f>
        <v/>
      </c>
      <c r="S294" s="43" t="str">
        <f>IFERROR(IF(VLOOKUP(B294,Baza[[№]:[Profit]],17,0)=0,"-",VLOOKUP(B294,Baza[[№]:[Profit]],17,0)),"")</f>
        <v/>
      </c>
      <c r="T294" s="43" t="str">
        <f>IFERROR(IF(VLOOKUP(B294,Baza[[№]:[Profit]],18,0)=0,"-",VLOOKUP(B294,Baza[[№]:[Profit]],18,0)),"")</f>
        <v/>
      </c>
      <c r="U294" s="41" t="str">
        <f>IFERROR(IF(VLOOKUP(B294,Baza[[№]:[Profit]],19,0)=0,"-",VLOOKUP(B294,Baza[[№]:[Profit]],19,0)),"")</f>
        <v/>
      </c>
      <c r="V294" s="41" t="str">
        <f>IFERROR(VLOOKUP(B294,Baza[[№]:[Profit]],20,0),"")</f>
        <v/>
      </c>
      <c r="W294" s="41" t="str">
        <f>IFERROR(IF(VLOOKUP(B294,Baza[[№]:[Profit]],21,0)=0,"-",VLOOKUP(B294,Baza[[№]:[Profit]],21,0)),"")</f>
        <v/>
      </c>
      <c r="X294" s="45" t="str">
        <f>IFERROR(IF(VLOOKUP(B294,Baza[[№]:[Profit]],22,0)=0,"-",VLOOKUP(B294,Baza[[№]:[Profit]],22,0)),"")</f>
        <v/>
      </c>
      <c r="Y294" s="45" t="str">
        <f>IFERROR(VLOOKUP(B294,Baza[[№]:[Profit]],23,0),"")</f>
        <v/>
      </c>
      <c r="Z294" s="44" t="str">
        <f>IFERROR(VLOOKUP(B294,Baza[[№]:[AFS]],24,0),"")</f>
        <v/>
      </c>
      <c r="AA294" s="45" t="str">
        <f>IF(Таблица2[[#This Row],[Profit]]="","#Н/Д",SUM($Y$40:Y294))</f>
        <v>#Н/Д</v>
      </c>
      <c r="AB294" s="45" t="b">
        <f>IF(Таблица2[[#This Row],[Grafik]]="#Н/Д",FALSE,TRUE)</f>
        <v>0</v>
      </c>
    </row>
    <row r="295" spans="2:28" ht="11.1" hidden="1" customHeight="1" x14ac:dyDescent="0.25">
      <c r="B295"/>
      <c r="C295" s="41" t="str">
        <f>IFERROR(VLOOKUP(B295,Baza[[№]:[Profit]],2,0),"")</f>
        <v/>
      </c>
      <c r="D29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9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95" s="43" t="str">
        <f>IFERROR(VLOOKUP(B295,Baza[[№]:[Profit]],3,0),"")</f>
        <v/>
      </c>
      <c r="G295" s="43" t="str">
        <f>IFERROR(VLOOKUP(B295,Baza[[№]:[Profit]],4,0),"")</f>
        <v/>
      </c>
      <c r="H295" s="43" t="str">
        <f>IFERROR(VLOOKUP(B295,Baza[[№]:[Profit]],5,0),"")</f>
        <v/>
      </c>
      <c r="I295" s="46" t="str">
        <f>IFERROR(VLOOKUP(B295,Baza[[№]:[Profit]],6,0),"")</f>
        <v/>
      </c>
      <c r="J295" s="49" t="str">
        <f>IFERROR(VLOOKUP(B295,Baza[[№]:[Profit]],7,0),"")</f>
        <v/>
      </c>
      <c r="K295" s="43" t="str">
        <f>IFERROR(VLOOKUP(B295,Baza[[№]:[Profit]],8,0),"")</f>
        <v/>
      </c>
      <c r="L295" s="43" t="str">
        <f>IFERROR(VLOOKUP(B295,Baza[[№]:[Profit]],9,0),"")</f>
        <v/>
      </c>
      <c r="M295" s="43" t="str">
        <f>IFERROR(VLOOKUP(B295,Baza[[№]:[Profit]],10,0),"")</f>
        <v/>
      </c>
      <c r="N295" s="43" t="str">
        <f>IFERROR(IF(VLOOKUP(B295,Baza[[№]:[Profit]],11,0)=0,"-",VLOOKUP(B295,Baza[[№]:[Profit]],11,0)),"")</f>
        <v/>
      </c>
      <c r="O295" s="43" t="str">
        <f>IFERROR(IF(VLOOKUP(B295,Baza[[№]:[Profit]],12,0)=0,"-",VLOOKUP(B295,Baza[[№]:[Profit]],12,0)),"")</f>
        <v/>
      </c>
      <c r="P295" s="43" t="str">
        <f>IFERROR(IF(VLOOKUP(B295,Baza[[№]:[Profit]],13,0)=0,"-",VLOOKUP(B295,Baza[[№]:[Profit]],13,0)),"")</f>
        <v/>
      </c>
      <c r="Q295" s="43" t="str">
        <f>IFERROR(IF(VLOOKUP(B295,Baza[[№]:[Profit]],15,0)=0,"-",VLOOKUP(B295,Baza[[№]:[Profit]],15,0)),"")</f>
        <v/>
      </c>
      <c r="R295" s="43" t="str">
        <f>IFERROR(IF(VLOOKUP(B295,Baza[[№]:[Profit]],16,0)=0,"-",VLOOKUP(B295,Baza[[№]:[Profit]],16,0)),"")</f>
        <v/>
      </c>
      <c r="S295" s="43" t="str">
        <f>IFERROR(IF(VLOOKUP(B295,Baza[[№]:[Profit]],17,0)=0,"-",VLOOKUP(B295,Baza[[№]:[Profit]],17,0)),"")</f>
        <v/>
      </c>
      <c r="T295" s="43" t="str">
        <f>IFERROR(IF(VLOOKUP(B295,Baza[[№]:[Profit]],18,0)=0,"-",VLOOKUP(B295,Baza[[№]:[Profit]],18,0)),"")</f>
        <v/>
      </c>
      <c r="U295" s="41" t="str">
        <f>IFERROR(IF(VLOOKUP(B295,Baza[[№]:[Profit]],19,0)=0,"-",VLOOKUP(B295,Baza[[№]:[Profit]],19,0)),"")</f>
        <v/>
      </c>
      <c r="V295" s="41" t="str">
        <f>IFERROR(VLOOKUP(B295,Baza[[№]:[Profit]],20,0),"")</f>
        <v/>
      </c>
      <c r="W295" s="41" t="str">
        <f>IFERROR(IF(VLOOKUP(B295,Baza[[№]:[Profit]],21,0)=0,"-",VLOOKUP(B295,Baza[[№]:[Profit]],21,0)),"")</f>
        <v/>
      </c>
      <c r="X295" s="45" t="str">
        <f>IFERROR(IF(VLOOKUP(B295,Baza[[№]:[Profit]],22,0)=0,"-",VLOOKUP(B295,Baza[[№]:[Profit]],22,0)),"")</f>
        <v/>
      </c>
      <c r="Y295" s="45" t="str">
        <f>IFERROR(VLOOKUP(B295,Baza[[№]:[Profit]],23,0),"")</f>
        <v/>
      </c>
      <c r="Z295" s="44" t="str">
        <f>IFERROR(VLOOKUP(B295,Baza[[№]:[AFS]],24,0),"")</f>
        <v/>
      </c>
      <c r="AA295" s="45" t="str">
        <f>IF(Таблица2[[#This Row],[Profit]]="","#Н/Д",SUM($Y$40:Y295))</f>
        <v>#Н/Д</v>
      </c>
      <c r="AB295" s="45" t="b">
        <f>IF(Таблица2[[#This Row],[Grafik]]="#Н/Д",FALSE,TRUE)</f>
        <v>0</v>
      </c>
    </row>
    <row r="296" spans="2:28" ht="11.1" hidden="1" customHeight="1" x14ac:dyDescent="0.25">
      <c r="B296"/>
      <c r="C296" s="41" t="str">
        <f>IFERROR(VLOOKUP(B296,Baza[[№]:[Profit]],2,0),"")</f>
        <v/>
      </c>
      <c r="D29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9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96" s="43" t="str">
        <f>IFERROR(VLOOKUP(B296,Baza[[№]:[Profit]],3,0),"")</f>
        <v/>
      </c>
      <c r="G296" s="43" t="str">
        <f>IFERROR(VLOOKUP(B296,Baza[[№]:[Profit]],4,0),"")</f>
        <v/>
      </c>
      <c r="H296" s="43" t="str">
        <f>IFERROR(VLOOKUP(B296,Baza[[№]:[Profit]],5,0),"")</f>
        <v/>
      </c>
      <c r="I296" s="46" t="str">
        <f>IFERROR(VLOOKUP(B296,Baza[[№]:[Profit]],6,0),"")</f>
        <v/>
      </c>
      <c r="J296" s="49" t="str">
        <f>IFERROR(VLOOKUP(B296,Baza[[№]:[Profit]],7,0),"")</f>
        <v/>
      </c>
      <c r="K296" s="43" t="str">
        <f>IFERROR(VLOOKUP(B296,Baza[[№]:[Profit]],8,0),"")</f>
        <v/>
      </c>
      <c r="L296" s="43" t="str">
        <f>IFERROR(VLOOKUP(B296,Baza[[№]:[Profit]],9,0),"")</f>
        <v/>
      </c>
      <c r="M296" s="43" t="str">
        <f>IFERROR(VLOOKUP(B296,Baza[[№]:[Profit]],10,0),"")</f>
        <v/>
      </c>
      <c r="N296" s="43" t="str">
        <f>IFERROR(IF(VLOOKUP(B296,Baza[[№]:[Profit]],11,0)=0,"-",VLOOKUP(B296,Baza[[№]:[Profit]],11,0)),"")</f>
        <v/>
      </c>
      <c r="O296" s="43" t="str">
        <f>IFERROR(IF(VLOOKUP(B296,Baza[[№]:[Profit]],12,0)=0,"-",VLOOKUP(B296,Baza[[№]:[Profit]],12,0)),"")</f>
        <v/>
      </c>
      <c r="P296" s="43" t="str">
        <f>IFERROR(IF(VLOOKUP(B296,Baza[[№]:[Profit]],13,0)=0,"-",VLOOKUP(B296,Baza[[№]:[Profit]],13,0)),"")</f>
        <v/>
      </c>
      <c r="Q296" s="43" t="str">
        <f>IFERROR(IF(VLOOKUP(B296,Baza[[№]:[Profit]],15,0)=0,"-",VLOOKUP(B296,Baza[[№]:[Profit]],15,0)),"")</f>
        <v/>
      </c>
      <c r="R296" s="43" t="str">
        <f>IFERROR(IF(VLOOKUP(B296,Baza[[№]:[Profit]],16,0)=0,"-",VLOOKUP(B296,Baza[[№]:[Profit]],16,0)),"")</f>
        <v/>
      </c>
      <c r="S296" s="43" t="str">
        <f>IFERROR(IF(VLOOKUP(B296,Baza[[№]:[Profit]],17,0)=0,"-",VLOOKUP(B296,Baza[[№]:[Profit]],17,0)),"")</f>
        <v/>
      </c>
      <c r="T296" s="43" t="str">
        <f>IFERROR(IF(VLOOKUP(B296,Baza[[№]:[Profit]],18,0)=0,"-",VLOOKUP(B296,Baza[[№]:[Profit]],18,0)),"")</f>
        <v/>
      </c>
      <c r="U296" s="41" t="str">
        <f>IFERROR(IF(VLOOKUP(B296,Baza[[№]:[Profit]],19,0)=0,"-",VLOOKUP(B296,Baza[[№]:[Profit]],19,0)),"")</f>
        <v/>
      </c>
      <c r="V296" s="41" t="str">
        <f>IFERROR(VLOOKUP(B296,Baza[[№]:[Profit]],20,0),"")</f>
        <v/>
      </c>
      <c r="W296" s="41" t="str">
        <f>IFERROR(IF(VLOOKUP(B296,Baza[[№]:[Profit]],21,0)=0,"-",VLOOKUP(B296,Baza[[№]:[Profit]],21,0)),"")</f>
        <v/>
      </c>
      <c r="X296" s="45" t="str">
        <f>IFERROR(IF(VLOOKUP(B296,Baza[[№]:[Profit]],22,0)=0,"-",VLOOKUP(B296,Baza[[№]:[Profit]],22,0)),"")</f>
        <v/>
      </c>
      <c r="Y296" s="45" t="str">
        <f>IFERROR(VLOOKUP(B296,Baza[[№]:[Profit]],23,0),"")</f>
        <v/>
      </c>
      <c r="Z296" s="44" t="str">
        <f>IFERROR(VLOOKUP(B296,Baza[[№]:[AFS]],24,0),"")</f>
        <v/>
      </c>
      <c r="AA296" s="45" t="str">
        <f>IF(Таблица2[[#This Row],[Profit]]="","#Н/Д",SUM($Y$40:Y296))</f>
        <v>#Н/Д</v>
      </c>
      <c r="AB296" s="45" t="b">
        <f>IF(Таблица2[[#This Row],[Grafik]]="#Н/Д",FALSE,TRUE)</f>
        <v>0</v>
      </c>
    </row>
    <row r="297" spans="2:28" ht="11.1" hidden="1" customHeight="1" x14ac:dyDescent="0.25">
      <c r="B297"/>
      <c r="C297" s="41" t="str">
        <f>IFERROR(VLOOKUP(B297,Baza[[№]:[Profit]],2,0),"")</f>
        <v/>
      </c>
      <c r="D29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9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97" s="43" t="str">
        <f>IFERROR(VLOOKUP(B297,Baza[[№]:[Profit]],3,0),"")</f>
        <v/>
      </c>
      <c r="G297" s="43" t="str">
        <f>IFERROR(VLOOKUP(B297,Baza[[№]:[Profit]],4,0),"")</f>
        <v/>
      </c>
      <c r="H297" s="43" t="str">
        <f>IFERROR(VLOOKUP(B297,Baza[[№]:[Profit]],5,0),"")</f>
        <v/>
      </c>
      <c r="I297" s="46" t="str">
        <f>IFERROR(VLOOKUP(B297,Baza[[№]:[Profit]],6,0),"")</f>
        <v/>
      </c>
      <c r="J297" s="49" t="str">
        <f>IFERROR(VLOOKUP(B297,Baza[[№]:[Profit]],7,0),"")</f>
        <v/>
      </c>
      <c r="K297" s="43" t="str">
        <f>IFERROR(VLOOKUP(B297,Baza[[№]:[Profit]],8,0),"")</f>
        <v/>
      </c>
      <c r="L297" s="43" t="str">
        <f>IFERROR(VLOOKUP(B297,Baza[[№]:[Profit]],9,0),"")</f>
        <v/>
      </c>
      <c r="M297" s="43" t="str">
        <f>IFERROR(VLOOKUP(B297,Baza[[№]:[Profit]],10,0),"")</f>
        <v/>
      </c>
      <c r="N297" s="43" t="str">
        <f>IFERROR(IF(VLOOKUP(B297,Baza[[№]:[Profit]],11,0)=0,"-",VLOOKUP(B297,Baza[[№]:[Profit]],11,0)),"")</f>
        <v/>
      </c>
      <c r="O297" s="43" t="str">
        <f>IFERROR(IF(VLOOKUP(B297,Baza[[№]:[Profit]],12,0)=0,"-",VLOOKUP(B297,Baza[[№]:[Profit]],12,0)),"")</f>
        <v/>
      </c>
      <c r="P297" s="43" t="str">
        <f>IFERROR(IF(VLOOKUP(B297,Baza[[№]:[Profit]],13,0)=0,"-",VLOOKUP(B297,Baza[[№]:[Profit]],13,0)),"")</f>
        <v/>
      </c>
      <c r="Q297" s="43" t="str">
        <f>IFERROR(IF(VLOOKUP(B297,Baza[[№]:[Profit]],15,0)=0,"-",VLOOKUP(B297,Baza[[№]:[Profit]],15,0)),"")</f>
        <v/>
      </c>
      <c r="R297" s="43" t="str">
        <f>IFERROR(IF(VLOOKUP(B297,Baza[[№]:[Profit]],16,0)=0,"-",VLOOKUP(B297,Baza[[№]:[Profit]],16,0)),"")</f>
        <v/>
      </c>
      <c r="S297" s="43" t="str">
        <f>IFERROR(IF(VLOOKUP(B297,Baza[[№]:[Profit]],17,0)=0,"-",VLOOKUP(B297,Baza[[№]:[Profit]],17,0)),"")</f>
        <v/>
      </c>
      <c r="T297" s="43" t="str">
        <f>IFERROR(IF(VLOOKUP(B297,Baza[[№]:[Profit]],18,0)=0,"-",VLOOKUP(B297,Baza[[№]:[Profit]],18,0)),"")</f>
        <v/>
      </c>
      <c r="U297" s="41" t="str">
        <f>IFERROR(IF(VLOOKUP(B297,Baza[[№]:[Profit]],19,0)=0,"-",VLOOKUP(B297,Baza[[№]:[Profit]],19,0)),"")</f>
        <v/>
      </c>
      <c r="V297" s="41" t="str">
        <f>IFERROR(VLOOKUP(B297,Baza[[№]:[Profit]],20,0),"")</f>
        <v/>
      </c>
      <c r="W297" s="41" t="str">
        <f>IFERROR(IF(VLOOKUP(B297,Baza[[№]:[Profit]],21,0)=0,"-",VLOOKUP(B297,Baza[[№]:[Profit]],21,0)),"")</f>
        <v/>
      </c>
      <c r="X297" s="45" t="str">
        <f>IFERROR(IF(VLOOKUP(B297,Baza[[№]:[Profit]],22,0)=0,"-",VLOOKUP(B297,Baza[[№]:[Profit]],22,0)),"")</f>
        <v/>
      </c>
      <c r="Y297" s="45" t="str">
        <f>IFERROR(VLOOKUP(B297,Baza[[№]:[Profit]],23,0),"")</f>
        <v/>
      </c>
      <c r="Z297" s="44" t="str">
        <f>IFERROR(VLOOKUP(B297,Baza[[№]:[AFS]],24,0),"")</f>
        <v/>
      </c>
      <c r="AA297" s="45" t="str">
        <f>IF(Таблица2[[#This Row],[Profit]]="","#Н/Д",SUM($Y$40:Y297))</f>
        <v>#Н/Д</v>
      </c>
      <c r="AB297" s="45" t="b">
        <f>IF(Таблица2[[#This Row],[Grafik]]="#Н/Д",FALSE,TRUE)</f>
        <v>0</v>
      </c>
    </row>
    <row r="298" spans="2:28" ht="11.1" hidden="1" customHeight="1" x14ac:dyDescent="0.25">
      <c r="B298"/>
      <c r="C298" s="41" t="str">
        <f>IFERROR(VLOOKUP(B298,Baza[[№]:[Profit]],2,0),"")</f>
        <v/>
      </c>
      <c r="D29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9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98" s="43" t="str">
        <f>IFERROR(VLOOKUP(B298,Baza[[№]:[Profit]],3,0),"")</f>
        <v/>
      </c>
      <c r="G298" s="43" t="str">
        <f>IFERROR(VLOOKUP(B298,Baza[[№]:[Profit]],4,0),"")</f>
        <v/>
      </c>
      <c r="H298" s="43" t="str">
        <f>IFERROR(VLOOKUP(B298,Baza[[№]:[Profit]],5,0),"")</f>
        <v/>
      </c>
      <c r="I298" s="46" t="str">
        <f>IFERROR(VLOOKUP(B298,Baza[[№]:[Profit]],6,0),"")</f>
        <v/>
      </c>
      <c r="J298" s="49" t="str">
        <f>IFERROR(VLOOKUP(B298,Baza[[№]:[Profit]],7,0),"")</f>
        <v/>
      </c>
      <c r="K298" s="43" t="str">
        <f>IFERROR(VLOOKUP(B298,Baza[[№]:[Profit]],8,0),"")</f>
        <v/>
      </c>
      <c r="L298" s="43" t="str">
        <f>IFERROR(VLOOKUP(B298,Baza[[№]:[Profit]],9,0),"")</f>
        <v/>
      </c>
      <c r="M298" s="43" t="str">
        <f>IFERROR(VLOOKUP(B298,Baza[[№]:[Profit]],10,0),"")</f>
        <v/>
      </c>
      <c r="N298" s="43" t="str">
        <f>IFERROR(IF(VLOOKUP(B298,Baza[[№]:[Profit]],11,0)=0,"-",VLOOKUP(B298,Baza[[№]:[Profit]],11,0)),"")</f>
        <v/>
      </c>
      <c r="O298" s="43" t="str">
        <f>IFERROR(IF(VLOOKUP(B298,Baza[[№]:[Profit]],12,0)=0,"-",VLOOKUP(B298,Baza[[№]:[Profit]],12,0)),"")</f>
        <v/>
      </c>
      <c r="P298" s="43" t="str">
        <f>IFERROR(IF(VLOOKUP(B298,Baza[[№]:[Profit]],13,0)=0,"-",VLOOKUP(B298,Baza[[№]:[Profit]],13,0)),"")</f>
        <v/>
      </c>
      <c r="Q298" s="43" t="str">
        <f>IFERROR(IF(VLOOKUP(B298,Baza[[№]:[Profit]],15,0)=0,"-",VLOOKUP(B298,Baza[[№]:[Profit]],15,0)),"")</f>
        <v/>
      </c>
      <c r="R298" s="43" t="str">
        <f>IFERROR(IF(VLOOKUP(B298,Baza[[№]:[Profit]],16,0)=0,"-",VLOOKUP(B298,Baza[[№]:[Profit]],16,0)),"")</f>
        <v/>
      </c>
      <c r="S298" s="43" t="str">
        <f>IFERROR(IF(VLOOKUP(B298,Baza[[№]:[Profit]],17,0)=0,"-",VLOOKUP(B298,Baza[[№]:[Profit]],17,0)),"")</f>
        <v/>
      </c>
      <c r="T298" s="43" t="str">
        <f>IFERROR(IF(VLOOKUP(B298,Baza[[№]:[Profit]],18,0)=0,"-",VLOOKUP(B298,Baza[[№]:[Profit]],18,0)),"")</f>
        <v/>
      </c>
      <c r="U298" s="41" t="str">
        <f>IFERROR(IF(VLOOKUP(B298,Baza[[№]:[Profit]],19,0)=0,"-",VLOOKUP(B298,Baza[[№]:[Profit]],19,0)),"")</f>
        <v/>
      </c>
      <c r="V298" s="41" t="str">
        <f>IFERROR(VLOOKUP(B298,Baza[[№]:[Profit]],20,0),"")</f>
        <v/>
      </c>
      <c r="W298" s="41" t="str">
        <f>IFERROR(IF(VLOOKUP(B298,Baza[[№]:[Profit]],21,0)=0,"-",VLOOKUP(B298,Baza[[№]:[Profit]],21,0)),"")</f>
        <v/>
      </c>
      <c r="X298" s="45" t="str">
        <f>IFERROR(IF(VLOOKUP(B298,Baza[[№]:[Profit]],22,0)=0,"-",VLOOKUP(B298,Baza[[№]:[Profit]],22,0)),"")</f>
        <v/>
      </c>
      <c r="Y298" s="45" t="str">
        <f>IFERROR(VLOOKUP(B298,Baza[[№]:[Profit]],23,0),"")</f>
        <v/>
      </c>
      <c r="Z298" s="44" t="str">
        <f>IFERROR(VLOOKUP(B298,Baza[[№]:[AFS]],24,0),"")</f>
        <v/>
      </c>
      <c r="AA298" s="45" t="str">
        <f>IF(Таблица2[[#This Row],[Profit]]="","#Н/Д",SUM($Y$40:Y298))</f>
        <v>#Н/Д</v>
      </c>
      <c r="AB298" s="45" t="b">
        <f>IF(Таблица2[[#This Row],[Grafik]]="#Н/Д",FALSE,TRUE)</f>
        <v>0</v>
      </c>
    </row>
    <row r="299" spans="2:28" ht="11.1" hidden="1" customHeight="1" x14ac:dyDescent="0.25">
      <c r="B299"/>
      <c r="C299" s="41" t="str">
        <f>IFERROR(VLOOKUP(B299,Baza[[№]:[Profit]],2,0),"")</f>
        <v/>
      </c>
      <c r="D29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9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99" s="43" t="str">
        <f>IFERROR(VLOOKUP(B299,Baza[[№]:[Profit]],3,0),"")</f>
        <v/>
      </c>
      <c r="G299" s="43" t="str">
        <f>IFERROR(VLOOKUP(B299,Baza[[№]:[Profit]],4,0),"")</f>
        <v/>
      </c>
      <c r="H299" s="43" t="str">
        <f>IFERROR(VLOOKUP(B299,Baza[[№]:[Profit]],5,0),"")</f>
        <v/>
      </c>
      <c r="I299" s="46" t="str">
        <f>IFERROR(VLOOKUP(B299,Baza[[№]:[Profit]],6,0),"")</f>
        <v/>
      </c>
      <c r="J299" s="49" t="str">
        <f>IFERROR(VLOOKUP(B299,Baza[[№]:[Profit]],7,0),"")</f>
        <v/>
      </c>
      <c r="K299" s="43" t="str">
        <f>IFERROR(VLOOKUP(B299,Baza[[№]:[Profit]],8,0),"")</f>
        <v/>
      </c>
      <c r="L299" s="43" t="str">
        <f>IFERROR(VLOOKUP(B299,Baza[[№]:[Profit]],9,0),"")</f>
        <v/>
      </c>
      <c r="M299" s="43" t="str">
        <f>IFERROR(VLOOKUP(B299,Baza[[№]:[Profit]],10,0),"")</f>
        <v/>
      </c>
      <c r="N299" s="43" t="str">
        <f>IFERROR(IF(VLOOKUP(B299,Baza[[№]:[Profit]],11,0)=0,"-",VLOOKUP(B299,Baza[[№]:[Profit]],11,0)),"")</f>
        <v/>
      </c>
      <c r="O299" s="43" t="str">
        <f>IFERROR(IF(VLOOKUP(B299,Baza[[№]:[Profit]],12,0)=0,"-",VLOOKUP(B299,Baza[[№]:[Profit]],12,0)),"")</f>
        <v/>
      </c>
      <c r="P299" s="43" t="str">
        <f>IFERROR(IF(VLOOKUP(B299,Baza[[№]:[Profit]],13,0)=0,"-",VLOOKUP(B299,Baza[[№]:[Profit]],13,0)),"")</f>
        <v/>
      </c>
      <c r="Q299" s="43" t="str">
        <f>IFERROR(IF(VLOOKUP(B299,Baza[[№]:[Profit]],15,0)=0,"-",VLOOKUP(B299,Baza[[№]:[Profit]],15,0)),"")</f>
        <v/>
      </c>
      <c r="R299" s="43" t="str">
        <f>IFERROR(IF(VLOOKUP(B299,Baza[[№]:[Profit]],16,0)=0,"-",VLOOKUP(B299,Baza[[№]:[Profit]],16,0)),"")</f>
        <v/>
      </c>
      <c r="S299" s="43" t="str">
        <f>IFERROR(IF(VLOOKUP(B299,Baza[[№]:[Profit]],17,0)=0,"-",VLOOKUP(B299,Baza[[№]:[Profit]],17,0)),"")</f>
        <v/>
      </c>
      <c r="T299" s="43" t="str">
        <f>IFERROR(IF(VLOOKUP(B299,Baza[[№]:[Profit]],18,0)=0,"-",VLOOKUP(B299,Baza[[№]:[Profit]],18,0)),"")</f>
        <v/>
      </c>
      <c r="U299" s="41" t="str">
        <f>IFERROR(IF(VLOOKUP(B299,Baza[[№]:[Profit]],19,0)=0,"-",VLOOKUP(B299,Baza[[№]:[Profit]],19,0)),"")</f>
        <v/>
      </c>
      <c r="V299" s="41" t="str">
        <f>IFERROR(VLOOKUP(B299,Baza[[№]:[Profit]],20,0),"")</f>
        <v/>
      </c>
      <c r="W299" s="41" t="str">
        <f>IFERROR(IF(VLOOKUP(B299,Baza[[№]:[Profit]],21,0)=0,"-",VLOOKUP(B299,Baza[[№]:[Profit]],21,0)),"")</f>
        <v/>
      </c>
      <c r="X299" s="45" t="str">
        <f>IFERROR(IF(VLOOKUP(B299,Baza[[№]:[Profit]],22,0)=0,"-",VLOOKUP(B299,Baza[[№]:[Profit]],22,0)),"")</f>
        <v/>
      </c>
      <c r="Y299" s="45" t="str">
        <f>IFERROR(VLOOKUP(B299,Baza[[№]:[Profit]],23,0),"")</f>
        <v/>
      </c>
      <c r="Z299" s="44" t="str">
        <f>IFERROR(VLOOKUP(B299,Baza[[№]:[AFS]],24,0),"")</f>
        <v/>
      </c>
      <c r="AA299" s="45" t="str">
        <f>IF(Таблица2[[#This Row],[Profit]]="","#Н/Д",SUM($Y$40:Y299))</f>
        <v>#Н/Д</v>
      </c>
      <c r="AB299" s="45" t="b">
        <f>IF(Таблица2[[#This Row],[Grafik]]="#Н/Д",FALSE,TRUE)</f>
        <v>0</v>
      </c>
    </row>
    <row r="300" spans="2:28" ht="11.1" hidden="1" customHeight="1" x14ac:dyDescent="0.25">
      <c r="B300"/>
      <c r="C300" s="41" t="str">
        <f>IFERROR(VLOOKUP(B300,Baza[[№]:[Profit]],2,0),"")</f>
        <v/>
      </c>
      <c r="D30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0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00" s="43" t="str">
        <f>IFERROR(VLOOKUP(B300,Baza[[№]:[Profit]],3,0),"")</f>
        <v/>
      </c>
      <c r="G300" s="43" t="str">
        <f>IFERROR(VLOOKUP(B300,Baza[[№]:[Profit]],4,0),"")</f>
        <v/>
      </c>
      <c r="H300" s="43" t="str">
        <f>IFERROR(VLOOKUP(B300,Baza[[№]:[Profit]],5,0),"")</f>
        <v/>
      </c>
      <c r="I300" s="46" t="str">
        <f>IFERROR(VLOOKUP(B300,Baza[[№]:[Profit]],6,0),"")</f>
        <v/>
      </c>
      <c r="J300" s="49" t="str">
        <f>IFERROR(VLOOKUP(B300,Baza[[№]:[Profit]],7,0),"")</f>
        <v/>
      </c>
      <c r="K300" s="43" t="str">
        <f>IFERROR(VLOOKUP(B300,Baza[[№]:[Profit]],8,0),"")</f>
        <v/>
      </c>
      <c r="L300" s="43" t="str">
        <f>IFERROR(VLOOKUP(B300,Baza[[№]:[Profit]],9,0),"")</f>
        <v/>
      </c>
      <c r="M300" s="43" t="str">
        <f>IFERROR(VLOOKUP(B300,Baza[[№]:[Profit]],10,0),"")</f>
        <v/>
      </c>
      <c r="N300" s="43" t="str">
        <f>IFERROR(IF(VLOOKUP(B300,Baza[[№]:[Profit]],11,0)=0,"-",VLOOKUP(B300,Baza[[№]:[Profit]],11,0)),"")</f>
        <v/>
      </c>
      <c r="O300" s="43" t="str">
        <f>IFERROR(IF(VLOOKUP(B300,Baza[[№]:[Profit]],12,0)=0,"-",VLOOKUP(B300,Baza[[№]:[Profit]],12,0)),"")</f>
        <v/>
      </c>
      <c r="P300" s="43" t="str">
        <f>IFERROR(IF(VLOOKUP(B300,Baza[[№]:[Profit]],13,0)=0,"-",VLOOKUP(B300,Baza[[№]:[Profit]],13,0)),"")</f>
        <v/>
      </c>
      <c r="Q300" s="43" t="str">
        <f>IFERROR(IF(VLOOKUP(B300,Baza[[№]:[Profit]],15,0)=0,"-",VLOOKUP(B300,Baza[[№]:[Profit]],15,0)),"")</f>
        <v/>
      </c>
      <c r="R300" s="43" t="str">
        <f>IFERROR(IF(VLOOKUP(B300,Baza[[№]:[Profit]],16,0)=0,"-",VLOOKUP(B300,Baza[[№]:[Profit]],16,0)),"")</f>
        <v/>
      </c>
      <c r="S300" s="43" t="str">
        <f>IFERROR(IF(VLOOKUP(B300,Baza[[№]:[Profit]],17,0)=0,"-",VLOOKUP(B300,Baza[[№]:[Profit]],17,0)),"")</f>
        <v/>
      </c>
      <c r="T300" s="43" t="str">
        <f>IFERROR(IF(VLOOKUP(B300,Baza[[№]:[Profit]],18,0)=0,"-",VLOOKUP(B300,Baza[[№]:[Profit]],18,0)),"")</f>
        <v/>
      </c>
      <c r="U300" s="41" t="str">
        <f>IFERROR(IF(VLOOKUP(B300,Baza[[№]:[Profit]],19,0)=0,"-",VLOOKUP(B300,Baza[[№]:[Profit]],19,0)),"")</f>
        <v/>
      </c>
      <c r="V300" s="41" t="str">
        <f>IFERROR(VLOOKUP(B300,Baza[[№]:[Profit]],20,0),"")</f>
        <v/>
      </c>
      <c r="W300" s="41" t="str">
        <f>IFERROR(IF(VLOOKUP(B300,Baza[[№]:[Profit]],21,0)=0,"-",VLOOKUP(B300,Baza[[№]:[Profit]],21,0)),"")</f>
        <v/>
      </c>
      <c r="X300" s="45" t="str">
        <f>IFERROR(IF(VLOOKUP(B300,Baza[[№]:[Profit]],22,0)=0,"-",VLOOKUP(B300,Baza[[№]:[Profit]],22,0)),"")</f>
        <v/>
      </c>
      <c r="Y300" s="45" t="str">
        <f>IFERROR(VLOOKUP(B300,Baza[[№]:[Profit]],23,0),"")</f>
        <v/>
      </c>
      <c r="Z300" s="44" t="str">
        <f>IFERROR(VLOOKUP(B300,Baza[[№]:[AFS]],24,0),"")</f>
        <v/>
      </c>
      <c r="AA300" s="45" t="str">
        <f>IF(Таблица2[[#This Row],[Profit]]="","#Н/Д",SUM($Y$40:Y300))</f>
        <v>#Н/Д</v>
      </c>
      <c r="AB300" s="45" t="b">
        <f>IF(Таблица2[[#This Row],[Grafik]]="#Н/Д",FALSE,TRUE)</f>
        <v>0</v>
      </c>
    </row>
    <row r="301" spans="2:28" ht="11.1" hidden="1" customHeight="1" x14ac:dyDescent="0.25">
      <c r="B301"/>
      <c r="C301" s="41" t="str">
        <f>IFERROR(VLOOKUP(B301,Baza[[№]:[Profit]],2,0),"")</f>
        <v/>
      </c>
      <c r="D30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0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01" s="43" t="str">
        <f>IFERROR(VLOOKUP(B301,Baza[[№]:[Profit]],3,0),"")</f>
        <v/>
      </c>
      <c r="G301" s="43" t="str">
        <f>IFERROR(VLOOKUP(B301,Baza[[№]:[Profit]],4,0),"")</f>
        <v/>
      </c>
      <c r="H301" s="43" t="str">
        <f>IFERROR(VLOOKUP(B301,Baza[[№]:[Profit]],5,0),"")</f>
        <v/>
      </c>
      <c r="I301" s="46" t="str">
        <f>IFERROR(VLOOKUP(B301,Baza[[№]:[Profit]],6,0),"")</f>
        <v/>
      </c>
      <c r="J301" s="49" t="str">
        <f>IFERROR(VLOOKUP(B301,Baza[[№]:[Profit]],7,0),"")</f>
        <v/>
      </c>
      <c r="K301" s="43" t="str">
        <f>IFERROR(VLOOKUP(B301,Baza[[№]:[Profit]],8,0),"")</f>
        <v/>
      </c>
      <c r="L301" s="43" t="str">
        <f>IFERROR(VLOOKUP(B301,Baza[[№]:[Profit]],9,0),"")</f>
        <v/>
      </c>
      <c r="M301" s="43" t="str">
        <f>IFERROR(VLOOKUP(B301,Baza[[№]:[Profit]],10,0),"")</f>
        <v/>
      </c>
      <c r="N301" s="43" t="str">
        <f>IFERROR(IF(VLOOKUP(B301,Baza[[№]:[Profit]],11,0)=0,"-",VLOOKUP(B301,Baza[[№]:[Profit]],11,0)),"")</f>
        <v/>
      </c>
      <c r="O301" s="43" t="str">
        <f>IFERROR(IF(VLOOKUP(B301,Baza[[№]:[Profit]],12,0)=0,"-",VLOOKUP(B301,Baza[[№]:[Profit]],12,0)),"")</f>
        <v/>
      </c>
      <c r="P301" s="43" t="str">
        <f>IFERROR(IF(VLOOKUP(B301,Baza[[№]:[Profit]],13,0)=0,"-",VLOOKUP(B301,Baza[[№]:[Profit]],13,0)),"")</f>
        <v/>
      </c>
      <c r="Q301" s="43" t="str">
        <f>IFERROR(IF(VLOOKUP(B301,Baza[[№]:[Profit]],15,0)=0,"-",VLOOKUP(B301,Baza[[№]:[Profit]],15,0)),"")</f>
        <v/>
      </c>
      <c r="R301" s="43" t="str">
        <f>IFERROR(IF(VLOOKUP(B301,Baza[[№]:[Profit]],16,0)=0,"-",VLOOKUP(B301,Baza[[№]:[Profit]],16,0)),"")</f>
        <v/>
      </c>
      <c r="S301" s="43" t="str">
        <f>IFERROR(IF(VLOOKUP(B301,Baza[[№]:[Profit]],17,0)=0,"-",VLOOKUP(B301,Baza[[№]:[Profit]],17,0)),"")</f>
        <v/>
      </c>
      <c r="T301" s="43" t="str">
        <f>IFERROR(IF(VLOOKUP(B301,Baza[[№]:[Profit]],18,0)=0,"-",VLOOKUP(B301,Baza[[№]:[Profit]],18,0)),"")</f>
        <v/>
      </c>
      <c r="U301" s="41" t="str">
        <f>IFERROR(IF(VLOOKUP(B301,Baza[[№]:[Profit]],19,0)=0,"-",VLOOKUP(B301,Baza[[№]:[Profit]],19,0)),"")</f>
        <v/>
      </c>
      <c r="V301" s="41" t="str">
        <f>IFERROR(VLOOKUP(B301,Baza[[№]:[Profit]],20,0),"")</f>
        <v/>
      </c>
      <c r="W301" s="41" t="str">
        <f>IFERROR(IF(VLOOKUP(B301,Baza[[№]:[Profit]],21,0)=0,"-",VLOOKUP(B301,Baza[[№]:[Profit]],21,0)),"")</f>
        <v/>
      </c>
      <c r="X301" s="45" t="str">
        <f>IFERROR(IF(VLOOKUP(B301,Baza[[№]:[Profit]],22,0)=0,"-",VLOOKUP(B301,Baza[[№]:[Profit]],22,0)),"")</f>
        <v/>
      </c>
      <c r="Y301" s="45" t="str">
        <f>IFERROR(VLOOKUP(B301,Baza[[№]:[Profit]],23,0),"")</f>
        <v/>
      </c>
      <c r="Z301" s="44" t="str">
        <f>IFERROR(VLOOKUP(B301,Baza[[№]:[AFS]],24,0),"")</f>
        <v/>
      </c>
      <c r="AA301" s="45" t="str">
        <f>IF(Таблица2[[#This Row],[Profit]]="","#Н/Д",SUM($Y$40:Y301))</f>
        <v>#Н/Д</v>
      </c>
      <c r="AB301" s="45" t="b">
        <f>IF(Таблица2[[#This Row],[Grafik]]="#Н/Д",FALSE,TRUE)</f>
        <v>0</v>
      </c>
    </row>
    <row r="302" spans="2:28" ht="11.1" hidden="1" customHeight="1" x14ac:dyDescent="0.25">
      <c r="B302"/>
      <c r="C302" s="41" t="str">
        <f>IFERROR(VLOOKUP(B302,Baza[[№]:[Profit]],2,0),"")</f>
        <v/>
      </c>
      <c r="D30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0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02" s="43" t="str">
        <f>IFERROR(VLOOKUP(B302,Baza[[№]:[Profit]],3,0),"")</f>
        <v/>
      </c>
      <c r="G302" s="43" t="str">
        <f>IFERROR(VLOOKUP(B302,Baza[[№]:[Profit]],4,0),"")</f>
        <v/>
      </c>
      <c r="H302" s="43" t="str">
        <f>IFERROR(VLOOKUP(B302,Baza[[№]:[Profit]],5,0),"")</f>
        <v/>
      </c>
      <c r="I302" s="46" t="str">
        <f>IFERROR(VLOOKUP(B302,Baza[[№]:[Profit]],6,0),"")</f>
        <v/>
      </c>
      <c r="J302" s="49" t="str">
        <f>IFERROR(VLOOKUP(B302,Baza[[№]:[Profit]],7,0),"")</f>
        <v/>
      </c>
      <c r="K302" s="43" t="str">
        <f>IFERROR(VLOOKUP(B302,Baza[[№]:[Profit]],8,0),"")</f>
        <v/>
      </c>
      <c r="L302" s="43" t="str">
        <f>IFERROR(VLOOKUP(B302,Baza[[№]:[Profit]],9,0),"")</f>
        <v/>
      </c>
      <c r="M302" s="43" t="str">
        <f>IFERROR(VLOOKUP(B302,Baza[[№]:[Profit]],10,0),"")</f>
        <v/>
      </c>
      <c r="N302" s="43" t="str">
        <f>IFERROR(IF(VLOOKUP(B302,Baza[[№]:[Profit]],11,0)=0,"-",VLOOKUP(B302,Baza[[№]:[Profit]],11,0)),"")</f>
        <v/>
      </c>
      <c r="O302" s="43" t="str">
        <f>IFERROR(IF(VLOOKUP(B302,Baza[[№]:[Profit]],12,0)=0,"-",VLOOKUP(B302,Baza[[№]:[Profit]],12,0)),"")</f>
        <v/>
      </c>
      <c r="P302" s="43" t="str">
        <f>IFERROR(IF(VLOOKUP(B302,Baza[[№]:[Profit]],13,0)=0,"-",VLOOKUP(B302,Baza[[№]:[Profit]],13,0)),"")</f>
        <v/>
      </c>
      <c r="Q302" s="43" t="str">
        <f>IFERROR(IF(VLOOKUP(B302,Baza[[№]:[Profit]],15,0)=0,"-",VLOOKUP(B302,Baza[[№]:[Profit]],15,0)),"")</f>
        <v/>
      </c>
      <c r="R302" s="43" t="str">
        <f>IFERROR(IF(VLOOKUP(B302,Baza[[№]:[Profit]],16,0)=0,"-",VLOOKUP(B302,Baza[[№]:[Profit]],16,0)),"")</f>
        <v/>
      </c>
      <c r="S302" s="43" t="str">
        <f>IFERROR(IF(VLOOKUP(B302,Baza[[№]:[Profit]],17,0)=0,"-",VLOOKUP(B302,Baza[[№]:[Profit]],17,0)),"")</f>
        <v/>
      </c>
      <c r="T302" s="43" t="str">
        <f>IFERROR(IF(VLOOKUP(B302,Baza[[№]:[Profit]],18,0)=0,"-",VLOOKUP(B302,Baza[[№]:[Profit]],18,0)),"")</f>
        <v/>
      </c>
      <c r="U302" s="41" t="str">
        <f>IFERROR(IF(VLOOKUP(B302,Baza[[№]:[Profit]],19,0)=0,"-",VLOOKUP(B302,Baza[[№]:[Profit]],19,0)),"")</f>
        <v/>
      </c>
      <c r="V302" s="41" t="str">
        <f>IFERROR(VLOOKUP(B302,Baza[[№]:[Profit]],20,0),"")</f>
        <v/>
      </c>
      <c r="W302" s="41" t="str">
        <f>IFERROR(IF(VLOOKUP(B302,Baza[[№]:[Profit]],21,0)=0,"-",VLOOKUP(B302,Baza[[№]:[Profit]],21,0)),"")</f>
        <v/>
      </c>
      <c r="X302" s="45" t="str">
        <f>IFERROR(IF(VLOOKUP(B302,Baza[[№]:[Profit]],22,0)=0,"-",VLOOKUP(B302,Baza[[№]:[Profit]],22,0)),"")</f>
        <v/>
      </c>
      <c r="Y302" s="45" t="str">
        <f>IFERROR(VLOOKUP(B302,Baza[[№]:[Profit]],23,0),"")</f>
        <v/>
      </c>
      <c r="Z302" s="44" t="str">
        <f>IFERROR(VLOOKUP(B302,Baza[[№]:[AFS]],24,0),"")</f>
        <v/>
      </c>
      <c r="AA302" s="45" t="str">
        <f>IF(Таблица2[[#This Row],[Profit]]="","#Н/Д",SUM($Y$40:Y302))</f>
        <v>#Н/Д</v>
      </c>
      <c r="AB302" s="45" t="b">
        <f>IF(Таблица2[[#This Row],[Grafik]]="#Н/Д",FALSE,TRUE)</f>
        <v>0</v>
      </c>
    </row>
    <row r="303" spans="2:28" ht="11.1" hidden="1" customHeight="1" x14ac:dyDescent="0.25">
      <c r="B303"/>
      <c r="C303" s="41" t="str">
        <f>IFERROR(VLOOKUP(B303,Baza[[№]:[Profit]],2,0),"")</f>
        <v/>
      </c>
      <c r="D30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0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03" s="43" t="str">
        <f>IFERROR(VLOOKUP(B303,Baza[[№]:[Profit]],3,0),"")</f>
        <v/>
      </c>
      <c r="G303" s="43" t="str">
        <f>IFERROR(VLOOKUP(B303,Baza[[№]:[Profit]],4,0),"")</f>
        <v/>
      </c>
      <c r="H303" s="43" t="str">
        <f>IFERROR(VLOOKUP(B303,Baza[[№]:[Profit]],5,0),"")</f>
        <v/>
      </c>
      <c r="I303" s="46" t="str">
        <f>IFERROR(VLOOKUP(B303,Baza[[№]:[Profit]],6,0),"")</f>
        <v/>
      </c>
      <c r="J303" s="49" t="str">
        <f>IFERROR(VLOOKUP(B303,Baza[[№]:[Profit]],7,0),"")</f>
        <v/>
      </c>
      <c r="K303" s="43" t="str">
        <f>IFERROR(VLOOKUP(B303,Baza[[№]:[Profit]],8,0),"")</f>
        <v/>
      </c>
      <c r="L303" s="43" t="str">
        <f>IFERROR(VLOOKUP(B303,Baza[[№]:[Profit]],9,0),"")</f>
        <v/>
      </c>
      <c r="M303" s="43" t="str">
        <f>IFERROR(VLOOKUP(B303,Baza[[№]:[Profit]],10,0),"")</f>
        <v/>
      </c>
      <c r="N303" s="43" t="str">
        <f>IFERROR(IF(VLOOKUP(B303,Baza[[№]:[Profit]],11,0)=0,"-",VLOOKUP(B303,Baza[[№]:[Profit]],11,0)),"")</f>
        <v/>
      </c>
      <c r="O303" s="43" t="str">
        <f>IFERROR(IF(VLOOKUP(B303,Baza[[№]:[Profit]],12,0)=0,"-",VLOOKUP(B303,Baza[[№]:[Profit]],12,0)),"")</f>
        <v/>
      </c>
      <c r="P303" s="43" t="str">
        <f>IFERROR(IF(VLOOKUP(B303,Baza[[№]:[Profit]],13,0)=0,"-",VLOOKUP(B303,Baza[[№]:[Profit]],13,0)),"")</f>
        <v/>
      </c>
      <c r="Q303" s="43" t="str">
        <f>IFERROR(IF(VLOOKUP(B303,Baza[[№]:[Profit]],15,0)=0,"-",VLOOKUP(B303,Baza[[№]:[Profit]],15,0)),"")</f>
        <v/>
      </c>
      <c r="R303" s="43" t="str">
        <f>IFERROR(IF(VLOOKUP(B303,Baza[[№]:[Profit]],16,0)=0,"-",VLOOKUP(B303,Baza[[№]:[Profit]],16,0)),"")</f>
        <v/>
      </c>
      <c r="S303" s="43" t="str">
        <f>IFERROR(IF(VLOOKUP(B303,Baza[[№]:[Profit]],17,0)=0,"-",VLOOKUP(B303,Baza[[№]:[Profit]],17,0)),"")</f>
        <v/>
      </c>
      <c r="T303" s="43" t="str">
        <f>IFERROR(IF(VLOOKUP(B303,Baza[[№]:[Profit]],18,0)=0,"-",VLOOKUP(B303,Baza[[№]:[Profit]],18,0)),"")</f>
        <v/>
      </c>
      <c r="U303" s="41" t="str">
        <f>IFERROR(IF(VLOOKUP(B303,Baza[[№]:[Profit]],19,0)=0,"-",VLOOKUP(B303,Baza[[№]:[Profit]],19,0)),"")</f>
        <v/>
      </c>
      <c r="V303" s="41" t="str">
        <f>IFERROR(VLOOKUP(B303,Baza[[№]:[Profit]],20,0),"")</f>
        <v/>
      </c>
      <c r="W303" s="41" t="str">
        <f>IFERROR(IF(VLOOKUP(B303,Baza[[№]:[Profit]],21,0)=0,"-",VLOOKUP(B303,Baza[[№]:[Profit]],21,0)),"")</f>
        <v/>
      </c>
      <c r="X303" s="45" t="str">
        <f>IFERROR(IF(VLOOKUP(B303,Baza[[№]:[Profit]],22,0)=0,"-",VLOOKUP(B303,Baza[[№]:[Profit]],22,0)),"")</f>
        <v/>
      </c>
      <c r="Y303" s="45" t="str">
        <f>IFERROR(VLOOKUP(B303,Baza[[№]:[Profit]],23,0),"")</f>
        <v/>
      </c>
      <c r="Z303" s="44" t="str">
        <f>IFERROR(VLOOKUP(B303,Baza[[№]:[AFS]],24,0),"")</f>
        <v/>
      </c>
      <c r="AA303" s="45" t="str">
        <f>IF(Таблица2[[#This Row],[Profit]]="","#Н/Д",SUM($Y$40:Y303))</f>
        <v>#Н/Д</v>
      </c>
      <c r="AB303" s="45" t="b">
        <f>IF(Таблица2[[#This Row],[Grafik]]="#Н/Д",FALSE,TRUE)</f>
        <v>0</v>
      </c>
    </row>
    <row r="304" spans="2:28" ht="11.1" hidden="1" customHeight="1" x14ac:dyDescent="0.25">
      <c r="B304"/>
      <c r="C304" s="41" t="str">
        <f>IFERROR(VLOOKUP(B304,Baza[[№]:[Profit]],2,0),"")</f>
        <v/>
      </c>
      <c r="D30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0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04" s="43" t="str">
        <f>IFERROR(VLOOKUP(B304,Baza[[№]:[Profit]],3,0),"")</f>
        <v/>
      </c>
      <c r="G304" s="43" t="str">
        <f>IFERROR(VLOOKUP(B304,Baza[[№]:[Profit]],4,0),"")</f>
        <v/>
      </c>
      <c r="H304" s="43" t="str">
        <f>IFERROR(VLOOKUP(B304,Baza[[№]:[Profit]],5,0),"")</f>
        <v/>
      </c>
      <c r="I304" s="46" t="str">
        <f>IFERROR(VLOOKUP(B304,Baza[[№]:[Profit]],6,0),"")</f>
        <v/>
      </c>
      <c r="J304" s="49" t="str">
        <f>IFERROR(VLOOKUP(B304,Baza[[№]:[Profit]],7,0),"")</f>
        <v/>
      </c>
      <c r="K304" s="43" t="str">
        <f>IFERROR(VLOOKUP(B304,Baza[[№]:[Profit]],8,0),"")</f>
        <v/>
      </c>
      <c r="L304" s="43" t="str">
        <f>IFERROR(VLOOKUP(B304,Baza[[№]:[Profit]],9,0),"")</f>
        <v/>
      </c>
      <c r="M304" s="43" t="str">
        <f>IFERROR(VLOOKUP(B304,Baza[[№]:[Profit]],10,0),"")</f>
        <v/>
      </c>
      <c r="N304" s="43" t="str">
        <f>IFERROR(IF(VLOOKUP(B304,Baza[[№]:[Profit]],11,0)=0,"-",VLOOKUP(B304,Baza[[№]:[Profit]],11,0)),"")</f>
        <v/>
      </c>
      <c r="O304" s="43" t="str">
        <f>IFERROR(IF(VLOOKUP(B304,Baza[[№]:[Profit]],12,0)=0,"-",VLOOKUP(B304,Baza[[№]:[Profit]],12,0)),"")</f>
        <v/>
      </c>
      <c r="P304" s="43" t="str">
        <f>IFERROR(IF(VLOOKUP(B304,Baza[[№]:[Profit]],13,0)=0,"-",VLOOKUP(B304,Baza[[№]:[Profit]],13,0)),"")</f>
        <v/>
      </c>
      <c r="Q304" s="43" t="str">
        <f>IFERROR(IF(VLOOKUP(B304,Baza[[№]:[Profit]],15,0)=0,"-",VLOOKUP(B304,Baza[[№]:[Profit]],15,0)),"")</f>
        <v/>
      </c>
      <c r="R304" s="43" t="str">
        <f>IFERROR(IF(VLOOKUP(B304,Baza[[№]:[Profit]],16,0)=0,"-",VLOOKUP(B304,Baza[[№]:[Profit]],16,0)),"")</f>
        <v/>
      </c>
      <c r="S304" s="43" t="str">
        <f>IFERROR(IF(VLOOKUP(B304,Baza[[№]:[Profit]],17,0)=0,"-",VLOOKUP(B304,Baza[[№]:[Profit]],17,0)),"")</f>
        <v/>
      </c>
      <c r="T304" s="43" t="str">
        <f>IFERROR(IF(VLOOKUP(B304,Baza[[№]:[Profit]],18,0)=0,"-",VLOOKUP(B304,Baza[[№]:[Profit]],18,0)),"")</f>
        <v/>
      </c>
      <c r="U304" s="41" t="str">
        <f>IFERROR(IF(VLOOKUP(B304,Baza[[№]:[Profit]],19,0)=0,"-",VLOOKUP(B304,Baza[[№]:[Profit]],19,0)),"")</f>
        <v/>
      </c>
      <c r="V304" s="41" t="str">
        <f>IFERROR(VLOOKUP(B304,Baza[[№]:[Profit]],20,0),"")</f>
        <v/>
      </c>
      <c r="W304" s="41" t="str">
        <f>IFERROR(IF(VLOOKUP(B304,Baza[[№]:[Profit]],21,0)=0,"-",VLOOKUP(B304,Baza[[№]:[Profit]],21,0)),"")</f>
        <v/>
      </c>
      <c r="X304" s="45" t="str">
        <f>IFERROR(IF(VLOOKUP(B304,Baza[[№]:[Profit]],22,0)=0,"-",VLOOKUP(B304,Baza[[№]:[Profit]],22,0)),"")</f>
        <v/>
      </c>
      <c r="Y304" s="45" t="str">
        <f>IFERROR(VLOOKUP(B304,Baza[[№]:[Profit]],23,0),"")</f>
        <v/>
      </c>
      <c r="Z304" s="44" t="str">
        <f>IFERROR(VLOOKUP(B304,Baza[[№]:[AFS]],24,0),"")</f>
        <v/>
      </c>
      <c r="AA304" s="45" t="str">
        <f>IF(Таблица2[[#This Row],[Profit]]="","#Н/Д",SUM($Y$40:Y304))</f>
        <v>#Н/Д</v>
      </c>
      <c r="AB304" s="45" t="b">
        <f>IF(Таблица2[[#This Row],[Grafik]]="#Н/Д",FALSE,TRUE)</f>
        <v>0</v>
      </c>
    </row>
    <row r="305" spans="2:28" ht="11.1" hidden="1" customHeight="1" x14ac:dyDescent="0.25">
      <c r="B305"/>
      <c r="C305" s="41" t="str">
        <f>IFERROR(VLOOKUP(B305,Baza[[№]:[Profit]],2,0),"")</f>
        <v/>
      </c>
      <c r="D30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0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05" s="43" t="str">
        <f>IFERROR(VLOOKUP(B305,Baza[[№]:[Profit]],3,0),"")</f>
        <v/>
      </c>
      <c r="G305" s="43" t="str">
        <f>IFERROR(VLOOKUP(B305,Baza[[№]:[Profit]],4,0),"")</f>
        <v/>
      </c>
      <c r="H305" s="43" t="str">
        <f>IFERROR(VLOOKUP(B305,Baza[[№]:[Profit]],5,0),"")</f>
        <v/>
      </c>
      <c r="I305" s="46" t="str">
        <f>IFERROR(VLOOKUP(B305,Baza[[№]:[Profit]],6,0),"")</f>
        <v/>
      </c>
      <c r="J305" s="49" t="str">
        <f>IFERROR(VLOOKUP(B305,Baza[[№]:[Profit]],7,0),"")</f>
        <v/>
      </c>
      <c r="K305" s="43" t="str">
        <f>IFERROR(VLOOKUP(B305,Baza[[№]:[Profit]],8,0),"")</f>
        <v/>
      </c>
      <c r="L305" s="43" t="str">
        <f>IFERROR(VLOOKUP(B305,Baza[[№]:[Profit]],9,0),"")</f>
        <v/>
      </c>
      <c r="M305" s="43" t="str">
        <f>IFERROR(VLOOKUP(B305,Baza[[№]:[Profit]],10,0),"")</f>
        <v/>
      </c>
      <c r="N305" s="43" t="str">
        <f>IFERROR(IF(VLOOKUP(B305,Baza[[№]:[Profit]],11,0)=0,"-",VLOOKUP(B305,Baza[[№]:[Profit]],11,0)),"")</f>
        <v/>
      </c>
      <c r="O305" s="43" t="str">
        <f>IFERROR(IF(VLOOKUP(B305,Baza[[№]:[Profit]],12,0)=0,"-",VLOOKUP(B305,Baza[[№]:[Profit]],12,0)),"")</f>
        <v/>
      </c>
      <c r="P305" s="43" t="str">
        <f>IFERROR(IF(VLOOKUP(B305,Baza[[№]:[Profit]],13,0)=0,"-",VLOOKUP(B305,Baza[[№]:[Profit]],13,0)),"")</f>
        <v/>
      </c>
      <c r="Q305" s="43" t="str">
        <f>IFERROR(IF(VLOOKUP(B305,Baza[[№]:[Profit]],15,0)=0,"-",VLOOKUP(B305,Baza[[№]:[Profit]],15,0)),"")</f>
        <v/>
      </c>
      <c r="R305" s="43" t="str">
        <f>IFERROR(IF(VLOOKUP(B305,Baza[[№]:[Profit]],16,0)=0,"-",VLOOKUP(B305,Baza[[№]:[Profit]],16,0)),"")</f>
        <v/>
      </c>
      <c r="S305" s="43" t="str">
        <f>IFERROR(IF(VLOOKUP(B305,Baza[[№]:[Profit]],17,0)=0,"-",VLOOKUP(B305,Baza[[№]:[Profit]],17,0)),"")</f>
        <v/>
      </c>
      <c r="T305" s="43" t="str">
        <f>IFERROR(IF(VLOOKUP(B305,Baza[[№]:[Profit]],18,0)=0,"-",VLOOKUP(B305,Baza[[№]:[Profit]],18,0)),"")</f>
        <v/>
      </c>
      <c r="U305" s="41" t="str">
        <f>IFERROR(IF(VLOOKUP(B305,Baza[[№]:[Profit]],19,0)=0,"-",VLOOKUP(B305,Baza[[№]:[Profit]],19,0)),"")</f>
        <v/>
      </c>
      <c r="V305" s="41" t="str">
        <f>IFERROR(VLOOKUP(B305,Baza[[№]:[Profit]],20,0),"")</f>
        <v/>
      </c>
      <c r="W305" s="41" t="str">
        <f>IFERROR(IF(VLOOKUP(B305,Baza[[№]:[Profit]],21,0)=0,"-",VLOOKUP(B305,Baza[[№]:[Profit]],21,0)),"")</f>
        <v/>
      </c>
      <c r="X305" s="45" t="str">
        <f>IFERROR(IF(VLOOKUP(B305,Baza[[№]:[Profit]],22,0)=0,"-",VLOOKUP(B305,Baza[[№]:[Profit]],22,0)),"")</f>
        <v/>
      </c>
      <c r="Y305" s="45" t="str">
        <f>IFERROR(VLOOKUP(B305,Baza[[№]:[Profit]],23,0),"")</f>
        <v/>
      </c>
      <c r="Z305" s="44" t="str">
        <f>IFERROR(VLOOKUP(B305,Baza[[№]:[AFS]],24,0),"")</f>
        <v/>
      </c>
      <c r="AA305" s="45" t="str">
        <f>IF(Таблица2[[#This Row],[Profit]]="","#Н/Д",SUM($Y$40:Y305))</f>
        <v>#Н/Д</v>
      </c>
      <c r="AB305" s="45" t="b">
        <f>IF(Таблица2[[#This Row],[Grafik]]="#Н/Д",FALSE,TRUE)</f>
        <v>0</v>
      </c>
    </row>
    <row r="306" spans="2:28" ht="11.1" hidden="1" customHeight="1" x14ac:dyDescent="0.25">
      <c r="B306"/>
      <c r="C306" s="41" t="str">
        <f>IFERROR(VLOOKUP(B306,Baza[[№]:[Profit]],2,0),"")</f>
        <v/>
      </c>
      <c r="D30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0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06" s="43" t="str">
        <f>IFERROR(VLOOKUP(B306,Baza[[№]:[Profit]],3,0),"")</f>
        <v/>
      </c>
      <c r="G306" s="43" t="str">
        <f>IFERROR(VLOOKUP(B306,Baza[[№]:[Profit]],4,0),"")</f>
        <v/>
      </c>
      <c r="H306" s="43" t="str">
        <f>IFERROR(VLOOKUP(B306,Baza[[№]:[Profit]],5,0),"")</f>
        <v/>
      </c>
      <c r="I306" s="46" t="str">
        <f>IFERROR(VLOOKUP(B306,Baza[[№]:[Profit]],6,0),"")</f>
        <v/>
      </c>
      <c r="J306" s="49" t="str">
        <f>IFERROR(VLOOKUP(B306,Baza[[№]:[Profit]],7,0),"")</f>
        <v/>
      </c>
      <c r="K306" s="43" t="str">
        <f>IFERROR(VLOOKUP(B306,Baza[[№]:[Profit]],8,0),"")</f>
        <v/>
      </c>
      <c r="L306" s="43" t="str">
        <f>IFERROR(VLOOKUP(B306,Baza[[№]:[Profit]],9,0),"")</f>
        <v/>
      </c>
      <c r="M306" s="43" t="str">
        <f>IFERROR(VLOOKUP(B306,Baza[[№]:[Profit]],10,0),"")</f>
        <v/>
      </c>
      <c r="N306" s="43" t="str">
        <f>IFERROR(IF(VLOOKUP(B306,Baza[[№]:[Profit]],11,0)=0,"-",VLOOKUP(B306,Baza[[№]:[Profit]],11,0)),"")</f>
        <v/>
      </c>
      <c r="O306" s="43" t="str">
        <f>IFERROR(IF(VLOOKUP(B306,Baza[[№]:[Profit]],12,0)=0,"-",VLOOKUP(B306,Baza[[№]:[Profit]],12,0)),"")</f>
        <v/>
      </c>
      <c r="P306" s="43" t="str">
        <f>IFERROR(IF(VLOOKUP(B306,Baza[[№]:[Profit]],13,0)=0,"-",VLOOKUP(B306,Baza[[№]:[Profit]],13,0)),"")</f>
        <v/>
      </c>
      <c r="Q306" s="43" t="str">
        <f>IFERROR(IF(VLOOKUP(B306,Baza[[№]:[Profit]],15,0)=0,"-",VLOOKUP(B306,Baza[[№]:[Profit]],15,0)),"")</f>
        <v/>
      </c>
      <c r="R306" s="43" t="str">
        <f>IFERROR(IF(VLOOKUP(B306,Baza[[№]:[Profit]],16,0)=0,"-",VLOOKUP(B306,Baza[[№]:[Profit]],16,0)),"")</f>
        <v/>
      </c>
      <c r="S306" s="43" t="str">
        <f>IFERROR(IF(VLOOKUP(B306,Baza[[№]:[Profit]],17,0)=0,"-",VLOOKUP(B306,Baza[[№]:[Profit]],17,0)),"")</f>
        <v/>
      </c>
      <c r="T306" s="43" t="str">
        <f>IFERROR(IF(VLOOKUP(B306,Baza[[№]:[Profit]],18,0)=0,"-",VLOOKUP(B306,Baza[[№]:[Profit]],18,0)),"")</f>
        <v/>
      </c>
      <c r="U306" s="41" t="str">
        <f>IFERROR(IF(VLOOKUP(B306,Baza[[№]:[Profit]],19,0)=0,"-",VLOOKUP(B306,Baza[[№]:[Profit]],19,0)),"")</f>
        <v/>
      </c>
      <c r="V306" s="41" t="str">
        <f>IFERROR(VLOOKUP(B306,Baza[[№]:[Profit]],20,0),"")</f>
        <v/>
      </c>
      <c r="W306" s="41" t="str">
        <f>IFERROR(IF(VLOOKUP(B306,Baza[[№]:[Profit]],21,0)=0,"-",VLOOKUP(B306,Baza[[№]:[Profit]],21,0)),"")</f>
        <v/>
      </c>
      <c r="X306" s="45" t="str">
        <f>IFERROR(IF(VLOOKUP(B306,Baza[[№]:[Profit]],22,0)=0,"-",VLOOKUP(B306,Baza[[№]:[Profit]],22,0)),"")</f>
        <v/>
      </c>
      <c r="Y306" s="45" t="str">
        <f>IFERROR(VLOOKUP(B306,Baza[[№]:[Profit]],23,0),"")</f>
        <v/>
      </c>
      <c r="Z306" s="44" t="str">
        <f>IFERROR(VLOOKUP(B306,Baza[[№]:[AFS]],24,0),"")</f>
        <v/>
      </c>
      <c r="AA306" s="45" t="str">
        <f>IF(Таблица2[[#This Row],[Profit]]="","#Н/Д",SUM($Y$40:Y306))</f>
        <v>#Н/Д</v>
      </c>
      <c r="AB306" s="45" t="b">
        <f>IF(Таблица2[[#This Row],[Grafik]]="#Н/Д",FALSE,TRUE)</f>
        <v>0</v>
      </c>
    </row>
    <row r="307" spans="2:28" ht="11.1" hidden="1" customHeight="1" x14ac:dyDescent="0.25">
      <c r="B307"/>
      <c r="C307" s="41" t="str">
        <f>IFERROR(VLOOKUP(B307,Baza[[№]:[Profit]],2,0),"")</f>
        <v/>
      </c>
      <c r="D30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0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07" s="43" t="str">
        <f>IFERROR(VLOOKUP(B307,Baza[[№]:[Profit]],3,0),"")</f>
        <v/>
      </c>
      <c r="G307" s="43" t="str">
        <f>IFERROR(VLOOKUP(B307,Baza[[№]:[Profit]],4,0),"")</f>
        <v/>
      </c>
      <c r="H307" s="43" t="str">
        <f>IFERROR(VLOOKUP(B307,Baza[[№]:[Profit]],5,0),"")</f>
        <v/>
      </c>
      <c r="I307" s="46" t="str">
        <f>IFERROR(VLOOKUP(B307,Baza[[№]:[Profit]],6,0),"")</f>
        <v/>
      </c>
      <c r="J307" s="49" t="str">
        <f>IFERROR(VLOOKUP(B307,Baza[[№]:[Profit]],7,0),"")</f>
        <v/>
      </c>
      <c r="K307" s="43" t="str">
        <f>IFERROR(VLOOKUP(B307,Baza[[№]:[Profit]],8,0),"")</f>
        <v/>
      </c>
      <c r="L307" s="43" t="str">
        <f>IFERROR(VLOOKUP(B307,Baza[[№]:[Profit]],9,0),"")</f>
        <v/>
      </c>
      <c r="M307" s="43" t="str">
        <f>IFERROR(VLOOKUP(B307,Baza[[№]:[Profit]],10,0),"")</f>
        <v/>
      </c>
      <c r="N307" s="43" t="str">
        <f>IFERROR(IF(VLOOKUP(B307,Baza[[№]:[Profit]],11,0)=0,"-",VLOOKUP(B307,Baza[[№]:[Profit]],11,0)),"")</f>
        <v/>
      </c>
      <c r="O307" s="43" t="str">
        <f>IFERROR(IF(VLOOKUP(B307,Baza[[№]:[Profit]],12,0)=0,"-",VLOOKUP(B307,Baza[[№]:[Profit]],12,0)),"")</f>
        <v/>
      </c>
      <c r="P307" s="43" t="str">
        <f>IFERROR(IF(VLOOKUP(B307,Baza[[№]:[Profit]],13,0)=0,"-",VLOOKUP(B307,Baza[[№]:[Profit]],13,0)),"")</f>
        <v/>
      </c>
      <c r="Q307" s="43" t="str">
        <f>IFERROR(IF(VLOOKUP(B307,Baza[[№]:[Profit]],15,0)=0,"-",VLOOKUP(B307,Baza[[№]:[Profit]],15,0)),"")</f>
        <v/>
      </c>
      <c r="R307" s="43" t="str">
        <f>IFERROR(IF(VLOOKUP(B307,Baza[[№]:[Profit]],16,0)=0,"-",VLOOKUP(B307,Baza[[№]:[Profit]],16,0)),"")</f>
        <v/>
      </c>
      <c r="S307" s="43" t="str">
        <f>IFERROR(IF(VLOOKUP(B307,Baza[[№]:[Profit]],17,0)=0,"-",VLOOKUP(B307,Baza[[№]:[Profit]],17,0)),"")</f>
        <v/>
      </c>
      <c r="T307" s="43" t="str">
        <f>IFERROR(IF(VLOOKUP(B307,Baza[[№]:[Profit]],18,0)=0,"-",VLOOKUP(B307,Baza[[№]:[Profit]],18,0)),"")</f>
        <v/>
      </c>
      <c r="U307" s="41" t="str">
        <f>IFERROR(IF(VLOOKUP(B307,Baza[[№]:[Profit]],19,0)=0,"-",VLOOKUP(B307,Baza[[№]:[Profit]],19,0)),"")</f>
        <v/>
      </c>
      <c r="V307" s="41" t="str">
        <f>IFERROR(VLOOKUP(B307,Baza[[№]:[Profit]],20,0),"")</f>
        <v/>
      </c>
      <c r="W307" s="41" t="str">
        <f>IFERROR(IF(VLOOKUP(B307,Baza[[№]:[Profit]],21,0)=0,"-",VLOOKUP(B307,Baza[[№]:[Profit]],21,0)),"")</f>
        <v/>
      </c>
      <c r="X307" s="45" t="str">
        <f>IFERROR(IF(VLOOKUP(B307,Baza[[№]:[Profit]],22,0)=0,"-",VLOOKUP(B307,Baza[[№]:[Profit]],22,0)),"")</f>
        <v/>
      </c>
      <c r="Y307" s="45" t="str">
        <f>IFERROR(VLOOKUP(B307,Baza[[№]:[Profit]],23,0),"")</f>
        <v/>
      </c>
      <c r="Z307" s="44" t="str">
        <f>IFERROR(VLOOKUP(B307,Baza[[№]:[AFS]],24,0),"")</f>
        <v/>
      </c>
      <c r="AA307" s="45" t="str">
        <f>IF(Таблица2[[#This Row],[Profit]]="","#Н/Д",SUM($Y$40:Y307))</f>
        <v>#Н/Д</v>
      </c>
      <c r="AB307" s="45" t="b">
        <f>IF(Таблица2[[#This Row],[Grafik]]="#Н/Д",FALSE,TRUE)</f>
        <v>0</v>
      </c>
    </row>
    <row r="308" spans="2:28" ht="11.1" hidden="1" customHeight="1" x14ac:dyDescent="0.25">
      <c r="B308"/>
      <c r="C308" s="41" t="str">
        <f>IFERROR(VLOOKUP(B308,Baza[[№]:[Profit]],2,0),"")</f>
        <v/>
      </c>
      <c r="D30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0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08" s="43" t="str">
        <f>IFERROR(VLOOKUP(B308,Baza[[№]:[Profit]],3,0),"")</f>
        <v/>
      </c>
      <c r="G308" s="43" t="str">
        <f>IFERROR(VLOOKUP(B308,Baza[[№]:[Profit]],4,0),"")</f>
        <v/>
      </c>
      <c r="H308" s="43" t="str">
        <f>IFERROR(VLOOKUP(B308,Baza[[№]:[Profit]],5,0),"")</f>
        <v/>
      </c>
      <c r="I308" s="46" t="str">
        <f>IFERROR(VLOOKUP(B308,Baza[[№]:[Profit]],6,0),"")</f>
        <v/>
      </c>
      <c r="J308" s="49" t="str">
        <f>IFERROR(VLOOKUP(B308,Baza[[№]:[Profit]],7,0),"")</f>
        <v/>
      </c>
      <c r="K308" s="43" t="str">
        <f>IFERROR(VLOOKUP(B308,Baza[[№]:[Profit]],8,0),"")</f>
        <v/>
      </c>
      <c r="L308" s="43" t="str">
        <f>IFERROR(VLOOKUP(B308,Baza[[№]:[Profit]],9,0),"")</f>
        <v/>
      </c>
      <c r="M308" s="43" t="str">
        <f>IFERROR(VLOOKUP(B308,Baza[[№]:[Profit]],10,0),"")</f>
        <v/>
      </c>
      <c r="N308" s="43" t="str">
        <f>IFERROR(IF(VLOOKUP(B308,Baza[[№]:[Profit]],11,0)=0,"-",VLOOKUP(B308,Baza[[№]:[Profit]],11,0)),"")</f>
        <v/>
      </c>
      <c r="O308" s="43" t="str">
        <f>IFERROR(IF(VLOOKUP(B308,Baza[[№]:[Profit]],12,0)=0,"-",VLOOKUP(B308,Baza[[№]:[Profit]],12,0)),"")</f>
        <v/>
      </c>
      <c r="P308" s="43" t="str">
        <f>IFERROR(IF(VLOOKUP(B308,Baza[[№]:[Profit]],13,0)=0,"-",VLOOKUP(B308,Baza[[№]:[Profit]],13,0)),"")</f>
        <v/>
      </c>
      <c r="Q308" s="43" t="str">
        <f>IFERROR(IF(VLOOKUP(B308,Baza[[№]:[Profit]],15,0)=0,"-",VLOOKUP(B308,Baza[[№]:[Profit]],15,0)),"")</f>
        <v/>
      </c>
      <c r="R308" s="43" t="str">
        <f>IFERROR(IF(VLOOKUP(B308,Baza[[№]:[Profit]],16,0)=0,"-",VLOOKUP(B308,Baza[[№]:[Profit]],16,0)),"")</f>
        <v/>
      </c>
      <c r="S308" s="43" t="str">
        <f>IFERROR(IF(VLOOKUP(B308,Baza[[№]:[Profit]],17,0)=0,"-",VLOOKUP(B308,Baza[[№]:[Profit]],17,0)),"")</f>
        <v/>
      </c>
      <c r="T308" s="43" t="str">
        <f>IFERROR(IF(VLOOKUP(B308,Baza[[№]:[Profit]],18,0)=0,"-",VLOOKUP(B308,Baza[[№]:[Profit]],18,0)),"")</f>
        <v/>
      </c>
      <c r="U308" s="41" t="str">
        <f>IFERROR(IF(VLOOKUP(B308,Baza[[№]:[Profit]],19,0)=0,"-",VLOOKUP(B308,Baza[[№]:[Profit]],19,0)),"")</f>
        <v/>
      </c>
      <c r="V308" s="41" t="str">
        <f>IFERROR(VLOOKUP(B308,Baza[[№]:[Profit]],20,0),"")</f>
        <v/>
      </c>
      <c r="W308" s="41" t="str">
        <f>IFERROR(IF(VLOOKUP(B308,Baza[[№]:[Profit]],21,0)=0,"-",VLOOKUP(B308,Baza[[№]:[Profit]],21,0)),"")</f>
        <v/>
      </c>
      <c r="X308" s="45" t="str">
        <f>IFERROR(IF(VLOOKUP(B308,Baza[[№]:[Profit]],22,0)=0,"-",VLOOKUP(B308,Baza[[№]:[Profit]],22,0)),"")</f>
        <v/>
      </c>
      <c r="Y308" s="45" t="str">
        <f>IFERROR(VLOOKUP(B308,Baza[[№]:[Profit]],23,0),"")</f>
        <v/>
      </c>
      <c r="Z308" s="44" t="str">
        <f>IFERROR(VLOOKUP(B308,Baza[[№]:[AFS]],24,0),"")</f>
        <v/>
      </c>
      <c r="AA308" s="45" t="str">
        <f>IF(Таблица2[[#This Row],[Profit]]="","#Н/Д",SUM($Y$40:Y308))</f>
        <v>#Н/Д</v>
      </c>
      <c r="AB308" s="45" t="b">
        <f>IF(Таблица2[[#This Row],[Grafik]]="#Н/Д",FALSE,TRUE)</f>
        <v>0</v>
      </c>
    </row>
    <row r="309" spans="2:28" ht="11.1" hidden="1" customHeight="1" x14ac:dyDescent="0.25">
      <c r="B309"/>
      <c r="C309" s="41" t="str">
        <f>IFERROR(VLOOKUP(B309,Baza[[№]:[Profit]],2,0),"")</f>
        <v/>
      </c>
      <c r="D30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0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09" s="43" t="str">
        <f>IFERROR(VLOOKUP(B309,Baza[[№]:[Profit]],3,0),"")</f>
        <v/>
      </c>
      <c r="G309" s="43" t="str">
        <f>IFERROR(VLOOKUP(B309,Baza[[№]:[Profit]],4,0),"")</f>
        <v/>
      </c>
      <c r="H309" s="43" t="str">
        <f>IFERROR(VLOOKUP(B309,Baza[[№]:[Profit]],5,0),"")</f>
        <v/>
      </c>
      <c r="I309" s="46" t="str">
        <f>IFERROR(VLOOKUP(B309,Baza[[№]:[Profit]],6,0),"")</f>
        <v/>
      </c>
      <c r="J309" s="49" t="str">
        <f>IFERROR(VLOOKUP(B309,Baza[[№]:[Profit]],7,0),"")</f>
        <v/>
      </c>
      <c r="K309" s="43" t="str">
        <f>IFERROR(VLOOKUP(B309,Baza[[№]:[Profit]],8,0),"")</f>
        <v/>
      </c>
      <c r="L309" s="43" t="str">
        <f>IFERROR(VLOOKUP(B309,Baza[[№]:[Profit]],9,0),"")</f>
        <v/>
      </c>
      <c r="M309" s="43" t="str">
        <f>IFERROR(VLOOKUP(B309,Baza[[№]:[Profit]],10,0),"")</f>
        <v/>
      </c>
      <c r="N309" s="43" t="str">
        <f>IFERROR(IF(VLOOKUP(B309,Baza[[№]:[Profit]],11,0)=0,"-",VLOOKUP(B309,Baza[[№]:[Profit]],11,0)),"")</f>
        <v/>
      </c>
      <c r="O309" s="43" t="str">
        <f>IFERROR(IF(VLOOKUP(B309,Baza[[№]:[Profit]],12,0)=0,"-",VLOOKUP(B309,Baza[[№]:[Profit]],12,0)),"")</f>
        <v/>
      </c>
      <c r="P309" s="43" t="str">
        <f>IFERROR(IF(VLOOKUP(B309,Baza[[№]:[Profit]],13,0)=0,"-",VLOOKUP(B309,Baza[[№]:[Profit]],13,0)),"")</f>
        <v/>
      </c>
      <c r="Q309" s="43" t="str">
        <f>IFERROR(IF(VLOOKUP(B309,Baza[[№]:[Profit]],15,0)=0,"-",VLOOKUP(B309,Baza[[№]:[Profit]],15,0)),"")</f>
        <v/>
      </c>
      <c r="R309" s="43" t="str">
        <f>IFERROR(IF(VLOOKUP(B309,Baza[[№]:[Profit]],16,0)=0,"-",VLOOKUP(B309,Baza[[№]:[Profit]],16,0)),"")</f>
        <v/>
      </c>
      <c r="S309" s="43" t="str">
        <f>IFERROR(IF(VLOOKUP(B309,Baza[[№]:[Profit]],17,0)=0,"-",VLOOKUP(B309,Baza[[№]:[Profit]],17,0)),"")</f>
        <v/>
      </c>
      <c r="T309" s="43" t="str">
        <f>IFERROR(IF(VLOOKUP(B309,Baza[[№]:[Profit]],18,0)=0,"-",VLOOKUP(B309,Baza[[№]:[Profit]],18,0)),"")</f>
        <v/>
      </c>
      <c r="U309" s="41" t="str">
        <f>IFERROR(IF(VLOOKUP(B309,Baza[[№]:[Profit]],19,0)=0,"-",VLOOKUP(B309,Baza[[№]:[Profit]],19,0)),"")</f>
        <v/>
      </c>
      <c r="V309" s="41" t="str">
        <f>IFERROR(VLOOKUP(B309,Baza[[№]:[Profit]],20,0),"")</f>
        <v/>
      </c>
      <c r="W309" s="41" t="str">
        <f>IFERROR(IF(VLOOKUP(B309,Baza[[№]:[Profit]],21,0)=0,"-",VLOOKUP(B309,Baza[[№]:[Profit]],21,0)),"")</f>
        <v/>
      </c>
      <c r="X309" s="45" t="str">
        <f>IFERROR(IF(VLOOKUP(B309,Baza[[№]:[Profit]],22,0)=0,"-",VLOOKUP(B309,Baza[[№]:[Profit]],22,0)),"")</f>
        <v/>
      </c>
      <c r="Y309" s="45" t="str">
        <f>IFERROR(VLOOKUP(B309,Baza[[№]:[Profit]],23,0),"")</f>
        <v/>
      </c>
      <c r="Z309" s="44" t="str">
        <f>IFERROR(VLOOKUP(B309,Baza[[№]:[AFS]],24,0),"")</f>
        <v/>
      </c>
      <c r="AA309" s="45" t="str">
        <f>IF(Таблица2[[#This Row],[Profit]]="","#Н/Д",SUM($Y$40:Y309))</f>
        <v>#Н/Д</v>
      </c>
      <c r="AB309" s="45" t="b">
        <f>IF(Таблица2[[#This Row],[Grafik]]="#Н/Д",FALSE,TRUE)</f>
        <v>0</v>
      </c>
    </row>
    <row r="310" spans="2:28" ht="11.1" hidden="1" customHeight="1" x14ac:dyDescent="0.25">
      <c r="B310"/>
      <c r="C310" s="41" t="str">
        <f>IFERROR(VLOOKUP(B310,Baza[[№]:[Profit]],2,0),"")</f>
        <v/>
      </c>
      <c r="D31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1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10" s="43" t="str">
        <f>IFERROR(VLOOKUP(B310,Baza[[№]:[Profit]],3,0),"")</f>
        <v/>
      </c>
      <c r="G310" s="43" t="str">
        <f>IFERROR(VLOOKUP(B310,Baza[[№]:[Profit]],4,0),"")</f>
        <v/>
      </c>
      <c r="H310" s="43" t="str">
        <f>IFERROR(VLOOKUP(B310,Baza[[№]:[Profit]],5,0),"")</f>
        <v/>
      </c>
      <c r="I310" s="46" t="str">
        <f>IFERROR(VLOOKUP(B310,Baza[[№]:[Profit]],6,0),"")</f>
        <v/>
      </c>
      <c r="J310" s="49" t="str">
        <f>IFERROR(VLOOKUP(B310,Baza[[№]:[Profit]],7,0),"")</f>
        <v/>
      </c>
      <c r="K310" s="43" t="str">
        <f>IFERROR(VLOOKUP(B310,Baza[[№]:[Profit]],8,0),"")</f>
        <v/>
      </c>
      <c r="L310" s="43" t="str">
        <f>IFERROR(VLOOKUP(B310,Baza[[№]:[Profit]],9,0),"")</f>
        <v/>
      </c>
      <c r="M310" s="43" t="str">
        <f>IFERROR(VLOOKUP(B310,Baza[[№]:[Profit]],10,0),"")</f>
        <v/>
      </c>
      <c r="N310" s="43" t="str">
        <f>IFERROR(IF(VLOOKUP(B310,Baza[[№]:[Profit]],11,0)=0,"-",VLOOKUP(B310,Baza[[№]:[Profit]],11,0)),"")</f>
        <v/>
      </c>
      <c r="O310" s="43" t="str">
        <f>IFERROR(IF(VLOOKUP(B310,Baza[[№]:[Profit]],12,0)=0,"-",VLOOKUP(B310,Baza[[№]:[Profit]],12,0)),"")</f>
        <v/>
      </c>
      <c r="P310" s="43" t="str">
        <f>IFERROR(IF(VLOOKUP(B310,Baza[[№]:[Profit]],13,0)=0,"-",VLOOKUP(B310,Baza[[№]:[Profit]],13,0)),"")</f>
        <v/>
      </c>
      <c r="Q310" s="43" t="str">
        <f>IFERROR(IF(VLOOKUP(B310,Baza[[№]:[Profit]],15,0)=0,"-",VLOOKUP(B310,Baza[[№]:[Profit]],15,0)),"")</f>
        <v/>
      </c>
      <c r="R310" s="43" t="str">
        <f>IFERROR(IF(VLOOKUP(B310,Baza[[№]:[Profit]],16,0)=0,"-",VLOOKUP(B310,Baza[[№]:[Profit]],16,0)),"")</f>
        <v/>
      </c>
      <c r="S310" s="43" t="str">
        <f>IFERROR(IF(VLOOKUP(B310,Baza[[№]:[Profit]],17,0)=0,"-",VLOOKUP(B310,Baza[[№]:[Profit]],17,0)),"")</f>
        <v/>
      </c>
      <c r="T310" s="43" t="str">
        <f>IFERROR(IF(VLOOKUP(B310,Baza[[№]:[Profit]],18,0)=0,"-",VLOOKUP(B310,Baza[[№]:[Profit]],18,0)),"")</f>
        <v/>
      </c>
      <c r="U310" s="41" t="str">
        <f>IFERROR(IF(VLOOKUP(B310,Baza[[№]:[Profit]],19,0)=0,"-",VLOOKUP(B310,Baza[[№]:[Profit]],19,0)),"")</f>
        <v/>
      </c>
      <c r="V310" s="41" t="str">
        <f>IFERROR(VLOOKUP(B310,Baza[[№]:[Profit]],20,0),"")</f>
        <v/>
      </c>
      <c r="W310" s="41" t="str">
        <f>IFERROR(IF(VLOOKUP(B310,Baza[[№]:[Profit]],21,0)=0,"-",VLOOKUP(B310,Baza[[№]:[Profit]],21,0)),"")</f>
        <v/>
      </c>
      <c r="X310" s="45" t="str">
        <f>IFERROR(IF(VLOOKUP(B310,Baza[[№]:[Profit]],22,0)=0,"-",VLOOKUP(B310,Baza[[№]:[Profit]],22,0)),"")</f>
        <v/>
      </c>
      <c r="Y310" s="45" t="str">
        <f>IFERROR(VLOOKUP(B310,Baza[[№]:[Profit]],23,0),"")</f>
        <v/>
      </c>
      <c r="Z310" s="44" t="str">
        <f>IFERROR(VLOOKUP(B310,Baza[[№]:[AFS]],24,0),"")</f>
        <v/>
      </c>
      <c r="AA310" s="45" t="str">
        <f>IF(Таблица2[[#This Row],[Profit]]="","#Н/Д",SUM($Y$40:Y310))</f>
        <v>#Н/Д</v>
      </c>
      <c r="AB310" s="45" t="b">
        <f>IF(Таблица2[[#This Row],[Grafik]]="#Н/Д",FALSE,TRUE)</f>
        <v>0</v>
      </c>
    </row>
    <row r="311" spans="2:28" ht="11.1" hidden="1" customHeight="1" x14ac:dyDescent="0.25">
      <c r="B311"/>
      <c r="C311" s="41" t="str">
        <f>IFERROR(VLOOKUP(B311,Baza[[№]:[Profit]],2,0),"")</f>
        <v/>
      </c>
      <c r="D31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1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11" s="43" t="str">
        <f>IFERROR(VLOOKUP(B311,Baza[[№]:[Profit]],3,0),"")</f>
        <v/>
      </c>
      <c r="G311" s="43" t="str">
        <f>IFERROR(VLOOKUP(B311,Baza[[№]:[Profit]],4,0),"")</f>
        <v/>
      </c>
      <c r="H311" s="43" t="str">
        <f>IFERROR(VLOOKUP(B311,Baza[[№]:[Profit]],5,0),"")</f>
        <v/>
      </c>
      <c r="I311" s="46" t="str">
        <f>IFERROR(VLOOKUP(B311,Baza[[№]:[Profit]],6,0),"")</f>
        <v/>
      </c>
      <c r="J311" s="49" t="str">
        <f>IFERROR(VLOOKUP(B311,Baza[[№]:[Profit]],7,0),"")</f>
        <v/>
      </c>
      <c r="K311" s="43" t="str">
        <f>IFERROR(VLOOKUP(B311,Baza[[№]:[Profit]],8,0),"")</f>
        <v/>
      </c>
      <c r="L311" s="43" t="str">
        <f>IFERROR(VLOOKUP(B311,Baza[[№]:[Profit]],9,0),"")</f>
        <v/>
      </c>
      <c r="M311" s="43" t="str">
        <f>IFERROR(VLOOKUP(B311,Baza[[№]:[Profit]],10,0),"")</f>
        <v/>
      </c>
      <c r="N311" s="43" t="str">
        <f>IFERROR(IF(VLOOKUP(B311,Baza[[№]:[Profit]],11,0)=0,"-",VLOOKUP(B311,Baza[[№]:[Profit]],11,0)),"")</f>
        <v/>
      </c>
      <c r="O311" s="43" t="str">
        <f>IFERROR(IF(VLOOKUP(B311,Baza[[№]:[Profit]],12,0)=0,"-",VLOOKUP(B311,Baza[[№]:[Profit]],12,0)),"")</f>
        <v/>
      </c>
      <c r="P311" s="43" t="str">
        <f>IFERROR(IF(VLOOKUP(B311,Baza[[№]:[Profit]],13,0)=0,"-",VLOOKUP(B311,Baza[[№]:[Profit]],13,0)),"")</f>
        <v/>
      </c>
      <c r="Q311" s="43" t="str">
        <f>IFERROR(IF(VLOOKUP(B311,Baza[[№]:[Profit]],15,0)=0,"-",VLOOKUP(B311,Baza[[№]:[Profit]],15,0)),"")</f>
        <v/>
      </c>
      <c r="R311" s="43" t="str">
        <f>IFERROR(IF(VLOOKUP(B311,Baza[[№]:[Profit]],16,0)=0,"-",VLOOKUP(B311,Baza[[№]:[Profit]],16,0)),"")</f>
        <v/>
      </c>
      <c r="S311" s="43" t="str">
        <f>IFERROR(IF(VLOOKUP(B311,Baza[[№]:[Profit]],17,0)=0,"-",VLOOKUP(B311,Baza[[№]:[Profit]],17,0)),"")</f>
        <v/>
      </c>
      <c r="T311" s="43" t="str">
        <f>IFERROR(IF(VLOOKUP(B311,Baza[[№]:[Profit]],18,0)=0,"-",VLOOKUP(B311,Baza[[№]:[Profit]],18,0)),"")</f>
        <v/>
      </c>
      <c r="U311" s="41" t="str">
        <f>IFERROR(IF(VLOOKUP(B311,Baza[[№]:[Profit]],19,0)=0,"-",VLOOKUP(B311,Baza[[№]:[Profit]],19,0)),"")</f>
        <v/>
      </c>
      <c r="V311" s="41" t="str">
        <f>IFERROR(VLOOKUP(B311,Baza[[№]:[Profit]],20,0),"")</f>
        <v/>
      </c>
      <c r="W311" s="41" t="str">
        <f>IFERROR(IF(VLOOKUP(B311,Baza[[№]:[Profit]],21,0)=0,"-",VLOOKUP(B311,Baza[[№]:[Profit]],21,0)),"")</f>
        <v/>
      </c>
      <c r="X311" s="45" t="str">
        <f>IFERROR(IF(VLOOKUP(B311,Baza[[№]:[Profit]],22,0)=0,"-",VLOOKUP(B311,Baza[[№]:[Profit]],22,0)),"")</f>
        <v/>
      </c>
      <c r="Y311" s="45" t="str">
        <f>IFERROR(VLOOKUP(B311,Baza[[№]:[Profit]],23,0),"")</f>
        <v/>
      </c>
      <c r="Z311" s="44" t="str">
        <f>IFERROR(VLOOKUP(B311,Baza[[№]:[AFS]],24,0),"")</f>
        <v/>
      </c>
      <c r="AA311" s="45" t="str">
        <f>IF(Таблица2[[#This Row],[Profit]]="","#Н/Д",SUM($Y$40:Y311))</f>
        <v>#Н/Д</v>
      </c>
      <c r="AB311" s="45" t="b">
        <f>IF(Таблица2[[#This Row],[Grafik]]="#Н/Д",FALSE,TRUE)</f>
        <v>0</v>
      </c>
    </row>
    <row r="312" spans="2:28" ht="11.1" hidden="1" customHeight="1" x14ac:dyDescent="0.25">
      <c r="B312"/>
      <c r="C312" s="41" t="str">
        <f>IFERROR(VLOOKUP(B312,Baza[[№]:[Profit]],2,0),"")</f>
        <v/>
      </c>
      <c r="D31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1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12" s="43" t="str">
        <f>IFERROR(VLOOKUP(B312,Baza[[№]:[Profit]],3,0),"")</f>
        <v/>
      </c>
      <c r="G312" s="43" t="str">
        <f>IFERROR(VLOOKUP(B312,Baza[[№]:[Profit]],4,0),"")</f>
        <v/>
      </c>
      <c r="H312" s="43" t="str">
        <f>IFERROR(VLOOKUP(B312,Baza[[№]:[Profit]],5,0),"")</f>
        <v/>
      </c>
      <c r="I312" s="46" t="str">
        <f>IFERROR(VLOOKUP(B312,Baza[[№]:[Profit]],6,0),"")</f>
        <v/>
      </c>
      <c r="J312" s="49" t="str">
        <f>IFERROR(VLOOKUP(B312,Baza[[№]:[Profit]],7,0),"")</f>
        <v/>
      </c>
      <c r="K312" s="43" t="str">
        <f>IFERROR(VLOOKUP(B312,Baza[[№]:[Profit]],8,0),"")</f>
        <v/>
      </c>
      <c r="L312" s="43" t="str">
        <f>IFERROR(VLOOKUP(B312,Baza[[№]:[Profit]],9,0),"")</f>
        <v/>
      </c>
      <c r="M312" s="43" t="str">
        <f>IFERROR(VLOOKUP(B312,Baza[[№]:[Profit]],10,0),"")</f>
        <v/>
      </c>
      <c r="N312" s="43" t="str">
        <f>IFERROR(IF(VLOOKUP(B312,Baza[[№]:[Profit]],11,0)=0,"-",VLOOKUP(B312,Baza[[№]:[Profit]],11,0)),"")</f>
        <v/>
      </c>
      <c r="O312" s="43" t="str">
        <f>IFERROR(IF(VLOOKUP(B312,Baza[[№]:[Profit]],12,0)=0,"-",VLOOKUP(B312,Baza[[№]:[Profit]],12,0)),"")</f>
        <v/>
      </c>
      <c r="P312" s="43" t="str">
        <f>IFERROR(IF(VLOOKUP(B312,Baza[[№]:[Profit]],13,0)=0,"-",VLOOKUP(B312,Baza[[№]:[Profit]],13,0)),"")</f>
        <v/>
      </c>
      <c r="Q312" s="43" t="str">
        <f>IFERROR(IF(VLOOKUP(B312,Baza[[№]:[Profit]],15,0)=0,"-",VLOOKUP(B312,Baza[[№]:[Profit]],15,0)),"")</f>
        <v/>
      </c>
      <c r="R312" s="43" t="str">
        <f>IFERROR(IF(VLOOKUP(B312,Baza[[№]:[Profit]],16,0)=0,"-",VLOOKUP(B312,Baza[[№]:[Profit]],16,0)),"")</f>
        <v/>
      </c>
      <c r="S312" s="43" t="str">
        <f>IFERROR(IF(VLOOKUP(B312,Baza[[№]:[Profit]],17,0)=0,"-",VLOOKUP(B312,Baza[[№]:[Profit]],17,0)),"")</f>
        <v/>
      </c>
      <c r="T312" s="43" t="str">
        <f>IFERROR(IF(VLOOKUP(B312,Baza[[№]:[Profit]],18,0)=0,"-",VLOOKUP(B312,Baza[[№]:[Profit]],18,0)),"")</f>
        <v/>
      </c>
      <c r="U312" s="41" t="str">
        <f>IFERROR(IF(VLOOKUP(B312,Baza[[№]:[Profit]],19,0)=0,"-",VLOOKUP(B312,Baza[[№]:[Profit]],19,0)),"")</f>
        <v/>
      </c>
      <c r="V312" s="41" t="str">
        <f>IFERROR(VLOOKUP(B312,Baza[[№]:[Profit]],20,0),"")</f>
        <v/>
      </c>
      <c r="W312" s="41" t="str">
        <f>IFERROR(IF(VLOOKUP(B312,Baza[[№]:[Profit]],21,0)=0,"-",VLOOKUP(B312,Baza[[№]:[Profit]],21,0)),"")</f>
        <v/>
      </c>
      <c r="X312" s="45" t="str">
        <f>IFERROR(IF(VLOOKUP(B312,Baza[[№]:[Profit]],22,0)=0,"-",VLOOKUP(B312,Baza[[№]:[Profit]],22,0)),"")</f>
        <v/>
      </c>
      <c r="Y312" s="45" t="str">
        <f>IFERROR(VLOOKUP(B312,Baza[[№]:[Profit]],23,0),"")</f>
        <v/>
      </c>
      <c r="Z312" s="44" t="str">
        <f>IFERROR(VLOOKUP(B312,Baza[[№]:[AFS]],24,0),"")</f>
        <v/>
      </c>
      <c r="AA312" s="45" t="str">
        <f>IF(Таблица2[[#This Row],[Profit]]="","#Н/Д",SUM($Y$40:Y312))</f>
        <v>#Н/Д</v>
      </c>
      <c r="AB312" s="45" t="b">
        <f>IF(Таблица2[[#This Row],[Grafik]]="#Н/Д",FALSE,TRUE)</f>
        <v>0</v>
      </c>
    </row>
    <row r="313" spans="2:28" ht="11.1" hidden="1" customHeight="1" x14ac:dyDescent="0.25">
      <c r="B313"/>
      <c r="C313" s="41" t="str">
        <f>IFERROR(VLOOKUP(B313,Baza[[№]:[Profit]],2,0),"")</f>
        <v/>
      </c>
      <c r="D31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1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13" s="43" t="str">
        <f>IFERROR(VLOOKUP(B313,Baza[[№]:[Profit]],3,0),"")</f>
        <v/>
      </c>
      <c r="G313" s="43" t="str">
        <f>IFERROR(VLOOKUP(B313,Baza[[№]:[Profit]],4,0),"")</f>
        <v/>
      </c>
      <c r="H313" s="43" t="str">
        <f>IFERROR(VLOOKUP(B313,Baza[[№]:[Profit]],5,0),"")</f>
        <v/>
      </c>
      <c r="I313" s="46" t="str">
        <f>IFERROR(VLOOKUP(B313,Baza[[№]:[Profit]],6,0),"")</f>
        <v/>
      </c>
      <c r="J313" s="49" t="str">
        <f>IFERROR(VLOOKUP(B313,Baza[[№]:[Profit]],7,0),"")</f>
        <v/>
      </c>
      <c r="K313" s="43" t="str">
        <f>IFERROR(VLOOKUP(B313,Baza[[№]:[Profit]],8,0),"")</f>
        <v/>
      </c>
      <c r="L313" s="43" t="str">
        <f>IFERROR(VLOOKUP(B313,Baza[[№]:[Profit]],9,0),"")</f>
        <v/>
      </c>
      <c r="M313" s="43" t="str">
        <f>IFERROR(VLOOKUP(B313,Baza[[№]:[Profit]],10,0),"")</f>
        <v/>
      </c>
      <c r="N313" s="43" t="str">
        <f>IFERROR(IF(VLOOKUP(B313,Baza[[№]:[Profit]],11,0)=0,"-",VLOOKUP(B313,Baza[[№]:[Profit]],11,0)),"")</f>
        <v/>
      </c>
      <c r="O313" s="43" t="str">
        <f>IFERROR(IF(VLOOKUP(B313,Baza[[№]:[Profit]],12,0)=0,"-",VLOOKUP(B313,Baza[[№]:[Profit]],12,0)),"")</f>
        <v/>
      </c>
      <c r="P313" s="43" t="str">
        <f>IFERROR(IF(VLOOKUP(B313,Baza[[№]:[Profit]],13,0)=0,"-",VLOOKUP(B313,Baza[[№]:[Profit]],13,0)),"")</f>
        <v/>
      </c>
      <c r="Q313" s="43" t="str">
        <f>IFERROR(IF(VLOOKUP(B313,Baza[[№]:[Profit]],15,0)=0,"-",VLOOKUP(B313,Baza[[№]:[Profit]],15,0)),"")</f>
        <v/>
      </c>
      <c r="R313" s="43" t="str">
        <f>IFERROR(IF(VLOOKUP(B313,Baza[[№]:[Profit]],16,0)=0,"-",VLOOKUP(B313,Baza[[№]:[Profit]],16,0)),"")</f>
        <v/>
      </c>
      <c r="S313" s="43" t="str">
        <f>IFERROR(IF(VLOOKUP(B313,Baza[[№]:[Profit]],17,0)=0,"-",VLOOKUP(B313,Baza[[№]:[Profit]],17,0)),"")</f>
        <v/>
      </c>
      <c r="T313" s="43" t="str">
        <f>IFERROR(IF(VLOOKUP(B313,Baza[[№]:[Profit]],18,0)=0,"-",VLOOKUP(B313,Baza[[№]:[Profit]],18,0)),"")</f>
        <v/>
      </c>
      <c r="U313" s="41" t="str">
        <f>IFERROR(IF(VLOOKUP(B313,Baza[[№]:[Profit]],19,0)=0,"-",VLOOKUP(B313,Baza[[№]:[Profit]],19,0)),"")</f>
        <v/>
      </c>
      <c r="V313" s="41" t="str">
        <f>IFERROR(VLOOKUP(B313,Baza[[№]:[Profit]],20,0),"")</f>
        <v/>
      </c>
      <c r="W313" s="41" t="str">
        <f>IFERROR(IF(VLOOKUP(B313,Baza[[№]:[Profit]],21,0)=0,"-",VLOOKUP(B313,Baza[[№]:[Profit]],21,0)),"")</f>
        <v/>
      </c>
      <c r="X313" s="45" t="str">
        <f>IFERROR(IF(VLOOKUP(B313,Baza[[№]:[Profit]],22,0)=0,"-",VLOOKUP(B313,Baza[[№]:[Profit]],22,0)),"")</f>
        <v/>
      </c>
      <c r="Y313" s="45" t="str">
        <f>IFERROR(VLOOKUP(B313,Baza[[№]:[Profit]],23,0),"")</f>
        <v/>
      </c>
      <c r="Z313" s="44" t="str">
        <f>IFERROR(VLOOKUP(B313,Baza[[№]:[AFS]],24,0),"")</f>
        <v/>
      </c>
      <c r="AA313" s="45" t="str">
        <f>IF(Таблица2[[#This Row],[Profit]]="","#Н/Д",SUM($Y$40:Y313))</f>
        <v>#Н/Д</v>
      </c>
      <c r="AB313" s="45" t="b">
        <f>IF(Таблица2[[#This Row],[Grafik]]="#Н/Д",FALSE,TRUE)</f>
        <v>0</v>
      </c>
    </row>
    <row r="314" spans="2:28" ht="11.1" hidden="1" customHeight="1" x14ac:dyDescent="0.25">
      <c r="B314"/>
      <c r="C314" s="41" t="str">
        <f>IFERROR(VLOOKUP(B314,Baza[[№]:[Profit]],2,0),"")</f>
        <v/>
      </c>
      <c r="D31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1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14" s="43" t="str">
        <f>IFERROR(VLOOKUP(B314,Baza[[№]:[Profit]],3,0),"")</f>
        <v/>
      </c>
      <c r="G314" s="43" t="str">
        <f>IFERROR(VLOOKUP(B314,Baza[[№]:[Profit]],4,0),"")</f>
        <v/>
      </c>
      <c r="H314" s="43" t="str">
        <f>IFERROR(VLOOKUP(B314,Baza[[№]:[Profit]],5,0),"")</f>
        <v/>
      </c>
      <c r="I314" s="46" t="str">
        <f>IFERROR(VLOOKUP(B314,Baza[[№]:[Profit]],6,0),"")</f>
        <v/>
      </c>
      <c r="J314" s="49" t="str">
        <f>IFERROR(VLOOKUP(B314,Baza[[№]:[Profit]],7,0),"")</f>
        <v/>
      </c>
      <c r="K314" s="43" t="str">
        <f>IFERROR(VLOOKUP(B314,Baza[[№]:[Profit]],8,0),"")</f>
        <v/>
      </c>
      <c r="L314" s="43" t="str">
        <f>IFERROR(VLOOKUP(B314,Baza[[№]:[Profit]],9,0),"")</f>
        <v/>
      </c>
      <c r="M314" s="43" t="str">
        <f>IFERROR(VLOOKUP(B314,Baza[[№]:[Profit]],10,0),"")</f>
        <v/>
      </c>
      <c r="N314" s="43" t="str">
        <f>IFERROR(IF(VLOOKUP(B314,Baza[[№]:[Profit]],11,0)=0,"-",VLOOKUP(B314,Baza[[№]:[Profit]],11,0)),"")</f>
        <v/>
      </c>
      <c r="O314" s="43" t="str">
        <f>IFERROR(IF(VLOOKUP(B314,Baza[[№]:[Profit]],12,0)=0,"-",VLOOKUP(B314,Baza[[№]:[Profit]],12,0)),"")</f>
        <v/>
      </c>
      <c r="P314" s="43" t="str">
        <f>IFERROR(IF(VLOOKUP(B314,Baza[[№]:[Profit]],13,0)=0,"-",VLOOKUP(B314,Baza[[№]:[Profit]],13,0)),"")</f>
        <v/>
      </c>
      <c r="Q314" s="43" t="str">
        <f>IFERROR(IF(VLOOKUP(B314,Baza[[№]:[Profit]],15,0)=0,"-",VLOOKUP(B314,Baza[[№]:[Profit]],15,0)),"")</f>
        <v/>
      </c>
      <c r="R314" s="43" t="str">
        <f>IFERROR(IF(VLOOKUP(B314,Baza[[№]:[Profit]],16,0)=0,"-",VLOOKUP(B314,Baza[[№]:[Profit]],16,0)),"")</f>
        <v/>
      </c>
      <c r="S314" s="43" t="str">
        <f>IFERROR(IF(VLOOKUP(B314,Baza[[№]:[Profit]],17,0)=0,"-",VLOOKUP(B314,Baza[[№]:[Profit]],17,0)),"")</f>
        <v/>
      </c>
      <c r="T314" s="43" t="str">
        <f>IFERROR(IF(VLOOKUP(B314,Baza[[№]:[Profit]],18,0)=0,"-",VLOOKUP(B314,Baza[[№]:[Profit]],18,0)),"")</f>
        <v/>
      </c>
      <c r="U314" s="41" t="str">
        <f>IFERROR(IF(VLOOKUP(B314,Baza[[№]:[Profit]],19,0)=0,"-",VLOOKUP(B314,Baza[[№]:[Profit]],19,0)),"")</f>
        <v/>
      </c>
      <c r="V314" s="41" t="str">
        <f>IFERROR(VLOOKUP(B314,Baza[[№]:[Profit]],20,0),"")</f>
        <v/>
      </c>
      <c r="W314" s="41" t="str">
        <f>IFERROR(IF(VLOOKUP(B314,Baza[[№]:[Profit]],21,0)=0,"-",VLOOKUP(B314,Baza[[№]:[Profit]],21,0)),"")</f>
        <v/>
      </c>
      <c r="X314" s="45" t="str">
        <f>IFERROR(IF(VLOOKUP(B314,Baza[[№]:[Profit]],22,0)=0,"-",VLOOKUP(B314,Baza[[№]:[Profit]],22,0)),"")</f>
        <v/>
      </c>
      <c r="Y314" s="45" t="str">
        <f>IFERROR(VLOOKUP(B314,Baza[[№]:[Profit]],23,0),"")</f>
        <v/>
      </c>
      <c r="Z314" s="44" t="str">
        <f>IFERROR(VLOOKUP(B314,Baza[[№]:[AFS]],24,0),"")</f>
        <v/>
      </c>
      <c r="AA314" s="45" t="str">
        <f>IF(Таблица2[[#This Row],[Profit]]="","#Н/Д",SUM($Y$40:Y314))</f>
        <v>#Н/Д</v>
      </c>
      <c r="AB314" s="45" t="b">
        <f>IF(Таблица2[[#This Row],[Grafik]]="#Н/Д",FALSE,TRUE)</f>
        <v>0</v>
      </c>
    </row>
    <row r="315" spans="2:28" ht="11.1" hidden="1" customHeight="1" x14ac:dyDescent="0.25">
      <c r="B315"/>
      <c r="C315" s="41" t="str">
        <f>IFERROR(VLOOKUP(B315,Baza[[№]:[Profit]],2,0),"")</f>
        <v/>
      </c>
      <c r="D31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1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15" s="43" t="str">
        <f>IFERROR(VLOOKUP(B315,Baza[[№]:[Profit]],3,0),"")</f>
        <v/>
      </c>
      <c r="G315" s="43" t="str">
        <f>IFERROR(VLOOKUP(B315,Baza[[№]:[Profit]],4,0),"")</f>
        <v/>
      </c>
      <c r="H315" s="43" t="str">
        <f>IFERROR(VLOOKUP(B315,Baza[[№]:[Profit]],5,0),"")</f>
        <v/>
      </c>
      <c r="I315" s="46" t="str">
        <f>IFERROR(VLOOKUP(B315,Baza[[№]:[Profit]],6,0),"")</f>
        <v/>
      </c>
      <c r="J315" s="49" t="str">
        <f>IFERROR(VLOOKUP(B315,Baza[[№]:[Profit]],7,0),"")</f>
        <v/>
      </c>
      <c r="K315" s="43" t="str">
        <f>IFERROR(VLOOKUP(B315,Baza[[№]:[Profit]],8,0),"")</f>
        <v/>
      </c>
      <c r="L315" s="43" t="str">
        <f>IFERROR(VLOOKUP(B315,Baza[[№]:[Profit]],9,0),"")</f>
        <v/>
      </c>
      <c r="M315" s="43" t="str">
        <f>IFERROR(VLOOKUP(B315,Baza[[№]:[Profit]],10,0),"")</f>
        <v/>
      </c>
      <c r="N315" s="43" t="str">
        <f>IFERROR(IF(VLOOKUP(B315,Baza[[№]:[Profit]],11,0)=0,"-",VLOOKUP(B315,Baza[[№]:[Profit]],11,0)),"")</f>
        <v/>
      </c>
      <c r="O315" s="43" t="str">
        <f>IFERROR(IF(VLOOKUP(B315,Baza[[№]:[Profit]],12,0)=0,"-",VLOOKUP(B315,Baza[[№]:[Profit]],12,0)),"")</f>
        <v/>
      </c>
      <c r="P315" s="43" t="str">
        <f>IFERROR(IF(VLOOKUP(B315,Baza[[№]:[Profit]],13,0)=0,"-",VLOOKUP(B315,Baza[[№]:[Profit]],13,0)),"")</f>
        <v/>
      </c>
      <c r="Q315" s="43" t="str">
        <f>IFERROR(IF(VLOOKUP(B315,Baza[[№]:[Profit]],15,0)=0,"-",VLOOKUP(B315,Baza[[№]:[Profit]],15,0)),"")</f>
        <v/>
      </c>
      <c r="R315" s="43" t="str">
        <f>IFERROR(IF(VLOOKUP(B315,Baza[[№]:[Profit]],16,0)=0,"-",VLOOKUP(B315,Baza[[№]:[Profit]],16,0)),"")</f>
        <v/>
      </c>
      <c r="S315" s="43" t="str">
        <f>IFERROR(IF(VLOOKUP(B315,Baza[[№]:[Profit]],17,0)=0,"-",VLOOKUP(B315,Baza[[№]:[Profit]],17,0)),"")</f>
        <v/>
      </c>
      <c r="T315" s="43" t="str">
        <f>IFERROR(IF(VLOOKUP(B315,Baza[[№]:[Profit]],18,0)=0,"-",VLOOKUP(B315,Baza[[№]:[Profit]],18,0)),"")</f>
        <v/>
      </c>
      <c r="U315" s="41" t="str">
        <f>IFERROR(IF(VLOOKUP(B315,Baza[[№]:[Profit]],19,0)=0,"-",VLOOKUP(B315,Baza[[№]:[Profit]],19,0)),"")</f>
        <v/>
      </c>
      <c r="V315" s="41" t="str">
        <f>IFERROR(VLOOKUP(B315,Baza[[№]:[Profit]],20,0),"")</f>
        <v/>
      </c>
      <c r="W315" s="41" t="str">
        <f>IFERROR(IF(VLOOKUP(B315,Baza[[№]:[Profit]],21,0)=0,"-",VLOOKUP(B315,Baza[[№]:[Profit]],21,0)),"")</f>
        <v/>
      </c>
      <c r="X315" s="45" t="str">
        <f>IFERROR(IF(VLOOKUP(B315,Baza[[№]:[Profit]],22,0)=0,"-",VLOOKUP(B315,Baza[[№]:[Profit]],22,0)),"")</f>
        <v/>
      </c>
      <c r="Y315" s="45" t="str">
        <f>IFERROR(VLOOKUP(B315,Baza[[№]:[Profit]],23,0),"")</f>
        <v/>
      </c>
      <c r="Z315" s="44" t="str">
        <f>IFERROR(VLOOKUP(B315,Baza[[№]:[AFS]],24,0),"")</f>
        <v/>
      </c>
      <c r="AA315" s="45" t="str">
        <f>IF(Таблица2[[#This Row],[Profit]]="","#Н/Д",SUM($Y$40:Y315))</f>
        <v>#Н/Д</v>
      </c>
      <c r="AB315" s="45" t="b">
        <f>IF(Таблица2[[#This Row],[Grafik]]="#Н/Д",FALSE,TRUE)</f>
        <v>0</v>
      </c>
    </row>
    <row r="316" spans="2:28" ht="11.1" hidden="1" customHeight="1" x14ac:dyDescent="0.25">
      <c r="B316"/>
      <c r="C316" s="41" t="str">
        <f>IFERROR(VLOOKUP(B316,Baza[[№]:[Profit]],2,0),"")</f>
        <v/>
      </c>
      <c r="D31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1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16" s="43" t="str">
        <f>IFERROR(VLOOKUP(B316,Baza[[№]:[Profit]],3,0),"")</f>
        <v/>
      </c>
      <c r="G316" s="43" t="str">
        <f>IFERROR(VLOOKUP(B316,Baza[[№]:[Profit]],4,0),"")</f>
        <v/>
      </c>
      <c r="H316" s="43" t="str">
        <f>IFERROR(VLOOKUP(B316,Baza[[№]:[Profit]],5,0),"")</f>
        <v/>
      </c>
      <c r="I316" s="46" t="str">
        <f>IFERROR(VLOOKUP(B316,Baza[[№]:[Profit]],6,0),"")</f>
        <v/>
      </c>
      <c r="J316" s="49" t="str">
        <f>IFERROR(VLOOKUP(B316,Baza[[№]:[Profit]],7,0),"")</f>
        <v/>
      </c>
      <c r="K316" s="43" t="str">
        <f>IFERROR(VLOOKUP(B316,Baza[[№]:[Profit]],8,0),"")</f>
        <v/>
      </c>
      <c r="L316" s="43" t="str">
        <f>IFERROR(VLOOKUP(B316,Baza[[№]:[Profit]],9,0),"")</f>
        <v/>
      </c>
      <c r="M316" s="43" t="str">
        <f>IFERROR(VLOOKUP(B316,Baza[[№]:[Profit]],10,0),"")</f>
        <v/>
      </c>
      <c r="N316" s="43" t="str">
        <f>IFERROR(IF(VLOOKUP(B316,Baza[[№]:[Profit]],11,0)=0,"-",VLOOKUP(B316,Baza[[№]:[Profit]],11,0)),"")</f>
        <v/>
      </c>
      <c r="O316" s="43" t="str">
        <f>IFERROR(IF(VLOOKUP(B316,Baza[[№]:[Profit]],12,0)=0,"-",VLOOKUP(B316,Baza[[№]:[Profit]],12,0)),"")</f>
        <v/>
      </c>
      <c r="P316" s="43" t="str">
        <f>IFERROR(IF(VLOOKUP(B316,Baza[[№]:[Profit]],13,0)=0,"-",VLOOKUP(B316,Baza[[№]:[Profit]],13,0)),"")</f>
        <v/>
      </c>
      <c r="Q316" s="43" t="str">
        <f>IFERROR(IF(VLOOKUP(B316,Baza[[№]:[Profit]],15,0)=0,"-",VLOOKUP(B316,Baza[[№]:[Profit]],15,0)),"")</f>
        <v/>
      </c>
      <c r="R316" s="43" t="str">
        <f>IFERROR(IF(VLOOKUP(B316,Baza[[№]:[Profit]],16,0)=0,"-",VLOOKUP(B316,Baza[[№]:[Profit]],16,0)),"")</f>
        <v/>
      </c>
      <c r="S316" s="43" t="str">
        <f>IFERROR(IF(VLOOKUP(B316,Baza[[№]:[Profit]],17,0)=0,"-",VLOOKUP(B316,Baza[[№]:[Profit]],17,0)),"")</f>
        <v/>
      </c>
      <c r="T316" s="43" t="str">
        <f>IFERROR(IF(VLOOKUP(B316,Baza[[№]:[Profit]],18,0)=0,"-",VLOOKUP(B316,Baza[[№]:[Profit]],18,0)),"")</f>
        <v/>
      </c>
      <c r="U316" s="41" t="str">
        <f>IFERROR(IF(VLOOKUP(B316,Baza[[№]:[Profit]],19,0)=0,"-",VLOOKUP(B316,Baza[[№]:[Profit]],19,0)),"")</f>
        <v/>
      </c>
      <c r="V316" s="41" t="str">
        <f>IFERROR(VLOOKUP(B316,Baza[[№]:[Profit]],20,0),"")</f>
        <v/>
      </c>
      <c r="W316" s="41" t="str">
        <f>IFERROR(IF(VLOOKUP(B316,Baza[[№]:[Profit]],21,0)=0,"-",VLOOKUP(B316,Baza[[№]:[Profit]],21,0)),"")</f>
        <v/>
      </c>
      <c r="X316" s="45" t="str">
        <f>IFERROR(IF(VLOOKUP(B316,Baza[[№]:[Profit]],22,0)=0,"-",VLOOKUP(B316,Baza[[№]:[Profit]],22,0)),"")</f>
        <v/>
      </c>
      <c r="Y316" s="45" t="str">
        <f>IFERROR(VLOOKUP(B316,Baza[[№]:[Profit]],23,0),"")</f>
        <v/>
      </c>
      <c r="Z316" s="44" t="str">
        <f>IFERROR(VLOOKUP(B316,Baza[[№]:[AFS]],24,0),"")</f>
        <v/>
      </c>
      <c r="AA316" s="45" t="str">
        <f>IF(Таблица2[[#This Row],[Profit]]="","#Н/Д",SUM($Y$40:Y316))</f>
        <v>#Н/Д</v>
      </c>
      <c r="AB316" s="45" t="b">
        <f>IF(Таблица2[[#This Row],[Grafik]]="#Н/Д",FALSE,TRUE)</f>
        <v>0</v>
      </c>
    </row>
    <row r="317" spans="2:28" ht="11.1" hidden="1" customHeight="1" x14ac:dyDescent="0.25">
      <c r="B317"/>
      <c r="C317" s="41" t="str">
        <f>IFERROR(VLOOKUP(B317,Baza[[№]:[Profit]],2,0),"")</f>
        <v/>
      </c>
      <c r="D31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1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17" s="43" t="str">
        <f>IFERROR(VLOOKUP(B317,Baza[[№]:[Profit]],3,0),"")</f>
        <v/>
      </c>
      <c r="G317" s="43" t="str">
        <f>IFERROR(VLOOKUP(B317,Baza[[№]:[Profit]],4,0),"")</f>
        <v/>
      </c>
      <c r="H317" s="43" t="str">
        <f>IFERROR(VLOOKUP(B317,Baza[[№]:[Profit]],5,0),"")</f>
        <v/>
      </c>
      <c r="I317" s="46" t="str">
        <f>IFERROR(VLOOKUP(B317,Baza[[№]:[Profit]],6,0),"")</f>
        <v/>
      </c>
      <c r="J317" s="49" t="str">
        <f>IFERROR(VLOOKUP(B317,Baza[[№]:[Profit]],7,0),"")</f>
        <v/>
      </c>
      <c r="K317" s="43" t="str">
        <f>IFERROR(VLOOKUP(B317,Baza[[№]:[Profit]],8,0),"")</f>
        <v/>
      </c>
      <c r="L317" s="43" t="str">
        <f>IFERROR(VLOOKUP(B317,Baza[[№]:[Profit]],9,0),"")</f>
        <v/>
      </c>
      <c r="M317" s="43" t="str">
        <f>IFERROR(VLOOKUP(B317,Baza[[№]:[Profit]],10,0),"")</f>
        <v/>
      </c>
      <c r="N317" s="43" t="str">
        <f>IFERROR(IF(VLOOKUP(B317,Baza[[№]:[Profit]],11,0)=0,"-",VLOOKUP(B317,Baza[[№]:[Profit]],11,0)),"")</f>
        <v/>
      </c>
      <c r="O317" s="43" t="str">
        <f>IFERROR(IF(VLOOKUP(B317,Baza[[№]:[Profit]],12,0)=0,"-",VLOOKUP(B317,Baza[[№]:[Profit]],12,0)),"")</f>
        <v/>
      </c>
      <c r="P317" s="43" t="str">
        <f>IFERROR(IF(VLOOKUP(B317,Baza[[№]:[Profit]],13,0)=0,"-",VLOOKUP(B317,Baza[[№]:[Profit]],13,0)),"")</f>
        <v/>
      </c>
      <c r="Q317" s="43" t="str">
        <f>IFERROR(IF(VLOOKUP(B317,Baza[[№]:[Profit]],15,0)=0,"-",VLOOKUP(B317,Baza[[№]:[Profit]],15,0)),"")</f>
        <v/>
      </c>
      <c r="R317" s="43" t="str">
        <f>IFERROR(IF(VLOOKUP(B317,Baza[[№]:[Profit]],16,0)=0,"-",VLOOKUP(B317,Baza[[№]:[Profit]],16,0)),"")</f>
        <v/>
      </c>
      <c r="S317" s="43" t="str">
        <f>IFERROR(IF(VLOOKUP(B317,Baza[[№]:[Profit]],17,0)=0,"-",VLOOKUP(B317,Baza[[№]:[Profit]],17,0)),"")</f>
        <v/>
      </c>
      <c r="T317" s="43" t="str">
        <f>IFERROR(IF(VLOOKUP(B317,Baza[[№]:[Profit]],18,0)=0,"-",VLOOKUP(B317,Baza[[№]:[Profit]],18,0)),"")</f>
        <v/>
      </c>
      <c r="U317" s="41" t="str">
        <f>IFERROR(IF(VLOOKUP(B317,Baza[[№]:[Profit]],19,0)=0,"-",VLOOKUP(B317,Baza[[№]:[Profit]],19,0)),"")</f>
        <v/>
      </c>
      <c r="V317" s="41" t="str">
        <f>IFERROR(VLOOKUP(B317,Baza[[№]:[Profit]],20,0),"")</f>
        <v/>
      </c>
      <c r="W317" s="41" t="str">
        <f>IFERROR(IF(VLOOKUP(B317,Baza[[№]:[Profit]],21,0)=0,"-",VLOOKUP(B317,Baza[[№]:[Profit]],21,0)),"")</f>
        <v/>
      </c>
      <c r="X317" s="45" t="str">
        <f>IFERROR(IF(VLOOKUP(B317,Baza[[№]:[Profit]],22,0)=0,"-",VLOOKUP(B317,Baza[[№]:[Profit]],22,0)),"")</f>
        <v/>
      </c>
      <c r="Y317" s="45" t="str">
        <f>IFERROR(VLOOKUP(B317,Baza[[№]:[Profit]],23,0),"")</f>
        <v/>
      </c>
      <c r="Z317" s="44" t="str">
        <f>IFERROR(VLOOKUP(B317,Baza[[№]:[AFS]],24,0),"")</f>
        <v/>
      </c>
      <c r="AA317" s="45" t="str">
        <f>IF(Таблица2[[#This Row],[Profit]]="","#Н/Д",SUM($Y$40:Y317))</f>
        <v>#Н/Д</v>
      </c>
      <c r="AB317" s="45" t="b">
        <f>IF(Таблица2[[#This Row],[Grafik]]="#Н/Д",FALSE,TRUE)</f>
        <v>0</v>
      </c>
    </row>
    <row r="318" spans="2:28" ht="11.1" hidden="1" customHeight="1" x14ac:dyDescent="0.25">
      <c r="B318"/>
      <c r="C318" s="41" t="str">
        <f>IFERROR(VLOOKUP(B318,Baza[[№]:[Profit]],2,0),"")</f>
        <v/>
      </c>
      <c r="D31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1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18" s="43" t="str">
        <f>IFERROR(VLOOKUP(B318,Baza[[№]:[Profit]],3,0),"")</f>
        <v/>
      </c>
      <c r="G318" s="43" t="str">
        <f>IFERROR(VLOOKUP(B318,Baza[[№]:[Profit]],4,0),"")</f>
        <v/>
      </c>
      <c r="H318" s="43" t="str">
        <f>IFERROR(VLOOKUP(B318,Baza[[№]:[Profit]],5,0),"")</f>
        <v/>
      </c>
      <c r="I318" s="46" t="str">
        <f>IFERROR(VLOOKUP(B318,Baza[[№]:[Profit]],6,0),"")</f>
        <v/>
      </c>
      <c r="J318" s="49" t="str">
        <f>IFERROR(VLOOKUP(B318,Baza[[№]:[Profit]],7,0),"")</f>
        <v/>
      </c>
      <c r="K318" s="43" t="str">
        <f>IFERROR(VLOOKUP(B318,Baza[[№]:[Profit]],8,0),"")</f>
        <v/>
      </c>
      <c r="L318" s="43" t="str">
        <f>IFERROR(VLOOKUP(B318,Baza[[№]:[Profit]],9,0),"")</f>
        <v/>
      </c>
      <c r="M318" s="43" t="str">
        <f>IFERROR(VLOOKUP(B318,Baza[[№]:[Profit]],10,0),"")</f>
        <v/>
      </c>
      <c r="N318" s="43" t="str">
        <f>IFERROR(IF(VLOOKUP(B318,Baza[[№]:[Profit]],11,0)=0,"-",VLOOKUP(B318,Baza[[№]:[Profit]],11,0)),"")</f>
        <v/>
      </c>
      <c r="O318" s="43" t="str">
        <f>IFERROR(IF(VLOOKUP(B318,Baza[[№]:[Profit]],12,0)=0,"-",VLOOKUP(B318,Baza[[№]:[Profit]],12,0)),"")</f>
        <v/>
      </c>
      <c r="P318" s="43" t="str">
        <f>IFERROR(IF(VLOOKUP(B318,Baza[[№]:[Profit]],13,0)=0,"-",VLOOKUP(B318,Baza[[№]:[Profit]],13,0)),"")</f>
        <v/>
      </c>
      <c r="Q318" s="43" t="str">
        <f>IFERROR(IF(VLOOKUP(B318,Baza[[№]:[Profit]],15,0)=0,"-",VLOOKUP(B318,Baza[[№]:[Profit]],15,0)),"")</f>
        <v/>
      </c>
      <c r="R318" s="43" t="str">
        <f>IFERROR(IF(VLOOKUP(B318,Baza[[№]:[Profit]],16,0)=0,"-",VLOOKUP(B318,Baza[[№]:[Profit]],16,0)),"")</f>
        <v/>
      </c>
      <c r="S318" s="43" t="str">
        <f>IFERROR(IF(VLOOKUP(B318,Baza[[№]:[Profit]],17,0)=0,"-",VLOOKUP(B318,Baza[[№]:[Profit]],17,0)),"")</f>
        <v/>
      </c>
      <c r="T318" s="43" t="str">
        <f>IFERROR(IF(VLOOKUP(B318,Baza[[№]:[Profit]],18,0)=0,"-",VLOOKUP(B318,Baza[[№]:[Profit]],18,0)),"")</f>
        <v/>
      </c>
      <c r="U318" s="41" t="str">
        <f>IFERROR(IF(VLOOKUP(B318,Baza[[№]:[Profit]],19,0)=0,"-",VLOOKUP(B318,Baza[[№]:[Profit]],19,0)),"")</f>
        <v/>
      </c>
      <c r="V318" s="41" t="str">
        <f>IFERROR(VLOOKUP(B318,Baza[[№]:[Profit]],20,0),"")</f>
        <v/>
      </c>
      <c r="W318" s="41" t="str">
        <f>IFERROR(IF(VLOOKUP(B318,Baza[[№]:[Profit]],21,0)=0,"-",VLOOKUP(B318,Baza[[№]:[Profit]],21,0)),"")</f>
        <v/>
      </c>
      <c r="X318" s="45" t="str">
        <f>IFERROR(IF(VLOOKUP(B318,Baza[[№]:[Profit]],22,0)=0,"-",VLOOKUP(B318,Baza[[№]:[Profit]],22,0)),"")</f>
        <v/>
      </c>
      <c r="Y318" s="45" t="str">
        <f>IFERROR(VLOOKUP(B318,Baza[[№]:[Profit]],23,0),"")</f>
        <v/>
      </c>
      <c r="Z318" s="44" t="str">
        <f>IFERROR(VLOOKUP(B318,Baza[[№]:[AFS]],24,0),"")</f>
        <v/>
      </c>
      <c r="AA318" s="45" t="str">
        <f>IF(Таблица2[[#This Row],[Profit]]="","#Н/Д",SUM($Y$40:Y318))</f>
        <v>#Н/Д</v>
      </c>
      <c r="AB318" s="45" t="b">
        <f>IF(Таблица2[[#This Row],[Grafik]]="#Н/Д",FALSE,TRUE)</f>
        <v>0</v>
      </c>
    </row>
    <row r="319" spans="2:28" ht="11.1" hidden="1" customHeight="1" x14ac:dyDescent="0.25">
      <c r="B319"/>
      <c r="C319" s="41" t="str">
        <f>IFERROR(VLOOKUP(B319,Baza[[№]:[Profit]],2,0),"")</f>
        <v/>
      </c>
      <c r="D31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1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19" s="43" t="str">
        <f>IFERROR(VLOOKUP(B319,Baza[[№]:[Profit]],3,0),"")</f>
        <v/>
      </c>
      <c r="G319" s="43" t="str">
        <f>IFERROR(VLOOKUP(B319,Baza[[№]:[Profit]],4,0),"")</f>
        <v/>
      </c>
      <c r="H319" s="43" t="str">
        <f>IFERROR(VLOOKUP(B319,Baza[[№]:[Profit]],5,0),"")</f>
        <v/>
      </c>
      <c r="I319" s="46" t="str">
        <f>IFERROR(VLOOKUP(B319,Baza[[№]:[Profit]],6,0),"")</f>
        <v/>
      </c>
      <c r="J319" s="49" t="str">
        <f>IFERROR(VLOOKUP(B319,Baza[[№]:[Profit]],7,0),"")</f>
        <v/>
      </c>
      <c r="K319" s="43" t="str">
        <f>IFERROR(VLOOKUP(B319,Baza[[№]:[Profit]],8,0),"")</f>
        <v/>
      </c>
      <c r="L319" s="43" t="str">
        <f>IFERROR(VLOOKUP(B319,Baza[[№]:[Profit]],9,0),"")</f>
        <v/>
      </c>
      <c r="M319" s="43" t="str">
        <f>IFERROR(VLOOKUP(B319,Baza[[№]:[Profit]],10,0),"")</f>
        <v/>
      </c>
      <c r="N319" s="43" t="str">
        <f>IFERROR(IF(VLOOKUP(B319,Baza[[№]:[Profit]],11,0)=0,"-",VLOOKUP(B319,Baza[[№]:[Profit]],11,0)),"")</f>
        <v/>
      </c>
      <c r="O319" s="43" t="str">
        <f>IFERROR(IF(VLOOKUP(B319,Baza[[№]:[Profit]],12,0)=0,"-",VLOOKUP(B319,Baza[[№]:[Profit]],12,0)),"")</f>
        <v/>
      </c>
      <c r="P319" s="43" t="str">
        <f>IFERROR(IF(VLOOKUP(B319,Baza[[№]:[Profit]],13,0)=0,"-",VLOOKUP(B319,Baza[[№]:[Profit]],13,0)),"")</f>
        <v/>
      </c>
      <c r="Q319" s="43" t="str">
        <f>IFERROR(IF(VLOOKUP(B319,Baza[[№]:[Profit]],15,0)=0,"-",VLOOKUP(B319,Baza[[№]:[Profit]],15,0)),"")</f>
        <v/>
      </c>
      <c r="R319" s="43" t="str">
        <f>IFERROR(IF(VLOOKUP(B319,Baza[[№]:[Profit]],16,0)=0,"-",VLOOKUP(B319,Baza[[№]:[Profit]],16,0)),"")</f>
        <v/>
      </c>
      <c r="S319" s="43" t="str">
        <f>IFERROR(IF(VLOOKUP(B319,Baza[[№]:[Profit]],17,0)=0,"-",VLOOKUP(B319,Baza[[№]:[Profit]],17,0)),"")</f>
        <v/>
      </c>
      <c r="T319" s="43" t="str">
        <f>IFERROR(IF(VLOOKUP(B319,Baza[[№]:[Profit]],18,0)=0,"-",VLOOKUP(B319,Baza[[№]:[Profit]],18,0)),"")</f>
        <v/>
      </c>
      <c r="U319" s="41" t="str">
        <f>IFERROR(IF(VLOOKUP(B319,Baza[[№]:[Profit]],19,0)=0,"-",VLOOKUP(B319,Baza[[№]:[Profit]],19,0)),"")</f>
        <v/>
      </c>
      <c r="V319" s="41" t="str">
        <f>IFERROR(VLOOKUP(B319,Baza[[№]:[Profit]],20,0),"")</f>
        <v/>
      </c>
      <c r="W319" s="41" t="str">
        <f>IFERROR(IF(VLOOKUP(B319,Baza[[№]:[Profit]],21,0)=0,"-",VLOOKUP(B319,Baza[[№]:[Profit]],21,0)),"")</f>
        <v/>
      </c>
      <c r="X319" s="45" t="str">
        <f>IFERROR(IF(VLOOKUP(B319,Baza[[№]:[Profit]],22,0)=0,"-",VLOOKUP(B319,Baza[[№]:[Profit]],22,0)),"")</f>
        <v/>
      </c>
      <c r="Y319" s="45" t="str">
        <f>IFERROR(VLOOKUP(B319,Baza[[№]:[Profit]],23,0),"")</f>
        <v/>
      </c>
      <c r="Z319" s="44" t="str">
        <f>IFERROR(VLOOKUP(B319,Baza[[№]:[AFS]],24,0),"")</f>
        <v/>
      </c>
      <c r="AA319" s="45" t="str">
        <f>IF(Таблица2[[#This Row],[Profit]]="","#Н/Д",SUM($Y$40:Y319))</f>
        <v>#Н/Д</v>
      </c>
      <c r="AB319" s="45" t="b">
        <f>IF(Таблица2[[#This Row],[Grafik]]="#Н/Д",FALSE,TRUE)</f>
        <v>0</v>
      </c>
    </row>
    <row r="320" spans="2:28" ht="11.1" hidden="1" customHeight="1" x14ac:dyDescent="0.25">
      <c r="B320"/>
      <c r="C320" s="41" t="str">
        <f>IFERROR(VLOOKUP(B320,Baza[[№]:[Profit]],2,0),"")</f>
        <v/>
      </c>
      <c r="D32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2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20" s="43" t="str">
        <f>IFERROR(VLOOKUP(B320,Baza[[№]:[Profit]],3,0),"")</f>
        <v/>
      </c>
      <c r="G320" s="43" t="str">
        <f>IFERROR(VLOOKUP(B320,Baza[[№]:[Profit]],4,0),"")</f>
        <v/>
      </c>
      <c r="H320" s="43" t="str">
        <f>IFERROR(VLOOKUP(B320,Baza[[№]:[Profit]],5,0),"")</f>
        <v/>
      </c>
      <c r="I320" s="46" t="str">
        <f>IFERROR(VLOOKUP(B320,Baza[[№]:[Profit]],6,0),"")</f>
        <v/>
      </c>
      <c r="J320" s="49" t="str">
        <f>IFERROR(VLOOKUP(B320,Baza[[№]:[Profit]],7,0),"")</f>
        <v/>
      </c>
      <c r="K320" s="43" t="str">
        <f>IFERROR(VLOOKUP(B320,Baza[[№]:[Profit]],8,0),"")</f>
        <v/>
      </c>
      <c r="L320" s="43" t="str">
        <f>IFERROR(VLOOKUP(B320,Baza[[№]:[Profit]],9,0),"")</f>
        <v/>
      </c>
      <c r="M320" s="43" t="str">
        <f>IFERROR(VLOOKUP(B320,Baza[[№]:[Profit]],10,0),"")</f>
        <v/>
      </c>
      <c r="N320" s="43" t="str">
        <f>IFERROR(IF(VLOOKUP(B320,Baza[[№]:[Profit]],11,0)=0,"-",VLOOKUP(B320,Baza[[№]:[Profit]],11,0)),"")</f>
        <v/>
      </c>
      <c r="O320" s="43" t="str">
        <f>IFERROR(IF(VLOOKUP(B320,Baza[[№]:[Profit]],12,0)=0,"-",VLOOKUP(B320,Baza[[№]:[Profit]],12,0)),"")</f>
        <v/>
      </c>
      <c r="P320" s="43" t="str">
        <f>IFERROR(IF(VLOOKUP(B320,Baza[[№]:[Profit]],13,0)=0,"-",VLOOKUP(B320,Baza[[№]:[Profit]],13,0)),"")</f>
        <v/>
      </c>
      <c r="Q320" s="43" t="str">
        <f>IFERROR(IF(VLOOKUP(B320,Baza[[№]:[Profit]],15,0)=0,"-",VLOOKUP(B320,Baza[[№]:[Profit]],15,0)),"")</f>
        <v/>
      </c>
      <c r="R320" s="43" t="str">
        <f>IFERROR(IF(VLOOKUP(B320,Baza[[№]:[Profit]],16,0)=0,"-",VLOOKUP(B320,Baza[[№]:[Profit]],16,0)),"")</f>
        <v/>
      </c>
      <c r="S320" s="43" t="str">
        <f>IFERROR(IF(VLOOKUP(B320,Baza[[№]:[Profit]],17,0)=0,"-",VLOOKUP(B320,Baza[[№]:[Profit]],17,0)),"")</f>
        <v/>
      </c>
      <c r="T320" s="43" t="str">
        <f>IFERROR(IF(VLOOKUP(B320,Baza[[№]:[Profit]],18,0)=0,"-",VLOOKUP(B320,Baza[[№]:[Profit]],18,0)),"")</f>
        <v/>
      </c>
      <c r="U320" s="41" t="str">
        <f>IFERROR(IF(VLOOKUP(B320,Baza[[№]:[Profit]],19,0)=0,"-",VLOOKUP(B320,Baza[[№]:[Profit]],19,0)),"")</f>
        <v/>
      </c>
      <c r="V320" s="41" t="str">
        <f>IFERROR(VLOOKUP(B320,Baza[[№]:[Profit]],20,0),"")</f>
        <v/>
      </c>
      <c r="W320" s="41" t="str">
        <f>IFERROR(IF(VLOOKUP(B320,Baza[[№]:[Profit]],21,0)=0,"-",VLOOKUP(B320,Baza[[№]:[Profit]],21,0)),"")</f>
        <v/>
      </c>
      <c r="X320" s="45" t="str">
        <f>IFERROR(IF(VLOOKUP(B320,Baza[[№]:[Profit]],22,0)=0,"-",VLOOKUP(B320,Baza[[№]:[Profit]],22,0)),"")</f>
        <v/>
      </c>
      <c r="Y320" s="45" t="str">
        <f>IFERROR(VLOOKUP(B320,Baza[[№]:[Profit]],23,0),"")</f>
        <v/>
      </c>
      <c r="Z320" s="44" t="str">
        <f>IFERROR(VLOOKUP(B320,Baza[[№]:[AFS]],24,0),"")</f>
        <v/>
      </c>
      <c r="AA320" s="45" t="str">
        <f>IF(Таблица2[[#This Row],[Profit]]="","#Н/Д",SUM($Y$40:Y320))</f>
        <v>#Н/Д</v>
      </c>
      <c r="AB320" s="45" t="b">
        <f>IF(Таблица2[[#This Row],[Grafik]]="#Н/Д",FALSE,TRUE)</f>
        <v>0</v>
      </c>
    </row>
    <row r="321" spans="2:28" ht="11.1" hidden="1" customHeight="1" x14ac:dyDescent="0.25">
      <c r="B321"/>
      <c r="C321" s="41" t="str">
        <f>IFERROR(VLOOKUP(B321,Baza[[№]:[Profit]],2,0),"")</f>
        <v/>
      </c>
      <c r="D32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2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21" s="43" t="str">
        <f>IFERROR(VLOOKUP(B321,Baza[[№]:[Profit]],3,0),"")</f>
        <v/>
      </c>
      <c r="G321" s="43" t="str">
        <f>IFERROR(VLOOKUP(B321,Baza[[№]:[Profit]],4,0),"")</f>
        <v/>
      </c>
      <c r="H321" s="43" t="str">
        <f>IFERROR(VLOOKUP(B321,Baza[[№]:[Profit]],5,0),"")</f>
        <v/>
      </c>
      <c r="I321" s="46" t="str">
        <f>IFERROR(VLOOKUP(B321,Baza[[№]:[Profit]],6,0),"")</f>
        <v/>
      </c>
      <c r="J321" s="49" t="str">
        <f>IFERROR(VLOOKUP(B321,Baza[[№]:[Profit]],7,0),"")</f>
        <v/>
      </c>
      <c r="K321" s="43" t="str">
        <f>IFERROR(VLOOKUP(B321,Baza[[№]:[Profit]],8,0),"")</f>
        <v/>
      </c>
      <c r="L321" s="43" t="str">
        <f>IFERROR(VLOOKUP(B321,Baza[[№]:[Profit]],9,0),"")</f>
        <v/>
      </c>
      <c r="M321" s="43" t="str">
        <f>IFERROR(VLOOKUP(B321,Baza[[№]:[Profit]],10,0),"")</f>
        <v/>
      </c>
      <c r="N321" s="43" t="str">
        <f>IFERROR(IF(VLOOKUP(B321,Baza[[№]:[Profit]],11,0)=0,"-",VLOOKUP(B321,Baza[[№]:[Profit]],11,0)),"")</f>
        <v/>
      </c>
      <c r="O321" s="43" t="str">
        <f>IFERROR(IF(VLOOKUP(B321,Baza[[№]:[Profit]],12,0)=0,"-",VLOOKUP(B321,Baza[[№]:[Profit]],12,0)),"")</f>
        <v/>
      </c>
      <c r="P321" s="43" t="str">
        <f>IFERROR(IF(VLOOKUP(B321,Baza[[№]:[Profit]],13,0)=0,"-",VLOOKUP(B321,Baza[[№]:[Profit]],13,0)),"")</f>
        <v/>
      </c>
      <c r="Q321" s="43" t="str">
        <f>IFERROR(IF(VLOOKUP(B321,Baza[[№]:[Profit]],15,0)=0,"-",VLOOKUP(B321,Baza[[№]:[Profit]],15,0)),"")</f>
        <v/>
      </c>
      <c r="R321" s="43" t="str">
        <f>IFERROR(IF(VLOOKUP(B321,Baza[[№]:[Profit]],16,0)=0,"-",VLOOKUP(B321,Baza[[№]:[Profit]],16,0)),"")</f>
        <v/>
      </c>
      <c r="S321" s="43" t="str">
        <f>IFERROR(IF(VLOOKUP(B321,Baza[[№]:[Profit]],17,0)=0,"-",VLOOKUP(B321,Baza[[№]:[Profit]],17,0)),"")</f>
        <v/>
      </c>
      <c r="T321" s="43" t="str">
        <f>IFERROR(IF(VLOOKUP(B321,Baza[[№]:[Profit]],18,0)=0,"-",VLOOKUP(B321,Baza[[№]:[Profit]],18,0)),"")</f>
        <v/>
      </c>
      <c r="U321" s="41" t="str">
        <f>IFERROR(IF(VLOOKUP(B321,Baza[[№]:[Profit]],19,0)=0,"-",VLOOKUP(B321,Baza[[№]:[Profit]],19,0)),"")</f>
        <v/>
      </c>
      <c r="V321" s="41" t="str">
        <f>IFERROR(VLOOKUP(B321,Baza[[№]:[Profit]],20,0),"")</f>
        <v/>
      </c>
      <c r="W321" s="41" t="str">
        <f>IFERROR(IF(VLOOKUP(B321,Baza[[№]:[Profit]],21,0)=0,"-",VLOOKUP(B321,Baza[[№]:[Profit]],21,0)),"")</f>
        <v/>
      </c>
      <c r="X321" s="45" t="str">
        <f>IFERROR(IF(VLOOKUP(B321,Baza[[№]:[Profit]],22,0)=0,"-",VLOOKUP(B321,Baza[[№]:[Profit]],22,0)),"")</f>
        <v/>
      </c>
      <c r="Y321" s="45" t="str">
        <f>IFERROR(VLOOKUP(B321,Baza[[№]:[Profit]],23,0),"")</f>
        <v/>
      </c>
      <c r="Z321" s="44" t="str">
        <f>IFERROR(VLOOKUP(B321,Baza[[№]:[AFS]],24,0),"")</f>
        <v/>
      </c>
      <c r="AA321" s="45" t="str">
        <f>IF(Таблица2[[#This Row],[Profit]]="","#Н/Д",SUM($Y$40:Y321))</f>
        <v>#Н/Д</v>
      </c>
      <c r="AB321" s="45" t="b">
        <f>IF(Таблица2[[#This Row],[Grafik]]="#Н/Д",FALSE,TRUE)</f>
        <v>0</v>
      </c>
    </row>
    <row r="322" spans="2:28" ht="11.1" hidden="1" customHeight="1" x14ac:dyDescent="0.25">
      <c r="B322"/>
      <c r="C322" s="41" t="str">
        <f>IFERROR(VLOOKUP(B322,Baza[[№]:[Profit]],2,0),"")</f>
        <v/>
      </c>
      <c r="D32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2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22" s="43" t="str">
        <f>IFERROR(VLOOKUP(B322,Baza[[№]:[Profit]],3,0),"")</f>
        <v/>
      </c>
      <c r="G322" s="43" t="str">
        <f>IFERROR(VLOOKUP(B322,Baza[[№]:[Profit]],4,0),"")</f>
        <v/>
      </c>
      <c r="H322" s="43" t="str">
        <f>IFERROR(VLOOKUP(B322,Baza[[№]:[Profit]],5,0),"")</f>
        <v/>
      </c>
      <c r="I322" s="46" t="str">
        <f>IFERROR(VLOOKUP(B322,Baza[[№]:[Profit]],6,0),"")</f>
        <v/>
      </c>
      <c r="J322" s="49" t="str">
        <f>IFERROR(VLOOKUP(B322,Baza[[№]:[Profit]],7,0),"")</f>
        <v/>
      </c>
      <c r="K322" s="43" t="str">
        <f>IFERROR(VLOOKUP(B322,Baza[[№]:[Profit]],8,0),"")</f>
        <v/>
      </c>
      <c r="L322" s="43" t="str">
        <f>IFERROR(VLOOKUP(B322,Baza[[№]:[Profit]],9,0),"")</f>
        <v/>
      </c>
      <c r="M322" s="43" t="str">
        <f>IFERROR(VLOOKUP(B322,Baza[[№]:[Profit]],10,0),"")</f>
        <v/>
      </c>
      <c r="N322" s="43" t="str">
        <f>IFERROR(IF(VLOOKUP(B322,Baza[[№]:[Profit]],11,0)=0,"-",VLOOKUP(B322,Baza[[№]:[Profit]],11,0)),"")</f>
        <v/>
      </c>
      <c r="O322" s="43" t="str">
        <f>IFERROR(IF(VLOOKUP(B322,Baza[[№]:[Profit]],12,0)=0,"-",VLOOKUP(B322,Baza[[№]:[Profit]],12,0)),"")</f>
        <v/>
      </c>
      <c r="P322" s="43" t="str">
        <f>IFERROR(IF(VLOOKUP(B322,Baza[[№]:[Profit]],13,0)=0,"-",VLOOKUP(B322,Baza[[№]:[Profit]],13,0)),"")</f>
        <v/>
      </c>
      <c r="Q322" s="43" t="str">
        <f>IFERROR(IF(VLOOKUP(B322,Baza[[№]:[Profit]],15,0)=0,"-",VLOOKUP(B322,Baza[[№]:[Profit]],15,0)),"")</f>
        <v/>
      </c>
      <c r="R322" s="43" t="str">
        <f>IFERROR(IF(VLOOKUP(B322,Baza[[№]:[Profit]],16,0)=0,"-",VLOOKUP(B322,Baza[[№]:[Profit]],16,0)),"")</f>
        <v/>
      </c>
      <c r="S322" s="43" t="str">
        <f>IFERROR(IF(VLOOKUP(B322,Baza[[№]:[Profit]],17,0)=0,"-",VLOOKUP(B322,Baza[[№]:[Profit]],17,0)),"")</f>
        <v/>
      </c>
      <c r="T322" s="43" t="str">
        <f>IFERROR(IF(VLOOKUP(B322,Baza[[№]:[Profit]],18,0)=0,"-",VLOOKUP(B322,Baza[[№]:[Profit]],18,0)),"")</f>
        <v/>
      </c>
      <c r="U322" s="41" t="str">
        <f>IFERROR(IF(VLOOKUP(B322,Baza[[№]:[Profit]],19,0)=0,"-",VLOOKUP(B322,Baza[[№]:[Profit]],19,0)),"")</f>
        <v/>
      </c>
      <c r="V322" s="41" t="str">
        <f>IFERROR(VLOOKUP(B322,Baza[[№]:[Profit]],20,0),"")</f>
        <v/>
      </c>
      <c r="W322" s="41" t="str">
        <f>IFERROR(IF(VLOOKUP(B322,Baza[[№]:[Profit]],21,0)=0,"-",VLOOKUP(B322,Baza[[№]:[Profit]],21,0)),"")</f>
        <v/>
      </c>
      <c r="X322" s="45" t="str">
        <f>IFERROR(IF(VLOOKUP(B322,Baza[[№]:[Profit]],22,0)=0,"-",VLOOKUP(B322,Baza[[№]:[Profit]],22,0)),"")</f>
        <v/>
      </c>
      <c r="Y322" s="45" t="str">
        <f>IFERROR(VLOOKUP(B322,Baza[[№]:[Profit]],23,0),"")</f>
        <v/>
      </c>
      <c r="Z322" s="44" t="str">
        <f>IFERROR(VLOOKUP(B322,Baza[[№]:[AFS]],24,0),"")</f>
        <v/>
      </c>
      <c r="AA322" s="45" t="str">
        <f>IF(Таблица2[[#This Row],[Profit]]="","#Н/Д",SUM($Y$40:Y322))</f>
        <v>#Н/Д</v>
      </c>
      <c r="AB322" s="45" t="b">
        <f>IF(Таблица2[[#This Row],[Grafik]]="#Н/Д",FALSE,TRUE)</f>
        <v>0</v>
      </c>
    </row>
    <row r="323" spans="2:28" ht="11.1" hidden="1" customHeight="1" x14ac:dyDescent="0.25">
      <c r="B323"/>
      <c r="C323" s="41" t="str">
        <f>IFERROR(VLOOKUP(B323,Baza[[№]:[Profit]],2,0),"")</f>
        <v/>
      </c>
      <c r="D32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2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23" s="43" t="str">
        <f>IFERROR(VLOOKUP(B323,Baza[[№]:[Profit]],3,0),"")</f>
        <v/>
      </c>
      <c r="G323" s="43" t="str">
        <f>IFERROR(VLOOKUP(B323,Baza[[№]:[Profit]],4,0),"")</f>
        <v/>
      </c>
      <c r="H323" s="43" t="str">
        <f>IFERROR(VLOOKUP(B323,Baza[[№]:[Profit]],5,0),"")</f>
        <v/>
      </c>
      <c r="I323" s="46" t="str">
        <f>IFERROR(VLOOKUP(B323,Baza[[№]:[Profit]],6,0),"")</f>
        <v/>
      </c>
      <c r="J323" s="49" t="str">
        <f>IFERROR(VLOOKUP(B323,Baza[[№]:[Profit]],7,0),"")</f>
        <v/>
      </c>
      <c r="K323" s="43" t="str">
        <f>IFERROR(VLOOKUP(B323,Baza[[№]:[Profit]],8,0),"")</f>
        <v/>
      </c>
      <c r="L323" s="43" t="str">
        <f>IFERROR(VLOOKUP(B323,Baza[[№]:[Profit]],9,0),"")</f>
        <v/>
      </c>
      <c r="M323" s="43" t="str">
        <f>IFERROR(VLOOKUP(B323,Baza[[№]:[Profit]],10,0),"")</f>
        <v/>
      </c>
      <c r="N323" s="43" t="str">
        <f>IFERROR(IF(VLOOKUP(B323,Baza[[№]:[Profit]],11,0)=0,"-",VLOOKUP(B323,Baza[[№]:[Profit]],11,0)),"")</f>
        <v/>
      </c>
      <c r="O323" s="43" t="str">
        <f>IFERROR(IF(VLOOKUP(B323,Baza[[№]:[Profit]],12,0)=0,"-",VLOOKUP(B323,Baza[[№]:[Profit]],12,0)),"")</f>
        <v/>
      </c>
      <c r="P323" s="43" t="str">
        <f>IFERROR(IF(VLOOKUP(B323,Baza[[№]:[Profit]],13,0)=0,"-",VLOOKUP(B323,Baza[[№]:[Profit]],13,0)),"")</f>
        <v/>
      </c>
      <c r="Q323" s="43" t="str">
        <f>IFERROR(IF(VLOOKUP(B323,Baza[[№]:[Profit]],15,0)=0,"-",VLOOKUP(B323,Baza[[№]:[Profit]],15,0)),"")</f>
        <v/>
      </c>
      <c r="R323" s="43" t="str">
        <f>IFERROR(IF(VLOOKUP(B323,Baza[[№]:[Profit]],16,0)=0,"-",VLOOKUP(B323,Baza[[№]:[Profit]],16,0)),"")</f>
        <v/>
      </c>
      <c r="S323" s="43" t="str">
        <f>IFERROR(IF(VLOOKUP(B323,Baza[[№]:[Profit]],17,0)=0,"-",VLOOKUP(B323,Baza[[№]:[Profit]],17,0)),"")</f>
        <v/>
      </c>
      <c r="T323" s="43" t="str">
        <f>IFERROR(IF(VLOOKUP(B323,Baza[[№]:[Profit]],18,0)=0,"-",VLOOKUP(B323,Baza[[№]:[Profit]],18,0)),"")</f>
        <v/>
      </c>
      <c r="U323" s="41" t="str">
        <f>IFERROR(IF(VLOOKUP(B323,Baza[[№]:[Profit]],19,0)=0,"-",VLOOKUP(B323,Baza[[№]:[Profit]],19,0)),"")</f>
        <v/>
      </c>
      <c r="V323" s="41" t="str">
        <f>IFERROR(VLOOKUP(B323,Baza[[№]:[Profit]],20,0),"")</f>
        <v/>
      </c>
      <c r="W323" s="41" t="str">
        <f>IFERROR(IF(VLOOKUP(B323,Baza[[№]:[Profit]],21,0)=0,"-",VLOOKUP(B323,Baza[[№]:[Profit]],21,0)),"")</f>
        <v/>
      </c>
      <c r="X323" s="45" t="str">
        <f>IFERROR(IF(VLOOKUP(B323,Baza[[№]:[Profit]],22,0)=0,"-",VLOOKUP(B323,Baza[[№]:[Profit]],22,0)),"")</f>
        <v/>
      </c>
      <c r="Y323" s="45" t="str">
        <f>IFERROR(VLOOKUP(B323,Baza[[№]:[Profit]],23,0),"")</f>
        <v/>
      </c>
      <c r="Z323" s="44" t="str">
        <f>IFERROR(VLOOKUP(B323,Baza[[№]:[AFS]],24,0),"")</f>
        <v/>
      </c>
      <c r="AA323" s="45" t="str">
        <f>IF(Таблица2[[#This Row],[Profit]]="","#Н/Д",SUM($Y$40:Y323))</f>
        <v>#Н/Д</v>
      </c>
      <c r="AB323" s="45" t="b">
        <f>IF(Таблица2[[#This Row],[Grafik]]="#Н/Д",FALSE,TRUE)</f>
        <v>0</v>
      </c>
    </row>
    <row r="324" spans="2:28" ht="11.1" hidden="1" customHeight="1" x14ac:dyDescent="0.25">
      <c r="B324"/>
      <c r="C324" s="41" t="str">
        <f>IFERROR(VLOOKUP(B324,Baza[[№]:[Profit]],2,0),"")</f>
        <v/>
      </c>
      <c r="D32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2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24" s="43" t="str">
        <f>IFERROR(VLOOKUP(B324,Baza[[№]:[Profit]],3,0),"")</f>
        <v/>
      </c>
      <c r="G324" s="43" t="str">
        <f>IFERROR(VLOOKUP(B324,Baza[[№]:[Profit]],4,0),"")</f>
        <v/>
      </c>
      <c r="H324" s="43" t="str">
        <f>IFERROR(VLOOKUP(B324,Baza[[№]:[Profit]],5,0),"")</f>
        <v/>
      </c>
      <c r="I324" s="46" t="str">
        <f>IFERROR(VLOOKUP(B324,Baza[[№]:[Profit]],6,0),"")</f>
        <v/>
      </c>
      <c r="J324" s="49" t="str">
        <f>IFERROR(VLOOKUP(B324,Baza[[№]:[Profit]],7,0),"")</f>
        <v/>
      </c>
      <c r="K324" s="43" t="str">
        <f>IFERROR(VLOOKUP(B324,Baza[[№]:[Profit]],8,0),"")</f>
        <v/>
      </c>
      <c r="L324" s="43" t="str">
        <f>IFERROR(VLOOKUP(B324,Baza[[№]:[Profit]],9,0),"")</f>
        <v/>
      </c>
      <c r="M324" s="43" t="str">
        <f>IFERROR(VLOOKUP(B324,Baza[[№]:[Profit]],10,0),"")</f>
        <v/>
      </c>
      <c r="N324" s="43" t="str">
        <f>IFERROR(IF(VLOOKUP(B324,Baza[[№]:[Profit]],11,0)=0,"-",VLOOKUP(B324,Baza[[№]:[Profit]],11,0)),"")</f>
        <v/>
      </c>
      <c r="O324" s="43" t="str">
        <f>IFERROR(IF(VLOOKUP(B324,Baza[[№]:[Profit]],12,0)=0,"-",VLOOKUP(B324,Baza[[№]:[Profit]],12,0)),"")</f>
        <v/>
      </c>
      <c r="P324" s="43" t="str">
        <f>IFERROR(IF(VLOOKUP(B324,Baza[[№]:[Profit]],13,0)=0,"-",VLOOKUP(B324,Baza[[№]:[Profit]],13,0)),"")</f>
        <v/>
      </c>
      <c r="Q324" s="43" t="str">
        <f>IFERROR(IF(VLOOKUP(B324,Baza[[№]:[Profit]],15,0)=0,"-",VLOOKUP(B324,Baza[[№]:[Profit]],15,0)),"")</f>
        <v/>
      </c>
      <c r="R324" s="43" t="str">
        <f>IFERROR(IF(VLOOKUP(B324,Baza[[№]:[Profit]],16,0)=0,"-",VLOOKUP(B324,Baza[[№]:[Profit]],16,0)),"")</f>
        <v/>
      </c>
      <c r="S324" s="43" t="str">
        <f>IFERROR(IF(VLOOKUP(B324,Baza[[№]:[Profit]],17,0)=0,"-",VLOOKUP(B324,Baza[[№]:[Profit]],17,0)),"")</f>
        <v/>
      </c>
      <c r="T324" s="43" t="str">
        <f>IFERROR(IF(VLOOKUP(B324,Baza[[№]:[Profit]],18,0)=0,"-",VLOOKUP(B324,Baza[[№]:[Profit]],18,0)),"")</f>
        <v/>
      </c>
      <c r="U324" s="41" t="str">
        <f>IFERROR(IF(VLOOKUP(B324,Baza[[№]:[Profit]],19,0)=0,"-",VLOOKUP(B324,Baza[[№]:[Profit]],19,0)),"")</f>
        <v/>
      </c>
      <c r="V324" s="41" t="str">
        <f>IFERROR(VLOOKUP(B324,Baza[[№]:[Profit]],20,0),"")</f>
        <v/>
      </c>
      <c r="W324" s="41" t="str">
        <f>IFERROR(IF(VLOOKUP(B324,Baza[[№]:[Profit]],21,0)=0,"-",VLOOKUP(B324,Baza[[№]:[Profit]],21,0)),"")</f>
        <v/>
      </c>
      <c r="X324" s="45" t="str">
        <f>IFERROR(IF(VLOOKUP(B324,Baza[[№]:[Profit]],22,0)=0,"-",VLOOKUP(B324,Baza[[№]:[Profit]],22,0)),"")</f>
        <v/>
      </c>
      <c r="Y324" s="45" t="str">
        <f>IFERROR(VLOOKUP(B324,Baza[[№]:[Profit]],23,0),"")</f>
        <v/>
      </c>
      <c r="Z324" s="44" t="str">
        <f>IFERROR(VLOOKUP(B324,Baza[[№]:[AFS]],24,0),"")</f>
        <v/>
      </c>
      <c r="AA324" s="45" t="str">
        <f>IF(Таблица2[[#This Row],[Profit]]="","#Н/Д",SUM($Y$40:Y324))</f>
        <v>#Н/Д</v>
      </c>
      <c r="AB324" s="45" t="b">
        <f>IF(Таблица2[[#This Row],[Grafik]]="#Н/Д",FALSE,TRUE)</f>
        <v>0</v>
      </c>
    </row>
    <row r="325" spans="2:28" ht="11.1" hidden="1" customHeight="1" x14ac:dyDescent="0.25">
      <c r="B325"/>
      <c r="C325" s="41" t="str">
        <f>IFERROR(VLOOKUP(B325,Baza[[№]:[Profit]],2,0),"")</f>
        <v/>
      </c>
      <c r="D32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2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25" s="43" t="str">
        <f>IFERROR(VLOOKUP(B325,Baza[[№]:[Profit]],3,0),"")</f>
        <v/>
      </c>
      <c r="G325" s="43" t="str">
        <f>IFERROR(VLOOKUP(B325,Baza[[№]:[Profit]],4,0),"")</f>
        <v/>
      </c>
      <c r="H325" s="43" t="str">
        <f>IFERROR(VLOOKUP(B325,Baza[[№]:[Profit]],5,0),"")</f>
        <v/>
      </c>
      <c r="I325" s="46" t="str">
        <f>IFERROR(VLOOKUP(B325,Baza[[№]:[Profit]],6,0),"")</f>
        <v/>
      </c>
      <c r="J325" s="49" t="str">
        <f>IFERROR(VLOOKUP(B325,Baza[[№]:[Profit]],7,0),"")</f>
        <v/>
      </c>
      <c r="K325" s="43" t="str">
        <f>IFERROR(VLOOKUP(B325,Baza[[№]:[Profit]],8,0),"")</f>
        <v/>
      </c>
      <c r="L325" s="43" t="str">
        <f>IFERROR(VLOOKUP(B325,Baza[[№]:[Profit]],9,0),"")</f>
        <v/>
      </c>
      <c r="M325" s="43" t="str">
        <f>IFERROR(VLOOKUP(B325,Baza[[№]:[Profit]],10,0),"")</f>
        <v/>
      </c>
      <c r="N325" s="43" t="str">
        <f>IFERROR(IF(VLOOKUP(B325,Baza[[№]:[Profit]],11,0)=0,"-",VLOOKUP(B325,Baza[[№]:[Profit]],11,0)),"")</f>
        <v/>
      </c>
      <c r="O325" s="43" t="str">
        <f>IFERROR(IF(VLOOKUP(B325,Baza[[№]:[Profit]],12,0)=0,"-",VLOOKUP(B325,Baza[[№]:[Profit]],12,0)),"")</f>
        <v/>
      </c>
      <c r="P325" s="43" t="str">
        <f>IFERROR(IF(VLOOKUP(B325,Baza[[№]:[Profit]],13,0)=0,"-",VLOOKUP(B325,Baza[[№]:[Profit]],13,0)),"")</f>
        <v/>
      </c>
      <c r="Q325" s="43" t="str">
        <f>IFERROR(IF(VLOOKUP(B325,Baza[[№]:[Profit]],15,0)=0,"-",VLOOKUP(B325,Baza[[№]:[Profit]],15,0)),"")</f>
        <v/>
      </c>
      <c r="R325" s="43" t="str">
        <f>IFERROR(IF(VLOOKUP(B325,Baza[[№]:[Profit]],16,0)=0,"-",VLOOKUP(B325,Baza[[№]:[Profit]],16,0)),"")</f>
        <v/>
      </c>
      <c r="S325" s="43" t="str">
        <f>IFERROR(IF(VLOOKUP(B325,Baza[[№]:[Profit]],17,0)=0,"-",VLOOKUP(B325,Baza[[№]:[Profit]],17,0)),"")</f>
        <v/>
      </c>
      <c r="T325" s="43" t="str">
        <f>IFERROR(IF(VLOOKUP(B325,Baza[[№]:[Profit]],18,0)=0,"-",VLOOKUP(B325,Baza[[№]:[Profit]],18,0)),"")</f>
        <v/>
      </c>
      <c r="U325" s="41" t="str">
        <f>IFERROR(IF(VLOOKUP(B325,Baza[[№]:[Profit]],19,0)=0,"-",VLOOKUP(B325,Baza[[№]:[Profit]],19,0)),"")</f>
        <v/>
      </c>
      <c r="V325" s="41" t="str">
        <f>IFERROR(VLOOKUP(B325,Baza[[№]:[Profit]],20,0),"")</f>
        <v/>
      </c>
      <c r="W325" s="41" t="str">
        <f>IFERROR(IF(VLOOKUP(B325,Baza[[№]:[Profit]],21,0)=0,"-",VLOOKUP(B325,Baza[[№]:[Profit]],21,0)),"")</f>
        <v/>
      </c>
      <c r="X325" s="45" t="str">
        <f>IFERROR(IF(VLOOKUP(B325,Baza[[№]:[Profit]],22,0)=0,"-",VLOOKUP(B325,Baza[[№]:[Profit]],22,0)),"")</f>
        <v/>
      </c>
      <c r="Y325" s="45" t="str">
        <f>IFERROR(VLOOKUP(B325,Baza[[№]:[Profit]],23,0),"")</f>
        <v/>
      </c>
      <c r="Z325" s="44" t="str">
        <f>IFERROR(VLOOKUP(B325,Baza[[№]:[AFS]],24,0),"")</f>
        <v/>
      </c>
      <c r="AA325" s="45" t="str">
        <f>IF(Таблица2[[#This Row],[Profit]]="","#Н/Д",SUM($Y$40:Y325))</f>
        <v>#Н/Д</v>
      </c>
      <c r="AB325" s="45" t="b">
        <f>IF(Таблица2[[#This Row],[Grafik]]="#Н/Д",FALSE,TRUE)</f>
        <v>0</v>
      </c>
    </row>
    <row r="326" spans="2:28" ht="11.1" hidden="1" customHeight="1" x14ac:dyDescent="0.25">
      <c r="B326"/>
      <c r="C326" s="41" t="str">
        <f>IFERROR(VLOOKUP(B326,Baza[[№]:[Profit]],2,0),"")</f>
        <v/>
      </c>
      <c r="D32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2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26" s="43" t="str">
        <f>IFERROR(VLOOKUP(B326,Baza[[№]:[Profit]],3,0),"")</f>
        <v/>
      </c>
      <c r="G326" s="43" t="str">
        <f>IFERROR(VLOOKUP(B326,Baza[[№]:[Profit]],4,0),"")</f>
        <v/>
      </c>
      <c r="H326" s="43" t="str">
        <f>IFERROR(VLOOKUP(B326,Baza[[№]:[Profit]],5,0),"")</f>
        <v/>
      </c>
      <c r="I326" s="46" t="str">
        <f>IFERROR(VLOOKUP(B326,Baza[[№]:[Profit]],6,0),"")</f>
        <v/>
      </c>
      <c r="J326" s="49" t="str">
        <f>IFERROR(VLOOKUP(B326,Baza[[№]:[Profit]],7,0),"")</f>
        <v/>
      </c>
      <c r="K326" s="43" t="str">
        <f>IFERROR(VLOOKUP(B326,Baza[[№]:[Profit]],8,0),"")</f>
        <v/>
      </c>
      <c r="L326" s="43" t="str">
        <f>IFERROR(VLOOKUP(B326,Baza[[№]:[Profit]],9,0),"")</f>
        <v/>
      </c>
      <c r="M326" s="43" t="str">
        <f>IFERROR(VLOOKUP(B326,Baza[[№]:[Profit]],10,0),"")</f>
        <v/>
      </c>
      <c r="N326" s="43" t="str">
        <f>IFERROR(IF(VLOOKUP(B326,Baza[[№]:[Profit]],11,0)=0,"-",VLOOKUP(B326,Baza[[№]:[Profit]],11,0)),"")</f>
        <v/>
      </c>
      <c r="O326" s="43" t="str">
        <f>IFERROR(IF(VLOOKUP(B326,Baza[[№]:[Profit]],12,0)=0,"-",VLOOKUP(B326,Baza[[№]:[Profit]],12,0)),"")</f>
        <v/>
      </c>
      <c r="P326" s="43" t="str">
        <f>IFERROR(IF(VLOOKUP(B326,Baza[[№]:[Profit]],13,0)=0,"-",VLOOKUP(B326,Baza[[№]:[Profit]],13,0)),"")</f>
        <v/>
      </c>
      <c r="Q326" s="43" t="str">
        <f>IFERROR(IF(VLOOKUP(B326,Baza[[№]:[Profit]],15,0)=0,"-",VLOOKUP(B326,Baza[[№]:[Profit]],15,0)),"")</f>
        <v/>
      </c>
      <c r="R326" s="43" t="str">
        <f>IFERROR(IF(VLOOKUP(B326,Baza[[№]:[Profit]],16,0)=0,"-",VLOOKUP(B326,Baza[[№]:[Profit]],16,0)),"")</f>
        <v/>
      </c>
      <c r="S326" s="43" t="str">
        <f>IFERROR(IF(VLOOKUP(B326,Baza[[№]:[Profit]],17,0)=0,"-",VLOOKUP(B326,Baza[[№]:[Profit]],17,0)),"")</f>
        <v/>
      </c>
      <c r="T326" s="43" t="str">
        <f>IFERROR(IF(VLOOKUP(B326,Baza[[№]:[Profit]],18,0)=0,"-",VLOOKUP(B326,Baza[[№]:[Profit]],18,0)),"")</f>
        <v/>
      </c>
      <c r="U326" s="41" t="str">
        <f>IFERROR(IF(VLOOKUP(B326,Baza[[№]:[Profit]],19,0)=0,"-",VLOOKUP(B326,Baza[[№]:[Profit]],19,0)),"")</f>
        <v/>
      </c>
      <c r="V326" s="41" t="str">
        <f>IFERROR(VLOOKUP(B326,Baza[[№]:[Profit]],20,0),"")</f>
        <v/>
      </c>
      <c r="W326" s="41" t="str">
        <f>IFERROR(IF(VLOOKUP(B326,Baza[[№]:[Profit]],21,0)=0,"-",VLOOKUP(B326,Baza[[№]:[Profit]],21,0)),"")</f>
        <v/>
      </c>
      <c r="X326" s="45" t="str">
        <f>IFERROR(IF(VLOOKUP(B326,Baza[[№]:[Profit]],22,0)=0,"-",VLOOKUP(B326,Baza[[№]:[Profit]],22,0)),"")</f>
        <v/>
      </c>
      <c r="Y326" s="45" t="str">
        <f>IFERROR(VLOOKUP(B326,Baza[[№]:[Profit]],23,0),"")</f>
        <v/>
      </c>
      <c r="Z326" s="44" t="str">
        <f>IFERROR(VLOOKUP(B326,Baza[[№]:[AFS]],24,0),"")</f>
        <v/>
      </c>
      <c r="AA326" s="45" t="str">
        <f>IF(Таблица2[[#This Row],[Profit]]="","#Н/Д",SUM($Y$40:Y326))</f>
        <v>#Н/Д</v>
      </c>
      <c r="AB326" s="45" t="b">
        <f>IF(Таблица2[[#This Row],[Grafik]]="#Н/Д",FALSE,TRUE)</f>
        <v>0</v>
      </c>
    </row>
    <row r="327" spans="2:28" ht="11.1" hidden="1" customHeight="1" x14ac:dyDescent="0.25">
      <c r="B327"/>
      <c r="C327" s="41" t="str">
        <f>IFERROR(VLOOKUP(B327,Baza[[№]:[Profit]],2,0),"")</f>
        <v/>
      </c>
      <c r="D32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2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27" s="43" t="str">
        <f>IFERROR(VLOOKUP(B327,Baza[[№]:[Profit]],3,0),"")</f>
        <v/>
      </c>
      <c r="G327" s="43" t="str">
        <f>IFERROR(VLOOKUP(B327,Baza[[№]:[Profit]],4,0),"")</f>
        <v/>
      </c>
      <c r="H327" s="43" t="str">
        <f>IFERROR(VLOOKUP(B327,Baza[[№]:[Profit]],5,0),"")</f>
        <v/>
      </c>
      <c r="I327" s="46" t="str">
        <f>IFERROR(VLOOKUP(B327,Baza[[№]:[Profit]],6,0),"")</f>
        <v/>
      </c>
      <c r="J327" s="49" t="str">
        <f>IFERROR(VLOOKUP(B327,Baza[[№]:[Profit]],7,0),"")</f>
        <v/>
      </c>
      <c r="K327" s="43" t="str">
        <f>IFERROR(VLOOKUP(B327,Baza[[№]:[Profit]],8,0),"")</f>
        <v/>
      </c>
      <c r="L327" s="43" t="str">
        <f>IFERROR(VLOOKUP(B327,Baza[[№]:[Profit]],9,0),"")</f>
        <v/>
      </c>
      <c r="M327" s="43" t="str">
        <f>IFERROR(VLOOKUP(B327,Baza[[№]:[Profit]],10,0),"")</f>
        <v/>
      </c>
      <c r="N327" s="43" t="str">
        <f>IFERROR(IF(VLOOKUP(B327,Baza[[№]:[Profit]],11,0)=0,"-",VLOOKUP(B327,Baza[[№]:[Profit]],11,0)),"")</f>
        <v/>
      </c>
      <c r="O327" s="43" t="str">
        <f>IFERROR(IF(VLOOKUP(B327,Baza[[№]:[Profit]],12,0)=0,"-",VLOOKUP(B327,Baza[[№]:[Profit]],12,0)),"")</f>
        <v/>
      </c>
      <c r="P327" s="43" t="str">
        <f>IFERROR(IF(VLOOKUP(B327,Baza[[№]:[Profit]],13,0)=0,"-",VLOOKUP(B327,Baza[[№]:[Profit]],13,0)),"")</f>
        <v/>
      </c>
      <c r="Q327" s="43" t="str">
        <f>IFERROR(IF(VLOOKUP(B327,Baza[[№]:[Profit]],15,0)=0,"-",VLOOKUP(B327,Baza[[№]:[Profit]],15,0)),"")</f>
        <v/>
      </c>
      <c r="R327" s="43" t="str">
        <f>IFERROR(IF(VLOOKUP(B327,Baza[[№]:[Profit]],16,0)=0,"-",VLOOKUP(B327,Baza[[№]:[Profit]],16,0)),"")</f>
        <v/>
      </c>
      <c r="S327" s="43" t="str">
        <f>IFERROR(IF(VLOOKUP(B327,Baza[[№]:[Profit]],17,0)=0,"-",VLOOKUP(B327,Baza[[№]:[Profit]],17,0)),"")</f>
        <v/>
      </c>
      <c r="T327" s="43" t="str">
        <f>IFERROR(IF(VLOOKUP(B327,Baza[[№]:[Profit]],18,0)=0,"-",VLOOKUP(B327,Baza[[№]:[Profit]],18,0)),"")</f>
        <v/>
      </c>
      <c r="U327" s="41" t="str">
        <f>IFERROR(IF(VLOOKUP(B327,Baza[[№]:[Profit]],19,0)=0,"-",VLOOKUP(B327,Baza[[№]:[Profit]],19,0)),"")</f>
        <v/>
      </c>
      <c r="V327" s="41" t="str">
        <f>IFERROR(VLOOKUP(B327,Baza[[№]:[Profit]],20,0),"")</f>
        <v/>
      </c>
      <c r="W327" s="41" t="str">
        <f>IFERROR(IF(VLOOKUP(B327,Baza[[№]:[Profit]],21,0)=0,"-",VLOOKUP(B327,Baza[[№]:[Profit]],21,0)),"")</f>
        <v/>
      </c>
      <c r="X327" s="45" t="str">
        <f>IFERROR(IF(VLOOKUP(B327,Baza[[№]:[Profit]],22,0)=0,"-",VLOOKUP(B327,Baza[[№]:[Profit]],22,0)),"")</f>
        <v/>
      </c>
      <c r="Y327" s="45" t="str">
        <f>IFERROR(VLOOKUP(B327,Baza[[№]:[Profit]],23,0),"")</f>
        <v/>
      </c>
      <c r="Z327" s="44" t="str">
        <f>IFERROR(VLOOKUP(B327,Baza[[№]:[AFS]],24,0),"")</f>
        <v/>
      </c>
      <c r="AA327" s="45" t="str">
        <f>IF(Таблица2[[#This Row],[Profit]]="","#Н/Д",SUM($Y$40:Y327))</f>
        <v>#Н/Д</v>
      </c>
      <c r="AB327" s="45" t="b">
        <f>IF(Таблица2[[#This Row],[Grafik]]="#Н/Д",FALSE,TRUE)</f>
        <v>0</v>
      </c>
    </row>
    <row r="328" spans="2:28" ht="11.1" hidden="1" customHeight="1" x14ac:dyDescent="0.25">
      <c r="B328"/>
      <c r="C328" s="41" t="str">
        <f>IFERROR(VLOOKUP(B328,Baza[[№]:[Profit]],2,0),"")</f>
        <v/>
      </c>
      <c r="D32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2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28" s="43" t="str">
        <f>IFERROR(VLOOKUP(B328,Baza[[№]:[Profit]],3,0),"")</f>
        <v/>
      </c>
      <c r="G328" s="43" t="str">
        <f>IFERROR(VLOOKUP(B328,Baza[[№]:[Profit]],4,0),"")</f>
        <v/>
      </c>
      <c r="H328" s="43" t="str">
        <f>IFERROR(VLOOKUP(B328,Baza[[№]:[Profit]],5,0),"")</f>
        <v/>
      </c>
      <c r="I328" s="46" t="str">
        <f>IFERROR(VLOOKUP(B328,Baza[[№]:[Profit]],6,0),"")</f>
        <v/>
      </c>
      <c r="J328" s="49" t="str">
        <f>IFERROR(VLOOKUP(B328,Baza[[№]:[Profit]],7,0),"")</f>
        <v/>
      </c>
      <c r="K328" s="43" t="str">
        <f>IFERROR(VLOOKUP(B328,Baza[[№]:[Profit]],8,0),"")</f>
        <v/>
      </c>
      <c r="L328" s="43" t="str">
        <f>IFERROR(VLOOKUP(B328,Baza[[№]:[Profit]],9,0),"")</f>
        <v/>
      </c>
      <c r="M328" s="43" t="str">
        <f>IFERROR(VLOOKUP(B328,Baza[[№]:[Profit]],10,0),"")</f>
        <v/>
      </c>
      <c r="N328" s="43" t="str">
        <f>IFERROR(IF(VLOOKUP(B328,Baza[[№]:[Profit]],11,0)=0,"-",VLOOKUP(B328,Baza[[№]:[Profit]],11,0)),"")</f>
        <v/>
      </c>
      <c r="O328" s="43" t="str">
        <f>IFERROR(IF(VLOOKUP(B328,Baza[[№]:[Profit]],12,0)=0,"-",VLOOKUP(B328,Baza[[№]:[Profit]],12,0)),"")</f>
        <v/>
      </c>
      <c r="P328" s="43" t="str">
        <f>IFERROR(IF(VLOOKUP(B328,Baza[[№]:[Profit]],13,0)=0,"-",VLOOKUP(B328,Baza[[№]:[Profit]],13,0)),"")</f>
        <v/>
      </c>
      <c r="Q328" s="43" t="str">
        <f>IFERROR(IF(VLOOKUP(B328,Baza[[№]:[Profit]],15,0)=0,"-",VLOOKUP(B328,Baza[[№]:[Profit]],15,0)),"")</f>
        <v/>
      </c>
      <c r="R328" s="43" t="str">
        <f>IFERROR(IF(VLOOKUP(B328,Baza[[№]:[Profit]],16,0)=0,"-",VLOOKUP(B328,Baza[[№]:[Profit]],16,0)),"")</f>
        <v/>
      </c>
      <c r="S328" s="43" t="str">
        <f>IFERROR(IF(VLOOKUP(B328,Baza[[№]:[Profit]],17,0)=0,"-",VLOOKUP(B328,Baza[[№]:[Profit]],17,0)),"")</f>
        <v/>
      </c>
      <c r="T328" s="43" t="str">
        <f>IFERROR(IF(VLOOKUP(B328,Baza[[№]:[Profit]],18,0)=0,"-",VLOOKUP(B328,Baza[[№]:[Profit]],18,0)),"")</f>
        <v/>
      </c>
      <c r="U328" s="41" t="str">
        <f>IFERROR(IF(VLOOKUP(B328,Baza[[№]:[Profit]],19,0)=0,"-",VLOOKUP(B328,Baza[[№]:[Profit]],19,0)),"")</f>
        <v/>
      </c>
      <c r="V328" s="41" t="str">
        <f>IFERROR(VLOOKUP(B328,Baza[[№]:[Profit]],20,0),"")</f>
        <v/>
      </c>
      <c r="W328" s="41" t="str">
        <f>IFERROR(IF(VLOOKUP(B328,Baza[[№]:[Profit]],21,0)=0,"-",VLOOKUP(B328,Baza[[№]:[Profit]],21,0)),"")</f>
        <v/>
      </c>
      <c r="X328" s="45" t="str">
        <f>IFERROR(IF(VLOOKUP(B328,Baza[[№]:[Profit]],22,0)=0,"-",VLOOKUP(B328,Baza[[№]:[Profit]],22,0)),"")</f>
        <v/>
      </c>
      <c r="Y328" s="45" t="str">
        <f>IFERROR(VLOOKUP(B328,Baza[[№]:[Profit]],23,0),"")</f>
        <v/>
      </c>
      <c r="Z328" s="44" t="str">
        <f>IFERROR(VLOOKUP(B328,Baza[[№]:[AFS]],24,0),"")</f>
        <v/>
      </c>
      <c r="AA328" s="45" t="str">
        <f>IF(Таблица2[[#This Row],[Profit]]="","#Н/Д",SUM($Y$40:Y328))</f>
        <v>#Н/Д</v>
      </c>
      <c r="AB328" s="45" t="b">
        <f>IF(Таблица2[[#This Row],[Grafik]]="#Н/Д",FALSE,TRUE)</f>
        <v>0</v>
      </c>
    </row>
    <row r="329" spans="2:28" ht="11.1" hidden="1" customHeight="1" x14ac:dyDescent="0.25">
      <c r="B329"/>
      <c r="C329" s="41" t="str">
        <f>IFERROR(VLOOKUP(B329,Baza[[№]:[Profit]],2,0),"")</f>
        <v/>
      </c>
      <c r="D32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2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29" s="43" t="str">
        <f>IFERROR(VLOOKUP(B329,Baza[[№]:[Profit]],3,0),"")</f>
        <v/>
      </c>
      <c r="G329" s="43" t="str">
        <f>IFERROR(VLOOKUP(B329,Baza[[№]:[Profit]],4,0),"")</f>
        <v/>
      </c>
      <c r="H329" s="43" t="str">
        <f>IFERROR(VLOOKUP(B329,Baza[[№]:[Profit]],5,0),"")</f>
        <v/>
      </c>
      <c r="I329" s="46" t="str">
        <f>IFERROR(VLOOKUP(B329,Baza[[№]:[Profit]],6,0),"")</f>
        <v/>
      </c>
      <c r="J329" s="49" t="str">
        <f>IFERROR(VLOOKUP(B329,Baza[[№]:[Profit]],7,0),"")</f>
        <v/>
      </c>
      <c r="K329" s="43" t="str">
        <f>IFERROR(VLOOKUP(B329,Baza[[№]:[Profit]],8,0),"")</f>
        <v/>
      </c>
      <c r="L329" s="43" t="str">
        <f>IFERROR(VLOOKUP(B329,Baza[[№]:[Profit]],9,0),"")</f>
        <v/>
      </c>
      <c r="M329" s="43" t="str">
        <f>IFERROR(VLOOKUP(B329,Baza[[№]:[Profit]],10,0),"")</f>
        <v/>
      </c>
      <c r="N329" s="43" t="str">
        <f>IFERROR(IF(VLOOKUP(B329,Baza[[№]:[Profit]],11,0)=0,"-",VLOOKUP(B329,Baza[[№]:[Profit]],11,0)),"")</f>
        <v/>
      </c>
      <c r="O329" s="43" t="str">
        <f>IFERROR(IF(VLOOKUP(B329,Baza[[№]:[Profit]],12,0)=0,"-",VLOOKUP(B329,Baza[[№]:[Profit]],12,0)),"")</f>
        <v/>
      </c>
      <c r="P329" s="43" t="str">
        <f>IFERROR(IF(VLOOKUP(B329,Baza[[№]:[Profit]],13,0)=0,"-",VLOOKUP(B329,Baza[[№]:[Profit]],13,0)),"")</f>
        <v/>
      </c>
      <c r="Q329" s="43" t="str">
        <f>IFERROR(IF(VLOOKUP(B329,Baza[[№]:[Profit]],15,0)=0,"-",VLOOKUP(B329,Baza[[№]:[Profit]],15,0)),"")</f>
        <v/>
      </c>
      <c r="R329" s="43" t="str">
        <f>IFERROR(IF(VLOOKUP(B329,Baza[[№]:[Profit]],16,0)=0,"-",VLOOKUP(B329,Baza[[№]:[Profit]],16,0)),"")</f>
        <v/>
      </c>
      <c r="S329" s="43" t="str">
        <f>IFERROR(IF(VLOOKUP(B329,Baza[[№]:[Profit]],17,0)=0,"-",VLOOKUP(B329,Baza[[№]:[Profit]],17,0)),"")</f>
        <v/>
      </c>
      <c r="T329" s="43" t="str">
        <f>IFERROR(IF(VLOOKUP(B329,Baza[[№]:[Profit]],18,0)=0,"-",VLOOKUP(B329,Baza[[№]:[Profit]],18,0)),"")</f>
        <v/>
      </c>
      <c r="U329" s="41" t="str">
        <f>IFERROR(IF(VLOOKUP(B329,Baza[[№]:[Profit]],19,0)=0,"-",VLOOKUP(B329,Baza[[№]:[Profit]],19,0)),"")</f>
        <v/>
      </c>
      <c r="V329" s="41" t="str">
        <f>IFERROR(VLOOKUP(B329,Baza[[№]:[Profit]],20,0),"")</f>
        <v/>
      </c>
      <c r="W329" s="41" t="str">
        <f>IFERROR(IF(VLOOKUP(B329,Baza[[№]:[Profit]],21,0)=0,"-",VLOOKUP(B329,Baza[[№]:[Profit]],21,0)),"")</f>
        <v/>
      </c>
      <c r="X329" s="45" t="str">
        <f>IFERROR(IF(VLOOKUP(B329,Baza[[№]:[Profit]],22,0)=0,"-",VLOOKUP(B329,Baza[[№]:[Profit]],22,0)),"")</f>
        <v/>
      </c>
      <c r="Y329" s="45" t="str">
        <f>IFERROR(VLOOKUP(B329,Baza[[№]:[Profit]],23,0),"")</f>
        <v/>
      </c>
      <c r="Z329" s="44" t="str">
        <f>IFERROR(VLOOKUP(B329,Baza[[№]:[AFS]],24,0),"")</f>
        <v/>
      </c>
      <c r="AA329" s="45" t="str">
        <f>IF(Таблица2[[#This Row],[Profit]]="","#Н/Д",SUM($Y$40:Y329))</f>
        <v>#Н/Д</v>
      </c>
      <c r="AB329" s="45" t="b">
        <f>IF(Таблица2[[#This Row],[Grafik]]="#Н/Д",FALSE,TRUE)</f>
        <v>0</v>
      </c>
    </row>
    <row r="330" spans="2:28" ht="11.1" hidden="1" customHeight="1" x14ac:dyDescent="0.25">
      <c r="B330"/>
      <c r="C330" s="41" t="str">
        <f>IFERROR(VLOOKUP(B330,Baza[[№]:[Profit]],2,0),"")</f>
        <v/>
      </c>
      <c r="D33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3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30" s="43" t="str">
        <f>IFERROR(VLOOKUP(B330,Baza[[№]:[Profit]],3,0),"")</f>
        <v/>
      </c>
      <c r="G330" s="43" t="str">
        <f>IFERROR(VLOOKUP(B330,Baza[[№]:[Profit]],4,0),"")</f>
        <v/>
      </c>
      <c r="H330" s="43" t="str">
        <f>IFERROR(VLOOKUP(B330,Baza[[№]:[Profit]],5,0),"")</f>
        <v/>
      </c>
      <c r="I330" s="46" t="str">
        <f>IFERROR(VLOOKUP(B330,Baza[[№]:[Profit]],6,0),"")</f>
        <v/>
      </c>
      <c r="J330" s="49" t="str">
        <f>IFERROR(VLOOKUP(B330,Baza[[№]:[Profit]],7,0),"")</f>
        <v/>
      </c>
      <c r="K330" s="43" t="str">
        <f>IFERROR(VLOOKUP(B330,Baza[[№]:[Profit]],8,0),"")</f>
        <v/>
      </c>
      <c r="L330" s="43" t="str">
        <f>IFERROR(VLOOKUP(B330,Baza[[№]:[Profit]],9,0),"")</f>
        <v/>
      </c>
      <c r="M330" s="43" t="str">
        <f>IFERROR(VLOOKUP(B330,Baza[[№]:[Profit]],10,0),"")</f>
        <v/>
      </c>
      <c r="N330" s="43" t="str">
        <f>IFERROR(IF(VLOOKUP(B330,Baza[[№]:[Profit]],11,0)=0,"-",VLOOKUP(B330,Baza[[№]:[Profit]],11,0)),"")</f>
        <v/>
      </c>
      <c r="O330" s="43" t="str">
        <f>IFERROR(IF(VLOOKUP(B330,Baza[[№]:[Profit]],12,0)=0,"-",VLOOKUP(B330,Baza[[№]:[Profit]],12,0)),"")</f>
        <v/>
      </c>
      <c r="P330" s="43" t="str">
        <f>IFERROR(IF(VLOOKUP(B330,Baza[[№]:[Profit]],13,0)=0,"-",VLOOKUP(B330,Baza[[№]:[Profit]],13,0)),"")</f>
        <v/>
      </c>
      <c r="Q330" s="43" t="str">
        <f>IFERROR(IF(VLOOKUP(B330,Baza[[№]:[Profit]],15,0)=0,"-",VLOOKUP(B330,Baza[[№]:[Profit]],15,0)),"")</f>
        <v/>
      </c>
      <c r="R330" s="43" t="str">
        <f>IFERROR(IF(VLOOKUP(B330,Baza[[№]:[Profit]],16,0)=0,"-",VLOOKUP(B330,Baza[[№]:[Profit]],16,0)),"")</f>
        <v/>
      </c>
      <c r="S330" s="43" t="str">
        <f>IFERROR(IF(VLOOKUP(B330,Baza[[№]:[Profit]],17,0)=0,"-",VLOOKUP(B330,Baza[[№]:[Profit]],17,0)),"")</f>
        <v/>
      </c>
      <c r="T330" s="43" t="str">
        <f>IFERROR(IF(VLOOKUP(B330,Baza[[№]:[Profit]],18,0)=0,"-",VLOOKUP(B330,Baza[[№]:[Profit]],18,0)),"")</f>
        <v/>
      </c>
      <c r="U330" s="41" t="str">
        <f>IFERROR(IF(VLOOKUP(B330,Baza[[№]:[Profit]],19,0)=0,"-",VLOOKUP(B330,Baza[[№]:[Profit]],19,0)),"")</f>
        <v/>
      </c>
      <c r="V330" s="41" t="str">
        <f>IFERROR(VLOOKUP(B330,Baza[[№]:[Profit]],20,0),"")</f>
        <v/>
      </c>
      <c r="W330" s="41" t="str">
        <f>IFERROR(IF(VLOOKUP(B330,Baza[[№]:[Profit]],21,0)=0,"-",VLOOKUP(B330,Baza[[№]:[Profit]],21,0)),"")</f>
        <v/>
      </c>
      <c r="X330" s="45" t="str">
        <f>IFERROR(IF(VLOOKUP(B330,Baza[[№]:[Profit]],22,0)=0,"-",VLOOKUP(B330,Baza[[№]:[Profit]],22,0)),"")</f>
        <v/>
      </c>
      <c r="Y330" s="45" t="str">
        <f>IFERROR(VLOOKUP(B330,Baza[[№]:[Profit]],23,0),"")</f>
        <v/>
      </c>
      <c r="Z330" s="44" t="str">
        <f>IFERROR(VLOOKUP(B330,Baza[[№]:[AFS]],24,0),"")</f>
        <v/>
      </c>
      <c r="AA330" s="45" t="str">
        <f>IF(Таблица2[[#This Row],[Profit]]="","#Н/Д",SUM($Y$40:Y330))</f>
        <v>#Н/Д</v>
      </c>
      <c r="AB330" s="45" t="b">
        <f>IF(Таблица2[[#This Row],[Grafik]]="#Н/Д",FALSE,TRUE)</f>
        <v>0</v>
      </c>
    </row>
    <row r="331" spans="2:28" ht="11.1" hidden="1" customHeight="1" x14ac:dyDescent="0.25">
      <c r="B331"/>
      <c r="C331" s="41" t="str">
        <f>IFERROR(VLOOKUP(B331,Baza[[№]:[Profit]],2,0),"")</f>
        <v/>
      </c>
      <c r="D33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3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31" s="43" t="str">
        <f>IFERROR(VLOOKUP(B331,Baza[[№]:[Profit]],3,0),"")</f>
        <v/>
      </c>
      <c r="G331" s="43" t="str">
        <f>IFERROR(VLOOKUP(B331,Baza[[№]:[Profit]],4,0),"")</f>
        <v/>
      </c>
      <c r="H331" s="43" t="str">
        <f>IFERROR(VLOOKUP(B331,Baza[[№]:[Profit]],5,0),"")</f>
        <v/>
      </c>
      <c r="I331" s="46" t="str">
        <f>IFERROR(VLOOKUP(B331,Baza[[№]:[Profit]],6,0),"")</f>
        <v/>
      </c>
      <c r="J331" s="49" t="str">
        <f>IFERROR(VLOOKUP(B331,Baza[[№]:[Profit]],7,0),"")</f>
        <v/>
      </c>
      <c r="K331" s="43" t="str">
        <f>IFERROR(VLOOKUP(B331,Baza[[№]:[Profit]],8,0),"")</f>
        <v/>
      </c>
      <c r="L331" s="43" t="str">
        <f>IFERROR(VLOOKUP(B331,Baza[[№]:[Profit]],9,0),"")</f>
        <v/>
      </c>
      <c r="M331" s="43" t="str">
        <f>IFERROR(VLOOKUP(B331,Baza[[№]:[Profit]],10,0),"")</f>
        <v/>
      </c>
      <c r="N331" s="43" t="str">
        <f>IFERROR(IF(VLOOKUP(B331,Baza[[№]:[Profit]],11,0)=0,"-",VLOOKUP(B331,Baza[[№]:[Profit]],11,0)),"")</f>
        <v/>
      </c>
      <c r="O331" s="43" t="str">
        <f>IFERROR(IF(VLOOKUP(B331,Baza[[№]:[Profit]],12,0)=0,"-",VLOOKUP(B331,Baza[[№]:[Profit]],12,0)),"")</f>
        <v/>
      </c>
      <c r="P331" s="43" t="str">
        <f>IFERROR(IF(VLOOKUP(B331,Baza[[№]:[Profit]],13,0)=0,"-",VLOOKUP(B331,Baza[[№]:[Profit]],13,0)),"")</f>
        <v/>
      </c>
      <c r="Q331" s="43" t="str">
        <f>IFERROR(IF(VLOOKUP(B331,Baza[[№]:[Profit]],15,0)=0,"-",VLOOKUP(B331,Baza[[№]:[Profit]],15,0)),"")</f>
        <v/>
      </c>
      <c r="R331" s="43" t="str">
        <f>IFERROR(IF(VLOOKUP(B331,Baza[[№]:[Profit]],16,0)=0,"-",VLOOKUP(B331,Baza[[№]:[Profit]],16,0)),"")</f>
        <v/>
      </c>
      <c r="S331" s="43" t="str">
        <f>IFERROR(IF(VLOOKUP(B331,Baza[[№]:[Profit]],17,0)=0,"-",VLOOKUP(B331,Baza[[№]:[Profit]],17,0)),"")</f>
        <v/>
      </c>
      <c r="T331" s="43" t="str">
        <f>IFERROR(IF(VLOOKUP(B331,Baza[[№]:[Profit]],18,0)=0,"-",VLOOKUP(B331,Baza[[№]:[Profit]],18,0)),"")</f>
        <v/>
      </c>
      <c r="U331" s="41" t="str">
        <f>IFERROR(IF(VLOOKUP(B331,Baza[[№]:[Profit]],19,0)=0,"-",VLOOKUP(B331,Baza[[№]:[Profit]],19,0)),"")</f>
        <v/>
      </c>
      <c r="V331" s="41" t="str">
        <f>IFERROR(VLOOKUP(B331,Baza[[№]:[Profit]],20,0),"")</f>
        <v/>
      </c>
      <c r="W331" s="41" t="str">
        <f>IFERROR(IF(VLOOKUP(B331,Baza[[№]:[Profit]],21,0)=0,"-",VLOOKUP(B331,Baza[[№]:[Profit]],21,0)),"")</f>
        <v/>
      </c>
      <c r="X331" s="45" t="str">
        <f>IFERROR(IF(VLOOKUP(B331,Baza[[№]:[Profit]],22,0)=0,"-",VLOOKUP(B331,Baza[[№]:[Profit]],22,0)),"")</f>
        <v/>
      </c>
      <c r="Y331" s="45" t="str">
        <f>IFERROR(VLOOKUP(B331,Baza[[№]:[Profit]],23,0),"")</f>
        <v/>
      </c>
      <c r="Z331" s="44" t="str">
        <f>IFERROR(VLOOKUP(B331,Baza[[№]:[AFS]],24,0),"")</f>
        <v/>
      </c>
      <c r="AA331" s="45" t="str">
        <f>IF(Таблица2[[#This Row],[Profit]]="","#Н/Д",SUM($Y$40:Y331))</f>
        <v>#Н/Д</v>
      </c>
      <c r="AB331" s="45" t="b">
        <f>IF(Таблица2[[#This Row],[Grafik]]="#Н/Д",FALSE,TRUE)</f>
        <v>0</v>
      </c>
    </row>
    <row r="332" spans="2:28" ht="11.1" hidden="1" customHeight="1" x14ac:dyDescent="0.25">
      <c r="B332"/>
      <c r="C332" s="41" t="str">
        <f>IFERROR(VLOOKUP(B332,Baza[[№]:[Profit]],2,0),"")</f>
        <v/>
      </c>
      <c r="D33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3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32" s="43" t="str">
        <f>IFERROR(VLOOKUP(B332,Baza[[№]:[Profit]],3,0),"")</f>
        <v/>
      </c>
      <c r="G332" s="43" t="str">
        <f>IFERROR(VLOOKUP(B332,Baza[[№]:[Profit]],4,0),"")</f>
        <v/>
      </c>
      <c r="H332" s="43" t="str">
        <f>IFERROR(VLOOKUP(B332,Baza[[№]:[Profit]],5,0),"")</f>
        <v/>
      </c>
      <c r="I332" s="46" t="str">
        <f>IFERROR(VLOOKUP(B332,Baza[[№]:[Profit]],6,0),"")</f>
        <v/>
      </c>
      <c r="J332" s="49" t="str">
        <f>IFERROR(VLOOKUP(B332,Baza[[№]:[Profit]],7,0),"")</f>
        <v/>
      </c>
      <c r="K332" s="43" t="str">
        <f>IFERROR(VLOOKUP(B332,Baza[[№]:[Profit]],8,0),"")</f>
        <v/>
      </c>
      <c r="L332" s="43" t="str">
        <f>IFERROR(VLOOKUP(B332,Baza[[№]:[Profit]],9,0),"")</f>
        <v/>
      </c>
      <c r="M332" s="43" t="str">
        <f>IFERROR(VLOOKUP(B332,Baza[[№]:[Profit]],10,0),"")</f>
        <v/>
      </c>
      <c r="N332" s="43" t="str">
        <f>IFERROR(IF(VLOOKUP(B332,Baza[[№]:[Profit]],11,0)=0,"-",VLOOKUP(B332,Baza[[№]:[Profit]],11,0)),"")</f>
        <v/>
      </c>
      <c r="O332" s="43" t="str">
        <f>IFERROR(IF(VLOOKUP(B332,Baza[[№]:[Profit]],12,0)=0,"-",VLOOKUP(B332,Baza[[№]:[Profit]],12,0)),"")</f>
        <v/>
      </c>
      <c r="P332" s="43" t="str">
        <f>IFERROR(IF(VLOOKUP(B332,Baza[[№]:[Profit]],13,0)=0,"-",VLOOKUP(B332,Baza[[№]:[Profit]],13,0)),"")</f>
        <v/>
      </c>
      <c r="Q332" s="43" t="str">
        <f>IFERROR(IF(VLOOKUP(B332,Baza[[№]:[Profit]],15,0)=0,"-",VLOOKUP(B332,Baza[[№]:[Profit]],15,0)),"")</f>
        <v/>
      </c>
      <c r="R332" s="43" t="str">
        <f>IFERROR(IF(VLOOKUP(B332,Baza[[№]:[Profit]],16,0)=0,"-",VLOOKUP(B332,Baza[[№]:[Profit]],16,0)),"")</f>
        <v/>
      </c>
      <c r="S332" s="43" t="str">
        <f>IFERROR(IF(VLOOKUP(B332,Baza[[№]:[Profit]],17,0)=0,"-",VLOOKUP(B332,Baza[[№]:[Profit]],17,0)),"")</f>
        <v/>
      </c>
      <c r="T332" s="43" t="str">
        <f>IFERROR(IF(VLOOKUP(B332,Baza[[№]:[Profit]],18,0)=0,"-",VLOOKUP(B332,Baza[[№]:[Profit]],18,0)),"")</f>
        <v/>
      </c>
      <c r="U332" s="41" t="str">
        <f>IFERROR(IF(VLOOKUP(B332,Baza[[№]:[Profit]],19,0)=0,"-",VLOOKUP(B332,Baza[[№]:[Profit]],19,0)),"")</f>
        <v/>
      </c>
      <c r="V332" s="41" t="str">
        <f>IFERROR(VLOOKUP(B332,Baza[[№]:[Profit]],20,0),"")</f>
        <v/>
      </c>
      <c r="W332" s="41" t="str">
        <f>IFERROR(IF(VLOOKUP(B332,Baza[[№]:[Profit]],21,0)=0,"-",VLOOKUP(B332,Baza[[№]:[Profit]],21,0)),"")</f>
        <v/>
      </c>
      <c r="X332" s="45" t="str">
        <f>IFERROR(IF(VLOOKUP(B332,Baza[[№]:[Profit]],22,0)=0,"-",VLOOKUP(B332,Baza[[№]:[Profit]],22,0)),"")</f>
        <v/>
      </c>
      <c r="Y332" s="45" t="str">
        <f>IFERROR(VLOOKUP(B332,Baza[[№]:[Profit]],23,0),"")</f>
        <v/>
      </c>
      <c r="Z332" s="44" t="str">
        <f>IFERROR(VLOOKUP(B332,Baza[[№]:[AFS]],24,0),"")</f>
        <v/>
      </c>
      <c r="AA332" s="45" t="str">
        <f>IF(Таблица2[[#This Row],[Profit]]="","#Н/Д",SUM($Y$40:Y332))</f>
        <v>#Н/Д</v>
      </c>
      <c r="AB332" s="45" t="b">
        <f>IF(Таблица2[[#This Row],[Grafik]]="#Н/Д",FALSE,TRUE)</f>
        <v>0</v>
      </c>
    </row>
    <row r="333" spans="2:28" ht="11.1" hidden="1" customHeight="1" x14ac:dyDescent="0.25">
      <c r="B333"/>
      <c r="C333" s="41" t="str">
        <f>IFERROR(VLOOKUP(B333,Baza[[№]:[Profit]],2,0),"")</f>
        <v/>
      </c>
      <c r="D33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3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33" s="43" t="str">
        <f>IFERROR(VLOOKUP(B333,Baza[[№]:[Profit]],3,0),"")</f>
        <v/>
      </c>
      <c r="G333" s="43" t="str">
        <f>IFERROR(VLOOKUP(B333,Baza[[№]:[Profit]],4,0),"")</f>
        <v/>
      </c>
      <c r="H333" s="43" t="str">
        <f>IFERROR(VLOOKUP(B333,Baza[[№]:[Profit]],5,0),"")</f>
        <v/>
      </c>
      <c r="I333" s="46" t="str">
        <f>IFERROR(VLOOKUP(B333,Baza[[№]:[Profit]],6,0),"")</f>
        <v/>
      </c>
      <c r="J333" s="49" t="str">
        <f>IFERROR(VLOOKUP(B333,Baza[[№]:[Profit]],7,0),"")</f>
        <v/>
      </c>
      <c r="K333" s="43" t="str">
        <f>IFERROR(VLOOKUP(B333,Baza[[№]:[Profit]],8,0),"")</f>
        <v/>
      </c>
      <c r="L333" s="43" t="str">
        <f>IFERROR(VLOOKUP(B333,Baza[[№]:[Profit]],9,0),"")</f>
        <v/>
      </c>
      <c r="M333" s="43" t="str">
        <f>IFERROR(VLOOKUP(B333,Baza[[№]:[Profit]],10,0),"")</f>
        <v/>
      </c>
      <c r="N333" s="43" t="str">
        <f>IFERROR(IF(VLOOKUP(B333,Baza[[№]:[Profit]],11,0)=0,"-",VLOOKUP(B333,Baza[[№]:[Profit]],11,0)),"")</f>
        <v/>
      </c>
      <c r="O333" s="43" t="str">
        <f>IFERROR(IF(VLOOKUP(B333,Baza[[№]:[Profit]],12,0)=0,"-",VLOOKUP(B333,Baza[[№]:[Profit]],12,0)),"")</f>
        <v/>
      </c>
      <c r="P333" s="43" t="str">
        <f>IFERROR(IF(VLOOKUP(B333,Baza[[№]:[Profit]],13,0)=0,"-",VLOOKUP(B333,Baza[[№]:[Profit]],13,0)),"")</f>
        <v/>
      </c>
      <c r="Q333" s="43" t="str">
        <f>IFERROR(IF(VLOOKUP(B333,Baza[[№]:[Profit]],15,0)=0,"-",VLOOKUP(B333,Baza[[№]:[Profit]],15,0)),"")</f>
        <v/>
      </c>
      <c r="R333" s="43" t="str">
        <f>IFERROR(IF(VLOOKUP(B333,Baza[[№]:[Profit]],16,0)=0,"-",VLOOKUP(B333,Baza[[№]:[Profit]],16,0)),"")</f>
        <v/>
      </c>
      <c r="S333" s="43" t="str">
        <f>IFERROR(IF(VLOOKUP(B333,Baza[[№]:[Profit]],17,0)=0,"-",VLOOKUP(B333,Baza[[№]:[Profit]],17,0)),"")</f>
        <v/>
      </c>
      <c r="T333" s="43" t="str">
        <f>IFERROR(IF(VLOOKUP(B333,Baza[[№]:[Profit]],18,0)=0,"-",VLOOKUP(B333,Baza[[№]:[Profit]],18,0)),"")</f>
        <v/>
      </c>
      <c r="U333" s="41" t="str">
        <f>IFERROR(IF(VLOOKUP(B333,Baza[[№]:[Profit]],19,0)=0,"-",VLOOKUP(B333,Baza[[№]:[Profit]],19,0)),"")</f>
        <v/>
      </c>
      <c r="V333" s="41" t="str">
        <f>IFERROR(VLOOKUP(B333,Baza[[№]:[Profit]],20,0),"")</f>
        <v/>
      </c>
      <c r="W333" s="41" t="str">
        <f>IFERROR(IF(VLOOKUP(B333,Baza[[№]:[Profit]],21,0)=0,"-",VLOOKUP(B333,Baza[[№]:[Profit]],21,0)),"")</f>
        <v/>
      </c>
      <c r="X333" s="45" t="str">
        <f>IFERROR(IF(VLOOKUP(B333,Baza[[№]:[Profit]],22,0)=0,"-",VLOOKUP(B333,Baza[[№]:[Profit]],22,0)),"")</f>
        <v/>
      </c>
      <c r="Y333" s="45" t="str">
        <f>IFERROR(VLOOKUP(B333,Baza[[№]:[Profit]],23,0),"")</f>
        <v/>
      </c>
      <c r="Z333" s="44" t="str">
        <f>IFERROR(VLOOKUP(B333,Baza[[№]:[AFS]],24,0),"")</f>
        <v/>
      </c>
      <c r="AA333" s="45" t="str">
        <f>IF(Таблица2[[#This Row],[Profit]]="","#Н/Д",SUM($Y$40:Y333))</f>
        <v>#Н/Д</v>
      </c>
      <c r="AB333" s="45" t="b">
        <f>IF(Таблица2[[#This Row],[Grafik]]="#Н/Д",FALSE,TRUE)</f>
        <v>0</v>
      </c>
    </row>
    <row r="334" spans="2:28" ht="11.1" hidden="1" customHeight="1" x14ac:dyDescent="0.25">
      <c r="B334"/>
      <c r="C334" s="41" t="str">
        <f>IFERROR(VLOOKUP(B334,Baza[[№]:[Profit]],2,0),"")</f>
        <v/>
      </c>
      <c r="D33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3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34" s="43" t="str">
        <f>IFERROR(VLOOKUP(B334,Baza[[№]:[Profit]],3,0),"")</f>
        <v/>
      </c>
      <c r="G334" s="43" t="str">
        <f>IFERROR(VLOOKUP(B334,Baza[[№]:[Profit]],4,0),"")</f>
        <v/>
      </c>
      <c r="H334" s="43" t="str">
        <f>IFERROR(VLOOKUP(B334,Baza[[№]:[Profit]],5,0),"")</f>
        <v/>
      </c>
      <c r="I334" s="46" t="str">
        <f>IFERROR(VLOOKUP(B334,Baza[[№]:[Profit]],6,0),"")</f>
        <v/>
      </c>
      <c r="J334" s="49" t="str">
        <f>IFERROR(VLOOKUP(B334,Baza[[№]:[Profit]],7,0),"")</f>
        <v/>
      </c>
      <c r="K334" s="43" t="str">
        <f>IFERROR(VLOOKUP(B334,Baza[[№]:[Profit]],8,0),"")</f>
        <v/>
      </c>
      <c r="L334" s="43" t="str">
        <f>IFERROR(VLOOKUP(B334,Baza[[№]:[Profit]],9,0),"")</f>
        <v/>
      </c>
      <c r="M334" s="43" t="str">
        <f>IFERROR(VLOOKUP(B334,Baza[[№]:[Profit]],10,0),"")</f>
        <v/>
      </c>
      <c r="N334" s="43" t="str">
        <f>IFERROR(IF(VLOOKUP(B334,Baza[[№]:[Profit]],11,0)=0,"-",VLOOKUP(B334,Baza[[№]:[Profit]],11,0)),"")</f>
        <v/>
      </c>
      <c r="O334" s="43" t="str">
        <f>IFERROR(IF(VLOOKUP(B334,Baza[[№]:[Profit]],12,0)=0,"-",VLOOKUP(B334,Baza[[№]:[Profit]],12,0)),"")</f>
        <v/>
      </c>
      <c r="P334" s="43" t="str">
        <f>IFERROR(IF(VLOOKUP(B334,Baza[[№]:[Profit]],13,0)=0,"-",VLOOKUP(B334,Baza[[№]:[Profit]],13,0)),"")</f>
        <v/>
      </c>
      <c r="Q334" s="43" t="str">
        <f>IFERROR(IF(VLOOKUP(B334,Baza[[№]:[Profit]],15,0)=0,"-",VLOOKUP(B334,Baza[[№]:[Profit]],15,0)),"")</f>
        <v/>
      </c>
      <c r="R334" s="43" t="str">
        <f>IFERROR(IF(VLOOKUP(B334,Baza[[№]:[Profit]],16,0)=0,"-",VLOOKUP(B334,Baza[[№]:[Profit]],16,0)),"")</f>
        <v/>
      </c>
      <c r="S334" s="43" t="str">
        <f>IFERROR(IF(VLOOKUP(B334,Baza[[№]:[Profit]],17,0)=0,"-",VLOOKUP(B334,Baza[[№]:[Profit]],17,0)),"")</f>
        <v/>
      </c>
      <c r="T334" s="43" t="str">
        <f>IFERROR(IF(VLOOKUP(B334,Baza[[№]:[Profit]],18,0)=0,"-",VLOOKUP(B334,Baza[[№]:[Profit]],18,0)),"")</f>
        <v/>
      </c>
      <c r="U334" s="41" t="str">
        <f>IFERROR(IF(VLOOKUP(B334,Baza[[№]:[Profit]],19,0)=0,"-",VLOOKUP(B334,Baza[[№]:[Profit]],19,0)),"")</f>
        <v/>
      </c>
      <c r="V334" s="41" t="str">
        <f>IFERROR(VLOOKUP(B334,Baza[[№]:[Profit]],20,0),"")</f>
        <v/>
      </c>
      <c r="W334" s="41" t="str">
        <f>IFERROR(IF(VLOOKUP(B334,Baza[[№]:[Profit]],21,0)=0,"-",VLOOKUP(B334,Baza[[№]:[Profit]],21,0)),"")</f>
        <v/>
      </c>
      <c r="X334" s="45" t="str">
        <f>IFERROR(IF(VLOOKUP(B334,Baza[[№]:[Profit]],22,0)=0,"-",VLOOKUP(B334,Baza[[№]:[Profit]],22,0)),"")</f>
        <v/>
      </c>
      <c r="Y334" s="45" t="str">
        <f>IFERROR(VLOOKUP(B334,Baza[[№]:[Profit]],23,0),"")</f>
        <v/>
      </c>
      <c r="Z334" s="44" t="str">
        <f>IFERROR(VLOOKUP(B334,Baza[[№]:[AFS]],24,0),"")</f>
        <v/>
      </c>
      <c r="AA334" s="45" t="str">
        <f>IF(Таблица2[[#This Row],[Profit]]="","#Н/Д",SUM($Y$40:Y334))</f>
        <v>#Н/Д</v>
      </c>
      <c r="AB334" s="45" t="b">
        <f>IF(Таблица2[[#This Row],[Grafik]]="#Н/Д",FALSE,TRUE)</f>
        <v>0</v>
      </c>
    </row>
    <row r="335" spans="2:28" ht="11.1" hidden="1" customHeight="1" x14ac:dyDescent="0.25">
      <c r="B335"/>
      <c r="C335" s="41" t="str">
        <f>IFERROR(VLOOKUP(B335,Baza[[№]:[Profit]],2,0),"")</f>
        <v/>
      </c>
      <c r="D33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3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35" s="43" t="str">
        <f>IFERROR(VLOOKUP(B335,Baza[[№]:[Profit]],3,0),"")</f>
        <v/>
      </c>
      <c r="G335" s="43" t="str">
        <f>IFERROR(VLOOKUP(B335,Baza[[№]:[Profit]],4,0),"")</f>
        <v/>
      </c>
      <c r="H335" s="43" t="str">
        <f>IFERROR(VLOOKUP(B335,Baza[[№]:[Profit]],5,0),"")</f>
        <v/>
      </c>
      <c r="I335" s="46" t="str">
        <f>IFERROR(VLOOKUP(B335,Baza[[№]:[Profit]],6,0),"")</f>
        <v/>
      </c>
      <c r="J335" s="49" t="str">
        <f>IFERROR(VLOOKUP(B335,Baza[[№]:[Profit]],7,0),"")</f>
        <v/>
      </c>
      <c r="K335" s="43" t="str">
        <f>IFERROR(VLOOKUP(B335,Baza[[№]:[Profit]],8,0),"")</f>
        <v/>
      </c>
      <c r="L335" s="43" t="str">
        <f>IFERROR(VLOOKUP(B335,Baza[[№]:[Profit]],9,0),"")</f>
        <v/>
      </c>
      <c r="M335" s="43" t="str">
        <f>IFERROR(VLOOKUP(B335,Baza[[№]:[Profit]],10,0),"")</f>
        <v/>
      </c>
      <c r="N335" s="43" t="str">
        <f>IFERROR(IF(VLOOKUP(B335,Baza[[№]:[Profit]],11,0)=0,"-",VLOOKUP(B335,Baza[[№]:[Profit]],11,0)),"")</f>
        <v/>
      </c>
      <c r="O335" s="43" t="str">
        <f>IFERROR(IF(VLOOKUP(B335,Baza[[№]:[Profit]],12,0)=0,"-",VLOOKUP(B335,Baza[[№]:[Profit]],12,0)),"")</f>
        <v/>
      </c>
      <c r="P335" s="43" t="str">
        <f>IFERROR(IF(VLOOKUP(B335,Baza[[№]:[Profit]],13,0)=0,"-",VLOOKUP(B335,Baza[[№]:[Profit]],13,0)),"")</f>
        <v/>
      </c>
      <c r="Q335" s="43" t="str">
        <f>IFERROR(IF(VLOOKUP(B335,Baza[[№]:[Profit]],15,0)=0,"-",VLOOKUP(B335,Baza[[№]:[Profit]],15,0)),"")</f>
        <v/>
      </c>
      <c r="R335" s="43" t="str">
        <f>IFERROR(IF(VLOOKUP(B335,Baza[[№]:[Profit]],16,0)=0,"-",VLOOKUP(B335,Baza[[№]:[Profit]],16,0)),"")</f>
        <v/>
      </c>
      <c r="S335" s="43" t="str">
        <f>IFERROR(IF(VLOOKUP(B335,Baza[[№]:[Profit]],17,0)=0,"-",VLOOKUP(B335,Baza[[№]:[Profit]],17,0)),"")</f>
        <v/>
      </c>
      <c r="T335" s="43" t="str">
        <f>IFERROR(IF(VLOOKUP(B335,Baza[[№]:[Profit]],18,0)=0,"-",VLOOKUP(B335,Baza[[№]:[Profit]],18,0)),"")</f>
        <v/>
      </c>
      <c r="U335" s="41" t="str">
        <f>IFERROR(IF(VLOOKUP(B335,Baza[[№]:[Profit]],19,0)=0,"-",VLOOKUP(B335,Baza[[№]:[Profit]],19,0)),"")</f>
        <v/>
      </c>
      <c r="V335" s="41" t="str">
        <f>IFERROR(VLOOKUP(B335,Baza[[№]:[Profit]],20,0),"")</f>
        <v/>
      </c>
      <c r="W335" s="41" t="str">
        <f>IFERROR(IF(VLOOKUP(B335,Baza[[№]:[Profit]],21,0)=0,"-",VLOOKUP(B335,Baza[[№]:[Profit]],21,0)),"")</f>
        <v/>
      </c>
      <c r="X335" s="45" t="str">
        <f>IFERROR(IF(VLOOKUP(B335,Baza[[№]:[Profit]],22,0)=0,"-",VLOOKUP(B335,Baza[[№]:[Profit]],22,0)),"")</f>
        <v/>
      </c>
      <c r="Y335" s="45" t="str">
        <f>IFERROR(VLOOKUP(B335,Baza[[№]:[Profit]],23,0),"")</f>
        <v/>
      </c>
      <c r="Z335" s="44" t="str">
        <f>IFERROR(VLOOKUP(B335,Baza[[№]:[AFS]],24,0),"")</f>
        <v/>
      </c>
      <c r="AA335" s="45" t="str">
        <f>IF(Таблица2[[#This Row],[Profit]]="","#Н/Д",SUM($Y$40:Y335))</f>
        <v>#Н/Д</v>
      </c>
      <c r="AB335" s="45" t="b">
        <f>IF(Таблица2[[#This Row],[Grafik]]="#Н/Д",FALSE,TRUE)</f>
        <v>0</v>
      </c>
    </row>
    <row r="336" spans="2:28" ht="11.1" hidden="1" customHeight="1" x14ac:dyDescent="0.25">
      <c r="B336"/>
      <c r="C336" s="41" t="str">
        <f>IFERROR(VLOOKUP(B336,Baza[[№]:[Profit]],2,0),"")</f>
        <v/>
      </c>
      <c r="D33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3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36" s="43" t="str">
        <f>IFERROR(VLOOKUP(B336,Baza[[№]:[Profit]],3,0),"")</f>
        <v/>
      </c>
      <c r="G336" s="43" t="str">
        <f>IFERROR(VLOOKUP(B336,Baza[[№]:[Profit]],4,0),"")</f>
        <v/>
      </c>
      <c r="H336" s="43" t="str">
        <f>IFERROR(VLOOKUP(B336,Baza[[№]:[Profit]],5,0),"")</f>
        <v/>
      </c>
      <c r="I336" s="46" t="str">
        <f>IFERROR(VLOOKUP(B336,Baza[[№]:[Profit]],6,0),"")</f>
        <v/>
      </c>
      <c r="J336" s="49" t="str">
        <f>IFERROR(VLOOKUP(B336,Baza[[№]:[Profit]],7,0),"")</f>
        <v/>
      </c>
      <c r="K336" s="43" t="str">
        <f>IFERROR(VLOOKUP(B336,Baza[[№]:[Profit]],8,0),"")</f>
        <v/>
      </c>
      <c r="L336" s="43" t="str">
        <f>IFERROR(VLOOKUP(B336,Baza[[№]:[Profit]],9,0),"")</f>
        <v/>
      </c>
      <c r="M336" s="43" t="str">
        <f>IFERROR(VLOOKUP(B336,Baza[[№]:[Profit]],10,0),"")</f>
        <v/>
      </c>
      <c r="N336" s="43" t="str">
        <f>IFERROR(IF(VLOOKUP(B336,Baza[[№]:[Profit]],11,0)=0,"-",VLOOKUP(B336,Baza[[№]:[Profit]],11,0)),"")</f>
        <v/>
      </c>
      <c r="O336" s="43" t="str">
        <f>IFERROR(IF(VLOOKUP(B336,Baza[[№]:[Profit]],12,0)=0,"-",VLOOKUP(B336,Baza[[№]:[Profit]],12,0)),"")</f>
        <v/>
      </c>
      <c r="P336" s="43" t="str">
        <f>IFERROR(IF(VLOOKUP(B336,Baza[[№]:[Profit]],13,0)=0,"-",VLOOKUP(B336,Baza[[№]:[Profit]],13,0)),"")</f>
        <v/>
      </c>
      <c r="Q336" s="43" t="str">
        <f>IFERROR(IF(VLOOKUP(B336,Baza[[№]:[Profit]],15,0)=0,"-",VLOOKUP(B336,Baza[[№]:[Profit]],15,0)),"")</f>
        <v/>
      </c>
      <c r="R336" s="43" t="str">
        <f>IFERROR(IF(VLOOKUP(B336,Baza[[№]:[Profit]],16,0)=0,"-",VLOOKUP(B336,Baza[[№]:[Profit]],16,0)),"")</f>
        <v/>
      </c>
      <c r="S336" s="43" t="str">
        <f>IFERROR(IF(VLOOKUP(B336,Baza[[№]:[Profit]],17,0)=0,"-",VLOOKUP(B336,Baza[[№]:[Profit]],17,0)),"")</f>
        <v/>
      </c>
      <c r="T336" s="43" t="str">
        <f>IFERROR(IF(VLOOKUP(B336,Baza[[№]:[Profit]],18,0)=0,"-",VLOOKUP(B336,Baza[[№]:[Profit]],18,0)),"")</f>
        <v/>
      </c>
      <c r="U336" s="41" t="str">
        <f>IFERROR(IF(VLOOKUP(B336,Baza[[№]:[Profit]],19,0)=0,"-",VLOOKUP(B336,Baza[[№]:[Profit]],19,0)),"")</f>
        <v/>
      </c>
      <c r="V336" s="41" t="str">
        <f>IFERROR(VLOOKUP(B336,Baza[[№]:[Profit]],20,0),"")</f>
        <v/>
      </c>
      <c r="W336" s="41" t="str">
        <f>IFERROR(IF(VLOOKUP(B336,Baza[[№]:[Profit]],21,0)=0,"-",VLOOKUP(B336,Baza[[№]:[Profit]],21,0)),"")</f>
        <v/>
      </c>
      <c r="X336" s="45" t="str">
        <f>IFERROR(IF(VLOOKUP(B336,Baza[[№]:[Profit]],22,0)=0,"-",VLOOKUP(B336,Baza[[№]:[Profit]],22,0)),"")</f>
        <v/>
      </c>
      <c r="Y336" s="45" t="str">
        <f>IFERROR(VLOOKUP(B336,Baza[[№]:[Profit]],23,0),"")</f>
        <v/>
      </c>
      <c r="Z336" s="44" t="str">
        <f>IFERROR(VLOOKUP(B336,Baza[[№]:[AFS]],24,0),"")</f>
        <v/>
      </c>
      <c r="AA336" s="45" t="str">
        <f>IF(Таблица2[[#This Row],[Profit]]="","#Н/Д",SUM($Y$40:Y336))</f>
        <v>#Н/Д</v>
      </c>
      <c r="AB336" s="45" t="b">
        <f>IF(Таблица2[[#This Row],[Grafik]]="#Н/Д",FALSE,TRUE)</f>
        <v>0</v>
      </c>
    </row>
    <row r="337" spans="2:28" ht="11.1" hidden="1" customHeight="1" x14ac:dyDescent="0.25">
      <c r="B337"/>
      <c r="C337" s="41" t="str">
        <f>IFERROR(VLOOKUP(B337,Baza[[№]:[Profit]],2,0),"")</f>
        <v/>
      </c>
      <c r="D33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3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37" s="43" t="str">
        <f>IFERROR(VLOOKUP(B337,Baza[[№]:[Profit]],3,0),"")</f>
        <v/>
      </c>
      <c r="G337" s="43" t="str">
        <f>IFERROR(VLOOKUP(B337,Baza[[№]:[Profit]],4,0),"")</f>
        <v/>
      </c>
      <c r="H337" s="43" t="str">
        <f>IFERROR(VLOOKUP(B337,Baza[[№]:[Profit]],5,0),"")</f>
        <v/>
      </c>
      <c r="I337" s="46" t="str">
        <f>IFERROR(VLOOKUP(B337,Baza[[№]:[Profit]],6,0),"")</f>
        <v/>
      </c>
      <c r="J337" s="49" t="str">
        <f>IFERROR(VLOOKUP(B337,Baza[[№]:[Profit]],7,0),"")</f>
        <v/>
      </c>
      <c r="K337" s="43" t="str">
        <f>IFERROR(VLOOKUP(B337,Baza[[№]:[Profit]],8,0),"")</f>
        <v/>
      </c>
      <c r="L337" s="43" t="str">
        <f>IFERROR(VLOOKUP(B337,Baza[[№]:[Profit]],9,0),"")</f>
        <v/>
      </c>
      <c r="M337" s="43" t="str">
        <f>IFERROR(VLOOKUP(B337,Baza[[№]:[Profit]],10,0),"")</f>
        <v/>
      </c>
      <c r="N337" s="43" t="str">
        <f>IFERROR(IF(VLOOKUP(B337,Baza[[№]:[Profit]],11,0)=0,"-",VLOOKUP(B337,Baza[[№]:[Profit]],11,0)),"")</f>
        <v/>
      </c>
      <c r="O337" s="43" t="str">
        <f>IFERROR(IF(VLOOKUP(B337,Baza[[№]:[Profit]],12,0)=0,"-",VLOOKUP(B337,Baza[[№]:[Profit]],12,0)),"")</f>
        <v/>
      </c>
      <c r="P337" s="43" t="str">
        <f>IFERROR(IF(VLOOKUP(B337,Baza[[№]:[Profit]],13,0)=0,"-",VLOOKUP(B337,Baza[[№]:[Profit]],13,0)),"")</f>
        <v/>
      </c>
      <c r="Q337" s="43" t="str">
        <f>IFERROR(IF(VLOOKUP(B337,Baza[[№]:[Profit]],15,0)=0,"-",VLOOKUP(B337,Baza[[№]:[Profit]],15,0)),"")</f>
        <v/>
      </c>
      <c r="R337" s="43" t="str">
        <f>IFERROR(IF(VLOOKUP(B337,Baza[[№]:[Profit]],16,0)=0,"-",VLOOKUP(B337,Baza[[№]:[Profit]],16,0)),"")</f>
        <v/>
      </c>
      <c r="S337" s="43" t="str">
        <f>IFERROR(IF(VLOOKUP(B337,Baza[[№]:[Profit]],17,0)=0,"-",VLOOKUP(B337,Baza[[№]:[Profit]],17,0)),"")</f>
        <v/>
      </c>
      <c r="T337" s="43" t="str">
        <f>IFERROR(IF(VLOOKUP(B337,Baza[[№]:[Profit]],18,0)=0,"-",VLOOKUP(B337,Baza[[№]:[Profit]],18,0)),"")</f>
        <v/>
      </c>
      <c r="U337" s="41" t="str">
        <f>IFERROR(IF(VLOOKUP(B337,Baza[[№]:[Profit]],19,0)=0,"-",VLOOKUP(B337,Baza[[№]:[Profit]],19,0)),"")</f>
        <v/>
      </c>
      <c r="V337" s="41" t="str">
        <f>IFERROR(VLOOKUP(B337,Baza[[№]:[Profit]],20,0),"")</f>
        <v/>
      </c>
      <c r="W337" s="41" t="str">
        <f>IFERROR(IF(VLOOKUP(B337,Baza[[№]:[Profit]],21,0)=0,"-",VLOOKUP(B337,Baza[[№]:[Profit]],21,0)),"")</f>
        <v/>
      </c>
      <c r="X337" s="45" t="str">
        <f>IFERROR(IF(VLOOKUP(B337,Baza[[№]:[Profit]],22,0)=0,"-",VLOOKUP(B337,Baza[[№]:[Profit]],22,0)),"")</f>
        <v/>
      </c>
      <c r="Y337" s="45" t="str">
        <f>IFERROR(VLOOKUP(B337,Baza[[№]:[Profit]],23,0),"")</f>
        <v/>
      </c>
      <c r="Z337" s="44" t="str">
        <f>IFERROR(VLOOKUP(B337,Baza[[№]:[AFS]],24,0),"")</f>
        <v/>
      </c>
      <c r="AA337" s="45" t="str">
        <f>IF(Таблица2[[#This Row],[Profit]]="","#Н/Д",SUM($Y$40:Y337))</f>
        <v>#Н/Д</v>
      </c>
      <c r="AB337" s="45" t="b">
        <f>IF(Таблица2[[#This Row],[Grafik]]="#Н/Д",FALSE,TRUE)</f>
        <v>0</v>
      </c>
    </row>
    <row r="338" spans="2:28" ht="11.1" hidden="1" customHeight="1" x14ac:dyDescent="0.25">
      <c r="B338"/>
      <c r="C338" s="41" t="str">
        <f>IFERROR(VLOOKUP(B338,Baza[[№]:[Profit]],2,0),"")</f>
        <v/>
      </c>
      <c r="D33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3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38" s="43" t="str">
        <f>IFERROR(VLOOKUP(B338,Baza[[№]:[Profit]],3,0),"")</f>
        <v/>
      </c>
      <c r="G338" s="43" t="str">
        <f>IFERROR(VLOOKUP(B338,Baza[[№]:[Profit]],4,0),"")</f>
        <v/>
      </c>
      <c r="H338" s="43" t="str">
        <f>IFERROR(VLOOKUP(B338,Baza[[№]:[Profit]],5,0),"")</f>
        <v/>
      </c>
      <c r="I338" s="46" t="str">
        <f>IFERROR(VLOOKUP(B338,Baza[[№]:[Profit]],6,0),"")</f>
        <v/>
      </c>
      <c r="J338" s="49" t="str">
        <f>IFERROR(VLOOKUP(B338,Baza[[№]:[Profit]],7,0),"")</f>
        <v/>
      </c>
      <c r="K338" s="43" t="str">
        <f>IFERROR(VLOOKUP(B338,Baza[[№]:[Profit]],8,0),"")</f>
        <v/>
      </c>
      <c r="L338" s="43" t="str">
        <f>IFERROR(VLOOKUP(B338,Baza[[№]:[Profit]],9,0),"")</f>
        <v/>
      </c>
      <c r="M338" s="43" t="str">
        <f>IFERROR(VLOOKUP(B338,Baza[[№]:[Profit]],10,0),"")</f>
        <v/>
      </c>
      <c r="N338" s="43" t="str">
        <f>IFERROR(IF(VLOOKUP(B338,Baza[[№]:[Profit]],11,0)=0,"-",VLOOKUP(B338,Baza[[№]:[Profit]],11,0)),"")</f>
        <v/>
      </c>
      <c r="O338" s="43" t="str">
        <f>IFERROR(IF(VLOOKUP(B338,Baza[[№]:[Profit]],12,0)=0,"-",VLOOKUP(B338,Baza[[№]:[Profit]],12,0)),"")</f>
        <v/>
      </c>
      <c r="P338" s="43" t="str">
        <f>IFERROR(IF(VLOOKUP(B338,Baza[[№]:[Profit]],13,0)=0,"-",VLOOKUP(B338,Baza[[№]:[Profit]],13,0)),"")</f>
        <v/>
      </c>
      <c r="Q338" s="43" t="str">
        <f>IFERROR(IF(VLOOKUP(B338,Baza[[№]:[Profit]],15,0)=0,"-",VLOOKUP(B338,Baza[[№]:[Profit]],15,0)),"")</f>
        <v/>
      </c>
      <c r="R338" s="43" t="str">
        <f>IFERROR(IF(VLOOKUP(B338,Baza[[№]:[Profit]],16,0)=0,"-",VLOOKUP(B338,Baza[[№]:[Profit]],16,0)),"")</f>
        <v/>
      </c>
      <c r="S338" s="43" t="str">
        <f>IFERROR(IF(VLOOKUP(B338,Baza[[№]:[Profit]],17,0)=0,"-",VLOOKUP(B338,Baza[[№]:[Profit]],17,0)),"")</f>
        <v/>
      </c>
      <c r="T338" s="43" t="str">
        <f>IFERROR(IF(VLOOKUP(B338,Baza[[№]:[Profit]],18,0)=0,"-",VLOOKUP(B338,Baza[[№]:[Profit]],18,0)),"")</f>
        <v/>
      </c>
      <c r="U338" s="41" t="str">
        <f>IFERROR(IF(VLOOKUP(B338,Baza[[№]:[Profit]],19,0)=0,"-",VLOOKUP(B338,Baza[[№]:[Profit]],19,0)),"")</f>
        <v/>
      </c>
      <c r="V338" s="41" t="str">
        <f>IFERROR(VLOOKUP(B338,Baza[[№]:[Profit]],20,0),"")</f>
        <v/>
      </c>
      <c r="W338" s="41" t="str">
        <f>IFERROR(IF(VLOOKUP(B338,Baza[[№]:[Profit]],21,0)=0,"-",VLOOKUP(B338,Baza[[№]:[Profit]],21,0)),"")</f>
        <v/>
      </c>
      <c r="X338" s="45" t="str">
        <f>IFERROR(IF(VLOOKUP(B338,Baza[[№]:[Profit]],22,0)=0,"-",VLOOKUP(B338,Baza[[№]:[Profit]],22,0)),"")</f>
        <v/>
      </c>
      <c r="Y338" s="45" t="str">
        <f>IFERROR(VLOOKUP(B338,Baza[[№]:[Profit]],23,0),"")</f>
        <v/>
      </c>
      <c r="Z338" s="44" t="str">
        <f>IFERROR(VLOOKUP(B338,Baza[[№]:[AFS]],24,0),"")</f>
        <v/>
      </c>
      <c r="AA338" s="45" t="str">
        <f>IF(Таблица2[[#This Row],[Profit]]="","#Н/Д",SUM($Y$40:Y338))</f>
        <v>#Н/Д</v>
      </c>
      <c r="AB338" s="45" t="b">
        <f>IF(Таблица2[[#This Row],[Grafik]]="#Н/Д",FALSE,TRUE)</f>
        <v>0</v>
      </c>
    </row>
    <row r="339" spans="2:28" ht="11.1" hidden="1" customHeight="1" x14ac:dyDescent="0.25">
      <c r="B339"/>
      <c r="C339" s="41" t="str">
        <f>IFERROR(VLOOKUP(B339,Baza[[№]:[Profit]],2,0),"")</f>
        <v/>
      </c>
      <c r="D33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3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39" s="43" t="str">
        <f>IFERROR(VLOOKUP(B339,Baza[[№]:[Profit]],3,0),"")</f>
        <v/>
      </c>
      <c r="G339" s="43" t="str">
        <f>IFERROR(VLOOKUP(B339,Baza[[№]:[Profit]],4,0),"")</f>
        <v/>
      </c>
      <c r="H339" s="43" t="str">
        <f>IFERROR(VLOOKUP(B339,Baza[[№]:[Profit]],5,0),"")</f>
        <v/>
      </c>
      <c r="I339" s="46" t="str">
        <f>IFERROR(VLOOKUP(B339,Baza[[№]:[Profit]],6,0),"")</f>
        <v/>
      </c>
      <c r="J339" s="49" t="str">
        <f>IFERROR(VLOOKUP(B339,Baza[[№]:[Profit]],7,0),"")</f>
        <v/>
      </c>
      <c r="K339" s="43" t="str">
        <f>IFERROR(VLOOKUP(B339,Baza[[№]:[Profit]],8,0),"")</f>
        <v/>
      </c>
      <c r="L339" s="43" t="str">
        <f>IFERROR(VLOOKUP(B339,Baza[[№]:[Profit]],9,0),"")</f>
        <v/>
      </c>
      <c r="M339" s="43" t="str">
        <f>IFERROR(VLOOKUP(B339,Baza[[№]:[Profit]],10,0),"")</f>
        <v/>
      </c>
      <c r="N339" s="43" t="str">
        <f>IFERROR(IF(VLOOKUP(B339,Baza[[№]:[Profit]],11,0)=0,"-",VLOOKUP(B339,Baza[[№]:[Profit]],11,0)),"")</f>
        <v/>
      </c>
      <c r="O339" s="43" t="str">
        <f>IFERROR(IF(VLOOKUP(B339,Baza[[№]:[Profit]],12,0)=0,"-",VLOOKUP(B339,Baza[[№]:[Profit]],12,0)),"")</f>
        <v/>
      </c>
      <c r="P339" s="43" t="str">
        <f>IFERROR(IF(VLOOKUP(B339,Baza[[№]:[Profit]],13,0)=0,"-",VLOOKUP(B339,Baza[[№]:[Profit]],13,0)),"")</f>
        <v/>
      </c>
      <c r="Q339" s="43" t="str">
        <f>IFERROR(IF(VLOOKUP(B339,Baza[[№]:[Profit]],15,0)=0,"-",VLOOKUP(B339,Baza[[№]:[Profit]],15,0)),"")</f>
        <v/>
      </c>
      <c r="R339" s="43" t="str">
        <f>IFERROR(IF(VLOOKUP(B339,Baza[[№]:[Profit]],16,0)=0,"-",VLOOKUP(B339,Baza[[№]:[Profit]],16,0)),"")</f>
        <v/>
      </c>
      <c r="S339" s="43" t="str">
        <f>IFERROR(IF(VLOOKUP(B339,Baza[[№]:[Profit]],17,0)=0,"-",VLOOKUP(B339,Baza[[№]:[Profit]],17,0)),"")</f>
        <v/>
      </c>
      <c r="T339" s="43" t="str">
        <f>IFERROR(IF(VLOOKUP(B339,Baza[[№]:[Profit]],18,0)=0,"-",VLOOKUP(B339,Baza[[№]:[Profit]],18,0)),"")</f>
        <v/>
      </c>
      <c r="U339" s="41" t="str">
        <f>IFERROR(IF(VLOOKUP(B339,Baza[[№]:[Profit]],19,0)=0,"-",VLOOKUP(B339,Baza[[№]:[Profit]],19,0)),"")</f>
        <v/>
      </c>
      <c r="V339" s="41" t="str">
        <f>IFERROR(VLOOKUP(B339,Baza[[№]:[Profit]],20,0),"")</f>
        <v/>
      </c>
      <c r="W339" s="41" t="str">
        <f>IFERROR(IF(VLOOKUP(B339,Baza[[№]:[Profit]],21,0)=0,"-",VLOOKUP(B339,Baza[[№]:[Profit]],21,0)),"")</f>
        <v/>
      </c>
      <c r="X339" s="45" t="str">
        <f>IFERROR(IF(VLOOKUP(B339,Baza[[№]:[Profit]],22,0)=0,"-",VLOOKUP(B339,Baza[[№]:[Profit]],22,0)),"")</f>
        <v/>
      </c>
      <c r="Y339" s="45" t="str">
        <f>IFERROR(VLOOKUP(B339,Baza[[№]:[Profit]],23,0),"")</f>
        <v/>
      </c>
      <c r="Z339" s="44" t="str">
        <f>IFERROR(VLOOKUP(B339,Baza[[№]:[AFS]],24,0),"")</f>
        <v/>
      </c>
      <c r="AA339" s="45" t="str">
        <f>IF(Таблица2[[#This Row],[Profit]]="","#Н/Д",SUM($Y$40:Y339))</f>
        <v>#Н/Д</v>
      </c>
      <c r="AB339" s="45" t="b">
        <f>IF(Таблица2[[#This Row],[Grafik]]="#Н/Д",FALSE,TRUE)</f>
        <v>0</v>
      </c>
    </row>
    <row r="340" spans="2:28" ht="11.1" hidden="1" customHeight="1" x14ac:dyDescent="0.25">
      <c r="B340"/>
      <c r="C340" s="41" t="str">
        <f>IFERROR(VLOOKUP(B340,Baza[[№]:[Profit]],2,0),"")</f>
        <v/>
      </c>
      <c r="D34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4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40" s="43" t="str">
        <f>IFERROR(VLOOKUP(B340,Baza[[№]:[Profit]],3,0),"")</f>
        <v/>
      </c>
      <c r="G340" s="43" t="str">
        <f>IFERROR(VLOOKUP(B340,Baza[[№]:[Profit]],4,0),"")</f>
        <v/>
      </c>
      <c r="H340" s="43" t="str">
        <f>IFERROR(VLOOKUP(B340,Baza[[№]:[Profit]],5,0),"")</f>
        <v/>
      </c>
      <c r="I340" s="46" t="str">
        <f>IFERROR(VLOOKUP(B340,Baza[[№]:[Profit]],6,0),"")</f>
        <v/>
      </c>
      <c r="J340" s="49" t="str">
        <f>IFERROR(VLOOKUP(B340,Baza[[№]:[Profit]],7,0),"")</f>
        <v/>
      </c>
      <c r="K340" s="43" t="str">
        <f>IFERROR(VLOOKUP(B340,Baza[[№]:[Profit]],8,0),"")</f>
        <v/>
      </c>
      <c r="L340" s="43" t="str">
        <f>IFERROR(VLOOKUP(B340,Baza[[№]:[Profit]],9,0),"")</f>
        <v/>
      </c>
      <c r="M340" s="43" t="str">
        <f>IFERROR(VLOOKUP(B340,Baza[[№]:[Profit]],10,0),"")</f>
        <v/>
      </c>
      <c r="N340" s="43" t="str">
        <f>IFERROR(IF(VLOOKUP(B340,Baza[[№]:[Profit]],11,0)=0,"-",VLOOKUP(B340,Baza[[№]:[Profit]],11,0)),"")</f>
        <v/>
      </c>
      <c r="O340" s="43" t="str">
        <f>IFERROR(IF(VLOOKUP(B340,Baza[[№]:[Profit]],12,0)=0,"-",VLOOKUP(B340,Baza[[№]:[Profit]],12,0)),"")</f>
        <v/>
      </c>
      <c r="P340" s="43" t="str">
        <f>IFERROR(IF(VLOOKUP(B340,Baza[[№]:[Profit]],13,0)=0,"-",VLOOKUP(B340,Baza[[№]:[Profit]],13,0)),"")</f>
        <v/>
      </c>
      <c r="Q340" s="43" t="str">
        <f>IFERROR(IF(VLOOKUP(B340,Baza[[№]:[Profit]],15,0)=0,"-",VLOOKUP(B340,Baza[[№]:[Profit]],15,0)),"")</f>
        <v/>
      </c>
      <c r="R340" s="43" t="str">
        <f>IFERROR(IF(VLOOKUP(B340,Baza[[№]:[Profit]],16,0)=0,"-",VLOOKUP(B340,Baza[[№]:[Profit]],16,0)),"")</f>
        <v/>
      </c>
      <c r="S340" s="43" t="str">
        <f>IFERROR(IF(VLOOKUP(B340,Baza[[№]:[Profit]],17,0)=0,"-",VLOOKUP(B340,Baza[[№]:[Profit]],17,0)),"")</f>
        <v/>
      </c>
      <c r="T340" s="43" t="str">
        <f>IFERROR(IF(VLOOKUP(B340,Baza[[№]:[Profit]],18,0)=0,"-",VLOOKUP(B340,Baza[[№]:[Profit]],18,0)),"")</f>
        <v/>
      </c>
      <c r="U340" s="41" t="str">
        <f>IFERROR(IF(VLOOKUP(B340,Baza[[№]:[Profit]],19,0)=0,"-",VLOOKUP(B340,Baza[[№]:[Profit]],19,0)),"")</f>
        <v/>
      </c>
      <c r="V340" s="41" t="str">
        <f>IFERROR(VLOOKUP(B340,Baza[[№]:[Profit]],20,0),"")</f>
        <v/>
      </c>
      <c r="W340" s="41" t="str">
        <f>IFERROR(IF(VLOOKUP(B340,Baza[[№]:[Profit]],21,0)=0,"-",VLOOKUP(B340,Baza[[№]:[Profit]],21,0)),"")</f>
        <v/>
      </c>
      <c r="X340" s="45" t="str">
        <f>IFERROR(IF(VLOOKUP(B340,Baza[[№]:[Profit]],22,0)=0,"-",VLOOKUP(B340,Baza[[№]:[Profit]],22,0)),"")</f>
        <v/>
      </c>
      <c r="Y340" s="45" t="str">
        <f>IFERROR(VLOOKUP(B340,Baza[[№]:[Profit]],23,0),"")</f>
        <v/>
      </c>
      <c r="Z340" s="44" t="str">
        <f>IFERROR(VLOOKUP(B340,Baza[[№]:[AFS]],24,0),"")</f>
        <v/>
      </c>
      <c r="AA340" s="45" t="str">
        <f>IF(Таблица2[[#This Row],[Profit]]="","#Н/Д",SUM($Y$40:Y340))</f>
        <v>#Н/Д</v>
      </c>
      <c r="AB340" s="45" t="b">
        <f>IF(Таблица2[[#This Row],[Grafik]]="#Н/Д",FALSE,TRUE)</f>
        <v>0</v>
      </c>
    </row>
    <row r="341" spans="2:28" ht="11.1" hidden="1" customHeight="1" x14ac:dyDescent="0.25">
      <c r="B341"/>
      <c r="C341" s="41" t="str">
        <f>IFERROR(VLOOKUP(B341,Baza[[№]:[Profit]],2,0),"")</f>
        <v/>
      </c>
      <c r="D34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4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41" s="43" t="str">
        <f>IFERROR(VLOOKUP(B341,Baza[[№]:[Profit]],3,0),"")</f>
        <v/>
      </c>
      <c r="G341" s="43" t="str">
        <f>IFERROR(VLOOKUP(B341,Baza[[№]:[Profit]],4,0),"")</f>
        <v/>
      </c>
      <c r="H341" s="43" t="str">
        <f>IFERROR(VLOOKUP(B341,Baza[[№]:[Profit]],5,0),"")</f>
        <v/>
      </c>
      <c r="I341" s="46" t="str">
        <f>IFERROR(VLOOKUP(B341,Baza[[№]:[Profit]],6,0),"")</f>
        <v/>
      </c>
      <c r="J341" s="49" t="str">
        <f>IFERROR(VLOOKUP(B341,Baza[[№]:[Profit]],7,0),"")</f>
        <v/>
      </c>
      <c r="K341" s="43" t="str">
        <f>IFERROR(VLOOKUP(B341,Baza[[№]:[Profit]],8,0),"")</f>
        <v/>
      </c>
      <c r="L341" s="43" t="str">
        <f>IFERROR(VLOOKUP(B341,Baza[[№]:[Profit]],9,0),"")</f>
        <v/>
      </c>
      <c r="M341" s="43" t="str">
        <f>IFERROR(VLOOKUP(B341,Baza[[№]:[Profit]],10,0),"")</f>
        <v/>
      </c>
      <c r="N341" s="43" t="str">
        <f>IFERROR(IF(VLOOKUP(B341,Baza[[№]:[Profit]],11,0)=0,"-",VLOOKUP(B341,Baza[[№]:[Profit]],11,0)),"")</f>
        <v/>
      </c>
      <c r="O341" s="43" t="str">
        <f>IFERROR(IF(VLOOKUP(B341,Baza[[№]:[Profit]],12,0)=0,"-",VLOOKUP(B341,Baza[[№]:[Profit]],12,0)),"")</f>
        <v/>
      </c>
      <c r="P341" s="43" t="str">
        <f>IFERROR(IF(VLOOKUP(B341,Baza[[№]:[Profit]],13,0)=0,"-",VLOOKUP(B341,Baza[[№]:[Profit]],13,0)),"")</f>
        <v/>
      </c>
      <c r="Q341" s="43" t="str">
        <f>IFERROR(IF(VLOOKUP(B341,Baza[[№]:[Profit]],15,0)=0,"-",VLOOKUP(B341,Baza[[№]:[Profit]],15,0)),"")</f>
        <v/>
      </c>
      <c r="R341" s="43" t="str">
        <f>IFERROR(IF(VLOOKUP(B341,Baza[[№]:[Profit]],16,0)=0,"-",VLOOKUP(B341,Baza[[№]:[Profit]],16,0)),"")</f>
        <v/>
      </c>
      <c r="S341" s="43" t="str">
        <f>IFERROR(IF(VLOOKUP(B341,Baza[[№]:[Profit]],17,0)=0,"-",VLOOKUP(B341,Baza[[№]:[Profit]],17,0)),"")</f>
        <v/>
      </c>
      <c r="T341" s="43" t="str">
        <f>IFERROR(IF(VLOOKUP(B341,Baza[[№]:[Profit]],18,0)=0,"-",VLOOKUP(B341,Baza[[№]:[Profit]],18,0)),"")</f>
        <v/>
      </c>
      <c r="U341" s="41" t="str">
        <f>IFERROR(IF(VLOOKUP(B341,Baza[[№]:[Profit]],19,0)=0,"-",VLOOKUP(B341,Baza[[№]:[Profit]],19,0)),"")</f>
        <v/>
      </c>
      <c r="V341" s="41" t="str">
        <f>IFERROR(VLOOKUP(B341,Baza[[№]:[Profit]],20,0),"")</f>
        <v/>
      </c>
      <c r="W341" s="41" t="str">
        <f>IFERROR(IF(VLOOKUP(B341,Baza[[№]:[Profit]],21,0)=0,"-",VLOOKUP(B341,Baza[[№]:[Profit]],21,0)),"")</f>
        <v/>
      </c>
      <c r="X341" s="45" t="str">
        <f>IFERROR(IF(VLOOKUP(B341,Baza[[№]:[Profit]],22,0)=0,"-",VLOOKUP(B341,Baza[[№]:[Profit]],22,0)),"")</f>
        <v/>
      </c>
      <c r="Y341" s="45" t="str">
        <f>IFERROR(VLOOKUP(B341,Baza[[№]:[Profit]],23,0),"")</f>
        <v/>
      </c>
      <c r="Z341" s="44" t="str">
        <f>IFERROR(VLOOKUP(B341,Baza[[№]:[AFS]],24,0),"")</f>
        <v/>
      </c>
      <c r="AA341" s="45" t="str">
        <f>IF(Таблица2[[#This Row],[Profit]]="","#Н/Д",SUM($Y$40:Y341))</f>
        <v>#Н/Д</v>
      </c>
      <c r="AB341" s="45" t="b">
        <f>IF(Таблица2[[#This Row],[Grafik]]="#Н/Д",FALSE,TRUE)</f>
        <v>0</v>
      </c>
    </row>
    <row r="342" spans="2:28" ht="11.1" hidden="1" customHeight="1" x14ac:dyDescent="0.25">
      <c r="B342"/>
      <c r="C342" s="41" t="str">
        <f>IFERROR(VLOOKUP(B342,Baza[[№]:[Profit]],2,0),"")</f>
        <v/>
      </c>
      <c r="D34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4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42" s="43" t="str">
        <f>IFERROR(VLOOKUP(B342,Baza[[№]:[Profit]],3,0),"")</f>
        <v/>
      </c>
      <c r="G342" s="43" t="str">
        <f>IFERROR(VLOOKUP(B342,Baza[[№]:[Profit]],4,0),"")</f>
        <v/>
      </c>
      <c r="H342" s="43" t="str">
        <f>IFERROR(VLOOKUP(B342,Baza[[№]:[Profit]],5,0),"")</f>
        <v/>
      </c>
      <c r="I342" s="46" t="str">
        <f>IFERROR(VLOOKUP(B342,Baza[[№]:[Profit]],6,0),"")</f>
        <v/>
      </c>
      <c r="J342" s="49" t="str">
        <f>IFERROR(VLOOKUP(B342,Baza[[№]:[Profit]],7,0),"")</f>
        <v/>
      </c>
      <c r="K342" s="43" t="str">
        <f>IFERROR(VLOOKUP(B342,Baza[[№]:[Profit]],8,0),"")</f>
        <v/>
      </c>
      <c r="L342" s="43" t="str">
        <f>IFERROR(VLOOKUP(B342,Baza[[№]:[Profit]],9,0),"")</f>
        <v/>
      </c>
      <c r="M342" s="43" t="str">
        <f>IFERROR(VLOOKUP(B342,Baza[[№]:[Profit]],10,0),"")</f>
        <v/>
      </c>
      <c r="N342" s="43" t="str">
        <f>IFERROR(IF(VLOOKUP(B342,Baza[[№]:[Profit]],11,0)=0,"-",VLOOKUP(B342,Baza[[№]:[Profit]],11,0)),"")</f>
        <v/>
      </c>
      <c r="O342" s="43" t="str">
        <f>IFERROR(IF(VLOOKUP(B342,Baza[[№]:[Profit]],12,0)=0,"-",VLOOKUP(B342,Baza[[№]:[Profit]],12,0)),"")</f>
        <v/>
      </c>
      <c r="P342" s="43" t="str">
        <f>IFERROR(IF(VLOOKUP(B342,Baza[[№]:[Profit]],13,0)=0,"-",VLOOKUP(B342,Baza[[№]:[Profit]],13,0)),"")</f>
        <v/>
      </c>
      <c r="Q342" s="43" t="str">
        <f>IFERROR(IF(VLOOKUP(B342,Baza[[№]:[Profit]],15,0)=0,"-",VLOOKUP(B342,Baza[[№]:[Profit]],15,0)),"")</f>
        <v/>
      </c>
      <c r="R342" s="43" t="str">
        <f>IFERROR(IF(VLOOKUP(B342,Baza[[№]:[Profit]],16,0)=0,"-",VLOOKUP(B342,Baza[[№]:[Profit]],16,0)),"")</f>
        <v/>
      </c>
      <c r="S342" s="43" t="str">
        <f>IFERROR(IF(VLOOKUP(B342,Baza[[№]:[Profit]],17,0)=0,"-",VLOOKUP(B342,Baza[[№]:[Profit]],17,0)),"")</f>
        <v/>
      </c>
      <c r="T342" s="43" t="str">
        <f>IFERROR(IF(VLOOKUP(B342,Baza[[№]:[Profit]],18,0)=0,"-",VLOOKUP(B342,Baza[[№]:[Profit]],18,0)),"")</f>
        <v/>
      </c>
      <c r="U342" s="41" t="str">
        <f>IFERROR(IF(VLOOKUP(B342,Baza[[№]:[Profit]],19,0)=0,"-",VLOOKUP(B342,Baza[[№]:[Profit]],19,0)),"")</f>
        <v/>
      </c>
      <c r="V342" s="41" t="str">
        <f>IFERROR(VLOOKUP(B342,Baza[[№]:[Profit]],20,0),"")</f>
        <v/>
      </c>
      <c r="W342" s="41" t="str">
        <f>IFERROR(IF(VLOOKUP(B342,Baza[[№]:[Profit]],21,0)=0,"-",VLOOKUP(B342,Baza[[№]:[Profit]],21,0)),"")</f>
        <v/>
      </c>
      <c r="X342" s="45" t="str">
        <f>IFERROR(IF(VLOOKUP(B342,Baza[[№]:[Profit]],22,0)=0,"-",VLOOKUP(B342,Baza[[№]:[Profit]],22,0)),"")</f>
        <v/>
      </c>
      <c r="Y342" s="45" t="str">
        <f>IFERROR(VLOOKUP(B342,Baza[[№]:[Profit]],23,0),"")</f>
        <v/>
      </c>
      <c r="Z342" s="44" t="str">
        <f>IFERROR(VLOOKUP(B342,Baza[[№]:[AFS]],24,0),"")</f>
        <v/>
      </c>
      <c r="AA342" s="45" t="str">
        <f>IF(Таблица2[[#This Row],[Profit]]="","#Н/Д",SUM($Y$40:Y342))</f>
        <v>#Н/Д</v>
      </c>
      <c r="AB342" s="45" t="b">
        <f>IF(Таблица2[[#This Row],[Grafik]]="#Н/Д",FALSE,TRUE)</f>
        <v>0</v>
      </c>
    </row>
    <row r="343" spans="2:28" ht="11.1" hidden="1" customHeight="1" x14ac:dyDescent="0.25">
      <c r="B343"/>
      <c r="C343" s="41" t="str">
        <f>IFERROR(VLOOKUP(B343,Baza[[№]:[Profit]],2,0),"")</f>
        <v/>
      </c>
      <c r="D34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4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43" s="43" t="str">
        <f>IFERROR(VLOOKUP(B343,Baza[[№]:[Profit]],3,0),"")</f>
        <v/>
      </c>
      <c r="G343" s="43" t="str">
        <f>IFERROR(VLOOKUP(B343,Baza[[№]:[Profit]],4,0),"")</f>
        <v/>
      </c>
      <c r="H343" s="43" t="str">
        <f>IFERROR(VLOOKUP(B343,Baza[[№]:[Profit]],5,0),"")</f>
        <v/>
      </c>
      <c r="I343" s="46" t="str">
        <f>IFERROR(VLOOKUP(B343,Baza[[№]:[Profit]],6,0),"")</f>
        <v/>
      </c>
      <c r="J343" s="49" t="str">
        <f>IFERROR(VLOOKUP(B343,Baza[[№]:[Profit]],7,0),"")</f>
        <v/>
      </c>
      <c r="K343" s="43" t="str">
        <f>IFERROR(VLOOKUP(B343,Baza[[№]:[Profit]],8,0),"")</f>
        <v/>
      </c>
      <c r="L343" s="43" t="str">
        <f>IFERROR(VLOOKUP(B343,Baza[[№]:[Profit]],9,0),"")</f>
        <v/>
      </c>
      <c r="M343" s="43" t="str">
        <f>IFERROR(VLOOKUP(B343,Baza[[№]:[Profit]],10,0),"")</f>
        <v/>
      </c>
      <c r="N343" s="43" t="str">
        <f>IFERROR(IF(VLOOKUP(B343,Baza[[№]:[Profit]],11,0)=0,"-",VLOOKUP(B343,Baza[[№]:[Profit]],11,0)),"")</f>
        <v/>
      </c>
      <c r="O343" s="43" t="str">
        <f>IFERROR(IF(VLOOKUP(B343,Baza[[№]:[Profit]],12,0)=0,"-",VLOOKUP(B343,Baza[[№]:[Profit]],12,0)),"")</f>
        <v/>
      </c>
      <c r="P343" s="43" t="str">
        <f>IFERROR(IF(VLOOKUP(B343,Baza[[№]:[Profit]],13,0)=0,"-",VLOOKUP(B343,Baza[[№]:[Profit]],13,0)),"")</f>
        <v/>
      </c>
      <c r="Q343" s="43" t="str">
        <f>IFERROR(IF(VLOOKUP(B343,Baza[[№]:[Profit]],15,0)=0,"-",VLOOKUP(B343,Baza[[№]:[Profit]],15,0)),"")</f>
        <v/>
      </c>
      <c r="R343" s="43" t="str">
        <f>IFERROR(IF(VLOOKUP(B343,Baza[[№]:[Profit]],16,0)=0,"-",VLOOKUP(B343,Baza[[№]:[Profit]],16,0)),"")</f>
        <v/>
      </c>
      <c r="S343" s="43" t="str">
        <f>IFERROR(IF(VLOOKUP(B343,Baza[[№]:[Profit]],17,0)=0,"-",VLOOKUP(B343,Baza[[№]:[Profit]],17,0)),"")</f>
        <v/>
      </c>
      <c r="T343" s="43" t="str">
        <f>IFERROR(IF(VLOOKUP(B343,Baza[[№]:[Profit]],18,0)=0,"-",VLOOKUP(B343,Baza[[№]:[Profit]],18,0)),"")</f>
        <v/>
      </c>
      <c r="U343" s="41" t="str">
        <f>IFERROR(IF(VLOOKUP(B343,Baza[[№]:[Profit]],19,0)=0,"-",VLOOKUP(B343,Baza[[№]:[Profit]],19,0)),"")</f>
        <v/>
      </c>
      <c r="V343" s="41" t="str">
        <f>IFERROR(VLOOKUP(B343,Baza[[№]:[Profit]],20,0),"")</f>
        <v/>
      </c>
      <c r="W343" s="41" t="str">
        <f>IFERROR(IF(VLOOKUP(B343,Baza[[№]:[Profit]],21,0)=0,"-",VLOOKUP(B343,Baza[[№]:[Profit]],21,0)),"")</f>
        <v/>
      </c>
      <c r="X343" s="45" t="str">
        <f>IFERROR(IF(VLOOKUP(B343,Baza[[№]:[Profit]],22,0)=0,"-",VLOOKUP(B343,Baza[[№]:[Profit]],22,0)),"")</f>
        <v/>
      </c>
      <c r="Y343" s="45" t="str">
        <f>IFERROR(VLOOKUP(B343,Baza[[№]:[Profit]],23,0),"")</f>
        <v/>
      </c>
      <c r="Z343" s="44" t="str">
        <f>IFERROR(VLOOKUP(B343,Baza[[№]:[AFS]],24,0),"")</f>
        <v/>
      </c>
      <c r="AA343" s="45" t="str">
        <f>IF(Таблица2[[#This Row],[Profit]]="","#Н/Д",SUM($Y$40:Y343))</f>
        <v>#Н/Д</v>
      </c>
      <c r="AB343" s="45" t="b">
        <f>IF(Таблица2[[#This Row],[Grafik]]="#Н/Д",FALSE,TRUE)</f>
        <v>0</v>
      </c>
    </row>
    <row r="344" spans="2:28" ht="11.1" hidden="1" customHeight="1" x14ac:dyDescent="0.25">
      <c r="B344"/>
      <c r="C344" s="41" t="str">
        <f>IFERROR(VLOOKUP(B344,Baza[[№]:[Profit]],2,0),"")</f>
        <v/>
      </c>
      <c r="D34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4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44" s="43" t="str">
        <f>IFERROR(VLOOKUP(B344,Baza[[№]:[Profit]],3,0),"")</f>
        <v/>
      </c>
      <c r="G344" s="43" t="str">
        <f>IFERROR(VLOOKUP(B344,Baza[[№]:[Profit]],4,0),"")</f>
        <v/>
      </c>
      <c r="H344" s="43" t="str">
        <f>IFERROR(VLOOKUP(B344,Baza[[№]:[Profit]],5,0),"")</f>
        <v/>
      </c>
      <c r="I344" s="46" t="str">
        <f>IFERROR(VLOOKUP(B344,Baza[[№]:[Profit]],6,0),"")</f>
        <v/>
      </c>
      <c r="J344" s="49" t="str">
        <f>IFERROR(VLOOKUP(B344,Baza[[№]:[Profit]],7,0),"")</f>
        <v/>
      </c>
      <c r="K344" s="43" t="str">
        <f>IFERROR(VLOOKUP(B344,Baza[[№]:[Profit]],8,0),"")</f>
        <v/>
      </c>
      <c r="L344" s="43" t="str">
        <f>IFERROR(VLOOKUP(B344,Baza[[№]:[Profit]],9,0),"")</f>
        <v/>
      </c>
      <c r="M344" s="43" t="str">
        <f>IFERROR(VLOOKUP(B344,Baza[[№]:[Profit]],10,0),"")</f>
        <v/>
      </c>
      <c r="N344" s="43" t="str">
        <f>IFERROR(IF(VLOOKUP(B344,Baza[[№]:[Profit]],11,0)=0,"-",VLOOKUP(B344,Baza[[№]:[Profit]],11,0)),"")</f>
        <v/>
      </c>
      <c r="O344" s="43" t="str">
        <f>IFERROR(IF(VLOOKUP(B344,Baza[[№]:[Profit]],12,0)=0,"-",VLOOKUP(B344,Baza[[№]:[Profit]],12,0)),"")</f>
        <v/>
      </c>
      <c r="P344" s="43" t="str">
        <f>IFERROR(IF(VLOOKUP(B344,Baza[[№]:[Profit]],13,0)=0,"-",VLOOKUP(B344,Baza[[№]:[Profit]],13,0)),"")</f>
        <v/>
      </c>
      <c r="Q344" s="43" t="str">
        <f>IFERROR(IF(VLOOKUP(B344,Baza[[№]:[Profit]],15,0)=0,"-",VLOOKUP(B344,Baza[[№]:[Profit]],15,0)),"")</f>
        <v/>
      </c>
      <c r="R344" s="43" t="str">
        <f>IFERROR(IF(VLOOKUP(B344,Baza[[№]:[Profit]],16,0)=0,"-",VLOOKUP(B344,Baza[[№]:[Profit]],16,0)),"")</f>
        <v/>
      </c>
      <c r="S344" s="43" t="str">
        <f>IFERROR(IF(VLOOKUP(B344,Baza[[№]:[Profit]],17,0)=0,"-",VLOOKUP(B344,Baza[[№]:[Profit]],17,0)),"")</f>
        <v/>
      </c>
      <c r="T344" s="43" t="str">
        <f>IFERROR(IF(VLOOKUP(B344,Baza[[№]:[Profit]],18,0)=0,"-",VLOOKUP(B344,Baza[[№]:[Profit]],18,0)),"")</f>
        <v/>
      </c>
      <c r="U344" s="41" t="str">
        <f>IFERROR(IF(VLOOKUP(B344,Baza[[№]:[Profit]],19,0)=0,"-",VLOOKUP(B344,Baza[[№]:[Profit]],19,0)),"")</f>
        <v/>
      </c>
      <c r="V344" s="41" t="str">
        <f>IFERROR(VLOOKUP(B344,Baza[[№]:[Profit]],20,0),"")</f>
        <v/>
      </c>
      <c r="W344" s="41" t="str">
        <f>IFERROR(IF(VLOOKUP(B344,Baza[[№]:[Profit]],21,0)=0,"-",VLOOKUP(B344,Baza[[№]:[Profit]],21,0)),"")</f>
        <v/>
      </c>
      <c r="X344" s="45" t="str">
        <f>IFERROR(IF(VLOOKUP(B344,Baza[[№]:[Profit]],22,0)=0,"-",VLOOKUP(B344,Baza[[№]:[Profit]],22,0)),"")</f>
        <v/>
      </c>
      <c r="Y344" s="45" t="str">
        <f>IFERROR(VLOOKUP(B344,Baza[[№]:[Profit]],23,0),"")</f>
        <v/>
      </c>
      <c r="Z344" s="44" t="str">
        <f>IFERROR(VLOOKUP(B344,Baza[[№]:[AFS]],24,0),"")</f>
        <v/>
      </c>
      <c r="AA344" s="45" t="str">
        <f>IF(Таблица2[[#This Row],[Profit]]="","#Н/Д",SUM($Y$40:Y344))</f>
        <v>#Н/Д</v>
      </c>
      <c r="AB344" s="45" t="b">
        <f>IF(Таблица2[[#This Row],[Grafik]]="#Н/Д",FALSE,TRUE)</f>
        <v>0</v>
      </c>
    </row>
    <row r="345" spans="2:28" ht="11.1" hidden="1" customHeight="1" x14ac:dyDescent="0.25">
      <c r="B345"/>
      <c r="C345" s="41" t="str">
        <f>IFERROR(VLOOKUP(B345,Baza[[№]:[Profit]],2,0),"")</f>
        <v/>
      </c>
      <c r="D34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4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45" s="43" t="str">
        <f>IFERROR(VLOOKUP(B345,Baza[[№]:[Profit]],3,0),"")</f>
        <v/>
      </c>
      <c r="G345" s="43" t="str">
        <f>IFERROR(VLOOKUP(B345,Baza[[№]:[Profit]],4,0),"")</f>
        <v/>
      </c>
      <c r="H345" s="43" t="str">
        <f>IFERROR(VLOOKUP(B345,Baza[[№]:[Profit]],5,0),"")</f>
        <v/>
      </c>
      <c r="I345" s="46" t="str">
        <f>IFERROR(VLOOKUP(B345,Baza[[№]:[Profit]],6,0),"")</f>
        <v/>
      </c>
      <c r="J345" s="49" t="str">
        <f>IFERROR(VLOOKUP(B345,Baza[[№]:[Profit]],7,0),"")</f>
        <v/>
      </c>
      <c r="K345" s="43" t="str">
        <f>IFERROR(VLOOKUP(B345,Baza[[№]:[Profit]],8,0),"")</f>
        <v/>
      </c>
      <c r="L345" s="43" t="str">
        <f>IFERROR(VLOOKUP(B345,Baza[[№]:[Profit]],9,0),"")</f>
        <v/>
      </c>
      <c r="M345" s="43" t="str">
        <f>IFERROR(VLOOKUP(B345,Baza[[№]:[Profit]],10,0),"")</f>
        <v/>
      </c>
      <c r="N345" s="43" t="str">
        <f>IFERROR(IF(VLOOKUP(B345,Baza[[№]:[Profit]],11,0)=0,"-",VLOOKUP(B345,Baza[[№]:[Profit]],11,0)),"")</f>
        <v/>
      </c>
      <c r="O345" s="43" t="str">
        <f>IFERROR(IF(VLOOKUP(B345,Baza[[№]:[Profit]],12,0)=0,"-",VLOOKUP(B345,Baza[[№]:[Profit]],12,0)),"")</f>
        <v/>
      </c>
      <c r="P345" s="43" t="str">
        <f>IFERROR(IF(VLOOKUP(B345,Baza[[№]:[Profit]],13,0)=0,"-",VLOOKUP(B345,Baza[[№]:[Profit]],13,0)),"")</f>
        <v/>
      </c>
      <c r="Q345" s="43" t="str">
        <f>IFERROR(IF(VLOOKUP(B345,Baza[[№]:[Profit]],15,0)=0,"-",VLOOKUP(B345,Baza[[№]:[Profit]],15,0)),"")</f>
        <v/>
      </c>
      <c r="R345" s="43" t="str">
        <f>IFERROR(IF(VLOOKUP(B345,Baza[[№]:[Profit]],16,0)=0,"-",VLOOKUP(B345,Baza[[№]:[Profit]],16,0)),"")</f>
        <v/>
      </c>
      <c r="S345" s="43" t="str">
        <f>IFERROR(IF(VLOOKUP(B345,Baza[[№]:[Profit]],17,0)=0,"-",VLOOKUP(B345,Baza[[№]:[Profit]],17,0)),"")</f>
        <v/>
      </c>
      <c r="T345" s="43" t="str">
        <f>IFERROR(IF(VLOOKUP(B345,Baza[[№]:[Profit]],18,0)=0,"-",VLOOKUP(B345,Baza[[№]:[Profit]],18,0)),"")</f>
        <v/>
      </c>
      <c r="U345" s="41" t="str">
        <f>IFERROR(IF(VLOOKUP(B345,Baza[[№]:[Profit]],19,0)=0,"-",VLOOKUP(B345,Baza[[№]:[Profit]],19,0)),"")</f>
        <v/>
      </c>
      <c r="V345" s="41" t="str">
        <f>IFERROR(VLOOKUP(B345,Baza[[№]:[Profit]],20,0),"")</f>
        <v/>
      </c>
      <c r="W345" s="41" t="str">
        <f>IFERROR(IF(VLOOKUP(B345,Baza[[№]:[Profit]],21,0)=0,"-",VLOOKUP(B345,Baza[[№]:[Profit]],21,0)),"")</f>
        <v/>
      </c>
      <c r="X345" s="45" t="str">
        <f>IFERROR(IF(VLOOKUP(B345,Baza[[№]:[Profit]],22,0)=0,"-",VLOOKUP(B345,Baza[[№]:[Profit]],22,0)),"")</f>
        <v/>
      </c>
      <c r="Y345" s="45" t="str">
        <f>IFERROR(VLOOKUP(B345,Baza[[№]:[Profit]],23,0),"")</f>
        <v/>
      </c>
      <c r="Z345" s="44" t="str">
        <f>IFERROR(VLOOKUP(B345,Baza[[№]:[AFS]],24,0),"")</f>
        <v/>
      </c>
      <c r="AA345" s="45" t="str">
        <f>IF(Таблица2[[#This Row],[Profit]]="","#Н/Д",SUM($Y$40:Y345))</f>
        <v>#Н/Д</v>
      </c>
      <c r="AB345" s="45" t="b">
        <f>IF(Таблица2[[#This Row],[Grafik]]="#Н/Д",FALSE,TRUE)</f>
        <v>0</v>
      </c>
    </row>
    <row r="346" spans="2:28" ht="11.1" hidden="1" customHeight="1" x14ac:dyDescent="0.25">
      <c r="B346"/>
      <c r="C346" s="41" t="str">
        <f>IFERROR(VLOOKUP(B346,Baza[[№]:[Profit]],2,0),"")</f>
        <v/>
      </c>
      <c r="D34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4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46" s="43" t="str">
        <f>IFERROR(VLOOKUP(B346,Baza[[№]:[Profit]],3,0),"")</f>
        <v/>
      </c>
      <c r="G346" s="43" t="str">
        <f>IFERROR(VLOOKUP(B346,Baza[[№]:[Profit]],4,0),"")</f>
        <v/>
      </c>
      <c r="H346" s="43" t="str">
        <f>IFERROR(VLOOKUP(B346,Baza[[№]:[Profit]],5,0),"")</f>
        <v/>
      </c>
      <c r="I346" s="46" t="str">
        <f>IFERROR(VLOOKUP(B346,Baza[[№]:[Profit]],6,0),"")</f>
        <v/>
      </c>
      <c r="J346" s="49" t="str">
        <f>IFERROR(VLOOKUP(B346,Baza[[№]:[Profit]],7,0),"")</f>
        <v/>
      </c>
      <c r="K346" s="43" t="str">
        <f>IFERROR(VLOOKUP(B346,Baza[[№]:[Profit]],8,0),"")</f>
        <v/>
      </c>
      <c r="L346" s="43" t="str">
        <f>IFERROR(VLOOKUP(B346,Baza[[№]:[Profit]],9,0),"")</f>
        <v/>
      </c>
      <c r="M346" s="43" t="str">
        <f>IFERROR(VLOOKUP(B346,Baza[[№]:[Profit]],10,0),"")</f>
        <v/>
      </c>
      <c r="N346" s="43" t="str">
        <f>IFERROR(IF(VLOOKUP(B346,Baza[[№]:[Profit]],11,0)=0,"-",VLOOKUP(B346,Baza[[№]:[Profit]],11,0)),"")</f>
        <v/>
      </c>
      <c r="O346" s="43" t="str">
        <f>IFERROR(IF(VLOOKUP(B346,Baza[[№]:[Profit]],12,0)=0,"-",VLOOKUP(B346,Baza[[№]:[Profit]],12,0)),"")</f>
        <v/>
      </c>
      <c r="P346" s="43" t="str">
        <f>IFERROR(IF(VLOOKUP(B346,Baza[[№]:[Profit]],13,0)=0,"-",VLOOKUP(B346,Baza[[№]:[Profit]],13,0)),"")</f>
        <v/>
      </c>
      <c r="Q346" s="43" t="str">
        <f>IFERROR(IF(VLOOKUP(B346,Baza[[№]:[Profit]],15,0)=0,"-",VLOOKUP(B346,Baza[[№]:[Profit]],15,0)),"")</f>
        <v/>
      </c>
      <c r="R346" s="43" t="str">
        <f>IFERROR(IF(VLOOKUP(B346,Baza[[№]:[Profit]],16,0)=0,"-",VLOOKUP(B346,Baza[[№]:[Profit]],16,0)),"")</f>
        <v/>
      </c>
      <c r="S346" s="43" t="str">
        <f>IFERROR(IF(VLOOKUP(B346,Baza[[№]:[Profit]],17,0)=0,"-",VLOOKUP(B346,Baza[[№]:[Profit]],17,0)),"")</f>
        <v/>
      </c>
      <c r="T346" s="43" t="str">
        <f>IFERROR(IF(VLOOKUP(B346,Baza[[№]:[Profit]],18,0)=0,"-",VLOOKUP(B346,Baza[[№]:[Profit]],18,0)),"")</f>
        <v/>
      </c>
      <c r="U346" s="41" t="str">
        <f>IFERROR(IF(VLOOKUP(B346,Baza[[№]:[Profit]],19,0)=0,"-",VLOOKUP(B346,Baza[[№]:[Profit]],19,0)),"")</f>
        <v/>
      </c>
      <c r="V346" s="41" t="str">
        <f>IFERROR(VLOOKUP(B346,Baza[[№]:[Profit]],20,0),"")</f>
        <v/>
      </c>
      <c r="W346" s="41" t="str">
        <f>IFERROR(IF(VLOOKUP(B346,Baza[[№]:[Profit]],21,0)=0,"-",VLOOKUP(B346,Baza[[№]:[Profit]],21,0)),"")</f>
        <v/>
      </c>
      <c r="X346" s="45" t="str">
        <f>IFERROR(IF(VLOOKUP(B346,Baza[[№]:[Profit]],22,0)=0,"-",VLOOKUP(B346,Baza[[№]:[Profit]],22,0)),"")</f>
        <v/>
      </c>
      <c r="Y346" s="45" t="str">
        <f>IFERROR(VLOOKUP(B346,Baza[[№]:[Profit]],23,0),"")</f>
        <v/>
      </c>
      <c r="Z346" s="44" t="str">
        <f>IFERROR(VLOOKUP(B346,Baza[[№]:[AFS]],24,0),"")</f>
        <v/>
      </c>
      <c r="AA346" s="45" t="str">
        <f>IF(Таблица2[[#This Row],[Profit]]="","#Н/Д",SUM($Y$40:Y346))</f>
        <v>#Н/Д</v>
      </c>
      <c r="AB346" s="45" t="b">
        <f>IF(Таблица2[[#This Row],[Grafik]]="#Н/Д",FALSE,TRUE)</f>
        <v>0</v>
      </c>
    </row>
    <row r="347" spans="2:28" ht="11.1" hidden="1" customHeight="1" x14ac:dyDescent="0.25">
      <c r="B347"/>
      <c r="C347" s="41" t="str">
        <f>IFERROR(VLOOKUP(B347,Baza[[№]:[Profit]],2,0),"")</f>
        <v/>
      </c>
      <c r="D34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4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47" s="43" t="str">
        <f>IFERROR(VLOOKUP(B347,Baza[[№]:[Profit]],3,0),"")</f>
        <v/>
      </c>
      <c r="G347" s="43" t="str">
        <f>IFERROR(VLOOKUP(B347,Baza[[№]:[Profit]],4,0),"")</f>
        <v/>
      </c>
      <c r="H347" s="43" t="str">
        <f>IFERROR(VLOOKUP(B347,Baza[[№]:[Profit]],5,0),"")</f>
        <v/>
      </c>
      <c r="I347" s="46" t="str">
        <f>IFERROR(VLOOKUP(B347,Baza[[№]:[Profit]],6,0),"")</f>
        <v/>
      </c>
      <c r="J347" s="49" t="str">
        <f>IFERROR(VLOOKUP(B347,Baza[[№]:[Profit]],7,0),"")</f>
        <v/>
      </c>
      <c r="K347" s="43" t="str">
        <f>IFERROR(VLOOKUP(B347,Baza[[№]:[Profit]],8,0),"")</f>
        <v/>
      </c>
      <c r="L347" s="43" t="str">
        <f>IFERROR(VLOOKUP(B347,Baza[[№]:[Profit]],9,0),"")</f>
        <v/>
      </c>
      <c r="M347" s="43" t="str">
        <f>IFERROR(VLOOKUP(B347,Baza[[№]:[Profit]],10,0),"")</f>
        <v/>
      </c>
      <c r="N347" s="43" t="str">
        <f>IFERROR(IF(VLOOKUP(B347,Baza[[№]:[Profit]],11,0)=0,"-",VLOOKUP(B347,Baza[[№]:[Profit]],11,0)),"")</f>
        <v/>
      </c>
      <c r="O347" s="43" t="str">
        <f>IFERROR(IF(VLOOKUP(B347,Baza[[№]:[Profit]],12,0)=0,"-",VLOOKUP(B347,Baza[[№]:[Profit]],12,0)),"")</f>
        <v/>
      </c>
      <c r="P347" s="43" t="str">
        <f>IFERROR(IF(VLOOKUP(B347,Baza[[№]:[Profit]],13,0)=0,"-",VLOOKUP(B347,Baza[[№]:[Profit]],13,0)),"")</f>
        <v/>
      </c>
      <c r="Q347" s="43" t="str">
        <f>IFERROR(IF(VLOOKUP(B347,Baza[[№]:[Profit]],15,0)=0,"-",VLOOKUP(B347,Baza[[№]:[Profit]],15,0)),"")</f>
        <v/>
      </c>
      <c r="R347" s="43" t="str">
        <f>IFERROR(IF(VLOOKUP(B347,Baza[[№]:[Profit]],16,0)=0,"-",VLOOKUP(B347,Baza[[№]:[Profit]],16,0)),"")</f>
        <v/>
      </c>
      <c r="S347" s="43" t="str">
        <f>IFERROR(IF(VLOOKUP(B347,Baza[[№]:[Profit]],17,0)=0,"-",VLOOKUP(B347,Baza[[№]:[Profit]],17,0)),"")</f>
        <v/>
      </c>
      <c r="T347" s="43" t="str">
        <f>IFERROR(IF(VLOOKUP(B347,Baza[[№]:[Profit]],18,0)=0,"-",VLOOKUP(B347,Baza[[№]:[Profit]],18,0)),"")</f>
        <v/>
      </c>
      <c r="U347" s="41" t="str">
        <f>IFERROR(IF(VLOOKUP(B347,Baza[[№]:[Profit]],19,0)=0,"-",VLOOKUP(B347,Baza[[№]:[Profit]],19,0)),"")</f>
        <v/>
      </c>
      <c r="V347" s="41" t="str">
        <f>IFERROR(VLOOKUP(B347,Baza[[№]:[Profit]],20,0),"")</f>
        <v/>
      </c>
      <c r="W347" s="41" t="str">
        <f>IFERROR(IF(VLOOKUP(B347,Baza[[№]:[Profit]],21,0)=0,"-",VLOOKUP(B347,Baza[[№]:[Profit]],21,0)),"")</f>
        <v/>
      </c>
      <c r="X347" s="45" t="str">
        <f>IFERROR(IF(VLOOKUP(B347,Baza[[№]:[Profit]],22,0)=0,"-",VLOOKUP(B347,Baza[[№]:[Profit]],22,0)),"")</f>
        <v/>
      </c>
      <c r="Y347" s="45" t="str">
        <f>IFERROR(VLOOKUP(B347,Baza[[№]:[Profit]],23,0),"")</f>
        <v/>
      </c>
      <c r="Z347" s="44" t="str">
        <f>IFERROR(VLOOKUP(B347,Baza[[№]:[AFS]],24,0),"")</f>
        <v/>
      </c>
      <c r="AA347" s="45" t="str">
        <f>IF(Таблица2[[#This Row],[Profit]]="","#Н/Д",SUM($Y$40:Y347))</f>
        <v>#Н/Д</v>
      </c>
      <c r="AB347" s="45" t="b">
        <f>IF(Таблица2[[#This Row],[Grafik]]="#Н/Д",FALSE,TRUE)</f>
        <v>0</v>
      </c>
    </row>
    <row r="348" spans="2:28" ht="11.1" hidden="1" customHeight="1" x14ac:dyDescent="0.25">
      <c r="B348"/>
      <c r="C348" s="41" t="str">
        <f>IFERROR(VLOOKUP(B348,Baza[[№]:[Profit]],2,0),"")</f>
        <v/>
      </c>
      <c r="D34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4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48" s="43" t="str">
        <f>IFERROR(VLOOKUP(B348,Baza[[№]:[Profit]],3,0),"")</f>
        <v/>
      </c>
      <c r="G348" s="43" t="str">
        <f>IFERROR(VLOOKUP(B348,Baza[[№]:[Profit]],4,0),"")</f>
        <v/>
      </c>
      <c r="H348" s="43" t="str">
        <f>IFERROR(VLOOKUP(B348,Baza[[№]:[Profit]],5,0),"")</f>
        <v/>
      </c>
      <c r="I348" s="46" t="str">
        <f>IFERROR(VLOOKUP(B348,Baza[[№]:[Profit]],6,0),"")</f>
        <v/>
      </c>
      <c r="J348" s="49" t="str">
        <f>IFERROR(VLOOKUP(B348,Baza[[№]:[Profit]],7,0),"")</f>
        <v/>
      </c>
      <c r="K348" s="43" t="str">
        <f>IFERROR(VLOOKUP(B348,Baza[[№]:[Profit]],8,0),"")</f>
        <v/>
      </c>
      <c r="L348" s="43" t="str">
        <f>IFERROR(VLOOKUP(B348,Baza[[№]:[Profit]],9,0),"")</f>
        <v/>
      </c>
      <c r="M348" s="43" t="str">
        <f>IFERROR(VLOOKUP(B348,Baza[[№]:[Profit]],10,0),"")</f>
        <v/>
      </c>
      <c r="N348" s="43" t="str">
        <f>IFERROR(IF(VLOOKUP(B348,Baza[[№]:[Profit]],11,0)=0,"-",VLOOKUP(B348,Baza[[№]:[Profit]],11,0)),"")</f>
        <v/>
      </c>
      <c r="O348" s="43" t="str">
        <f>IFERROR(IF(VLOOKUP(B348,Baza[[№]:[Profit]],12,0)=0,"-",VLOOKUP(B348,Baza[[№]:[Profit]],12,0)),"")</f>
        <v/>
      </c>
      <c r="P348" s="43" t="str">
        <f>IFERROR(IF(VLOOKUP(B348,Baza[[№]:[Profit]],13,0)=0,"-",VLOOKUP(B348,Baza[[№]:[Profit]],13,0)),"")</f>
        <v/>
      </c>
      <c r="Q348" s="43" t="str">
        <f>IFERROR(IF(VLOOKUP(B348,Baza[[№]:[Profit]],15,0)=0,"-",VLOOKUP(B348,Baza[[№]:[Profit]],15,0)),"")</f>
        <v/>
      </c>
      <c r="R348" s="43" t="str">
        <f>IFERROR(IF(VLOOKUP(B348,Baza[[№]:[Profit]],16,0)=0,"-",VLOOKUP(B348,Baza[[№]:[Profit]],16,0)),"")</f>
        <v/>
      </c>
      <c r="S348" s="43" t="str">
        <f>IFERROR(IF(VLOOKUP(B348,Baza[[№]:[Profit]],17,0)=0,"-",VLOOKUP(B348,Baza[[№]:[Profit]],17,0)),"")</f>
        <v/>
      </c>
      <c r="T348" s="43" t="str">
        <f>IFERROR(IF(VLOOKUP(B348,Baza[[№]:[Profit]],18,0)=0,"-",VLOOKUP(B348,Baza[[№]:[Profit]],18,0)),"")</f>
        <v/>
      </c>
      <c r="U348" s="41" t="str">
        <f>IFERROR(IF(VLOOKUP(B348,Baza[[№]:[Profit]],19,0)=0,"-",VLOOKUP(B348,Baza[[№]:[Profit]],19,0)),"")</f>
        <v/>
      </c>
      <c r="V348" s="41" t="str">
        <f>IFERROR(VLOOKUP(B348,Baza[[№]:[Profit]],20,0),"")</f>
        <v/>
      </c>
      <c r="W348" s="41" t="str">
        <f>IFERROR(IF(VLOOKUP(B348,Baza[[№]:[Profit]],21,0)=0,"-",VLOOKUP(B348,Baza[[№]:[Profit]],21,0)),"")</f>
        <v/>
      </c>
      <c r="X348" s="45" t="str">
        <f>IFERROR(IF(VLOOKUP(B348,Baza[[№]:[Profit]],22,0)=0,"-",VLOOKUP(B348,Baza[[№]:[Profit]],22,0)),"")</f>
        <v/>
      </c>
      <c r="Y348" s="45" t="str">
        <f>IFERROR(VLOOKUP(B348,Baza[[№]:[Profit]],23,0),"")</f>
        <v/>
      </c>
      <c r="Z348" s="44" t="str">
        <f>IFERROR(VLOOKUP(B348,Baza[[№]:[AFS]],24,0),"")</f>
        <v/>
      </c>
      <c r="AA348" s="45" t="str">
        <f>IF(Таблица2[[#This Row],[Profit]]="","#Н/Д",SUM($Y$40:Y348))</f>
        <v>#Н/Д</v>
      </c>
      <c r="AB348" s="45" t="b">
        <f>IF(Таблица2[[#This Row],[Grafik]]="#Н/Д",FALSE,TRUE)</f>
        <v>0</v>
      </c>
    </row>
    <row r="349" spans="2:28" ht="11.1" hidden="1" customHeight="1" x14ac:dyDescent="0.25">
      <c r="B349"/>
      <c r="C349" s="41" t="str">
        <f>IFERROR(VLOOKUP(B349,Baza[[№]:[Profit]],2,0),"")</f>
        <v/>
      </c>
      <c r="D34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4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49" s="43" t="str">
        <f>IFERROR(VLOOKUP(B349,Baza[[№]:[Profit]],3,0),"")</f>
        <v/>
      </c>
      <c r="G349" s="43" t="str">
        <f>IFERROR(VLOOKUP(B349,Baza[[№]:[Profit]],4,0),"")</f>
        <v/>
      </c>
      <c r="H349" s="43" t="str">
        <f>IFERROR(VLOOKUP(B349,Baza[[№]:[Profit]],5,0),"")</f>
        <v/>
      </c>
      <c r="I349" s="46" t="str">
        <f>IFERROR(VLOOKUP(B349,Baza[[№]:[Profit]],6,0),"")</f>
        <v/>
      </c>
      <c r="J349" s="49" t="str">
        <f>IFERROR(VLOOKUP(B349,Baza[[№]:[Profit]],7,0),"")</f>
        <v/>
      </c>
      <c r="K349" s="43" t="str">
        <f>IFERROR(VLOOKUP(B349,Baza[[№]:[Profit]],8,0),"")</f>
        <v/>
      </c>
      <c r="L349" s="43" t="str">
        <f>IFERROR(VLOOKUP(B349,Baza[[№]:[Profit]],9,0),"")</f>
        <v/>
      </c>
      <c r="M349" s="43" t="str">
        <f>IFERROR(VLOOKUP(B349,Baza[[№]:[Profit]],10,0),"")</f>
        <v/>
      </c>
      <c r="N349" s="43" t="str">
        <f>IFERROR(IF(VLOOKUP(B349,Baza[[№]:[Profit]],11,0)=0,"-",VLOOKUP(B349,Baza[[№]:[Profit]],11,0)),"")</f>
        <v/>
      </c>
      <c r="O349" s="43" t="str">
        <f>IFERROR(IF(VLOOKUP(B349,Baza[[№]:[Profit]],12,0)=0,"-",VLOOKUP(B349,Baza[[№]:[Profit]],12,0)),"")</f>
        <v/>
      </c>
      <c r="P349" s="43" t="str">
        <f>IFERROR(IF(VLOOKUP(B349,Baza[[№]:[Profit]],13,0)=0,"-",VLOOKUP(B349,Baza[[№]:[Profit]],13,0)),"")</f>
        <v/>
      </c>
      <c r="Q349" s="43" t="str">
        <f>IFERROR(IF(VLOOKUP(B349,Baza[[№]:[Profit]],15,0)=0,"-",VLOOKUP(B349,Baza[[№]:[Profit]],15,0)),"")</f>
        <v/>
      </c>
      <c r="R349" s="43" t="str">
        <f>IFERROR(IF(VLOOKUP(B349,Baza[[№]:[Profit]],16,0)=0,"-",VLOOKUP(B349,Baza[[№]:[Profit]],16,0)),"")</f>
        <v/>
      </c>
      <c r="S349" s="43" t="str">
        <f>IFERROR(IF(VLOOKUP(B349,Baza[[№]:[Profit]],17,0)=0,"-",VLOOKUP(B349,Baza[[№]:[Profit]],17,0)),"")</f>
        <v/>
      </c>
      <c r="T349" s="43" t="str">
        <f>IFERROR(IF(VLOOKUP(B349,Baza[[№]:[Profit]],18,0)=0,"-",VLOOKUP(B349,Baza[[№]:[Profit]],18,0)),"")</f>
        <v/>
      </c>
      <c r="U349" s="41" t="str">
        <f>IFERROR(IF(VLOOKUP(B349,Baza[[№]:[Profit]],19,0)=0,"-",VLOOKUP(B349,Baza[[№]:[Profit]],19,0)),"")</f>
        <v/>
      </c>
      <c r="V349" s="41" t="str">
        <f>IFERROR(VLOOKUP(B349,Baza[[№]:[Profit]],20,0),"")</f>
        <v/>
      </c>
      <c r="W349" s="41" t="str">
        <f>IFERROR(IF(VLOOKUP(B349,Baza[[№]:[Profit]],21,0)=0,"-",VLOOKUP(B349,Baza[[№]:[Profit]],21,0)),"")</f>
        <v/>
      </c>
      <c r="X349" s="45" t="str">
        <f>IFERROR(IF(VLOOKUP(B349,Baza[[№]:[Profit]],22,0)=0,"-",VLOOKUP(B349,Baza[[№]:[Profit]],22,0)),"")</f>
        <v/>
      </c>
      <c r="Y349" s="45" t="str">
        <f>IFERROR(VLOOKUP(B349,Baza[[№]:[Profit]],23,0),"")</f>
        <v/>
      </c>
      <c r="Z349" s="44" t="str">
        <f>IFERROR(VLOOKUP(B349,Baza[[№]:[AFS]],24,0),"")</f>
        <v/>
      </c>
      <c r="AA349" s="45" t="str">
        <f>IF(Таблица2[[#This Row],[Profit]]="","#Н/Д",SUM($Y$40:Y349))</f>
        <v>#Н/Д</v>
      </c>
      <c r="AB349" s="45" t="b">
        <f>IF(Таблица2[[#This Row],[Grafik]]="#Н/Д",FALSE,TRUE)</f>
        <v>0</v>
      </c>
    </row>
    <row r="350" spans="2:28" ht="11.1" hidden="1" customHeight="1" x14ac:dyDescent="0.25">
      <c r="B350"/>
      <c r="C350" s="41" t="str">
        <f>IFERROR(VLOOKUP(B350,Baza[[№]:[Profit]],2,0),"")</f>
        <v/>
      </c>
      <c r="D35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5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50" s="43" t="str">
        <f>IFERROR(VLOOKUP(B350,Baza[[№]:[Profit]],3,0),"")</f>
        <v/>
      </c>
      <c r="G350" s="43" t="str">
        <f>IFERROR(VLOOKUP(B350,Baza[[№]:[Profit]],4,0),"")</f>
        <v/>
      </c>
      <c r="H350" s="43" t="str">
        <f>IFERROR(VLOOKUP(B350,Baza[[№]:[Profit]],5,0),"")</f>
        <v/>
      </c>
      <c r="I350" s="46" t="str">
        <f>IFERROR(VLOOKUP(B350,Baza[[№]:[Profit]],6,0),"")</f>
        <v/>
      </c>
      <c r="J350" s="49" t="str">
        <f>IFERROR(VLOOKUP(B350,Baza[[№]:[Profit]],7,0),"")</f>
        <v/>
      </c>
      <c r="K350" s="43" t="str">
        <f>IFERROR(VLOOKUP(B350,Baza[[№]:[Profit]],8,0),"")</f>
        <v/>
      </c>
      <c r="L350" s="43" t="str">
        <f>IFERROR(VLOOKUP(B350,Baza[[№]:[Profit]],9,0),"")</f>
        <v/>
      </c>
      <c r="M350" s="43" t="str">
        <f>IFERROR(VLOOKUP(B350,Baza[[№]:[Profit]],10,0),"")</f>
        <v/>
      </c>
      <c r="N350" s="43" t="str">
        <f>IFERROR(IF(VLOOKUP(B350,Baza[[№]:[Profit]],11,0)=0,"-",VLOOKUP(B350,Baza[[№]:[Profit]],11,0)),"")</f>
        <v/>
      </c>
      <c r="O350" s="43" t="str">
        <f>IFERROR(IF(VLOOKUP(B350,Baza[[№]:[Profit]],12,0)=0,"-",VLOOKUP(B350,Baza[[№]:[Profit]],12,0)),"")</f>
        <v/>
      </c>
      <c r="P350" s="43" t="str">
        <f>IFERROR(IF(VLOOKUP(B350,Baza[[№]:[Profit]],13,0)=0,"-",VLOOKUP(B350,Baza[[№]:[Profit]],13,0)),"")</f>
        <v/>
      </c>
      <c r="Q350" s="43" t="str">
        <f>IFERROR(IF(VLOOKUP(B350,Baza[[№]:[Profit]],15,0)=0,"-",VLOOKUP(B350,Baza[[№]:[Profit]],15,0)),"")</f>
        <v/>
      </c>
      <c r="R350" s="43" t="str">
        <f>IFERROR(IF(VLOOKUP(B350,Baza[[№]:[Profit]],16,0)=0,"-",VLOOKUP(B350,Baza[[№]:[Profit]],16,0)),"")</f>
        <v/>
      </c>
      <c r="S350" s="43" t="str">
        <f>IFERROR(IF(VLOOKUP(B350,Baza[[№]:[Profit]],17,0)=0,"-",VLOOKUP(B350,Baza[[№]:[Profit]],17,0)),"")</f>
        <v/>
      </c>
      <c r="T350" s="43" t="str">
        <f>IFERROR(IF(VLOOKUP(B350,Baza[[№]:[Profit]],18,0)=0,"-",VLOOKUP(B350,Baza[[№]:[Profit]],18,0)),"")</f>
        <v/>
      </c>
      <c r="U350" s="41" t="str">
        <f>IFERROR(IF(VLOOKUP(B350,Baza[[№]:[Profit]],19,0)=0,"-",VLOOKUP(B350,Baza[[№]:[Profit]],19,0)),"")</f>
        <v/>
      </c>
      <c r="V350" s="41" t="str">
        <f>IFERROR(VLOOKUP(B350,Baza[[№]:[Profit]],20,0),"")</f>
        <v/>
      </c>
      <c r="W350" s="41" t="str">
        <f>IFERROR(IF(VLOOKUP(B350,Baza[[№]:[Profit]],21,0)=0,"-",VLOOKUP(B350,Baza[[№]:[Profit]],21,0)),"")</f>
        <v/>
      </c>
      <c r="X350" s="45" t="str">
        <f>IFERROR(IF(VLOOKUP(B350,Baza[[№]:[Profit]],22,0)=0,"-",VLOOKUP(B350,Baza[[№]:[Profit]],22,0)),"")</f>
        <v/>
      </c>
      <c r="Y350" s="45" t="str">
        <f>IFERROR(VLOOKUP(B350,Baza[[№]:[Profit]],23,0),"")</f>
        <v/>
      </c>
      <c r="Z350" s="44" t="str">
        <f>IFERROR(VLOOKUP(B350,Baza[[№]:[AFS]],24,0),"")</f>
        <v/>
      </c>
      <c r="AA350" s="45" t="str">
        <f>IF(Таблица2[[#This Row],[Profit]]="","#Н/Д",SUM($Y$40:Y350))</f>
        <v>#Н/Д</v>
      </c>
      <c r="AB350" s="45" t="b">
        <f>IF(Таблица2[[#This Row],[Grafik]]="#Н/Д",FALSE,TRUE)</f>
        <v>0</v>
      </c>
    </row>
    <row r="351" spans="2:28" ht="11.1" hidden="1" customHeight="1" x14ac:dyDescent="0.25">
      <c r="B351"/>
      <c r="C351" s="41" t="str">
        <f>IFERROR(VLOOKUP(B351,Baza[[№]:[Profit]],2,0),"")</f>
        <v/>
      </c>
      <c r="D35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5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51" s="43" t="str">
        <f>IFERROR(VLOOKUP(B351,Baza[[№]:[Profit]],3,0),"")</f>
        <v/>
      </c>
      <c r="G351" s="43" t="str">
        <f>IFERROR(VLOOKUP(B351,Baza[[№]:[Profit]],4,0),"")</f>
        <v/>
      </c>
      <c r="H351" s="43" t="str">
        <f>IFERROR(VLOOKUP(B351,Baza[[№]:[Profit]],5,0),"")</f>
        <v/>
      </c>
      <c r="I351" s="46" t="str">
        <f>IFERROR(VLOOKUP(B351,Baza[[№]:[Profit]],6,0),"")</f>
        <v/>
      </c>
      <c r="J351" s="49" t="str">
        <f>IFERROR(VLOOKUP(B351,Baza[[№]:[Profit]],7,0),"")</f>
        <v/>
      </c>
      <c r="K351" s="43" t="str">
        <f>IFERROR(VLOOKUP(B351,Baza[[№]:[Profit]],8,0),"")</f>
        <v/>
      </c>
      <c r="L351" s="43" t="str">
        <f>IFERROR(VLOOKUP(B351,Baza[[№]:[Profit]],9,0),"")</f>
        <v/>
      </c>
      <c r="M351" s="43" t="str">
        <f>IFERROR(VLOOKUP(B351,Baza[[№]:[Profit]],10,0),"")</f>
        <v/>
      </c>
      <c r="N351" s="43" t="str">
        <f>IFERROR(IF(VLOOKUP(B351,Baza[[№]:[Profit]],11,0)=0,"-",VLOOKUP(B351,Baza[[№]:[Profit]],11,0)),"")</f>
        <v/>
      </c>
      <c r="O351" s="43" t="str">
        <f>IFERROR(IF(VLOOKUP(B351,Baza[[№]:[Profit]],12,0)=0,"-",VLOOKUP(B351,Baza[[№]:[Profit]],12,0)),"")</f>
        <v/>
      </c>
      <c r="P351" s="43" t="str">
        <f>IFERROR(IF(VLOOKUP(B351,Baza[[№]:[Profit]],13,0)=0,"-",VLOOKUP(B351,Baza[[№]:[Profit]],13,0)),"")</f>
        <v/>
      </c>
      <c r="Q351" s="43" t="str">
        <f>IFERROR(IF(VLOOKUP(B351,Baza[[№]:[Profit]],15,0)=0,"-",VLOOKUP(B351,Baza[[№]:[Profit]],15,0)),"")</f>
        <v/>
      </c>
      <c r="R351" s="43" t="str">
        <f>IFERROR(IF(VLOOKUP(B351,Baza[[№]:[Profit]],16,0)=0,"-",VLOOKUP(B351,Baza[[№]:[Profit]],16,0)),"")</f>
        <v/>
      </c>
      <c r="S351" s="43" t="str">
        <f>IFERROR(IF(VLOOKUP(B351,Baza[[№]:[Profit]],17,0)=0,"-",VLOOKUP(B351,Baza[[№]:[Profit]],17,0)),"")</f>
        <v/>
      </c>
      <c r="T351" s="43" t="str">
        <f>IFERROR(IF(VLOOKUP(B351,Baza[[№]:[Profit]],18,0)=0,"-",VLOOKUP(B351,Baza[[№]:[Profit]],18,0)),"")</f>
        <v/>
      </c>
      <c r="U351" s="41" t="str">
        <f>IFERROR(IF(VLOOKUP(B351,Baza[[№]:[Profit]],19,0)=0,"-",VLOOKUP(B351,Baza[[№]:[Profit]],19,0)),"")</f>
        <v/>
      </c>
      <c r="V351" s="41" t="str">
        <f>IFERROR(VLOOKUP(B351,Baza[[№]:[Profit]],20,0),"")</f>
        <v/>
      </c>
      <c r="W351" s="41" t="str">
        <f>IFERROR(IF(VLOOKUP(B351,Baza[[№]:[Profit]],21,0)=0,"-",VLOOKUP(B351,Baza[[№]:[Profit]],21,0)),"")</f>
        <v/>
      </c>
      <c r="X351" s="45" t="str">
        <f>IFERROR(IF(VLOOKUP(B351,Baza[[№]:[Profit]],22,0)=0,"-",VLOOKUP(B351,Baza[[№]:[Profit]],22,0)),"")</f>
        <v/>
      </c>
      <c r="Y351" s="45" t="str">
        <f>IFERROR(VLOOKUP(B351,Baza[[№]:[Profit]],23,0),"")</f>
        <v/>
      </c>
      <c r="Z351" s="44" t="str">
        <f>IFERROR(VLOOKUP(B351,Baza[[№]:[AFS]],24,0),"")</f>
        <v/>
      </c>
      <c r="AA351" s="45" t="str">
        <f>IF(Таблица2[[#This Row],[Profit]]="","#Н/Д",SUM($Y$40:Y351))</f>
        <v>#Н/Д</v>
      </c>
      <c r="AB351" s="45" t="b">
        <f>IF(Таблица2[[#This Row],[Grafik]]="#Н/Д",FALSE,TRUE)</f>
        <v>0</v>
      </c>
    </row>
    <row r="352" spans="2:28" ht="11.1" hidden="1" customHeight="1" x14ac:dyDescent="0.25">
      <c r="B352"/>
      <c r="C352" s="41" t="str">
        <f>IFERROR(VLOOKUP(B352,Baza[[№]:[Profit]],2,0),"")</f>
        <v/>
      </c>
      <c r="D35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5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52" s="43" t="str">
        <f>IFERROR(VLOOKUP(B352,Baza[[№]:[Profit]],3,0),"")</f>
        <v/>
      </c>
      <c r="G352" s="43" t="str">
        <f>IFERROR(VLOOKUP(B352,Baza[[№]:[Profit]],4,0),"")</f>
        <v/>
      </c>
      <c r="H352" s="43" t="str">
        <f>IFERROR(VLOOKUP(B352,Baza[[№]:[Profit]],5,0),"")</f>
        <v/>
      </c>
      <c r="I352" s="46" t="str">
        <f>IFERROR(VLOOKUP(B352,Baza[[№]:[Profit]],6,0),"")</f>
        <v/>
      </c>
      <c r="J352" s="49" t="str">
        <f>IFERROR(VLOOKUP(B352,Baza[[№]:[Profit]],7,0),"")</f>
        <v/>
      </c>
      <c r="K352" s="43" t="str">
        <f>IFERROR(VLOOKUP(B352,Baza[[№]:[Profit]],8,0),"")</f>
        <v/>
      </c>
      <c r="L352" s="43" t="str">
        <f>IFERROR(VLOOKUP(B352,Baza[[№]:[Profit]],9,0),"")</f>
        <v/>
      </c>
      <c r="M352" s="43" t="str">
        <f>IFERROR(VLOOKUP(B352,Baza[[№]:[Profit]],10,0),"")</f>
        <v/>
      </c>
      <c r="N352" s="43" t="str">
        <f>IFERROR(IF(VLOOKUP(B352,Baza[[№]:[Profit]],11,0)=0,"-",VLOOKUP(B352,Baza[[№]:[Profit]],11,0)),"")</f>
        <v/>
      </c>
      <c r="O352" s="43" t="str">
        <f>IFERROR(IF(VLOOKUP(B352,Baza[[№]:[Profit]],12,0)=0,"-",VLOOKUP(B352,Baza[[№]:[Profit]],12,0)),"")</f>
        <v/>
      </c>
      <c r="P352" s="43" t="str">
        <f>IFERROR(IF(VLOOKUP(B352,Baza[[№]:[Profit]],13,0)=0,"-",VLOOKUP(B352,Baza[[№]:[Profit]],13,0)),"")</f>
        <v/>
      </c>
      <c r="Q352" s="43" t="str">
        <f>IFERROR(IF(VLOOKUP(B352,Baza[[№]:[Profit]],15,0)=0,"-",VLOOKUP(B352,Baza[[№]:[Profit]],15,0)),"")</f>
        <v/>
      </c>
      <c r="R352" s="43" t="str">
        <f>IFERROR(IF(VLOOKUP(B352,Baza[[№]:[Profit]],16,0)=0,"-",VLOOKUP(B352,Baza[[№]:[Profit]],16,0)),"")</f>
        <v/>
      </c>
      <c r="S352" s="43" t="str">
        <f>IFERROR(IF(VLOOKUP(B352,Baza[[№]:[Profit]],17,0)=0,"-",VLOOKUP(B352,Baza[[№]:[Profit]],17,0)),"")</f>
        <v/>
      </c>
      <c r="T352" s="43" t="str">
        <f>IFERROR(IF(VLOOKUP(B352,Baza[[№]:[Profit]],18,0)=0,"-",VLOOKUP(B352,Baza[[№]:[Profit]],18,0)),"")</f>
        <v/>
      </c>
      <c r="U352" s="41" t="str">
        <f>IFERROR(IF(VLOOKUP(B352,Baza[[№]:[Profit]],19,0)=0,"-",VLOOKUP(B352,Baza[[№]:[Profit]],19,0)),"")</f>
        <v/>
      </c>
      <c r="V352" s="41" t="str">
        <f>IFERROR(VLOOKUP(B352,Baza[[№]:[Profit]],20,0),"")</f>
        <v/>
      </c>
      <c r="W352" s="41" t="str">
        <f>IFERROR(IF(VLOOKUP(B352,Baza[[№]:[Profit]],21,0)=0,"-",VLOOKUP(B352,Baza[[№]:[Profit]],21,0)),"")</f>
        <v/>
      </c>
      <c r="X352" s="45" t="str">
        <f>IFERROR(IF(VLOOKUP(B352,Baza[[№]:[Profit]],22,0)=0,"-",VLOOKUP(B352,Baza[[№]:[Profit]],22,0)),"")</f>
        <v/>
      </c>
      <c r="Y352" s="45" t="str">
        <f>IFERROR(VLOOKUP(B352,Baza[[№]:[Profit]],23,0),"")</f>
        <v/>
      </c>
      <c r="Z352" s="44" t="str">
        <f>IFERROR(VLOOKUP(B352,Baza[[№]:[AFS]],24,0),"")</f>
        <v/>
      </c>
      <c r="AA352" s="45" t="str">
        <f>IF(Таблица2[[#This Row],[Profit]]="","#Н/Д",SUM($Y$40:Y352))</f>
        <v>#Н/Д</v>
      </c>
      <c r="AB352" s="45" t="b">
        <f>IF(Таблица2[[#This Row],[Grafik]]="#Н/Д",FALSE,TRUE)</f>
        <v>0</v>
      </c>
    </row>
    <row r="353" spans="2:28" ht="11.1" hidden="1" customHeight="1" x14ac:dyDescent="0.25">
      <c r="B353"/>
      <c r="C353" s="41" t="str">
        <f>IFERROR(VLOOKUP(B353,Baza[[№]:[Profit]],2,0),"")</f>
        <v/>
      </c>
      <c r="D35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5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53" s="43" t="str">
        <f>IFERROR(VLOOKUP(B353,Baza[[№]:[Profit]],3,0),"")</f>
        <v/>
      </c>
      <c r="G353" s="43" t="str">
        <f>IFERROR(VLOOKUP(B353,Baza[[№]:[Profit]],4,0),"")</f>
        <v/>
      </c>
      <c r="H353" s="43" t="str">
        <f>IFERROR(VLOOKUP(B353,Baza[[№]:[Profit]],5,0),"")</f>
        <v/>
      </c>
      <c r="I353" s="46" t="str">
        <f>IFERROR(VLOOKUP(B353,Baza[[№]:[Profit]],6,0),"")</f>
        <v/>
      </c>
      <c r="J353" s="49" t="str">
        <f>IFERROR(VLOOKUP(B353,Baza[[№]:[Profit]],7,0),"")</f>
        <v/>
      </c>
      <c r="K353" s="43" t="str">
        <f>IFERROR(VLOOKUP(B353,Baza[[№]:[Profit]],8,0),"")</f>
        <v/>
      </c>
      <c r="L353" s="43" t="str">
        <f>IFERROR(VLOOKUP(B353,Baza[[№]:[Profit]],9,0),"")</f>
        <v/>
      </c>
      <c r="M353" s="43" t="str">
        <f>IFERROR(VLOOKUP(B353,Baza[[№]:[Profit]],10,0),"")</f>
        <v/>
      </c>
      <c r="N353" s="43" t="str">
        <f>IFERROR(IF(VLOOKUP(B353,Baza[[№]:[Profit]],11,0)=0,"-",VLOOKUP(B353,Baza[[№]:[Profit]],11,0)),"")</f>
        <v/>
      </c>
      <c r="O353" s="43" t="str">
        <f>IFERROR(IF(VLOOKUP(B353,Baza[[№]:[Profit]],12,0)=0,"-",VLOOKUP(B353,Baza[[№]:[Profit]],12,0)),"")</f>
        <v/>
      </c>
      <c r="P353" s="43" t="str">
        <f>IFERROR(IF(VLOOKUP(B353,Baza[[№]:[Profit]],13,0)=0,"-",VLOOKUP(B353,Baza[[№]:[Profit]],13,0)),"")</f>
        <v/>
      </c>
      <c r="Q353" s="43" t="str">
        <f>IFERROR(IF(VLOOKUP(B353,Baza[[№]:[Profit]],15,0)=0,"-",VLOOKUP(B353,Baza[[№]:[Profit]],15,0)),"")</f>
        <v/>
      </c>
      <c r="R353" s="43" t="str">
        <f>IFERROR(IF(VLOOKUP(B353,Baza[[№]:[Profit]],16,0)=0,"-",VLOOKUP(B353,Baza[[№]:[Profit]],16,0)),"")</f>
        <v/>
      </c>
      <c r="S353" s="43" t="str">
        <f>IFERROR(IF(VLOOKUP(B353,Baza[[№]:[Profit]],17,0)=0,"-",VLOOKUP(B353,Baza[[№]:[Profit]],17,0)),"")</f>
        <v/>
      </c>
      <c r="T353" s="43" t="str">
        <f>IFERROR(IF(VLOOKUP(B353,Baza[[№]:[Profit]],18,0)=0,"-",VLOOKUP(B353,Baza[[№]:[Profit]],18,0)),"")</f>
        <v/>
      </c>
      <c r="U353" s="41" t="str">
        <f>IFERROR(IF(VLOOKUP(B353,Baza[[№]:[Profit]],19,0)=0,"-",VLOOKUP(B353,Baza[[№]:[Profit]],19,0)),"")</f>
        <v/>
      </c>
      <c r="V353" s="41" t="str">
        <f>IFERROR(VLOOKUP(B353,Baza[[№]:[Profit]],20,0),"")</f>
        <v/>
      </c>
      <c r="W353" s="41" t="str">
        <f>IFERROR(IF(VLOOKUP(B353,Baza[[№]:[Profit]],21,0)=0,"-",VLOOKUP(B353,Baza[[№]:[Profit]],21,0)),"")</f>
        <v/>
      </c>
      <c r="X353" s="45" t="str">
        <f>IFERROR(IF(VLOOKUP(B353,Baza[[№]:[Profit]],22,0)=0,"-",VLOOKUP(B353,Baza[[№]:[Profit]],22,0)),"")</f>
        <v/>
      </c>
      <c r="Y353" s="45" t="str">
        <f>IFERROR(VLOOKUP(B353,Baza[[№]:[Profit]],23,0),"")</f>
        <v/>
      </c>
      <c r="Z353" s="44" t="str">
        <f>IFERROR(VLOOKUP(B353,Baza[[№]:[AFS]],24,0),"")</f>
        <v/>
      </c>
      <c r="AA353" s="45" t="str">
        <f>IF(Таблица2[[#This Row],[Profit]]="","#Н/Д",SUM($Y$40:Y353))</f>
        <v>#Н/Д</v>
      </c>
      <c r="AB353" s="45" t="b">
        <f>IF(Таблица2[[#This Row],[Grafik]]="#Н/Д",FALSE,TRUE)</f>
        <v>0</v>
      </c>
    </row>
    <row r="354" spans="2:28" ht="11.1" hidden="1" customHeight="1" x14ac:dyDescent="0.25">
      <c r="B354"/>
      <c r="C354" s="41" t="str">
        <f>IFERROR(VLOOKUP(B354,Baza[[№]:[Profit]],2,0),"")</f>
        <v/>
      </c>
      <c r="D35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5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54" s="43" t="str">
        <f>IFERROR(VLOOKUP(B354,Baza[[№]:[Profit]],3,0),"")</f>
        <v/>
      </c>
      <c r="G354" s="43" t="str">
        <f>IFERROR(VLOOKUP(B354,Baza[[№]:[Profit]],4,0),"")</f>
        <v/>
      </c>
      <c r="H354" s="43" t="str">
        <f>IFERROR(VLOOKUP(B354,Baza[[№]:[Profit]],5,0),"")</f>
        <v/>
      </c>
      <c r="I354" s="46" t="str">
        <f>IFERROR(VLOOKUP(B354,Baza[[№]:[Profit]],6,0),"")</f>
        <v/>
      </c>
      <c r="J354" s="49" t="str">
        <f>IFERROR(VLOOKUP(B354,Baza[[№]:[Profit]],7,0),"")</f>
        <v/>
      </c>
      <c r="K354" s="43" t="str">
        <f>IFERROR(VLOOKUP(B354,Baza[[№]:[Profit]],8,0),"")</f>
        <v/>
      </c>
      <c r="L354" s="43" t="str">
        <f>IFERROR(VLOOKUP(B354,Baza[[№]:[Profit]],9,0),"")</f>
        <v/>
      </c>
      <c r="M354" s="43" t="str">
        <f>IFERROR(VLOOKUP(B354,Baza[[№]:[Profit]],10,0),"")</f>
        <v/>
      </c>
      <c r="N354" s="43" t="str">
        <f>IFERROR(IF(VLOOKUP(B354,Baza[[№]:[Profit]],11,0)=0,"-",VLOOKUP(B354,Baza[[№]:[Profit]],11,0)),"")</f>
        <v/>
      </c>
      <c r="O354" s="43" t="str">
        <f>IFERROR(IF(VLOOKUP(B354,Baza[[№]:[Profit]],12,0)=0,"-",VLOOKUP(B354,Baza[[№]:[Profit]],12,0)),"")</f>
        <v/>
      </c>
      <c r="P354" s="43" t="str">
        <f>IFERROR(IF(VLOOKUP(B354,Baza[[№]:[Profit]],13,0)=0,"-",VLOOKUP(B354,Baza[[№]:[Profit]],13,0)),"")</f>
        <v/>
      </c>
      <c r="Q354" s="43" t="str">
        <f>IFERROR(IF(VLOOKUP(B354,Baza[[№]:[Profit]],15,0)=0,"-",VLOOKUP(B354,Baza[[№]:[Profit]],15,0)),"")</f>
        <v/>
      </c>
      <c r="R354" s="43" t="str">
        <f>IFERROR(IF(VLOOKUP(B354,Baza[[№]:[Profit]],16,0)=0,"-",VLOOKUP(B354,Baza[[№]:[Profit]],16,0)),"")</f>
        <v/>
      </c>
      <c r="S354" s="43" t="str">
        <f>IFERROR(IF(VLOOKUP(B354,Baza[[№]:[Profit]],17,0)=0,"-",VLOOKUP(B354,Baza[[№]:[Profit]],17,0)),"")</f>
        <v/>
      </c>
      <c r="T354" s="43" t="str">
        <f>IFERROR(IF(VLOOKUP(B354,Baza[[№]:[Profit]],18,0)=0,"-",VLOOKUP(B354,Baza[[№]:[Profit]],18,0)),"")</f>
        <v/>
      </c>
      <c r="U354" s="41" t="str">
        <f>IFERROR(IF(VLOOKUP(B354,Baza[[№]:[Profit]],19,0)=0,"-",VLOOKUP(B354,Baza[[№]:[Profit]],19,0)),"")</f>
        <v/>
      </c>
      <c r="V354" s="41" t="str">
        <f>IFERROR(VLOOKUP(B354,Baza[[№]:[Profit]],20,0),"")</f>
        <v/>
      </c>
      <c r="W354" s="41" t="str">
        <f>IFERROR(IF(VLOOKUP(B354,Baza[[№]:[Profit]],21,0)=0,"-",VLOOKUP(B354,Baza[[№]:[Profit]],21,0)),"")</f>
        <v/>
      </c>
      <c r="X354" s="45" t="str">
        <f>IFERROR(IF(VLOOKUP(B354,Baza[[№]:[Profit]],22,0)=0,"-",VLOOKUP(B354,Baza[[№]:[Profit]],22,0)),"")</f>
        <v/>
      </c>
      <c r="Y354" s="45" t="str">
        <f>IFERROR(VLOOKUP(B354,Baza[[№]:[Profit]],23,0),"")</f>
        <v/>
      </c>
      <c r="Z354" s="44" t="str">
        <f>IFERROR(VLOOKUP(B354,Baza[[№]:[AFS]],24,0),"")</f>
        <v/>
      </c>
      <c r="AA354" s="45" t="str">
        <f>IF(Таблица2[[#This Row],[Profit]]="","#Н/Д",SUM($Y$40:Y354))</f>
        <v>#Н/Д</v>
      </c>
      <c r="AB354" s="45" t="b">
        <f>IF(Таблица2[[#This Row],[Grafik]]="#Н/Д",FALSE,TRUE)</f>
        <v>0</v>
      </c>
    </row>
    <row r="355" spans="2:28" ht="11.1" hidden="1" customHeight="1" x14ac:dyDescent="0.25">
      <c r="B355"/>
      <c r="C355" s="41" t="str">
        <f>IFERROR(VLOOKUP(B355,Baza[[№]:[Profit]],2,0),"")</f>
        <v/>
      </c>
      <c r="D35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5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55" s="43" t="str">
        <f>IFERROR(VLOOKUP(B355,Baza[[№]:[Profit]],3,0),"")</f>
        <v/>
      </c>
      <c r="G355" s="43" t="str">
        <f>IFERROR(VLOOKUP(B355,Baza[[№]:[Profit]],4,0),"")</f>
        <v/>
      </c>
      <c r="H355" s="43" t="str">
        <f>IFERROR(VLOOKUP(B355,Baza[[№]:[Profit]],5,0),"")</f>
        <v/>
      </c>
      <c r="I355" s="46" t="str">
        <f>IFERROR(VLOOKUP(B355,Baza[[№]:[Profit]],6,0),"")</f>
        <v/>
      </c>
      <c r="J355" s="49" t="str">
        <f>IFERROR(VLOOKUP(B355,Baza[[№]:[Profit]],7,0),"")</f>
        <v/>
      </c>
      <c r="K355" s="43" t="str">
        <f>IFERROR(VLOOKUP(B355,Baza[[№]:[Profit]],8,0),"")</f>
        <v/>
      </c>
      <c r="L355" s="43" t="str">
        <f>IFERROR(VLOOKUP(B355,Baza[[№]:[Profit]],9,0),"")</f>
        <v/>
      </c>
      <c r="M355" s="43" t="str">
        <f>IFERROR(VLOOKUP(B355,Baza[[№]:[Profit]],10,0),"")</f>
        <v/>
      </c>
      <c r="N355" s="43" t="str">
        <f>IFERROR(IF(VLOOKUP(B355,Baza[[№]:[Profit]],11,0)=0,"-",VLOOKUP(B355,Baza[[№]:[Profit]],11,0)),"")</f>
        <v/>
      </c>
      <c r="O355" s="43" t="str">
        <f>IFERROR(IF(VLOOKUP(B355,Baza[[№]:[Profit]],12,0)=0,"-",VLOOKUP(B355,Baza[[№]:[Profit]],12,0)),"")</f>
        <v/>
      </c>
      <c r="P355" s="43" t="str">
        <f>IFERROR(IF(VLOOKUP(B355,Baza[[№]:[Profit]],13,0)=0,"-",VLOOKUP(B355,Baza[[№]:[Profit]],13,0)),"")</f>
        <v/>
      </c>
      <c r="Q355" s="43" t="str">
        <f>IFERROR(IF(VLOOKUP(B355,Baza[[№]:[Profit]],15,0)=0,"-",VLOOKUP(B355,Baza[[№]:[Profit]],15,0)),"")</f>
        <v/>
      </c>
      <c r="R355" s="43" t="str">
        <f>IFERROR(IF(VLOOKUP(B355,Baza[[№]:[Profit]],16,0)=0,"-",VLOOKUP(B355,Baza[[№]:[Profit]],16,0)),"")</f>
        <v/>
      </c>
      <c r="S355" s="43" t="str">
        <f>IFERROR(IF(VLOOKUP(B355,Baza[[№]:[Profit]],17,0)=0,"-",VLOOKUP(B355,Baza[[№]:[Profit]],17,0)),"")</f>
        <v/>
      </c>
      <c r="T355" s="43" t="str">
        <f>IFERROR(IF(VLOOKUP(B355,Baza[[№]:[Profit]],18,0)=0,"-",VLOOKUP(B355,Baza[[№]:[Profit]],18,0)),"")</f>
        <v/>
      </c>
      <c r="U355" s="41" t="str">
        <f>IFERROR(IF(VLOOKUP(B355,Baza[[№]:[Profit]],19,0)=0,"-",VLOOKUP(B355,Baza[[№]:[Profit]],19,0)),"")</f>
        <v/>
      </c>
      <c r="V355" s="41" t="str">
        <f>IFERROR(VLOOKUP(B355,Baza[[№]:[Profit]],20,0),"")</f>
        <v/>
      </c>
      <c r="W355" s="41" t="str">
        <f>IFERROR(IF(VLOOKUP(B355,Baza[[№]:[Profit]],21,0)=0,"-",VLOOKUP(B355,Baza[[№]:[Profit]],21,0)),"")</f>
        <v/>
      </c>
      <c r="X355" s="45" t="str">
        <f>IFERROR(IF(VLOOKUP(B355,Baza[[№]:[Profit]],22,0)=0,"-",VLOOKUP(B355,Baza[[№]:[Profit]],22,0)),"")</f>
        <v/>
      </c>
      <c r="Y355" s="45" t="str">
        <f>IFERROR(VLOOKUP(B355,Baza[[№]:[Profit]],23,0),"")</f>
        <v/>
      </c>
      <c r="Z355" s="44" t="str">
        <f>IFERROR(VLOOKUP(B355,Baza[[№]:[AFS]],24,0),"")</f>
        <v/>
      </c>
      <c r="AA355" s="45" t="str">
        <f>IF(Таблица2[[#This Row],[Profit]]="","#Н/Д",SUM($Y$40:Y355))</f>
        <v>#Н/Д</v>
      </c>
      <c r="AB355" s="45" t="b">
        <f>IF(Таблица2[[#This Row],[Grafik]]="#Н/Д",FALSE,TRUE)</f>
        <v>0</v>
      </c>
    </row>
    <row r="356" spans="2:28" ht="11.1" hidden="1" customHeight="1" x14ac:dyDescent="0.25">
      <c r="B356"/>
      <c r="C356" s="41" t="str">
        <f>IFERROR(VLOOKUP(B356,Baza[[№]:[Profit]],2,0),"")</f>
        <v/>
      </c>
      <c r="D35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5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56" s="43" t="str">
        <f>IFERROR(VLOOKUP(B356,Baza[[№]:[Profit]],3,0),"")</f>
        <v/>
      </c>
      <c r="G356" s="43" t="str">
        <f>IFERROR(VLOOKUP(B356,Baza[[№]:[Profit]],4,0),"")</f>
        <v/>
      </c>
      <c r="H356" s="43" t="str">
        <f>IFERROR(VLOOKUP(B356,Baza[[№]:[Profit]],5,0),"")</f>
        <v/>
      </c>
      <c r="I356" s="46" t="str">
        <f>IFERROR(VLOOKUP(B356,Baza[[№]:[Profit]],6,0),"")</f>
        <v/>
      </c>
      <c r="J356" s="49" t="str">
        <f>IFERROR(VLOOKUP(B356,Baza[[№]:[Profit]],7,0),"")</f>
        <v/>
      </c>
      <c r="K356" s="43" t="str">
        <f>IFERROR(VLOOKUP(B356,Baza[[№]:[Profit]],8,0),"")</f>
        <v/>
      </c>
      <c r="L356" s="43" t="str">
        <f>IFERROR(VLOOKUP(B356,Baza[[№]:[Profit]],9,0),"")</f>
        <v/>
      </c>
      <c r="M356" s="43" t="str">
        <f>IFERROR(VLOOKUP(B356,Baza[[№]:[Profit]],10,0),"")</f>
        <v/>
      </c>
      <c r="N356" s="43" t="str">
        <f>IFERROR(IF(VLOOKUP(B356,Baza[[№]:[Profit]],11,0)=0,"-",VLOOKUP(B356,Baza[[№]:[Profit]],11,0)),"")</f>
        <v/>
      </c>
      <c r="O356" s="43" t="str">
        <f>IFERROR(IF(VLOOKUP(B356,Baza[[№]:[Profit]],12,0)=0,"-",VLOOKUP(B356,Baza[[№]:[Profit]],12,0)),"")</f>
        <v/>
      </c>
      <c r="P356" s="43" t="str">
        <f>IFERROR(IF(VLOOKUP(B356,Baza[[№]:[Profit]],13,0)=0,"-",VLOOKUP(B356,Baza[[№]:[Profit]],13,0)),"")</f>
        <v/>
      </c>
      <c r="Q356" s="43" t="str">
        <f>IFERROR(IF(VLOOKUP(B356,Baza[[№]:[Profit]],15,0)=0,"-",VLOOKUP(B356,Baza[[№]:[Profit]],15,0)),"")</f>
        <v/>
      </c>
      <c r="R356" s="43" t="str">
        <f>IFERROR(IF(VLOOKUP(B356,Baza[[№]:[Profit]],16,0)=0,"-",VLOOKUP(B356,Baza[[№]:[Profit]],16,0)),"")</f>
        <v/>
      </c>
      <c r="S356" s="43" t="str">
        <f>IFERROR(IF(VLOOKUP(B356,Baza[[№]:[Profit]],17,0)=0,"-",VLOOKUP(B356,Baza[[№]:[Profit]],17,0)),"")</f>
        <v/>
      </c>
      <c r="T356" s="43" t="str">
        <f>IFERROR(IF(VLOOKUP(B356,Baza[[№]:[Profit]],18,0)=0,"-",VLOOKUP(B356,Baza[[№]:[Profit]],18,0)),"")</f>
        <v/>
      </c>
      <c r="U356" s="41" t="str">
        <f>IFERROR(IF(VLOOKUP(B356,Baza[[№]:[Profit]],19,0)=0,"-",VLOOKUP(B356,Baza[[№]:[Profit]],19,0)),"")</f>
        <v/>
      </c>
      <c r="V356" s="41" t="str">
        <f>IFERROR(VLOOKUP(B356,Baza[[№]:[Profit]],20,0),"")</f>
        <v/>
      </c>
      <c r="W356" s="41" t="str">
        <f>IFERROR(IF(VLOOKUP(B356,Baza[[№]:[Profit]],21,0)=0,"-",VLOOKUP(B356,Baza[[№]:[Profit]],21,0)),"")</f>
        <v/>
      </c>
      <c r="X356" s="45" t="str">
        <f>IFERROR(IF(VLOOKUP(B356,Baza[[№]:[Profit]],22,0)=0,"-",VLOOKUP(B356,Baza[[№]:[Profit]],22,0)),"")</f>
        <v/>
      </c>
      <c r="Y356" s="45" t="str">
        <f>IFERROR(VLOOKUP(B356,Baza[[№]:[Profit]],23,0),"")</f>
        <v/>
      </c>
      <c r="Z356" s="44" t="str">
        <f>IFERROR(VLOOKUP(B356,Baza[[№]:[AFS]],24,0),"")</f>
        <v/>
      </c>
      <c r="AA356" s="45" t="str">
        <f>IF(Таблица2[[#This Row],[Profit]]="","#Н/Д",SUM($Y$40:Y356))</f>
        <v>#Н/Д</v>
      </c>
      <c r="AB356" s="45" t="b">
        <f>IF(Таблица2[[#This Row],[Grafik]]="#Н/Д",FALSE,TRUE)</f>
        <v>0</v>
      </c>
    </row>
    <row r="357" spans="2:28" ht="11.1" hidden="1" customHeight="1" x14ac:dyDescent="0.25">
      <c r="B357"/>
      <c r="C357" s="41" t="str">
        <f>IFERROR(VLOOKUP(B357,Baza[[№]:[Profit]],2,0),"")</f>
        <v/>
      </c>
      <c r="D35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5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57" s="43" t="str">
        <f>IFERROR(VLOOKUP(B357,Baza[[№]:[Profit]],3,0),"")</f>
        <v/>
      </c>
      <c r="G357" s="43" t="str">
        <f>IFERROR(VLOOKUP(B357,Baza[[№]:[Profit]],4,0),"")</f>
        <v/>
      </c>
      <c r="H357" s="43" t="str">
        <f>IFERROR(VLOOKUP(B357,Baza[[№]:[Profit]],5,0),"")</f>
        <v/>
      </c>
      <c r="I357" s="46" t="str">
        <f>IFERROR(VLOOKUP(B357,Baza[[№]:[Profit]],6,0),"")</f>
        <v/>
      </c>
      <c r="J357" s="49" t="str">
        <f>IFERROR(VLOOKUP(B357,Baza[[№]:[Profit]],7,0),"")</f>
        <v/>
      </c>
      <c r="K357" s="43" t="str">
        <f>IFERROR(VLOOKUP(B357,Baza[[№]:[Profit]],8,0),"")</f>
        <v/>
      </c>
      <c r="L357" s="43" t="str">
        <f>IFERROR(VLOOKUP(B357,Baza[[№]:[Profit]],9,0),"")</f>
        <v/>
      </c>
      <c r="M357" s="43" t="str">
        <f>IFERROR(VLOOKUP(B357,Baza[[№]:[Profit]],10,0),"")</f>
        <v/>
      </c>
      <c r="N357" s="43" t="str">
        <f>IFERROR(IF(VLOOKUP(B357,Baza[[№]:[Profit]],11,0)=0,"-",VLOOKUP(B357,Baza[[№]:[Profit]],11,0)),"")</f>
        <v/>
      </c>
      <c r="O357" s="43" t="str">
        <f>IFERROR(IF(VLOOKUP(B357,Baza[[№]:[Profit]],12,0)=0,"-",VLOOKUP(B357,Baza[[№]:[Profit]],12,0)),"")</f>
        <v/>
      </c>
      <c r="P357" s="43" t="str">
        <f>IFERROR(IF(VLOOKUP(B357,Baza[[№]:[Profit]],13,0)=0,"-",VLOOKUP(B357,Baza[[№]:[Profit]],13,0)),"")</f>
        <v/>
      </c>
      <c r="Q357" s="43" t="str">
        <f>IFERROR(IF(VLOOKUP(B357,Baza[[№]:[Profit]],15,0)=0,"-",VLOOKUP(B357,Baza[[№]:[Profit]],15,0)),"")</f>
        <v/>
      </c>
      <c r="R357" s="43" t="str">
        <f>IFERROR(IF(VLOOKUP(B357,Baza[[№]:[Profit]],16,0)=0,"-",VLOOKUP(B357,Baza[[№]:[Profit]],16,0)),"")</f>
        <v/>
      </c>
      <c r="S357" s="43" t="str">
        <f>IFERROR(IF(VLOOKUP(B357,Baza[[№]:[Profit]],17,0)=0,"-",VLOOKUP(B357,Baza[[№]:[Profit]],17,0)),"")</f>
        <v/>
      </c>
      <c r="T357" s="43" t="str">
        <f>IFERROR(IF(VLOOKUP(B357,Baza[[№]:[Profit]],18,0)=0,"-",VLOOKUP(B357,Baza[[№]:[Profit]],18,0)),"")</f>
        <v/>
      </c>
      <c r="U357" s="41" t="str">
        <f>IFERROR(IF(VLOOKUP(B357,Baza[[№]:[Profit]],19,0)=0,"-",VLOOKUP(B357,Baza[[№]:[Profit]],19,0)),"")</f>
        <v/>
      </c>
      <c r="V357" s="41" t="str">
        <f>IFERROR(VLOOKUP(B357,Baza[[№]:[Profit]],20,0),"")</f>
        <v/>
      </c>
      <c r="W357" s="41" t="str">
        <f>IFERROR(IF(VLOOKUP(B357,Baza[[№]:[Profit]],21,0)=0,"-",VLOOKUP(B357,Baza[[№]:[Profit]],21,0)),"")</f>
        <v/>
      </c>
      <c r="X357" s="45" t="str">
        <f>IFERROR(IF(VLOOKUP(B357,Baza[[№]:[Profit]],22,0)=0,"-",VLOOKUP(B357,Baza[[№]:[Profit]],22,0)),"")</f>
        <v/>
      </c>
      <c r="Y357" s="45" t="str">
        <f>IFERROR(VLOOKUP(B357,Baza[[№]:[Profit]],23,0),"")</f>
        <v/>
      </c>
      <c r="Z357" s="44" t="str">
        <f>IFERROR(VLOOKUP(B357,Baza[[№]:[AFS]],24,0),"")</f>
        <v/>
      </c>
      <c r="AA357" s="45" t="str">
        <f>IF(Таблица2[[#This Row],[Profit]]="","#Н/Д",SUM($Y$40:Y357))</f>
        <v>#Н/Д</v>
      </c>
      <c r="AB357" s="45" t="b">
        <f>IF(Таблица2[[#This Row],[Grafik]]="#Н/Д",FALSE,TRUE)</f>
        <v>0</v>
      </c>
    </row>
    <row r="358" spans="2:28" ht="11.1" hidden="1" customHeight="1" x14ac:dyDescent="0.25">
      <c r="B358"/>
      <c r="C358" s="41" t="str">
        <f>IFERROR(VLOOKUP(B358,Baza[[№]:[Profit]],2,0),"")</f>
        <v/>
      </c>
      <c r="D35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5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58" s="43" t="str">
        <f>IFERROR(VLOOKUP(B358,Baza[[№]:[Profit]],3,0),"")</f>
        <v/>
      </c>
      <c r="G358" s="43" t="str">
        <f>IFERROR(VLOOKUP(B358,Baza[[№]:[Profit]],4,0),"")</f>
        <v/>
      </c>
      <c r="H358" s="43" t="str">
        <f>IFERROR(VLOOKUP(B358,Baza[[№]:[Profit]],5,0),"")</f>
        <v/>
      </c>
      <c r="I358" s="46" t="str">
        <f>IFERROR(VLOOKUP(B358,Baza[[№]:[Profit]],6,0),"")</f>
        <v/>
      </c>
      <c r="J358" s="49" t="str">
        <f>IFERROR(VLOOKUP(B358,Baza[[№]:[Profit]],7,0),"")</f>
        <v/>
      </c>
      <c r="K358" s="43" t="str">
        <f>IFERROR(VLOOKUP(B358,Baza[[№]:[Profit]],8,0),"")</f>
        <v/>
      </c>
      <c r="L358" s="43" t="str">
        <f>IFERROR(VLOOKUP(B358,Baza[[№]:[Profit]],9,0),"")</f>
        <v/>
      </c>
      <c r="M358" s="43" t="str">
        <f>IFERROR(VLOOKUP(B358,Baza[[№]:[Profit]],10,0),"")</f>
        <v/>
      </c>
      <c r="N358" s="43" t="str">
        <f>IFERROR(IF(VLOOKUP(B358,Baza[[№]:[Profit]],11,0)=0,"-",VLOOKUP(B358,Baza[[№]:[Profit]],11,0)),"")</f>
        <v/>
      </c>
      <c r="O358" s="43" t="str">
        <f>IFERROR(IF(VLOOKUP(B358,Baza[[№]:[Profit]],12,0)=0,"-",VLOOKUP(B358,Baza[[№]:[Profit]],12,0)),"")</f>
        <v/>
      </c>
      <c r="P358" s="43" t="str">
        <f>IFERROR(IF(VLOOKUP(B358,Baza[[№]:[Profit]],13,0)=0,"-",VLOOKUP(B358,Baza[[№]:[Profit]],13,0)),"")</f>
        <v/>
      </c>
      <c r="Q358" s="43" t="str">
        <f>IFERROR(IF(VLOOKUP(B358,Baza[[№]:[Profit]],15,0)=0,"-",VLOOKUP(B358,Baza[[№]:[Profit]],15,0)),"")</f>
        <v/>
      </c>
      <c r="R358" s="43" t="str">
        <f>IFERROR(IF(VLOOKUP(B358,Baza[[№]:[Profit]],16,0)=0,"-",VLOOKUP(B358,Baza[[№]:[Profit]],16,0)),"")</f>
        <v/>
      </c>
      <c r="S358" s="43" t="str">
        <f>IFERROR(IF(VLOOKUP(B358,Baza[[№]:[Profit]],17,0)=0,"-",VLOOKUP(B358,Baza[[№]:[Profit]],17,0)),"")</f>
        <v/>
      </c>
      <c r="T358" s="43" t="str">
        <f>IFERROR(IF(VLOOKUP(B358,Baza[[№]:[Profit]],18,0)=0,"-",VLOOKUP(B358,Baza[[№]:[Profit]],18,0)),"")</f>
        <v/>
      </c>
      <c r="U358" s="41" t="str">
        <f>IFERROR(IF(VLOOKUP(B358,Baza[[№]:[Profit]],19,0)=0,"-",VLOOKUP(B358,Baza[[№]:[Profit]],19,0)),"")</f>
        <v/>
      </c>
      <c r="V358" s="41" t="str">
        <f>IFERROR(VLOOKUP(B358,Baza[[№]:[Profit]],20,0),"")</f>
        <v/>
      </c>
      <c r="W358" s="41" t="str">
        <f>IFERROR(IF(VLOOKUP(B358,Baza[[№]:[Profit]],21,0)=0,"-",VLOOKUP(B358,Baza[[№]:[Profit]],21,0)),"")</f>
        <v/>
      </c>
      <c r="X358" s="45" t="str">
        <f>IFERROR(IF(VLOOKUP(B358,Baza[[№]:[Profit]],22,0)=0,"-",VLOOKUP(B358,Baza[[№]:[Profit]],22,0)),"")</f>
        <v/>
      </c>
      <c r="Y358" s="45" t="str">
        <f>IFERROR(VLOOKUP(B358,Baza[[№]:[Profit]],23,0),"")</f>
        <v/>
      </c>
      <c r="Z358" s="44" t="str">
        <f>IFERROR(VLOOKUP(B358,Baza[[№]:[AFS]],24,0),"")</f>
        <v/>
      </c>
      <c r="AA358" s="45" t="str">
        <f>IF(Таблица2[[#This Row],[Profit]]="","#Н/Д",SUM($Y$40:Y358))</f>
        <v>#Н/Д</v>
      </c>
      <c r="AB358" s="45" t="b">
        <f>IF(Таблица2[[#This Row],[Grafik]]="#Н/Д",FALSE,TRUE)</f>
        <v>0</v>
      </c>
    </row>
    <row r="359" spans="2:28" ht="11.1" hidden="1" customHeight="1" x14ac:dyDescent="0.25">
      <c r="B359"/>
      <c r="C359" s="41" t="str">
        <f>IFERROR(VLOOKUP(B359,Baza[[№]:[Profit]],2,0),"")</f>
        <v/>
      </c>
      <c r="D35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5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59" s="43" t="str">
        <f>IFERROR(VLOOKUP(B359,Baza[[№]:[Profit]],3,0),"")</f>
        <v/>
      </c>
      <c r="G359" s="43" t="str">
        <f>IFERROR(VLOOKUP(B359,Baza[[№]:[Profit]],4,0),"")</f>
        <v/>
      </c>
      <c r="H359" s="43" t="str">
        <f>IFERROR(VLOOKUP(B359,Baza[[№]:[Profit]],5,0),"")</f>
        <v/>
      </c>
      <c r="I359" s="46" t="str">
        <f>IFERROR(VLOOKUP(B359,Baza[[№]:[Profit]],6,0),"")</f>
        <v/>
      </c>
      <c r="J359" s="49" t="str">
        <f>IFERROR(VLOOKUP(B359,Baza[[№]:[Profit]],7,0),"")</f>
        <v/>
      </c>
      <c r="K359" s="43" t="str">
        <f>IFERROR(VLOOKUP(B359,Baza[[№]:[Profit]],8,0),"")</f>
        <v/>
      </c>
      <c r="L359" s="43" t="str">
        <f>IFERROR(VLOOKUP(B359,Baza[[№]:[Profit]],9,0),"")</f>
        <v/>
      </c>
      <c r="M359" s="43" t="str">
        <f>IFERROR(VLOOKUP(B359,Baza[[№]:[Profit]],10,0),"")</f>
        <v/>
      </c>
      <c r="N359" s="43" t="str">
        <f>IFERROR(IF(VLOOKUP(B359,Baza[[№]:[Profit]],11,0)=0,"-",VLOOKUP(B359,Baza[[№]:[Profit]],11,0)),"")</f>
        <v/>
      </c>
      <c r="O359" s="43" t="str">
        <f>IFERROR(IF(VLOOKUP(B359,Baza[[№]:[Profit]],12,0)=0,"-",VLOOKUP(B359,Baza[[№]:[Profit]],12,0)),"")</f>
        <v/>
      </c>
      <c r="P359" s="43" t="str">
        <f>IFERROR(IF(VLOOKUP(B359,Baza[[№]:[Profit]],13,0)=0,"-",VLOOKUP(B359,Baza[[№]:[Profit]],13,0)),"")</f>
        <v/>
      </c>
      <c r="Q359" s="43" t="str">
        <f>IFERROR(IF(VLOOKUP(B359,Baza[[№]:[Profit]],15,0)=0,"-",VLOOKUP(B359,Baza[[№]:[Profit]],15,0)),"")</f>
        <v/>
      </c>
      <c r="R359" s="43" t="str">
        <f>IFERROR(IF(VLOOKUP(B359,Baza[[№]:[Profit]],16,0)=0,"-",VLOOKUP(B359,Baza[[№]:[Profit]],16,0)),"")</f>
        <v/>
      </c>
      <c r="S359" s="43" t="str">
        <f>IFERROR(IF(VLOOKUP(B359,Baza[[№]:[Profit]],17,0)=0,"-",VLOOKUP(B359,Baza[[№]:[Profit]],17,0)),"")</f>
        <v/>
      </c>
      <c r="T359" s="43" t="str">
        <f>IFERROR(IF(VLOOKUP(B359,Baza[[№]:[Profit]],18,0)=0,"-",VLOOKUP(B359,Baza[[№]:[Profit]],18,0)),"")</f>
        <v/>
      </c>
      <c r="U359" s="41" t="str">
        <f>IFERROR(IF(VLOOKUP(B359,Baza[[№]:[Profit]],19,0)=0,"-",VLOOKUP(B359,Baza[[№]:[Profit]],19,0)),"")</f>
        <v/>
      </c>
      <c r="V359" s="41" t="str">
        <f>IFERROR(VLOOKUP(B359,Baza[[№]:[Profit]],20,0),"")</f>
        <v/>
      </c>
      <c r="W359" s="41" t="str">
        <f>IFERROR(IF(VLOOKUP(B359,Baza[[№]:[Profit]],21,0)=0,"-",VLOOKUP(B359,Baza[[№]:[Profit]],21,0)),"")</f>
        <v/>
      </c>
      <c r="X359" s="45" t="str">
        <f>IFERROR(IF(VLOOKUP(B359,Baza[[№]:[Profit]],22,0)=0,"-",VLOOKUP(B359,Baza[[№]:[Profit]],22,0)),"")</f>
        <v/>
      </c>
      <c r="Y359" s="45" t="str">
        <f>IFERROR(VLOOKUP(B359,Baza[[№]:[Profit]],23,0),"")</f>
        <v/>
      </c>
      <c r="Z359" s="44" t="str">
        <f>IFERROR(VLOOKUP(B359,Baza[[№]:[AFS]],24,0),"")</f>
        <v/>
      </c>
      <c r="AA359" s="45" t="str">
        <f>IF(Таблица2[[#This Row],[Profit]]="","#Н/Д",SUM($Y$40:Y359))</f>
        <v>#Н/Д</v>
      </c>
      <c r="AB359" s="45" t="b">
        <f>IF(Таблица2[[#This Row],[Grafik]]="#Н/Д",FALSE,TRUE)</f>
        <v>0</v>
      </c>
    </row>
    <row r="360" spans="2:28" ht="11.1" hidden="1" customHeight="1" x14ac:dyDescent="0.25">
      <c r="B360"/>
      <c r="C360" s="41" t="str">
        <f>IFERROR(VLOOKUP(B360,Baza[[№]:[Profit]],2,0),"")</f>
        <v/>
      </c>
      <c r="D36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6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60" s="43" t="str">
        <f>IFERROR(VLOOKUP(B360,Baza[[№]:[Profit]],3,0),"")</f>
        <v/>
      </c>
      <c r="G360" s="43" t="str">
        <f>IFERROR(VLOOKUP(B360,Baza[[№]:[Profit]],4,0),"")</f>
        <v/>
      </c>
      <c r="H360" s="43" t="str">
        <f>IFERROR(VLOOKUP(B360,Baza[[№]:[Profit]],5,0),"")</f>
        <v/>
      </c>
      <c r="I360" s="46" t="str">
        <f>IFERROR(VLOOKUP(B360,Baza[[№]:[Profit]],6,0),"")</f>
        <v/>
      </c>
      <c r="J360" s="49" t="str">
        <f>IFERROR(VLOOKUP(B360,Baza[[№]:[Profit]],7,0),"")</f>
        <v/>
      </c>
      <c r="K360" s="43" t="str">
        <f>IFERROR(VLOOKUP(B360,Baza[[№]:[Profit]],8,0),"")</f>
        <v/>
      </c>
      <c r="L360" s="43" t="str">
        <f>IFERROR(VLOOKUP(B360,Baza[[№]:[Profit]],9,0),"")</f>
        <v/>
      </c>
      <c r="M360" s="43" t="str">
        <f>IFERROR(VLOOKUP(B360,Baza[[№]:[Profit]],10,0),"")</f>
        <v/>
      </c>
      <c r="N360" s="43" t="str">
        <f>IFERROR(IF(VLOOKUP(B360,Baza[[№]:[Profit]],11,0)=0,"-",VLOOKUP(B360,Baza[[№]:[Profit]],11,0)),"")</f>
        <v/>
      </c>
      <c r="O360" s="43" t="str">
        <f>IFERROR(IF(VLOOKUP(B360,Baza[[№]:[Profit]],12,0)=0,"-",VLOOKUP(B360,Baza[[№]:[Profit]],12,0)),"")</f>
        <v/>
      </c>
      <c r="P360" s="43" t="str">
        <f>IFERROR(IF(VLOOKUP(B360,Baza[[№]:[Profit]],13,0)=0,"-",VLOOKUP(B360,Baza[[№]:[Profit]],13,0)),"")</f>
        <v/>
      </c>
      <c r="Q360" s="43" t="str">
        <f>IFERROR(IF(VLOOKUP(B360,Baza[[№]:[Profit]],15,0)=0,"-",VLOOKUP(B360,Baza[[№]:[Profit]],15,0)),"")</f>
        <v/>
      </c>
      <c r="R360" s="43" t="str">
        <f>IFERROR(IF(VLOOKUP(B360,Baza[[№]:[Profit]],16,0)=0,"-",VLOOKUP(B360,Baza[[№]:[Profit]],16,0)),"")</f>
        <v/>
      </c>
      <c r="S360" s="43" t="str">
        <f>IFERROR(IF(VLOOKUP(B360,Baza[[№]:[Profit]],17,0)=0,"-",VLOOKUP(B360,Baza[[№]:[Profit]],17,0)),"")</f>
        <v/>
      </c>
      <c r="T360" s="43" t="str">
        <f>IFERROR(IF(VLOOKUP(B360,Baza[[№]:[Profit]],18,0)=0,"-",VLOOKUP(B360,Baza[[№]:[Profit]],18,0)),"")</f>
        <v/>
      </c>
      <c r="U360" s="41" t="str">
        <f>IFERROR(IF(VLOOKUP(B360,Baza[[№]:[Profit]],19,0)=0,"-",VLOOKUP(B360,Baza[[№]:[Profit]],19,0)),"")</f>
        <v/>
      </c>
      <c r="V360" s="41" t="str">
        <f>IFERROR(VLOOKUP(B360,Baza[[№]:[Profit]],20,0),"")</f>
        <v/>
      </c>
      <c r="W360" s="41" t="str">
        <f>IFERROR(IF(VLOOKUP(B360,Baza[[№]:[Profit]],21,0)=0,"-",VLOOKUP(B360,Baza[[№]:[Profit]],21,0)),"")</f>
        <v/>
      </c>
      <c r="X360" s="45" t="str">
        <f>IFERROR(IF(VLOOKUP(B360,Baza[[№]:[Profit]],22,0)=0,"-",VLOOKUP(B360,Baza[[№]:[Profit]],22,0)),"")</f>
        <v/>
      </c>
      <c r="Y360" s="45" t="str">
        <f>IFERROR(VLOOKUP(B360,Baza[[№]:[Profit]],23,0),"")</f>
        <v/>
      </c>
      <c r="Z360" s="44" t="str">
        <f>IFERROR(VLOOKUP(B360,Baza[[№]:[AFS]],24,0),"")</f>
        <v/>
      </c>
      <c r="AA360" s="45" t="str">
        <f>IF(Таблица2[[#This Row],[Profit]]="","#Н/Д",SUM($Y$40:Y360))</f>
        <v>#Н/Д</v>
      </c>
      <c r="AB360" s="45" t="b">
        <f>IF(Таблица2[[#This Row],[Grafik]]="#Н/Д",FALSE,TRUE)</f>
        <v>0</v>
      </c>
    </row>
    <row r="361" spans="2:28" ht="11.1" hidden="1" customHeight="1" x14ac:dyDescent="0.25">
      <c r="B361"/>
      <c r="C361" s="41" t="str">
        <f>IFERROR(VLOOKUP(B361,Baza[[№]:[Profit]],2,0),"")</f>
        <v/>
      </c>
      <c r="D36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6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61" s="43" t="str">
        <f>IFERROR(VLOOKUP(B361,Baza[[№]:[Profit]],3,0),"")</f>
        <v/>
      </c>
      <c r="G361" s="43" t="str">
        <f>IFERROR(VLOOKUP(B361,Baza[[№]:[Profit]],4,0),"")</f>
        <v/>
      </c>
      <c r="H361" s="43" t="str">
        <f>IFERROR(VLOOKUP(B361,Baza[[№]:[Profit]],5,0),"")</f>
        <v/>
      </c>
      <c r="I361" s="46" t="str">
        <f>IFERROR(VLOOKUP(B361,Baza[[№]:[Profit]],6,0),"")</f>
        <v/>
      </c>
      <c r="J361" s="49" t="str">
        <f>IFERROR(VLOOKUP(B361,Baza[[№]:[Profit]],7,0),"")</f>
        <v/>
      </c>
      <c r="K361" s="43" t="str">
        <f>IFERROR(VLOOKUP(B361,Baza[[№]:[Profit]],8,0),"")</f>
        <v/>
      </c>
      <c r="L361" s="43" t="str">
        <f>IFERROR(VLOOKUP(B361,Baza[[№]:[Profit]],9,0),"")</f>
        <v/>
      </c>
      <c r="M361" s="43" t="str">
        <f>IFERROR(VLOOKUP(B361,Baza[[№]:[Profit]],10,0),"")</f>
        <v/>
      </c>
      <c r="N361" s="43" t="str">
        <f>IFERROR(IF(VLOOKUP(B361,Baza[[№]:[Profit]],11,0)=0,"-",VLOOKUP(B361,Baza[[№]:[Profit]],11,0)),"")</f>
        <v/>
      </c>
      <c r="O361" s="43" t="str">
        <f>IFERROR(IF(VLOOKUP(B361,Baza[[№]:[Profit]],12,0)=0,"-",VLOOKUP(B361,Baza[[№]:[Profit]],12,0)),"")</f>
        <v/>
      </c>
      <c r="P361" s="43" t="str">
        <f>IFERROR(IF(VLOOKUP(B361,Baza[[№]:[Profit]],13,0)=0,"-",VLOOKUP(B361,Baza[[№]:[Profit]],13,0)),"")</f>
        <v/>
      </c>
      <c r="Q361" s="43" t="str">
        <f>IFERROR(IF(VLOOKUP(B361,Baza[[№]:[Profit]],15,0)=0,"-",VLOOKUP(B361,Baza[[№]:[Profit]],15,0)),"")</f>
        <v/>
      </c>
      <c r="R361" s="43" t="str">
        <f>IFERROR(IF(VLOOKUP(B361,Baza[[№]:[Profit]],16,0)=0,"-",VLOOKUP(B361,Baza[[№]:[Profit]],16,0)),"")</f>
        <v/>
      </c>
      <c r="S361" s="43" t="str">
        <f>IFERROR(IF(VLOOKUP(B361,Baza[[№]:[Profit]],17,0)=0,"-",VLOOKUP(B361,Baza[[№]:[Profit]],17,0)),"")</f>
        <v/>
      </c>
      <c r="T361" s="43" t="str">
        <f>IFERROR(IF(VLOOKUP(B361,Baza[[№]:[Profit]],18,0)=0,"-",VLOOKUP(B361,Baza[[№]:[Profit]],18,0)),"")</f>
        <v/>
      </c>
      <c r="U361" s="41" t="str">
        <f>IFERROR(IF(VLOOKUP(B361,Baza[[№]:[Profit]],19,0)=0,"-",VLOOKUP(B361,Baza[[№]:[Profit]],19,0)),"")</f>
        <v/>
      </c>
      <c r="V361" s="41" t="str">
        <f>IFERROR(VLOOKUP(B361,Baza[[№]:[Profit]],20,0),"")</f>
        <v/>
      </c>
      <c r="W361" s="41" t="str">
        <f>IFERROR(IF(VLOOKUP(B361,Baza[[№]:[Profit]],21,0)=0,"-",VLOOKUP(B361,Baza[[№]:[Profit]],21,0)),"")</f>
        <v/>
      </c>
      <c r="X361" s="45" t="str">
        <f>IFERROR(IF(VLOOKUP(B361,Baza[[№]:[Profit]],22,0)=0,"-",VLOOKUP(B361,Baza[[№]:[Profit]],22,0)),"")</f>
        <v/>
      </c>
      <c r="Y361" s="45" t="str">
        <f>IFERROR(VLOOKUP(B361,Baza[[№]:[Profit]],23,0),"")</f>
        <v/>
      </c>
      <c r="Z361" s="44" t="str">
        <f>IFERROR(VLOOKUP(B361,Baza[[№]:[AFS]],24,0),"")</f>
        <v/>
      </c>
      <c r="AA361" s="45" t="str">
        <f>IF(Таблица2[[#This Row],[Profit]]="","#Н/Д",SUM($Y$40:Y361))</f>
        <v>#Н/Д</v>
      </c>
      <c r="AB361" s="45" t="b">
        <f>IF(Таблица2[[#This Row],[Grafik]]="#Н/Д",FALSE,TRUE)</f>
        <v>0</v>
      </c>
    </row>
    <row r="362" spans="2:28" ht="11.1" hidden="1" customHeight="1" x14ac:dyDescent="0.25">
      <c r="B362"/>
      <c r="C362" s="41" t="str">
        <f>IFERROR(VLOOKUP(B362,Baza[[№]:[Profit]],2,0),"")</f>
        <v/>
      </c>
      <c r="D36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6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62" s="43" t="str">
        <f>IFERROR(VLOOKUP(B362,Baza[[№]:[Profit]],3,0),"")</f>
        <v/>
      </c>
      <c r="G362" s="43" t="str">
        <f>IFERROR(VLOOKUP(B362,Baza[[№]:[Profit]],4,0),"")</f>
        <v/>
      </c>
      <c r="H362" s="43" t="str">
        <f>IFERROR(VLOOKUP(B362,Baza[[№]:[Profit]],5,0),"")</f>
        <v/>
      </c>
      <c r="I362" s="46" t="str">
        <f>IFERROR(VLOOKUP(B362,Baza[[№]:[Profit]],6,0),"")</f>
        <v/>
      </c>
      <c r="J362" s="49" t="str">
        <f>IFERROR(VLOOKUP(B362,Baza[[№]:[Profit]],7,0),"")</f>
        <v/>
      </c>
      <c r="K362" s="43" t="str">
        <f>IFERROR(VLOOKUP(B362,Baza[[№]:[Profit]],8,0),"")</f>
        <v/>
      </c>
      <c r="L362" s="43" t="str">
        <f>IFERROR(VLOOKUP(B362,Baza[[№]:[Profit]],9,0),"")</f>
        <v/>
      </c>
      <c r="M362" s="43" t="str">
        <f>IFERROR(VLOOKUP(B362,Baza[[№]:[Profit]],10,0),"")</f>
        <v/>
      </c>
      <c r="N362" s="43" t="str">
        <f>IFERROR(IF(VLOOKUP(B362,Baza[[№]:[Profit]],11,0)=0,"-",VLOOKUP(B362,Baza[[№]:[Profit]],11,0)),"")</f>
        <v/>
      </c>
      <c r="O362" s="43" t="str">
        <f>IFERROR(IF(VLOOKUP(B362,Baza[[№]:[Profit]],12,0)=0,"-",VLOOKUP(B362,Baza[[№]:[Profit]],12,0)),"")</f>
        <v/>
      </c>
      <c r="P362" s="43" t="str">
        <f>IFERROR(IF(VLOOKUP(B362,Baza[[№]:[Profit]],13,0)=0,"-",VLOOKUP(B362,Baza[[№]:[Profit]],13,0)),"")</f>
        <v/>
      </c>
      <c r="Q362" s="43" t="str">
        <f>IFERROR(IF(VLOOKUP(B362,Baza[[№]:[Profit]],15,0)=0,"-",VLOOKUP(B362,Baza[[№]:[Profit]],15,0)),"")</f>
        <v/>
      </c>
      <c r="R362" s="43" t="str">
        <f>IFERROR(IF(VLOOKUP(B362,Baza[[№]:[Profit]],16,0)=0,"-",VLOOKUP(B362,Baza[[№]:[Profit]],16,0)),"")</f>
        <v/>
      </c>
      <c r="S362" s="43" t="str">
        <f>IFERROR(IF(VLOOKUP(B362,Baza[[№]:[Profit]],17,0)=0,"-",VLOOKUP(B362,Baza[[№]:[Profit]],17,0)),"")</f>
        <v/>
      </c>
      <c r="T362" s="43" t="str">
        <f>IFERROR(IF(VLOOKUP(B362,Baza[[№]:[Profit]],18,0)=0,"-",VLOOKUP(B362,Baza[[№]:[Profit]],18,0)),"")</f>
        <v/>
      </c>
      <c r="U362" s="41" t="str">
        <f>IFERROR(IF(VLOOKUP(B362,Baza[[№]:[Profit]],19,0)=0,"-",VLOOKUP(B362,Baza[[№]:[Profit]],19,0)),"")</f>
        <v/>
      </c>
      <c r="V362" s="41" t="str">
        <f>IFERROR(VLOOKUP(B362,Baza[[№]:[Profit]],20,0),"")</f>
        <v/>
      </c>
      <c r="W362" s="41" t="str">
        <f>IFERROR(IF(VLOOKUP(B362,Baza[[№]:[Profit]],21,0)=0,"-",VLOOKUP(B362,Baza[[№]:[Profit]],21,0)),"")</f>
        <v/>
      </c>
      <c r="X362" s="45" t="str">
        <f>IFERROR(IF(VLOOKUP(B362,Baza[[№]:[Profit]],22,0)=0,"-",VLOOKUP(B362,Baza[[№]:[Profit]],22,0)),"")</f>
        <v/>
      </c>
      <c r="Y362" s="45" t="str">
        <f>IFERROR(VLOOKUP(B362,Baza[[№]:[Profit]],23,0),"")</f>
        <v/>
      </c>
      <c r="Z362" s="44" t="str">
        <f>IFERROR(VLOOKUP(B362,Baza[[№]:[AFS]],24,0),"")</f>
        <v/>
      </c>
      <c r="AA362" s="45" t="str">
        <f>IF(Таблица2[[#This Row],[Profit]]="","#Н/Д",SUM($Y$40:Y362))</f>
        <v>#Н/Д</v>
      </c>
      <c r="AB362" s="45" t="b">
        <f>IF(Таблица2[[#This Row],[Grafik]]="#Н/Д",FALSE,TRUE)</f>
        <v>0</v>
      </c>
    </row>
    <row r="363" spans="2:28" ht="11.1" hidden="1" customHeight="1" x14ac:dyDescent="0.25">
      <c r="B363"/>
      <c r="C363" s="41" t="str">
        <f>IFERROR(VLOOKUP(B363,Baza[[№]:[Profit]],2,0),"")</f>
        <v/>
      </c>
      <c r="D36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6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63" s="43" t="str">
        <f>IFERROR(VLOOKUP(B363,Baza[[№]:[Profit]],3,0),"")</f>
        <v/>
      </c>
      <c r="G363" s="43" t="str">
        <f>IFERROR(VLOOKUP(B363,Baza[[№]:[Profit]],4,0),"")</f>
        <v/>
      </c>
      <c r="H363" s="43" t="str">
        <f>IFERROR(VLOOKUP(B363,Baza[[№]:[Profit]],5,0),"")</f>
        <v/>
      </c>
      <c r="I363" s="46" t="str">
        <f>IFERROR(VLOOKUP(B363,Baza[[№]:[Profit]],6,0),"")</f>
        <v/>
      </c>
      <c r="J363" s="49" t="str">
        <f>IFERROR(VLOOKUP(B363,Baza[[№]:[Profit]],7,0),"")</f>
        <v/>
      </c>
      <c r="K363" s="43" t="str">
        <f>IFERROR(VLOOKUP(B363,Baza[[№]:[Profit]],8,0),"")</f>
        <v/>
      </c>
      <c r="L363" s="43" t="str">
        <f>IFERROR(VLOOKUP(B363,Baza[[№]:[Profit]],9,0),"")</f>
        <v/>
      </c>
      <c r="M363" s="43" t="str">
        <f>IFERROR(VLOOKUP(B363,Baza[[№]:[Profit]],10,0),"")</f>
        <v/>
      </c>
      <c r="N363" s="43" t="str">
        <f>IFERROR(IF(VLOOKUP(B363,Baza[[№]:[Profit]],11,0)=0,"-",VLOOKUP(B363,Baza[[№]:[Profit]],11,0)),"")</f>
        <v/>
      </c>
      <c r="O363" s="43" t="str">
        <f>IFERROR(IF(VLOOKUP(B363,Baza[[№]:[Profit]],12,0)=0,"-",VLOOKUP(B363,Baza[[№]:[Profit]],12,0)),"")</f>
        <v/>
      </c>
      <c r="P363" s="43" t="str">
        <f>IFERROR(IF(VLOOKUP(B363,Baza[[№]:[Profit]],13,0)=0,"-",VLOOKUP(B363,Baza[[№]:[Profit]],13,0)),"")</f>
        <v/>
      </c>
      <c r="Q363" s="43" t="str">
        <f>IFERROR(IF(VLOOKUP(B363,Baza[[№]:[Profit]],15,0)=0,"-",VLOOKUP(B363,Baza[[№]:[Profit]],15,0)),"")</f>
        <v/>
      </c>
      <c r="R363" s="43" t="str">
        <f>IFERROR(IF(VLOOKUP(B363,Baza[[№]:[Profit]],16,0)=0,"-",VLOOKUP(B363,Baza[[№]:[Profit]],16,0)),"")</f>
        <v/>
      </c>
      <c r="S363" s="43" t="str">
        <f>IFERROR(IF(VLOOKUP(B363,Baza[[№]:[Profit]],17,0)=0,"-",VLOOKUP(B363,Baza[[№]:[Profit]],17,0)),"")</f>
        <v/>
      </c>
      <c r="T363" s="43" t="str">
        <f>IFERROR(IF(VLOOKUP(B363,Baza[[№]:[Profit]],18,0)=0,"-",VLOOKUP(B363,Baza[[№]:[Profit]],18,0)),"")</f>
        <v/>
      </c>
      <c r="U363" s="41" t="str">
        <f>IFERROR(IF(VLOOKUP(B363,Baza[[№]:[Profit]],19,0)=0,"-",VLOOKUP(B363,Baza[[№]:[Profit]],19,0)),"")</f>
        <v/>
      </c>
      <c r="V363" s="41" t="str">
        <f>IFERROR(VLOOKUP(B363,Baza[[№]:[Profit]],20,0),"")</f>
        <v/>
      </c>
      <c r="W363" s="41" t="str">
        <f>IFERROR(IF(VLOOKUP(B363,Baza[[№]:[Profit]],21,0)=0,"-",VLOOKUP(B363,Baza[[№]:[Profit]],21,0)),"")</f>
        <v/>
      </c>
      <c r="X363" s="45" t="str">
        <f>IFERROR(IF(VLOOKUP(B363,Baza[[№]:[Profit]],22,0)=0,"-",VLOOKUP(B363,Baza[[№]:[Profit]],22,0)),"")</f>
        <v/>
      </c>
      <c r="Y363" s="45" t="str">
        <f>IFERROR(VLOOKUP(B363,Baza[[№]:[Profit]],23,0),"")</f>
        <v/>
      </c>
      <c r="Z363" s="44" t="str">
        <f>IFERROR(VLOOKUP(B363,Baza[[№]:[AFS]],24,0),"")</f>
        <v/>
      </c>
      <c r="AA363" s="45" t="str">
        <f>IF(Таблица2[[#This Row],[Profit]]="","#Н/Д",SUM($Y$40:Y363))</f>
        <v>#Н/Д</v>
      </c>
      <c r="AB363" s="45" t="b">
        <f>IF(Таблица2[[#This Row],[Grafik]]="#Н/Д",FALSE,TRUE)</f>
        <v>0</v>
      </c>
    </row>
    <row r="364" spans="2:28" ht="11.1" hidden="1" customHeight="1" x14ac:dyDescent="0.25">
      <c r="B364"/>
      <c r="C364" s="41" t="str">
        <f>IFERROR(VLOOKUP(B364,Baza[[№]:[Profit]],2,0),"")</f>
        <v/>
      </c>
      <c r="D36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6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64" s="43" t="str">
        <f>IFERROR(VLOOKUP(B364,Baza[[№]:[Profit]],3,0),"")</f>
        <v/>
      </c>
      <c r="G364" s="43" t="str">
        <f>IFERROR(VLOOKUP(B364,Baza[[№]:[Profit]],4,0),"")</f>
        <v/>
      </c>
      <c r="H364" s="43" t="str">
        <f>IFERROR(VLOOKUP(B364,Baza[[№]:[Profit]],5,0),"")</f>
        <v/>
      </c>
      <c r="I364" s="46" t="str">
        <f>IFERROR(VLOOKUP(B364,Baza[[№]:[Profit]],6,0),"")</f>
        <v/>
      </c>
      <c r="J364" s="49" t="str">
        <f>IFERROR(VLOOKUP(B364,Baza[[№]:[Profit]],7,0),"")</f>
        <v/>
      </c>
      <c r="K364" s="43" t="str">
        <f>IFERROR(VLOOKUP(B364,Baza[[№]:[Profit]],8,0),"")</f>
        <v/>
      </c>
      <c r="L364" s="43" t="str">
        <f>IFERROR(VLOOKUP(B364,Baza[[№]:[Profit]],9,0),"")</f>
        <v/>
      </c>
      <c r="M364" s="43" t="str">
        <f>IFERROR(VLOOKUP(B364,Baza[[№]:[Profit]],10,0),"")</f>
        <v/>
      </c>
      <c r="N364" s="43" t="str">
        <f>IFERROR(IF(VLOOKUP(B364,Baza[[№]:[Profit]],11,0)=0,"-",VLOOKUP(B364,Baza[[№]:[Profit]],11,0)),"")</f>
        <v/>
      </c>
      <c r="O364" s="43" t="str">
        <f>IFERROR(IF(VLOOKUP(B364,Baza[[№]:[Profit]],12,0)=0,"-",VLOOKUP(B364,Baza[[№]:[Profit]],12,0)),"")</f>
        <v/>
      </c>
      <c r="P364" s="43" t="str">
        <f>IFERROR(IF(VLOOKUP(B364,Baza[[№]:[Profit]],13,0)=0,"-",VLOOKUP(B364,Baza[[№]:[Profit]],13,0)),"")</f>
        <v/>
      </c>
      <c r="Q364" s="43" t="str">
        <f>IFERROR(IF(VLOOKUP(B364,Baza[[№]:[Profit]],15,0)=0,"-",VLOOKUP(B364,Baza[[№]:[Profit]],15,0)),"")</f>
        <v/>
      </c>
      <c r="R364" s="43" t="str">
        <f>IFERROR(IF(VLOOKUP(B364,Baza[[№]:[Profit]],16,0)=0,"-",VLOOKUP(B364,Baza[[№]:[Profit]],16,0)),"")</f>
        <v/>
      </c>
      <c r="S364" s="43" t="str">
        <f>IFERROR(IF(VLOOKUP(B364,Baza[[№]:[Profit]],17,0)=0,"-",VLOOKUP(B364,Baza[[№]:[Profit]],17,0)),"")</f>
        <v/>
      </c>
      <c r="T364" s="43" t="str">
        <f>IFERROR(IF(VLOOKUP(B364,Baza[[№]:[Profit]],18,0)=0,"-",VLOOKUP(B364,Baza[[№]:[Profit]],18,0)),"")</f>
        <v/>
      </c>
      <c r="U364" s="41" t="str">
        <f>IFERROR(IF(VLOOKUP(B364,Baza[[№]:[Profit]],19,0)=0,"-",VLOOKUP(B364,Baza[[№]:[Profit]],19,0)),"")</f>
        <v/>
      </c>
      <c r="V364" s="41" t="str">
        <f>IFERROR(VLOOKUP(B364,Baza[[№]:[Profit]],20,0),"")</f>
        <v/>
      </c>
      <c r="W364" s="41" t="str">
        <f>IFERROR(IF(VLOOKUP(B364,Baza[[№]:[Profit]],21,0)=0,"-",VLOOKUP(B364,Baza[[№]:[Profit]],21,0)),"")</f>
        <v/>
      </c>
      <c r="X364" s="45" t="str">
        <f>IFERROR(IF(VLOOKUP(B364,Baza[[№]:[Profit]],22,0)=0,"-",VLOOKUP(B364,Baza[[№]:[Profit]],22,0)),"")</f>
        <v/>
      </c>
      <c r="Y364" s="45" t="str">
        <f>IFERROR(VLOOKUP(B364,Baza[[№]:[Profit]],23,0),"")</f>
        <v/>
      </c>
      <c r="Z364" s="44" t="str">
        <f>IFERROR(VLOOKUP(B364,Baza[[№]:[AFS]],24,0),"")</f>
        <v/>
      </c>
      <c r="AA364" s="45" t="str">
        <f>IF(Таблица2[[#This Row],[Profit]]="","#Н/Д",SUM($Y$40:Y364))</f>
        <v>#Н/Д</v>
      </c>
      <c r="AB364" s="45" t="b">
        <f>IF(Таблица2[[#This Row],[Grafik]]="#Н/Д",FALSE,TRUE)</f>
        <v>0</v>
      </c>
    </row>
    <row r="365" spans="2:28" ht="11.1" hidden="1" customHeight="1" x14ac:dyDescent="0.25">
      <c r="B365"/>
      <c r="C365" s="41" t="str">
        <f>IFERROR(VLOOKUP(B365,Baza[[№]:[Profit]],2,0),"")</f>
        <v/>
      </c>
      <c r="D36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6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65" s="43" t="str">
        <f>IFERROR(VLOOKUP(B365,Baza[[№]:[Profit]],3,0),"")</f>
        <v/>
      </c>
      <c r="G365" s="43" t="str">
        <f>IFERROR(VLOOKUP(B365,Baza[[№]:[Profit]],4,0),"")</f>
        <v/>
      </c>
      <c r="H365" s="43" t="str">
        <f>IFERROR(VLOOKUP(B365,Baza[[№]:[Profit]],5,0),"")</f>
        <v/>
      </c>
      <c r="I365" s="46" t="str">
        <f>IFERROR(VLOOKUP(B365,Baza[[№]:[Profit]],6,0),"")</f>
        <v/>
      </c>
      <c r="J365" s="49" t="str">
        <f>IFERROR(VLOOKUP(B365,Baza[[№]:[Profit]],7,0),"")</f>
        <v/>
      </c>
      <c r="K365" s="43" t="str">
        <f>IFERROR(VLOOKUP(B365,Baza[[№]:[Profit]],8,0),"")</f>
        <v/>
      </c>
      <c r="L365" s="43" t="str">
        <f>IFERROR(VLOOKUP(B365,Baza[[№]:[Profit]],9,0),"")</f>
        <v/>
      </c>
      <c r="M365" s="43" t="str">
        <f>IFERROR(VLOOKUP(B365,Baza[[№]:[Profit]],10,0),"")</f>
        <v/>
      </c>
      <c r="N365" s="43" t="str">
        <f>IFERROR(IF(VLOOKUP(B365,Baza[[№]:[Profit]],11,0)=0,"-",VLOOKUP(B365,Baza[[№]:[Profit]],11,0)),"")</f>
        <v/>
      </c>
      <c r="O365" s="43" t="str">
        <f>IFERROR(IF(VLOOKUP(B365,Baza[[№]:[Profit]],12,0)=0,"-",VLOOKUP(B365,Baza[[№]:[Profit]],12,0)),"")</f>
        <v/>
      </c>
      <c r="P365" s="43" t="str">
        <f>IFERROR(IF(VLOOKUP(B365,Baza[[№]:[Profit]],13,0)=0,"-",VLOOKUP(B365,Baza[[№]:[Profit]],13,0)),"")</f>
        <v/>
      </c>
      <c r="Q365" s="43" t="str">
        <f>IFERROR(IF(VLOOKUP(B365,Baza[[№]:[Profit]],15,0)=0,"-",VLOOKUP(B365,Baza[[№]:[Profit]],15,0)),"")</f>
        <v/>
      </c>
      <c r="R365" s="43" t="str">
        <f>IFERROR(IF(VLOOKUP(B365,Baza[[№]:[Profit]],16,0)=0,"-",VLOOKUP(B365,Baza[[№]:[Profit]],16,0)),"")</f>
        <v/>
      </c>
      <c r="S365" s="43" t="str">
        <f>IFERROR(IF(VLOOKUP(B365,Baza[[№]:[Profit]],17,0)=0,"-",VLOOKUP(B365,Baza[[№]:[Profit]],17,0)),"")</f>
        <v/>
      </c>
      <c r="T365" s="43" t="str">
        <f>IFERROR(IF(VLOOKUP(B365,Baza[[№]:[Profit]],18,0)=0,"-",VLOOKUP(B365,Baza[[№]:[Profit]],18,0)),"")</f>
        <v/>
      </c>
      <c r="U365" s="41" t="str">
        <f>IFERROR(IF(VLOOKUP(B365,Baza[[№]:[Profit]],19,0)=0,"-",VLOOKUP(B365,Baza[[№]:[Profit]],19,0)),"")</f>
        <v/>
      </c>
      <c r="V365" s="41" t="str">
        <f>IFERROR(VLOOKUP(B365,Baza[[№]:[Profit]],20,0),"")</f>
        <v/>
      </c>
      <c r="W365" s="41" t="str">
        <f>IFERROR(IF(VLOOKUP(B365,Baza[[№]:[Profit]],21,0)=0,"-",VLOOKUP(B365,Baza[[№]:[Profit]],21,0)),"")</f>
        <v/>
      </c>
      <c r="X365" s="45" t="str">
        <f>IFERROR(IF(VLOOKUP(B365,Baza[[№]:[Profit]],22,0)=0,"-",VLOOKUP(B365,Baza[[№]:[Profit]],22,0)),"")</f>
        <v/>
      </c>
      <c r="Y365" s="45" t="str">
        <f>IFERROR(VLOOKUP(B365,Baza[[№]:[Profit]],23,0),"")</f>
        <v/>
      </c>
      <c r="Z365" s="44" t="str">
        <f>IFERROR(VLOOKUP(B365,Baza[[№]:[AFS]],24,0),"")</f>
        <v/>
      </c>
      <c r="AA365" s="45" t="str">
        <f>IF(Таблица2[[#This Row],[Profit]]="","#Н/Д",SUM($Y$40:Y365))</f>
        <v>#Н/Д</v>
      </c>
      <c r="AB365" s="45" t="b">
        <f>IF(Таблица2[[#This Row],[Grafik]]="#Н/Д",FALSE,TRUE)</f>
        <v>0</v>
      </c>
    </row>
    <row r="366" spans="2:28" ht="11.1" hidden="1" customHeight="1" x14ac:dyDescent="0.25">
      <c r="B366"/>
      <c r="C366" s="41" t="str">
        <f>IFERROR(VLOOKUP(B366,Baza[[№]:[Profit]],2,0),"")</f>
        <v/>
      </c>
      <c r="D36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6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66" s="43" t="str">
        <f>IFERROR(VLOOKUP(B366,Baza[[№]:[Profit]],3,0),"")</f>
        <v/>
      </c>
      <c r="G366" s="43" t="str">
        <f>IFERROR(VLOOKUP(B366,Baza[[№]:[Profit]],4,0),"")</f>
        <v/>
      </c>
      <c r="H366" s="43" t="str">
        <f>IFERROR(VLOOKUP(B366,Baza[[№]:[Profit]],5,0),"")</f>
        <v/>
      </c>
      <c r="I366" s="46" t="str">
        <f>IFERROR(VLOOKUP(B366,Baza[[№]:[Profit]],6,0),"")</f>
        <v/>
      </c>
      <c r="J366" s="49" t="str">
        <f>IFERROR(VLOOKUP(B366,Baza[[№]:[Profit]],7,0),"")</f>
        <v/>
      </c>
      <c r="K366" s="43" t="str">
        <f>IFERROR(VLOOKUP(B366,Baza[[№]:[Profit]],8,0),"")</f>
        <v/>
      </c>
      <c r="L366" s="43" t="str">
        <f>IFERROR(VLOOKUP(B366,Baza[[№]:[Profit]],9,0),"")</f>
        <v/>
      </c>
      <c r="M366" s="43" t="str">
        <f>IFERROR(VLOOKUP(B366,Baza[[№]:[Profit]],10,0),"")</f>
        <v/>
      </c>
      <c r="N366" s="43" t="str">
        <f>IFERROR(IF(VLOOKUP(B366,Baza[[№]:[Profit]],11,0)=0,"-",VLOOKUP(B366,Baza[[№]:[Profit]],11,0)),"")</f>
        <v/>
      </c>
      <c r="O366" s="43" t="str">
        <f>IFERROR(IF(VLOOKUP(B366,Baza[[№]:[Profit]],12,0)=0,"-",VLOOKUP(B366,Baza[[№]:[Profit]],12,0)),"")</f>
        <v/>
      </c>
      <c r="P366" s="43" t="str">
        <f>IFERROR(IF(VLOOKUP(B366,Baza[[№]:[Profit]],13,0)=0,"-",VLOOKUP(B366,Baza[[№]:[Profit]],13,0)),"")</f>
        <v/>
      </c>
      <c r="Q366" s="43" t="str">
        <f>IFERROR(IF(VLOOKUP(B366,Baza[[№]:[Profit]],15,0)=0,"-",VLOOKUP(B366,Baza[[№]:[Profit]],15,0)),"")</f>
        <v/>
      </c>
      <c r="R366" s="43" t="str">
        <f>IFERROR(IF(VLOOKUP(B366,Baza[[№]:[Profit]],16,0)=0,"-",VLOOKUP(B366,Baza[[№]:[Profit]],16,0)),"")</f>
        <v/>
      </c>
      <c r="S366" s="43" t="str">
        <f>IFERROR(IF(VLOOKUP(B366,Baza[[№]:[Profit]],17,0)=0,"-",VLOOKUP(B366,Baza[[№]:[Profit]],17,0)),"")</f>
        <v/>
      </c>
      <c r="T366" s="43" t="str">
        <f>IFERROR(IF(VLOOKUP(B366,Baza[[№]:[Profit]],18,0)=0,"-",VLOOKUP(B366,Baza[[№]:[Profit]],18,0)),"")</f>
        <v/>
      </c>
      <c r="U366" s="41" t="str">
        <f>IFERROR(IF(VLOOKUP(B366,Baza[[№]:[Profit]],19,0)=0,"-",VLOOKUP(B366,Baza[[№]:[Profit]],19,0)),"")</f>
        <v/>
      </c>
      <c r="V366" s="41" t="str">
        <f>IFERROR(VLOOKUP(B366,Baza[[№]:[Profit]],20,0),"")</f>
        <v/>
      </c>
      <c r="W366" s="41" t="str">
        <f>IFERROR(IF(VLOOKUP(B366,Baza[[№]:[Profit]],21,0)=0,"-",VLOOKUP(B366,Baza[[№]:[Profit]],21,0)),"")</f>
        <v/>
      </c>
      <c r="X366" s="45" t="str">
        <f>IFERROR(IF(VLOOKUP(B366,Baza[[№]:[Profit]],22,0)=0,"-",VLOOKUP(B366,Baza[[№]:[Profit]],22,0)),"")</f>
        <v/>
      </c>
      <c r="Y366" s="45" t="str">
        <f>IFERROR(VLOOKUP(B366,Baza[[№]:[Profit]],23,0),"")</f>
        <v/>
      </c>
      <c r="Z366" s="44" t="str">
        <f>IFERROR(VLOOKUP(B366,Baza[[№]:[AFS]],24,0),"")</f>
        <v/>
      </c>
      <c r="AA366" s="45" t="str">
        <f>IF(Таблица2[[#This Row],[Profit]]="","#Н/Д",SUM($Y$40:Y366))</f>
        <v>#Н/Д</v>
      </c>
      <c r="AB366" s="45" t="b">
        <f>IF(Таблица2[[#This Row],[Grafik]]="#Н/Д",FALSE,TRUE)</f>
        <v>0</v>
      </c>
    </row>
    <row r="367" spans="2:28" ht="11.1" hidden="1" customHeight="1" x14ac:dyDescent="0.25">
      <c r="B367"/>
      <c r="C367" s="41" t="str">
        <f>IFERROR(VLOOKUP(B367,Baza[[№]:[Profit]],2,0),"")</f>
        <v/>
      </c>
      <c r="D36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6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67" s="43" t="str">
        <f>IFERROR(VLOOKUP(B367,Baza[[№]:[Profit]],3,0),"")</f>
        <v/>
      </c>
      <c r="G367" s="43" t="str">
        <f>IFERROR(VLOOKUP(B367,Baza[[№]:[Profit]],4,0),"")</f>
        <v/>
      </c>
      <c r="H367" s="43" t="str">
        <f>IFERROR(VLOOKUP(B367,Baza[[№]:[Profit]],5,0),"")</f>
        <v/>
      </c>
      <c r="I367" s="46" t="str">
        <f>IFERROR(VLOOKUP(B367,Baza[[№]:[Profit]],6,0),"")</f>
        <v/>
      </c>
      <c r="J367" s="49" t="str">
        <f>IFERROR(VLOOKUP(B367,Baza[[№]:[Profit]],7,0),"")</f>
        <v/>
      </c>
      <c r="K367" s="43" t="str">
        <f>IFERROR(VLOOKUP(B367,Baza[[№]:[Profit]],8,0),"")</f>
        <v/>
      </c>
      <c r="L367" s="43" t="str">
        <f>IFERROR(VLOOKUP(B367,Baza[[№]:[Profit]],9,0),"")</f>
        <v/>
      </c>
      <c r="M367" s="43" t="str">
        <f>IFERROR(VLOOKUP(B367,Baza[[№]:[Profit]],10,0),"")</f>
        <v/>
      </c>
      <c r="N367" s="43" t="str">
        <f>IFERROR(IF(VLOOKUP(B367,Baza[[№]:[Profit]],11,0)=0,"-",VLOOKUP(B367,Baza[[№]:[Profit]],11,0)),"")</f>
        <v/>
      </c>
      <c r="O367" s="43" t="str">
        <f>IFERROR(IF(VLOOKUP(B367,Baza[[№]:[Profit]],12,0)=0,"-",VLOOKUP(B367,Baza[[№]:[Profit]],12,0)),"")</f>
        <v/>
      </c>
      <c r="P367" s="43" t="str">
        <f>IFERROR(IF(VLOOKUP(B367,Baza[[№]:[Profit]],13,0)=0,"-",VLOOKUP(B367,Baza[[№]:[Profit]],13,0)),"")</f>
        <v/>
      </c>
      <c r="Q367" s="43" t="str">
        <f>IFERROR(IF(VLOOKUP(B367,Baza[[№]:[Profit]],15,0)=0,"-",VLOOKUP(B367,Baza[[№]:[Profit]],15,0)),"")</f>
        <v/>
      </c>
      <c r="R367" s="43" t="str">
        <f>IFERROR(IF(VLOOKUP(B367,Baza[[№]:[Profit]],16,0)=0,"-",VLOOKUP(B367,Baza[[№]:[Profit]],16,0)),"")</f>
        <v/>
      </c>
      <c r="S367" s="43" t="str">
        <f>IFERROR(IF(VLOOKUP(B367,Baza[[№]:[Profit]],17,0)=0,"-",VLOOKUP(B367,Baza[[№]:[Profit]],17,0)),"")</f>
        <v/>
      </c>
      <c r="T367" s="43" t="str">
        <f>IFERROR(IF(VLOOKUP(B367,Baza[[№]:[Profit]],18,0)=0,"-",VLOOKUP(B367,Baza[[№]:[Profit]],18,0)),"")</f>
        <v/>
      </c>
      <c r="U367" s="41" t="str">
        <f>IFERROR(IF(VLOOKUP(B367,Baza[[№]:[Profit]],19,0)=0,"-",VLOOKUP(B367,Baza[[№]:[Profit]],19,0)),"")</f>
        <v/>
      </c>
      <c r="V367" s="41" t="str">
        <f>IFERROR(VLOOKUP(B367,Baza[[№]:[Profit]],20,0),"")</f>
        <v/>
      </c>
      <c r="W367" s="41" t="str">
        <f>IFERROR(IF(VLOOKUP(B367,Baza[[№]:[Profit]],21,0)=0,"-",VLOOKUP(B367,Baza[[№]:[Profit]],21,0)),"")</f>
        <v/>
      </c>
      <c r="X367" s="45" t="str">
        <f>IFERROR(IF(VLOOKUP(B367,Baza[[№]:[Profit]],22,0)=0,"-",VLOOKUP(B367,Baza[[№]:[Profit]],22,0)),"")</f>
        <v/>
      </c>
      <c r="Y367" s="45" t="str">
        <f>IFERROR(VLOOKUP(B367,Baza[[№]:[Profit]],23,0),"")</f>
        <v/>
      </c>
      <c r="Z367" s="44" t="str">
        <f>IFERROR(VLOOKUP(B367,Baza[[№]:[AFS]],24,0),"")</f>
        <v/>
      </c>
      <c r="AA367" s="45" t="str">
        <f>IF(Таблица2[[#This Row],[Profit]]="","#Н/Д",SUM($Y$40:Y367))</f>
        <v>#Н/Д</v>
      </c>
      <c r="AB367" s="45" t="b">
        <f>IF(Таблица2[[#This Row],[Grafik]]="#Н/Д",FALSE,TRUE)</f>
        <v>0</v>
      </c>
    </row>
    <row r="368" spans="2:28" ht="11.1" hidden="1" customHeight="1" x14ac:dyDescent="0.25">
      <c r="B368"/>
      <c r="C368" s="41" t="str">
        <f>IFERROR(VLOOKUP(B368,Baza[[№]:[Profit]],2,0),"")</f>
        <v/>
      </c>
      <c r="D36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6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68" s="43" t="str">
        <f>IFERROR(VLOOKUP(B368,Baza[[№]:[Profit]],3,0),"")</f>
        <v/>
      </c>
      <c r="G368" s="43" t="str">
        <f>IFERROR(VLOOKUP(B368,Baza[[№]:[Profit]],4,0),"")</f>
        <v/>
      </c>
      <c r="H368" s="43" t="str">
        <f>IFERROR(VLOOKUP(B368,Baza[[№]:[Profit]],5,0),"")</f>
        <v/>
      </c>
      <c r="I368" s="46" t="str">
        <f>IFERROR(VLOOKUP(B368,Baza[[№]:[Profit]],6,0),"")</f>
        <v/>
      </c>
      <c r="J368" s="49" t="str">
        <f>IFERROR(VLOOKUP(B368,Baza[[№]:[Profit]],7,0),"")</f>
        <v/>
      </c>
      <c r="K368" s="43" t="str">
        <f>IFERROR(VLOOKUP(B368,Baza[[№]:[Profit]],8,0),"")</f>
        <v/>
      </c>
      <c r="L368" s="43" t="str">
        <f>IFERROR(VLOOKUP(B368,Baza[[№]:[Profit]],9,0),"")</f>
        <v/>
      </c>
      <c r="M368" s="43" t="str">
        <f>IFERROR(VLOOKUP(B368,Baza[[№]:[Profit]],10,0),"")</f>
        <v/>
      </c>
      <c r="N368" s="43" t="str">
        <f>IFERROR(IF(VLOOKUP(B368,Baza[[№]:[Profit]],11,0)=0,"-",VLOOKUP(B368,Baza[[№]:[Profit]],11,0)),"")</f>
        <v/>
      </c>
      <c r="O368" s="43" t="str">
        <f>IFERROR(IF(VLOOKUP(B368,Baza[[№]:[Profit]],12,0)=0,"-",VLOOKUP(B368,Baza[[№]:[Profit]],12,0)),"")</f>
        <v/>
      </c>
      <c r="P368" s="43" t="str">
        <f>IFERROR(IF(VLOOKUP(B368,Baza[[№]:[Profit]],13,0)=0,"-",VLOOKUP(B368,Baza[[№]:[Profit]],13,0)),"")</f>
        <v/>
      </c>
      <c r="Q368" s="43" t="str">
        <f>IFERROR(IF(VLOOKUP(B368,Baza[[№]:[Profit]],15,0)=0,"-",VLOOKUP(B368,Baza[[№]:[Profit]],15,0)),"")</f>
        <v/>
      </c>
      <c r="R368" s="43" t="str">
        <f>IFERROR(IF(VLOOKUP(B368,Baza[[№]:[Profit]],16,0)=0,"-",VLOOKUP(B368,Baza[[№]:[Profit]],16,0)),"")</f>
        <v/>
      </c>
      <c r="S368" s="43" t="str">
        <f>IFERROR(IF(VLOOKUP(B368,Baza[[№]:[Profit]],17,0)=0,"-",VLOOKUP(B368,Baza[[№]:[Profit]],17,0)),"")</f>
        <v/>
      </c>
      <c r="T368" s="43" t="str">
        <f>IFERROR(IF(VLOOKUP(B368,Baza[[№]:[Profit]],18,0)=0,"-",VLOOKUP(B368,Baza[[№]:[Profit]],18,0)),"")</f>
        <v/>
      </c>
      <c r="U368" s="41" t="str">
        <f>IFERROR(IF(VLOOKUP(B368,Baza[[№]:[Profit]],19,0)=0,"-",VLOOKUP(B368,Baza[[№]:[Profit]],19,0)),"")</f>
        <v/>
      </c>
      <c r="V368" s="41" t="str">
        <f>IFERROR(VLOOKUP(B368,Baza[[№]:[Profit]],20,0),"")</f>
        <v/>
      </c>
      <c r="W368" s="41" t="str">
        <f>IFERROR(IF(VLOOKUP(B368,Baza[[№]:[Profit]],21,0)=0,"-",VLOOKUP(B368,Baza[[№]:[Profit]],21,0)),"")</f>
        <v/>
      </c>
      <c r="X368" s="45" t="str">
        <f>IFERROR(IF(VLOOKUP(B368,Baza[[№]:[Profit]],22,0)=0,"-",VLOOKUP(B368,Baza[[№]:[Profit]],22,0)),"")</f>
        <v/>
      </c>
      <c r="Y368" s="45" t="str">
        <f>IFERROR(VLOOKUP(B368,Baza[[№]:[Profit]],23,0),"")</f>
        <v/>
      </c>
      <c r="Z368" s="44" t="str">
        <f>IFERROR(VLOOKUP(B368,Baza[[№]:[AFS]],24,0),"")</f>
        <v/>
      </c>
      <c r="AA368" s="45" t="str">
        <f>IF(Таблица2[[#This Row],[Profit]]="","#Н/Д",SUM($Y$40:Y368))</f>
        <v>#Н/Д</v>
      </c>
      <c r="AB368" s="45" t="b">
        <f>IF(Таблица2[[#This Row],[Grafik]]="#Н/Д",FALSE,TRUE)</f>
        <v>0</v>
      </c>
    </row>
    <row r="369" spans="2:28" ht="11.1" hidden="1" customHeight="1" x14ac:dyDescent="0.25">
      <c r="B369"/>
      <c r="C369" s="41" t="str">
        <f>IFERROR(VLOOKUP(B369,Baza[[№]:[Profit]],2,0),"")</f>
        <v/>
      </c>
      <c r="D36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6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69" s="43" t="str">
        <f>IFERROR(VLOOKUP(B369,Baza[[№]:[Profit]],3,0),"")</f>
        <v/>
      </c>
      <c r="G369" s="43" t="str">
        <f>IFERROR(VLOOKUP(B369,Baza[[№]:[Profit]],4,0),"")</f>
        <v/>
      </c>
      <c r="H369" s="43" t="str">
        <f>IFERROR(VLOOKUP(B369,Baza[[№]:[Profit]],5,0),"")</f>
        <v/>
      </c>
      <c r="I369" s="46" t="str">
        <f>IFERROR(VLOOKUP(B369,Baza[[№]:[Profit]],6,0),"")</f>
        <v/>
      </c>
      <c r="J369" s="49" t="str">
        <f>IFERROR(VLOOKUP(B369,Baza[[№]:[Profit]],7,0),"")</f>
        <v/>
      </c>
      <c r="K369" s="43" t="str">
        <f>IFERROR(VLOOKUP(B369,Baza[[№]:[Profit]],8,0),"")</f>
        <v/>
      </c>
      <c r="L369" s="43" t="str">
        <f>IFERROR(VLOOKUP(B369,Baza[[№]:[Profit]],9,0),"")</f>
        <v/>
      </c>
      <c r="M369" s="43" t="str">
        <f>IFERROR(VLOOKUP(B369,Baza[[№]:[Profit]],10,0),"")</f>
        <v/>
      </c>
      <c r="N369" s="43" t="str">
        <f>IFERROR(IF(VLOOKUP(B369,Baza[[№]:[Profit]],11,0)=0,"-",VLOOKUP(B369,Baza[[№]:[Profit]],11,0)),"")</f>
        <v/>
      </c>
      <c r="O369" s="43" t="str">
        <f>IFERROR(IF(VLOOKUP(B369,Baza[[№]:[Profit]],12,0)=0,"-",VLOOKUP(B369,Baza[[№]:[Profit]],12,0)),"")</f>
        <v/>
      </c>
      <c r="P369" s="43" t="str">
        <f>IFERROR(IF(VLOOKUP(B369,Baza[[№]:[Profit]],13,0)=0,"-",VLOOKUP(B369,Baza[[№]:[Profit]],13,0)),"")</f>
        <v/>
      </c>
      <c r="Q369" s="43" t="str">
        <f>IFERROR(IF(VLOOKUP(B369,Baza[[№]:[Profit]],15,0)=0,"-",VLOOKUP(B369,Baza[[№]:[Profit]],15,0)),"")</f>
        <v/>
      </c>
      <c r="R369" s="43" t="str">
        <f>IFERROR(IF(VLOOKUP(B369,Baza[[№]:[Profit]],16,0)=0,"-",VLOOKUP(B369,Baza[[№]:[Profit]],16,0)),"")</f>
        <v/>
      </c>
      <c r="S369" s="43" t="str">
        <f>IFERROR(IF(VLOOKUP(B369,Baza[[№]:[Profit]],17,0)=0,"-",VLOOKUP(B369,Baza[[№]:[Profit]],17,0)),"")</f>
        <v/>
      </c>
      <c r="T369" s="43" t="str">
        <f>IFERROR(IF(VLOOKUP(B369,Baza[[№]:[Profit]],18,0)=0,"-",VLOOKUP(B369,Baza[[№]:[Profit]],18,0)),"")</f>
        <v/>
      </c>
      <c r="U369" s="41" t="str">
        <f>IFERROR(IF(VLOOKUP(B369,Baza[[№]:[Profit]],19,0)=0,"-",VLOOKUP(B369,Baza[[№]:[Profit]],19,0)),"")</f>
        <v/>
      </c>
      <c r="V369" s="41" t="str">
        <f>IFERROR(VLOOKUP(B369,Baza[[№]:[Profit]],20,0),"")</f>
        <v/>
      </c>
      <c r="W369" s="41" t="str">
        <f>IFERROR(IF(VLOOKUP(B369,Baza[[№]:[Profit]],21,0)=0,"-",VLOOKUP(B369,Baza[[№]:[Profit]],21,0)),"")</f>
        <v/>
      </c>
      <c r="X369" s="45" t="str">
        <f>IFERROR(IF(VLOOKUP(B369,Baza[[№]:[Profit]],22,0)=0,"-",VLOOKUP(B369,Baza[[№]:[Profit]],22,0)),"")</f>
        <v/>
      </c>
      <c r="Y369" s="45" t="str">
        <f>IFERROR(VLOOKUP(B369,Baza[[№]:[Profit]],23,0),"")</f>
        <v/>
      </c>
      <c r="Z369" s="44" t="str">
        <f>IFERROR(VLOOKUP(B369,Baza[[№]:[AFS]],24,0),"")</f>
        <v/>
      </c>
      <c r="AA369" s="45" t="str">
        <f>IF(Таблица2[[#This Row],[Profit]]="","#Н/Д",SUM($Y$40:Y369))</f>
        <v>#Н/Д</v>
      </c>
      <c r="AB369" s="45" t="b">
        <f>IF(Таблица2[[#This Row],[Grafik]]="#Н/Д",FALSE,TRUE)</f>
        <v>0</v>
      </c>
    </row>
    <row r="370" spans="2:28" ht="11.1" hidden="1" customHeight="1" x14ac:dyDescent="0.25">
      <c r="B370"/>
      <c r="C370" s="41" t="str">
        <f>IFERROR(VLOOKUP(B370,Baza[[№]:[Profit]],2,0),"")</f>
        <v/>
      </c>
      <c r="D37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7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70" s="43" t="str">
        <f>IFERROR(VLOOKUP(B370,Baza[[№]:[Profit]],3,0),"")</f>
        <v/>
      </c>
      <c r="G370" s="43" t="str">
        <f>IFERROR(VLOOKUP(B370,Baza[[№]:[Profit]],4,0),"")</f>
        <v/>
      </c>
      <c r="H370" s="43" t="str">
        <f>IFERROR(VLOOKUP(B370,Baza[[№]:[Profit]],5,0),"")</f>
        <v/>
      </c>
      <c r="I370" s="46" t="str">
        <f>IFERROR(VLOOKUP(B370,Baza[[№]:[Profit]],6,0),"")</f>
        <v/>
      </c>
      <c r="J370" s="49" t="str">
        <f>IFERROR(VLOOKUP(B370,Baza[[№]:[Profit]],7,0),"")</f>
        <v/>
      </c>
      <c r="K370" s="43" t="str">
        <f>IFERROR(VLOOKUP(B370,Baza[[№]:[Profit]],8,0),"")</f>
        <v/>
      </c>
      <c r="L370" s="43" t="str">
        <f>IFERROR(VLOOKUP(B370,Baza[[№]:[Profit]],9,0),"")</f>
        <v/>
      </c>
      <c r="M370" s="43" t="str">
        <f>IFERROR(VLOOKUP(B370,Baza[[№]:[Profit]],10,0),"")</f>
        <v/>
      </c>
      <c r="N370" s="43" t="str">
        <f>IFERROR(IF(VLOOKUP(B370,Baza[[№]:[Profit]],11,0)=0,"-",VLOOKUP(B370,Baza[[№]:[Profit]],11,0)),"")</f>
        <v/>
      </c>
      <c r="O370" s="43" t="str">
        <f>IFERROR(IF(VLOOKUP(B370,Baza[[№]:[Profit]],12,0)=0,"-",VLOOKUP(B370,Baza[[№]:[Profit]],12,0)),"")</f>
        <v/>
      </c>
      <c r="P370" s="43" t="str">
        <f>IFERROR(IF(VLOOKUP(B370,Baza[[№]:[Profit]],13,0)=0,"-",VLOOKUP(B370,Baza[[№]:[Profit]],13,0)),"")</f>
        <v/>
      </c>
      <c r="Q370" s="43" t="str">
        <f>IFERROR(IF(VLOOKUP(B370,Baza[[№]:[Profit]],15,0)=0,"-",VLOOKUP(B370,Baza[[№]:[Profit]],15,0)),"")</f>
        <v/>
      </c>
      <c r="R370" s="43" t="str">
        <f>IFERROR(IF(VLOOKUP(B370,Baza[[№]:[Profit]],16,0)=0,"-",VLOOKUP(B370,Baza[[№]:[Profit]],16,0)),"")</f>
        <v/>
      </c>
      <c r="S370" s="43" t="str">
        <f>IFERROR(IF(VLOOKUP(B370,Baza[[№]:[Profit]],17,0)=0,"-",VLOOKUP(B370,Baza[[№]:[Profit]],17,0)),"")</f>
        <v/>
      </c>
      <c r="T370" s="43" t="str">
        <f>IFERROR(IF(VLOOKUP(B370,Baza[[№]:[Profit]],18,0)=0,"-",VLOOKUP(B370,Baza[[№]:[Profit]],18,0)),"")</f>
        <v/>
      </c>
      <c r="U370" s="41" t="str">
        <f>IFERROR(IF(VLOOKUP(B370,Baza[[№]:[Profit]],19,0)=0,"-",VLOOKUP(B370,Baza[[№]:[Profit]],19,0)),"")</f>
        <v/>
      </c>
      <c r="V370" s="41" t="str">
        <f>IFERROR(VLOOKUP(B370,Baza[[№]:[Profit]],20,0),"")</f>
        <v/>
      </c>
      <c r="W370" s="41" t="str">
        <f>IFERROR(IF(VLOOKUP(B370,Baza[[№]:[Profit]],21,0)=0,"-",VLOOKUP(B370,Baza[[№]:[Profit]],21,0)),"")</f>
        <v/>
      </c>
      <c r="X370" s="45" t="str">
        <f>IFERROR(IF(VLOOKUP(B370,Baza[[№]:[Profit]],22,0)=0,"-",VLOOKUP(B370,Baza[[№]:[Profit]],22,0)),"")</f>
        <v/>
      </c>
      <c r="Y370" s="45" t="str">
        <f>IFERROR(VLOOKUP(B370,Baza[[№]:[Profit]],23,0),"")</f>
        <v/>
      </c>
      <c r="Z370" s="44" t="str">
        <f>IFERROR(VLOOKUP(B370,Baza[[№]:[AFS]],24,0),"")</f>
        <v/>
      </c>
      <c r="AA370" s="45" t="str">
        <f>IF(Таблица2[[#This Row],[Profit]]="","#Н/Д",SUM($Y$40:Y370))</f>
        <v>#Н/Д</v>
      </c>
      <c r="AB370" s="45" t="b">
        <f>IF(Таблица2[[#This Row],[Grafik]]="#Н/Д",FALSE,TRUE)</f>
        <v>0</v>
      </c>
    </row>
    <row r="371" spans="2:28" ht="11.1" hidden="1" customHeight="1" x14ac:dyDescent="0.25">
      <c r="B371"/>
      <c r="C371" s="41" t="str">
        <f>IFERROR(VLOOKUP(B371,Baza[[№]:[Profit]],2,0),"")</f>
        <v/>
      </c>
      <c r="D37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7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71" s="43" t="str">
        <f>IFERROR(VLOOKUP(B371,Baza[[№]:[Profit]],3,0),"")</f>
        <v/>
      </c>
      <c r="G371" s="43" t="str">
        <f>IFERROR(VLOOKUP(B371,Baza[[№]:[Profit]],4,0),"")</f>
        <v/>
      </c>
      <c r="H371" s="43" t="str">
        <f>IFERROR(VLOOKUP(B371,Baza[[№]:[Profit]],5,0),"")</f>
        <v/>
      </c>
      <c r="I371" s="46" t="str">
        <f>IFERROR(VLOOKUP(B371,Baza[[№]:[Profit]],6,0),"")</f>
        <v/>
      </c>
      <c r="J371" s="49" t="str">
        <f>IFERROR(VLOOKUP(B371,Baza[[№]:[Profit]],7,0),"")</f>
        <v/>
      </c>
      <c r="K371" s="43" t="str">
        <f>IFERROR(VLOOKUP(B371,Baza[[№]:[Profit]],8,0),"")</f>
        <v/>
      </c>
      <c r="L371" s="43" t="str">
        <f>IFERROR(VLOOKUP(B371,Baza[[№]:[Profit]],9,0),"")</f>
        <v/>
      </c>
      <c r="M371" s="43" t="str">
        <f>IFERROR(VLOOKUP(B371,Baza[[№]:[Profit]],10,0),"")</f>
        <v/>
      </c>
      <c r="N371" s="43" t="str">
        <f>IFERROR(IF(VLOOKUP(B371,Baza[[№]:[Profit]],11,0)=0,"-",VLOOKUP(B371,Baza[[№]:[Profit]],11,0)),"")</f>
        <v/>
      </c>
      <c r="O371" s="43" t="str">
        <f>IFERROR(IF(VLOOKUP(B371,Baza[[№]:[Profit]],12,0)=0,"-",VLOOKUP(B371,Baza[[№]:[Profit]],12,0)),"")</f>
        <v/>
      </c>
      <c r="P371" s="43" t="str">
        <f>IFERROR(IF(VLOOKUP(B371,Baza[[№]:[Profit]],13,0)=0,"-",VLOOKUP(B371,Baza[[№]:[Profit]],13,0)),"")</f>
        <v/>
      </c>
      <c r="Q371" s="43" t="str">
        <f>IFERROR(IF(VLOOKUP(B371,Baza[[№]:[Profit]],15,0)=0,"-",VLOOKUP(B371,Baza[[№]:[Profit]],15,0)),"")</f>
        <v/>
      </c>
      <c r="R371" s="43" t="str">
        <f>IFERROR(IF(VLOOKUP(B371,Baza[[№]:[Profit]],16,0)=0,"-",VLOOKUP(B371,Baza[[№]:[Profit]],16,0)),"")</f>
        <v/>
      </c>
      <c r="S371" s="43" t="str">
        <f>IFERROR(IF(VLOOKUP(B371,Baza[[№]:[Profit]],17,0)=0,"-",VLOOKUP(B371,Baza[[№]:[Profit]],17,0)),"")</f>
        <v/>
      </c>
      <c r="T371" s="43" t="str">
        <f>IFERROR(IF(VLOOKUP(B371,Baza[[№]:[Profit]],18,0)=0,"-",VLOOKUP(B371,Baza[[№]:[Profit]],18,0)),"")</f>
        <v/>
      </c>
      <c r="U371" s="41" t="str">
        <f>IFERROR(IF(VLOOKUP(B371,Baza[[№]:[Profit]],19,0)=0,"-",VLOOKUP(B371,Baza[[№]:[Profit]],19,0)),"")</f>
        <v/>
      </c>
      <c r="V371" s="41" t="str">
        <f>IFERROR(VLOOKUP(B371,Baza[[№]:[Profit]],20,0),"")</f>
        <v/>
      </c>
      <c r="W371" s="41" t="str">
        <f>IFERROR(IF(VLOOKUP(B371,Baza[[№]:[Profit]],21,0)=0,"-",VLOOKUP(B371,Baza[[№]:[Profit]],21,0)),"")</f>
        <v/>
      </c>
      <c r="X371" s="45" t="str">
        <f>IFERROR(IF(VLOOKUP(B371,Baza[[№]:[Profit]],22,0)=0,"-",VLOOKUP(B371,Baza[[№]:[Profit]],22,0)),"")</f>
        <v/>
      </c>
      <c r="Y371" s="45" t="str">
        <f>IFERROR(VLOOKUP(B371,Baza[[№]:[Profit]],23,0),"")</f>
        <v/>
      </c>
      <c r="Z371" s="44" t="str">
        <f>IFERROR(VLOOKUP(B371,Baza[[№]:[AFS]],24,0),"")</f>
        <v/>
      </c>
      <c r="AA371" s="45" t="str">
        <f>IF(Таблица2[[#This Row],[Profit]]="","#Н/Д",SUM($Y$40:Y371))</f>
        <v>#Н/Д</v>
      </c>
      <c r="AB371" s="45" t="b">
        <f>IF(Таблица2[[#This Row],[Grafik]]="#Н/Д",FALSE,TRUE)</f>
        <v>0</v>
      </c>
    </row>
    <row r="372" spans="2:28" ht="11.1" hidden="1" customHeight="1" x14ac:dyDescent="0.25">
      <c r="B372"/>
      <c r="C372" s="41" t="str">
        <f>IFERROR(VLOOKUP(B372,Baza[[№]:[Profit]],2,0),"")</f>
        <v/>
      </c>
      <c r="D37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7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72" s="43" t="str">
        <f>IFERROR(VLOOKUP(B372,Baza[[№]:[Profit]],3,0),"")</f>
        <v/>
      </c>
      <c r="G372" s="43" t="str">
        <f>IFERROR(VLOOKUP(B372,Baza[[№]:[Profit]],4,0),"")</f>
        <v/>
      </c>
      <c r="H372" s="43" t="str">
        <f>IFERROR(VLOOKUP(B372,Baza[[№]:[Profit]],5,0),"")</f>
        <v/>
      </c>
      <c r="I372" s="46" t="str">
        <f>IFERROR(VLOOKUP(B372,Baza[[№]:[Profit]],6,0),"")</f>
        <v/>
      </c>
      <c r="J372" s="49" t="str">
        <f>IFERROR(VLOOKUP(B372,Baza[[№]:[Profit]],7,0),"")</f>
        <v/>
      </c>
      <c r="K372" s="43" t="str">
        <f>IFERROR(VLOOKUP(B372,Baza[[№]:[Profit]],8,0),"")</f>
        <v/>
      </c>
      <c r="L372" s="43" t="str">
        <f>IFERROR(VLOOKUP(B372,Baza[[№]:[Profit]],9,0),"")</f>
        <v/>
      </c>
      <c r="M372" s="43" t="str">
        <f>IFERROR(VLOOKUP(B372,Baza[[№]:[Profit]],10,0),"")</f>
        <v/>
      </c>
      <c r="N372" s="43" t="str">
        <f>IFERROR(IF(VLOOKUP(B372,Baza[[№]:[Profit]],11,0)=0,"-",VLOOKUP(B372,Baza[[№]:[Profit]],11,0)),"")</f>
        <v/>
      </c>
      <c r="O372" s="43" t="str">
        <f>IFERROR(IF(VLOOKUP(B372,Baza[[№]:[Profit]],12,0)=0,"-",VLOOKUP(B372,Baza[[№]:[Profit]],12,0)),"")</f>
        <v/>
      </c>
      <c r="P372" s="43" t="str">
        <f>IFERROR(IF(VLOOKUP(B372,Baza[[№]:[Profit]],13,0)=0,"-",VLOOKUP(B372,Baza[[№]:[Profit]],13,0)),"")</f>
        <v/>
      </c>
      <c r="Q372" s="43" t="str">
        <f>IFERROR(IF(VLOOKUP(B372,Baza[[№]:[Profit]],15,0)=0,"-",VLOOKUP(B372,Baza[[№]:[Profit]],15,0)),"")</f>
        <v/>
      </c>
      <c r="R372" s="43" t="str">
        <f>IFERROR(IF(VLOOKUP(B372,Baza[[№]:[Profit]],16,0)=0,"-",VLOOKUP(B372,Baza[[№]:[Profit]],16,0)),"")</f>
        <v/>
      </c>
      <c r="S372" s="43" t="str">
        <f>IFERROR(IF(VLOOKUP(B372,Baza[[№]:[Profit]],17,0)=0,"-",VLOOKUP(B372,Baza[[№]:[Profit]],17,0)),"")</f>
        <v/>
      </c>
      <c r="T372" s="43" t="str">
        <f>IFERROR(IF(VLOOKUP(B372,Baza[[№]:[Profit]],18,0)=0,"-",VLOOKUP(B372,Baza[[№]:[Profit]],18,0)),"")</f>
        <v/>
      </c>
      <c r="U372" s="41" t="str">
        <f>IFERROR(IF(VLOOKUP(B372,Baza[[№]:[Profit]],19,0)=0,"-",VLOOKUP(B372,Baza[[№]:[Profit]],19,0)),"")</f>
        <v/>
      </c>
      <c r="V372" s="41" t="str">
        <f>IFERROR(VLOOKUP(B372,Baza[[№]:[Profit]],20,0),"")</f>
        <v/>
      </c>
      <c r="W372" s="41" t="str">
        <f>IFERROR(IF(VLOOKUP(B372,Baza[[№]:[Profit]],21,0)=0,"-",VLOOKUP(B372,Baza[[№]:[Profit]],21,0)),"")</f>
        <v/>
      </c>
      <c r="X372" s="45" t="str">
        <f>IFERROR(IF(VLOOKUP(B372,Baza[[№]:[Profit]],22,0)=0,"-",VLOOKUP(B372,Baza[[№]:[Profit]],22,0)),"")</f>
        <v/>
      </c>
      <c r="Y372" s="45" t="str">
        <f>IFERROR(VLOOKUP(B372,Baza[[№]:[Profit]],23,0),"")</f>
        <v/>
      </c>
      <c r="Z372" s="44" t="str">
        <f>IFERROR(VLOOKUP(B372,Baza[[№]:[AFS]],24,0),"")</f>
        <v/>
      </c>
      <c r="AA372" s="45" t="str">
        <f>IF(Таблица2[[#This Row],[Profit]]="","#Н/Д",SUM($Y$40:Y372))</f>
        <v>#Н/Д</v>
      </c>
      <c r="AB372" s="45" t="b">
        <f>IF(Таблица2[[#This Row],[Grafik]]="#Н/Д",FALSE,TRUE)</f>
        <v>0</v>
      </c>
    </row>
    <row r="373" spans="2:28" ht="11.1" hidden="1" customHeight="1" x14ac:dyDescent="0.25">
      <c r="B373"/>
      <c r="C373" s="41" t="str">
        <f>IFERROR(VLOOKUP(B373,Baza[[№]:[Profit]],2,0),"")</f>
        <v/>
      </c>
      <c r="D37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7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73" s="43" t="str">
        <f>IFERROR(VLOOKUP(B373,Baza[[№]:[Profit]],3,0),"")</f>
        <v/>
      </c>
      <c r="G373" s="43" t="str">
        <f>IFERROR(VLOOKUP(B373,Baza[[№]:[Profit]],4,0),"")</f>
        <v/>
      </c>
      <c r="H373" s="43" t="str">
        <f>IFERROR(VLOOKUP(B373,Baza[[№]:[Profit]],5,0),"")</f>
        <v/>
      </c>
      <c r="I373" s="46" t="str">
        <f>IFERROR(VLOOKUP(B373,Baza[[№]:[Profit]],6,0),"")</f>
        <v/>
      </c>
      <c r="J373" s="49" t="str">
        <f>IFERROR(VLOOKUP(B373,Baza[[№]:[Profit]],7,0),"")</f>
        <v/>
      </c>
      <c r="K373" s="43" t="str">
        <f>IFERROR(VLOOKUP(B373,Baza[[№]:[Profit]],8,0),"")</f>
        <v/>
      </c>
      <c r="L373" s="43" t="str">
        <f>IFERROR(VLOOKUP(B373,Baza[[№]:[Profit]],9,0),"")</f>
        <v/>
      </c>
      <c r="M373" s="43" t="str">
        <f>IFERROR(VLOOKUP(B373,Baza[[№]:[Profit]],10,0),"")</f>
        <v/>
      </c>
      <c r="N373" s="43" t="str">
        <f>IFERROR(IF(VLOOKUP(B373,Baza[[№]:[Profit]],11,0)=0,"-",VLOOKUP(B373,Baza[[№]:[Profit]],11,0)),"")</f>
        <v/>
      </c>
      <c r="O373" s="43" t="str">
        <f>IFERROR(IF(VLOOKUP(B373,Baza[[№]:[Profit]],12,0)=0,"-",VLOOKUP(B373,Baza[[№]:[Profit]],12,0)),"")</f>
        <v/>
      </c>
      <c r="P373" s="43" t="str">
        <f>IFERROR(IF(VLOOKUP(B373,Baza[[№]:[Profit]],13,0)=0,"-",VLOOKUP(B373,Baza[[№]:[Profit]],13,0)),"")</f>
        <v/>
      </c>
      <c r="Q373" s="43" t="str">
        <f>IFERROR(IF(VLOOKUP(B373,Baza[[№]:[Profit]],15,0)=0,"-",VLOOKUP(B373,Baza[[№]:[Profit]],15,0)),"")</f>
        <v/>
      </c>
      <c r="R373" s="43" t="str">
        <f>IFERROR(IF(VLOOKUP(B373,Baza[[№]:[Profit]],16,0)=0,"-",VLOOKUP(B373,Baza[[№]:[Profit]],16,0)),"")</f>
        <v/>
      </c>
      <c r="S373" s="43" t="str">
        <f>IFERROR(IF(VLOOKUP(B373,Baza[[№]:[Profit]],17,0)=0,"-",VLOOKUP(B373,Baza[[№]:[Profit]],17,0)),"")</f>
        <v/>
      </c>
      <c r="T373" s="43" t="str">
        <f>IFERROR(IF(VLOOKUP(B373,Baza[[№]:[Profit]],18,0)=0,"-",VLOOKUP(B373,Baza[[№]:[Profit]],18,0)),"")</f>
        <v/>
      </c>
      <c r="U373" s="41" t="str">
        <f>IFERROR(IF(VLOOKUP(B373,Baza[[№]:[Profit]],19,0)=0,"-",VLOOKUP(B373,Baza[[№]:[Profit]],19,0)),"")</f>
        <v/>
      </c>
      <c r="V373" s="41" t="str">
        <f>IFERROR(VLOOKUP(B373,Baza[[№]:[Profit]],20,0),"")</f>
        <v/>
      </c>
      <c r="W373" s="41" t="str">
        <f>IFERROR(IF(VLOOKUP(B373,Baza[[№]:[Profit]],21,0)=0,"-",VLOOKUP(B373,Baza[[№]:[Profit]],21,0)),"")</f>
        <v/>
      </c>
      <c r="X373" s="45" t="str">
        <f>IFERROR(IF(VLOOKUP(B373,Baza[[№]:[Profit]],22,0)=0,"-",VLOOKUP(B373,Baza[[№]:[Profit]],22,0)),"")</f>
        <v/>
      </c>
      <c r="Y373" s="45" t="str">
        <f>IFERROR(VLOOKUP(B373,Baza[[№]:[Profit]],23,0),"")</f>
        <v/>
      </c>
      <c r="Z373" s="44" t="str">
        <f>IFERROR(VLOOKUP(B373,Baza[[№]:[AFS]],24,0),"")</f>
        <v/>
      </c>
      <c r="AA373" s="45" t="str">
        <f>IF(Таблица2[[#This Row],[Profit]]="","#Н/Д",SUM($Y$40:Y373))</f>
        <v>#Н/Д</v>
      </c>
      <c r="AB373" s="45" t="b">
        <f>IF(Таблица2[[#This Row],[Grafik]]="#Н/Д",FALSE,TRUE)</f>
        <v>0</v>
      </c>
    </row>
    <row r="374" spans="2:28" ht="11.1" hidden="1" customHeight="1" x14ac:dyDescent="0.25">
      <c r="B374"/>
      <c r="C374" s="41" t="str">
        <f>IFERROR(VLOOKUP(B374,Baza[[№]:[Profit]],2,0),"")</f>
        <v/>
      </c>
      <c r="D37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7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74" s="43" t="str">
        <f>IFERROR(VLOOKUP(B374,Baza[[№]:[Profit]],3,0),"")</f>
        <v/>
      </c>
      <c r="G374" s="43" t="str">
        <f>IFERROR(VLOOKUP(B374,Baza[[№]:[Profit]],4,0),"")</f>
        <v/>
      </c>
      <c r="H374" s="43" t="str">
        <f>IFERROR(VLOOKUP(B374,Baza[[№]:[Profit]],5,0),"")</f>
        <v/>
      </c>
      <c r="I374" s="46" t="str">
        <f>IFERROR(VLOOKUP(B374,Baza[[№]:[Profit]],6,0),"")</f>
        <v/>
      </c>
      <c r="J374" s="49" t="str">
        <f>IFERROR(VLOOKUP(B374,Baza[[№]:[Profit]],7,0),"")</f>
        <v/>
      </c>
      <c r="K374" s="43" t="str">
        <f>IFERROR(VLOOKUP(B374,Baza[[№]:[Profit]],8,0),"")</f>
        <v/>
      </c>
      <c r="L374" s="43" t="str">
        <f>IFERROR(VLOOKUP(B374,Baza[[№]:[Profit]],9,0),"")</f>
        <v/>
      </c>
      <c r="M374" s="43" t="str">
        <f>IFERROR(VLOOKUP(B374,Baza[[№]:[Profit]],10,0),"")</f>
        <v/>
      </c>
      <c r="N374" s="43" t="str">
        <f>IFERROR(IF(VLOOKUP(B374,Baza[[№]:[Profit]],11,0)=0,"-",VLOOKUP(B374,Baza[[№]:[Profit]],11,0)),"")</f>
        <v/>
      </c>
      <c r="O374" s="43" t="str">
        <f>IFERROR(IF(VLOOKUP(B374,Baza[[№]:[Profit]],12,0)=0,"-",VLOOKUP(B374,Baza[[№]:[Profit]],12,0)),"")</f>
        <v/>
      </c>
      <c r="P374" s="43" t="str">
        <f>IFERROR(IF(VLOOKUP(B374,Baza[[№]:[Profit]],13,0)=0,"-",VLOOKUP(B374,Baza[[№]:[Profit]],13,0)),"")</f>
        <v/>
      </c>
      <c r="Q374" s="43" t="str">
        <f>IFERROR(IF(VLOOKUP(B374,Baza[[№]:[Profit]],15,0)=0,"-",VLOOKUP(B374,Baza[[№]:[Profit]],15,0)),"")</f>
        <v/>
      </c>
      <c r="R374" s="43" t="str">
        <f>IFERROR(IF(VLOOKUP(B374,Baza[[№]:[Profit]],16,0)=0,"-",VLOOKUP(B374,Baza[[№]:[Profit]],16,0)),"")</f>
        <v/>
      </c>
      <c r="S374" s="43" t="str">
        <f>IFERROR(IF(VLOOKUP(B374,Baza[[№]:[Profit]],17,0)=0,"-",VLOOKUP(B374,Baza[[№]:[Profit]],17,0)),"")</f>
        <v/>
      </c>
      <c r="T374" s="43" t="str">
        <f>IFERROR(IF(VLOOKUP(B374,Baza[[№]:[Profit]],18,0)=0,"-",VLOOKUP(B374,Baza[[№]:[Profit]],18,0)),"")</f>
        <v/>
      </c>
      <c r="U374" s="41" t="str">
        <f>IFERROR(IF(VLOOKUP(B374,Baza[[№]:[Profit]],19,0)=0,"-",VLOOKUP(B374,Baza[[№]:[Profit]],19,0)),"")</f>
        <v/>
      </c>
      <c r="V374" s="41" t="str">
        <f>IFERROR(VLOOKUP(B374,Baza[[№]:[Profit]],20,0),"")</f>
        <v/>
      </c>
      <c r="W374" s="41" t="str">
        <f>IFERROR(IF(VLOOKUP(B374,Baza[[№]:[Profit]],21,0)=0,"-",VLOOKUP(B374,Baza[[№]:[Profit]],21,0)),"")</f>
        <v/>
      </c>
      <c r="X374" s="45" t="str">
        <f>IFERROR(IF(VLOOKUP(B374,Baza[[№]:[Profit]],22,0)=0,"-",VLOOKUP(B374,Baza[[№]:[Profit]],22,0)),"")</f>
        <v/>
      </c>
      <c r="Y374" s="45" t="str">
        <f>IFERROR(VLOOKUP(B374,Baza[[№]:[Profit]],23,0),"")</f>
        <v/>
      </c>
      <c r="Z374" s="44" t="str">
        <f>IFERROR(VLOOKUP(B374,Baza[[№]:[AFS]],24,0),"")</f>
        <v/>
      </c>
      <c r="AA374" s="45" t="str">
        <f>IF(Таблица2[[#This Row],[Profit]]="","#Н/Д",SUM($Y$40:Y374))</f>
        <v>#Н/Д</v>
      </c>
      <c r="AB374" s="45" t="b">
        <f>IF(Таблица2[[#This Row],[Grafik]]="#Н/Д",FALSE,TRUE)</f>
        <v>0</v>
      </c>
    </row>
    <row r="375" spans="2:28" ht="11.1" hidden="1" customHeight="1" x14ac:dyDescent="0.25">
      <c r="B375"/>
      <c r="C375" s="41" t="str">
        <f>IFERROR(VLOOKUP(B375,Baza[[№]:[Profit]],2,0),"")</f>
        <v/>
      </c>
      <c r="D37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7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75" s="43" t="str">
        <f>IFERROR(VLOOKUP(B375,Baza[[№]:[Profit]],3,0),"")</f>
        <v/>
      </c>
      <c r="G375" s="43" t="str">
        <f>IFERROR(VLOOKUP(B375,Baza[[№]:[Profit]],4,0),"")</f>
        <v/>
      </c>
      <c r="H375" s="43" t="str">
        <f>IFERROR(VLOOKUP(B375,Baza[[№]:[Profit]],5,0),"")</f>
        <v/>
      </c>
      <c r="I375" s="46" t="str">
        <f>IFERROR(VLOOKUP(B375,Baza[[№]:[Profit]],6,0),"")</f>
        <v/>
      </c>
      <c r="J375" s="49" t="str">
        <f>IFERROR(VLOOKUP(B375,Baza[[№]:[Profit]],7,0),"")</f>
        <v/>
      </c>
      <c r="K375" s="43" t="str">
        <f>IFERROR(VLOOKUP(B375,Baza[[№]:[Profit]],8,0),"")</f>
        <v/>
      </c>
      <c r="L375" s="43" t="str">
        <f>IFERROR(VLOOKUP(B375,Baza[[№]:[Profit]],9,0),"")</f>
        <v/>
      </c>
      <c r="M375" s="43" t="str">
        <f>IFERROR(VLOOKUP(B375,Baza[[№]:[Profit]],10,0),"")</f>
        <v/>
      </c>
      <c r="N375" s="43" t="str">
        <f>IFERROR(IF(VLOOKUP(B375,Baza[[№]:[Profit]],11,0)=0,"-",VLOOKUP(B375,Baza[[№]:[Profit]],11,0)),"")</f>
        <v/>
      </c>
      <c r="O375" s="43" t="str">
        <f>IFERROR(IF(VLOOKUP(B375,Baza[[№]:[Profit]],12,0)=0,"-",VLOOKUP(B375,Baza[[№]:[Profit]],12,0)),"")</f>
        <v/>
      </c>
      <c r="P375" s="43" t="str">
        <f>IFERROR(IF(VLOOKUP(B375,Baza[[№]:[Profit]],13,0)=0,"-",VLOOKUP(B375,Baza[[№]:[Profit]],13,0)),"")</f>
        <v/>
      </c>
      <c r="Q375" s="43" t="str">
        <f>IFERROR(IF(VLOOKUP(B375,Baza[[№]:[Profit]],15,0)=0,"-",VLOOKUP(B375,Baza[[№]:[Profit]],15,0)),"")</f>
        <v/>
      </c>
      <c r="R375" s="43" t="str">
        <f>IFERROR(IF(VLOOKUP(B375,Baza[[№]:[Profit]],16,0)=0,"-",VLOOKUP(B375,Baza[[№]:[Profit]],16,0)),"")</f>
        <v/>
      </c>
      <c r="S375" s="43" t="str">
        <f>IFERROR(IF(VLOOKUP(B375,Baza[[№]:[Profit]],17,0)=0,"-",VLOOKUP(B375,Baza[[№]:[Profit]],17,0)),"")</f>
        <v/>
      </c>
      <c r="T375" s="43" t="str">
        <f>IFERROR(IF(VLOOKUP(B375,Baza[[№]:[Profit]],18,0)=0,"-",VLOOKUP(B375,Baza[[№]:[Profit]],18,0)),"")</f>
        <v/>
      </c>
      <c r="U375" s="41" t="str">
        <f>IFERROR(IF(VLOOKUP(B375,Baza[[№]:[Profit]],19,0)=0,"-",VLOOKUP(B375,Baza[[№]:[Profit]],19,0)),"")</f>
        <v/>
      </c>
      <c r="V375" s="41" t="str">
        <f>IFERROR(VLOOKUP(B375,Baza[[№]:[Profit]],20,0),"")</f>
        <v/>
      </c>
      <c r="W375" s="41" t="str">
        <f>IFERROR(IF(VLOOKUP(B375,Baza[[№]:[Profit]],21,0)=0,"-",VLOOKUP(B375,Baza[[№]:[Profit]],21,0)),"")</f>
        <v/>
      </c>
      <c r="X375" s="45" t="str">
        <f>IFERROR(IF(VLOOKUP(B375,Baza[[№]:[Profit]],22,0)=0,"-",VLOOKUP(B375,Baza[[№]:[Profit]],22,0)),"")</f>
        <v/>
      </c>
      <c r="Y375" s="45" t="str">
        <f>IFERROR(VLOOKUP(B375,Baza[[№]:[Profit]],23,0),"")</f>
        <v/>
      </c>
      <c r="Z375" s="44" t="str">
        <f>IFERROR(VLOOKUP(B375,Baza[[№]:[AFS]],24,0),"")</f>
        <v/>
      </c>
      <c r="AA375" s="45" t="str">
        <f>IF(Таблица2[[#This Row],[Profit]]="","#Н/Д",SUM($Y$40:Y375))</f>
        <v>#Н/Д</v>
      </c>
      <c r="AB375" s="45" t="b">
        <f>IF(Таблица2[[#This Row],[Grafik]]="#Н/Д",FALSE,TRUE)</f>
        <v>0</v>
      </c>
    </row>
    <row r="376" spans="2:28" ht="11.1" hidden="1" customHeight="1" x14ac:dyDescent="0.25">
      <c r="B376"/>
      <c r="C376" s="41" t="str">
        <f>IFERROR(VLOOKUP(B376,Baza[[№]:[Profit]],2,0),"")</f>
        <v/>
      </c>
      <c r="D37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7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76" s="43" t="str">
        <f>IFERROR(VLOOKUP(B376,Baza[[№]:[Profit]],3,0),"")</f>
        <v/>
      </c>
      <c r="G376" s="43" t="str">
        <f>IFERROR(VLOOKUP(B376,Baza[[№]:[Profit]],4,0),"")</f>
        <v/>
      </c>
      <c r="H376" s="43" t="str">
        <f>IFERROR(VLOOKUP(B376,Baza[[№]:[Profit]],5,0),"")</f>
        <v/>
      </c>
      <c r="I376" s="46" t="str">
        <f>IFERROR(VLOOKUP(B376,Baza[[№]:[Profit]],6,0),"")</f>
        <v/>
      </c>
      <c r="J376" s="49" t="str">
        <f>IFERROR(VLOOKUP(B376,Baza[[№]:[Profit]],7,0),"")</f>
        <v/>
      </c>
      <c r="K376" s="43" t="str">
        <f>IFERROR(VLOOKUP(B376,Baza[[№]:[Profit]],8,0),"")</f>
        <v/>
      </c>
      <c r="L376" s="43" t="str">
        <f>IFERROR(VLOOKUP(B376,Baza[[№]:[Profit]],9,0),"")</f>
        <v/>
      </c>
      <c r="M376" s="43" t="str">
        <f>IFERROR(VLOOKUP(B376,Baza[[№]:[Profit]],10,0),"")</f>
        <v/>
      </c>
      <c r="N376" s="43" t="str">
        <f>IFERROR(IF(VLOOKUP(B376,Baza[[№]:[Profit]],11,0)=0,"-",VLOOKUP(B376,Baza[[№]:[Profit]],11,0)),"")</f>
        <v/>
      </c>
      <c r="O376" s="43" t="str">
        <f>IFERROR(IF(VLOOKUP(B376,Baza[[№]:[Profit]],12,0)=0,"-",VLOOKUP(B376,Baza[[№]:[Profit]],12,0)),"")</f>
        <v/>
      </c>
      <c r="P376" s="43" t="str">
        <f>IFERROR(IF(VLOOKUP(B376,Baza[[№]:[Profit]],13,0)=0,"-",VLOOKUP(B376,Baza[[№]:[Profit]],13,0)),"")</f>
        <v/>
      </c>
      <c r="Q376" s="43" t="str">
        <f>IFERROR(IF(VLOOKUP(B376,Baza[[№]:[Profit]],15,0)=0,"-",VLOOKUP(B376,Baza[[№]:[Profit]],15,0)),"")</f>
        <v/>
      </c>
      <c r="R376" s="43" t="str">
        <f>IFERROR(IF(VLOOKUP(B376,Baza[[№]:[Profit]],16,0)=0,"-",VLOOKUP(B376,Baza[[№]:[Profit]],16,0)),"")</f>
        <v/>
      </c>
      <c r="S376" s="43" t="str">
        <f>IFERROR(IF(VLOOKUP(B376,Baza[[№]:[Profit]],17,0)=0,"-",VLOOKUP(B376,Baza[[№]:[Profit]],17,0)),"")</f>
        <v/>
      </c>
      <c r="T376" s="43" t="str">
        <f>IFERROR(IF(VLOOKUP(B376,Baza[[№]:[Profit]],18,0)=0,"-",VLOOKUP(B376,Baza[[№]:[Profit]],18,0)),"")</f>
        <v/>
      </c>
      <c r="U376" s="41" t="str">
        <f>IFERROR(IF(VLOOKUP(B376,Baza[[№]:[Profit]],19,0)=0,"-",VLOOKUP(B376,Baza[[№]:[Profit]],19,0)),"")</f>
        <v/>
      </c>
      <c r="V376" s="41" t="str">
        <f>IFERROR(VLOOKUP(B376,Baza[[№]:[Profit]],20,0),"")</f>
        <v/>
      </c>
      <c r="W376" s="41" t="str">
        <f>IFERROR(IF(VLOOKUP(B376,Baza[[№]:[Profit]],21,0)=0,"-",VLOOKUP(B376,Baza[[№]:[Profit]],21,0)),"")</f>
        <v/>
      </c>
      <c r="X376" s="45" t="str">
        <f>IFERROR(IF(VLOOKUP(B376,Baza[[№]:[Profit]],22,0)=0,"-",VLOOKUP(B376,Baza[[№]:[Profit]],22,0)),"")</f>
        <v/>
      </c>
      <c r="Y376" s="45" t="str">
        <f>IFERROR(VLOOKUP(B376,Baza[[№]:[Profit]],23,0),"")</f>
        <v/>
      </c>
      <c r="Z376" s="44" t="str">
        <f>IFERROR(VLOOKUP(B376,Baza[[№]:[AFS]],24,0),"")</f>
        <v/>
      </c>
      <c r="AA376" s="45" t="str">
        <f>IF(Таблица2[[#This Row],[Profit]]="","#Н/Д",SUM($Y$40:Y376))</f>
        <v>#Н/Д</v>
      </c>
      <c r="AB376" s="45" t="b">
        <f>IF(Таблица2[[#This Row],[Grafik]]="#Н/Д",FALSE,TRUE)</f>
        <v>0</v>
      </c>
    </row>
    <row r="377" spans="2:28" ht="11.1" hidden="1" customHeight="1" x14ac:dyDescent="0.25">
      <c r="B377"/>
      <c r="C377" s="41" t="str">
        <f>IFERROR(VLOOKUP(B377,Baza[[№]:[Profit]],2,0),"")</f>
        <v/>
      </c>
      <c r="D37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7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77" s="43" t="str">
        <f>IFERROR(VLOOKUP(B377,Baza[[№]:[Profit]],3,0),"")</f>
        <v/>
      </c>
      <c r="G377" s="43" t="str">
        <f>IFERROR(VLOOKUP(B377,Baza[[№]:[Profit]],4,0),"")</f>
        <v/>
      </c>
      <c r="H377" s="43" t="str">
        <f>IFERROR(VLOOKUP(B377,Baza[[№]:[Profit]],5,0),"")</f>
        <v/>
      </c>
      <c r="I377" s="46" t="str">
        <f>IFERROR(VLOOKUP(B377,Baza[[№]:[Profit]],6,0),"")</f>
        <v/>
      </c>
      <c r="J377" s="49" t="str">
        <f>IFERROR(VLOOKUP(B377,Baza[[№]:[Profit]],7,0),"")</f>
        <v/>
      </c>
      <c r="K377" s="43" t="str">
        <f>IFERROR(VLOOKUP(B377,Baza[[№]:[Profit]],8,0),"")</f>
        <v/>
      </c>
      <c r="L377" s="43" t="str">
        <f>IFERROR(VLOOKUP(B377,Baza[[№]:[Profit]],9,0),"")</f>
        <v/>
      </c>
      <c r="M377" s="43" t="str">
        <f>IFERROR(VLOOKUP(B377,Baza[[№]:[Profit]],10,0),"")</f>
        <v/>
      </c>
      <c r="N377" s="43" t="str">
        <f>IFERROR(IF(VLOOKUP(B377,Baza[[№]:[Profit]],11,0)=0,"-",VLOOKUP(B377,Baza[[№]:[Profit]],11,0)),"")</f>
        <v/>
      </c>
      <c r="O377" s="43" t="str">
        <f>IFERROR(IF(VLOOKUP(B377,Baza[[№]:[Profit]],12,0)=0,"-",VLOOKUP(B377,Baza[[№]:[Profit]],12,0)),"")</f>
        <v/>
      </c>
      <c r="P377" s="43" t="str">
        <f>IFERROR(IF(VLOOKUP(B377,Baza[[№]:[Profit]],13,0)=0,"-",VLOOKUP(B377,Baza[[№]:[Profit]],13,0)),"")</f>
        <v/>
      </c>
      <c r="Q377" s="43" t="str">
        <f>IFERROR(IF(VLOOKUP(B377,Baza[[№]:[Profit]],15,0)=0,"-",VLOOKUP(B377,Baza[[№]:[Profit]],15,0)),"")</f>
        <v/>
      </c>
      <c r="R377" s="43" t="str">
        <f>IFERROR(IF(VLOOKUP(B377,Baza[[№]:[Profit]],16,0)=0,"-",VLOOKUP(B377,Baza[[№]:[Profit]],16,0)),"")</f>
        <v/>
      </c>
      <c r="S377" s="43" t="str">
        <f>IFERROR(IF(VLOOKUP(B377,Baza[[№]:[Profit]],17,0)=0,"-",VLOOKUP(B377,Baza[[№]:[Profit]],17,0)),"")</f>
        <v/>
      </c>
      <c r="T377" s="43" t="str">
        <f>IFERROR(IF(VLOOKUP(B377,Baza[[№]:[Profit]],18,0)=0,"-",VLOOKUP(B377,Baza[[№]:[Profit]],18,0)),"")</f>
        <v/>
      </c>
      <c r="U377" s="41" t="str">
        <f>IFERROR(IF(VLOOKUP(B377,Baza[[№]:[Profit]],19,0)=0,"-",VLOOKUP(B377,Baza[[№]:[Profit]],19,0)),"")</f>
        <v/>
      </c>
      <c r="V377" s="41" t="str">
        <f>IFERROR(VLOOKUP(B377,Baza[[№]:[Profit]],20,0),"")</f>
        <v/>
      </c>
      <c r="W377" s="41" t="str">
        <f>IFERROR(IF(VLOOKUP(B377,Baza[[№]:[Profit]],21,0)=0,"-",VLOOKUP(B377,Baza[[№]:[Profit]],21,0)),"")</f>
        <v/>
      </c>
      <c r="X377" s="45" t="str">
        <f>IFERROR(IF(VLOOKUP(B377,Baza[[№]:[Profit]],22,0)=0,"-",VLOOKUP(B377,Baza[[№]:[Profit]],22,0)),"")</f>
        <v/>
      </c>
      <c r="Y377" s="45" t="str">
        <f>IFERROR(VLOOKUP(B377,Baza[[№]:[Profit]],23,0),"")</f>
        <v/>
      </c>
      <c r="Z377" s="44" t="str">
        <f>IFERROR(VLOOKUP(B377,Baza[[№]:[AFS]],24,0),"")</f>
        <v/>
      </c>
      <c r="AA377" s="45" t="str">
        <f>IF(Таблица2[[#This Row],[Profit]]="","#Н/Д",SUM($Y$40:Y377))</f>
        <v>#Н/Д</v>
      </c>
      <c r="AB377" s="45" t="b">
        <f>IF(Таблица2[[#This Row],[Grafik]]="#Н/Д",FALSE,TRUE)</f>
        <v>0</v>
      </c>
    </row>
    <row r="378" spans="2:28" ht="11.1" hidden="1" customHeight="1" x14ac:dyDescent="0.25">
      <c r="B378"/>
      <c r="C378" s="41" t="str">
        <f>IFERROR(VLOOKUP(B378,Baza[[№]:[Profit]],2,0),"")</f>
        <v/>
      </c>
      <c r="D37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7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78" s="43" t="str">
        <f>IFERROR(VLOOKUP(B378,Baza[[№]:[Profit]],3,0),"")</f>
        <v/>
      </c>
      <c r="G378" s="43" t="str">
        <f>IFERROR(VLOOKUP(B378,Baza[[№]:[Profit]],4,0),"")</f>
        <v/>
      </c>
      <c r="H378" s="43" t="str">
        <f>IFERROR(VLOOKUP(B378,Baza[[№]:[Profit]],5,0),"")</f>
        <v/>
      </c>
      <c r="I378" s="46" t="str">
        <f>IFERROR(VLOOKUP(B378,Baza[[№]:[Profit]],6,0),"")</f>
        <v/>
      </c>
      <c r="J378" s="49" t="str">
        <f>IFERROR(VLOOKUP(B378,Baza[[№]:[Profit]],7,0),"")</f>
        <v/>
      </c>
      <c r="K378" s="43" t="str">
        <f>IFERROR(VLOOKUP(B378,Baza[[№]:[Profit]],8,0),"")</f>
        <v/>
      </c>
      <c r="L378" s="43" t="str">
        <f>IFERROR(VLOOKUP(B378,Baza[[№]:[Profit]],9,0),"")</f>
        <v/>
      </c>
      <c r="M378" s="43" t="str">
        <f>IFERROR(VLOOKUP(B378,Baza[[№]:[Profit]],10,0),"")</f>
        <v/>
      </c>
      <c r="N378" s="43" t="str">
        <f>IFERROR(IF(VLOOKUP(B378,Baza[[№]:[Profit]],11,0)=0,"-",VLOOKUP(B378,Baza[[№]:[Profit]],11,0)),"")</f>
        <v/>
      </c>
      <c r="O378" s="43" t="str">
        <f>IFERROR(IF(VLOOKUP(B378,Baza[[№]:[Profit]],12,0)=0,"-",VLOOKUP(B378,Baza[[№]:[Profit]],12,0)),"")</f>
        <v/>
      </c>
      <c r="P378" s="43" t="str">
        <f>IFERROR(IF(VLOOKUP(B378,Baza[[№]:[Profit]],13,0)=0,"-",VLOOKUP(B378,Baza[[№]:[Profit]],13,0)),"")</f>
        <v/>
      </c>
      <c r="Q378" s="43" t="str">
        <f>IFERROR(IF(VLOOKUP(B378,Baza[[№]:[Profit]],15,0)=0,"-",VLOOKUP(B378,Baza[[№]:[Profit]],15,0)),"")</f>
        <v/>
      </c>
      <c r="R378" s="43" t="str">
        <f>IFERROR(IF(VLOOKUP(B378,Baza[[№]:[Profit]],16,0)=0,"-",VLOOKUP(B378,Baza[[№]:[Profit]],16,0)),"")</f>
        <v/>
      </c>
      <c r="S378" s="43" t="str">
        <f>IFERROR(IF(VLOOKUP(B378,Baza[[№]:[Profit]],17,0)=0,"-",VLOOKUP(B378,Baza[[№]:[Profit]],17,0)),"")</f>
        <v/>
      </c>
      <c r="T378" s="43" t="str">
        <f>IFERROR(IF(VLOOKUP(B378,Baza[[№]:[Profit]],18,0)=0,"-",VLOOKUP(B378,Baza[[№]:[Profit]],18,0)),"")</f>
        <v/>
      </c>
      <c r="U378" s="41" t="str">
        <f>IFERROR(IF(VLOOKUP(B378,Baza[[№]:[Profit]],19,0)=0,"-",VLOOKUP(B378,Baza[[№]:[Profit]],19,0)),"")</f>
        <v/>
      </c>
      <c r="V378" s="41" t="str">
        <f>IFERROR(VLOOKUP(B378,Baza[[№]:[Profit]],20,0),"")</f>
        <v/>
      </c>
      <c r="W378" s="41" t="str">
        <f>IFERROR(IF(VLOOKUP(B378,Baza[[№]:[Profit]],21,0)=0,"-",VLOOKUP(B378,Baza[[№]:[Profit]],21,0)),"")</f>
        <v/>
      </c>
      <c r="X378" s="45" t="str">
        <f>IFERROR(IF(VLOOKUP(B378,Baza[[№]:[Profit]],22,0)=0,"-",VLOOKUP(B378,Baza[[№]:[Profit]],22,0)),"")</f>
        <v/>
      </c>
      <c r="Y378" s="45" t="str">
        <f>IFERROR(VLOOKUP(B378,Baza[[№]:[Profit]],23,0),"")</f>
        <v/>
      </c>
      <c r="Z378" s="44" t="str">
        <f>IFERROR(VLOOKUP(B378,Baza[[№]:[AFS]],24,0),"")</f>
        <v/>
      </c>
      <c r="AA378" s="45" t="str">
        <f>IF(Таблица2[[#This Row],[Profit]]="","#Н/Д",SUM($Y$40:Y378))</f>
        <v>#Н/Д</v>
      </c>
      <c r="AB378" s="45" t="b">
        <f>IF(Таблица2[[#This Row],[Grafik]]="#Н/Д",FALSE,TRUE)</f>
        <v>0</v>
      </c>
    </row>
    <row r="379" spans="2:28" ht="11.1" hidden="1" customHeight="1" x14ac:dyDescent="0.25">
      <c r="B379"/>
      <c r="C379" s="41" t="str">
        <f>IFERROR(VLOOKUP(B379,Baza[[№]:[Profit]],2,0),"")</f>
        <v/>
      </c>
      <c r="D37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7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79" s="43" t="str">
        <f>IFERROR(VLOOKUP(B379,Baza[[№]:[Profit]],3,0),"")</f>
        <v/>
      </c>
      <c r="G379" s="43" t="str">
        <f>IFERROR(VLOOKUP(B379,Baza[[№]:[Profit]],4,0),"")</f>
        <v/>
      </c>
      <c r="H379" s="43" t="str">
        <f>IFERROR(VLOOKUP(B379,Baza[[№]:[Profit]],5,0),"")</f>
        <v/>
      </c>
      <c r="I379" s="46" t="str">
        <f>IFERROR(VLOOKUP(B379,Baza[[№]:[Profit]],6,0),"")</f>
        <v/>
      </c>
      <c r="J379" s="49" t="str">
        <f>IFERROR(VLOOKUP(B379,Baza[[№]:[Profit]],7,0),"")</f>
        <v/>
      </c>
      <c r="K379" s="43" t="str">
        <f>IFERROR(VLOOKUP(B379,Baza[[№]:[Profit]],8,0),"")</f>
        <v/>
      </c>
      <c r="L379" s="43" t="str">
        <f>IFERROR(VLOOKUP(B379,Baza[[№]:[Profit]],9,0),"")</f>
        <v/>
      </c>
      <c r="M379" s="43" t="str">
        <f>IFERROR(VLOOKUP(B379,Baza[[№]:[Profit]],10,0),"")</f>
        <v/>
      </c>
      <c r="N379" s="43" t="str">
        <f>IFERROR(IF(VLOOKUP(B379,Baza[[№]:[Profit]],11,0)=0,"-",VLOOKUP(B379,Baza[[№]:[Profit]],11,0)),"")</f>
        <v/>
      </c>
      <c r="O379" s="43" t="str">
        <f>IFERROR(IF(VLOOKUP(B379,Baza[[№]:[Profit]],12,0)=0,"-",VLOOKUP(B379,Baza[[№]:[Profit]],12,0)),"")</f>
        <v/>
      </c>
      <c r="P379" s="43" t="str">
        <f>IFERROR(IF(VLOOKUP(B379,Baza[[№]:[Profit]],13,0)=0,"-",VLOOKUP(B379,Baza[[№]:[Profit]],13,0)),"")</f>
        <v/>
      </c>
      <c r="Q379" s="43" t="str">
        <f>IFERROR(IF(VLOOKUP(B379,Baza[[№]:[Profit]],15,0)=0,"-",VLOOKUP(B379,Baza[[№]:[Profit]],15,0)),"")</f>
        <v/>
      </c>
      <c r="R379" s="43" t="str">
        <f>IFERROR(IF(VLOOKUP(B379,Baza[[№]:[Profit]],16,0)=0,"-",VLOOKUP(B379,Baza[[№]:[Profit]],16,0)),"")</f>
        <v/>
      </c>
      <c r="S379" s="43" t="str">
        <f>IFERROR(IF(VLOOKUP(B379,Baza[[№]:[Profit]],17,0)=0,"-",VLOOKUP(B379,Baza[[№]:[Profit]],17,0)),"")</f>
        <v/>
      </c>
      <c r="T379" s="43" t="str">
        <f>IFERROR(IF(VLOOKUP(B379,Baza[[№]:[Profit]],18,0)=0,"-",VLOOKUP(B379,Baza[[№]:[Profit]],18,0)),"")</f>
        <v/>
      </c>
      <c r="U379" s="41" t="str">
        <f>IFERROR(IF(VLOOKUP(B379,Baza[[№]:[Profit]],19,0)=0,"-",VLOOKUP(B379,Baza[[№]:[Profit]],19,0)),"")</f>
        <v/>
      </c>
      <c r="V379" s="41" t="str">
        <f>IFERROR(VLOOKUP(B379,Baza[[№]:[Profit]],20,0),"")</f>
        <v/>
      </c>
      <c r="W379" s="41" t="str">
        <f>IFERROR(IF(VLOOKUP(B379,Baza[[№]:[Profit]],21,0)=0,"-",VLOOKUP(B379,Baza[[№]:[Profit]],21,0)),"")</f>
        <v/>
      </c>
      <c r="X379" s="45" t="str">
        <f>IFERROR(IF(VLOOKUP(B379,Baza[[№]:[Profit]],22,0)=0,"-",VLOOKUP(B379,Baza[[№]:[Profit]],22,0)),"")</f>
        <v/>
      </c>
      <c r="Y379" s="45" t="str">
        <f>IFERROR(VLOOKUP(B379,Baza[[№]:[Profit]],23,0),"")</f>
        <v/>
      </c>
      <c r="Z379" s="44" t="str">
        <f>IFERROR(VLOOKUP(B379,Baza[[№]:[AFS]],24,0),"")</f>
        <v/>
      </c>
      <c r="AA379" s="45" t="str">
        <f>IF(Таблица2[[#This Row],[Profit]]="","#Н/Д",SUM($Y$40:Y379))</f>
        <v>#Н/Д</v>
      </c>
      <c r="AB379" s="45" t="b">
        <f>IF(Таблица2[[#This Row],[Grafik]]="#Н/Д",FALSE,TRUE)</f>
        <v>0</v>
      </c>
    </row>
    <row r="380" spans="2:28" ht="11.1" hidden="1" customHeight="1" x14ac:dyDescent="0.25">
      <c r="B380"/>
      <c r="C380" s="41" t="str">
        <f>IFERROR(VLOOKUP(B380,Baza[[№]:[Profit]],2,0),"")</f>
        <v/>
      </c>
      <c r="D38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8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80" s="43" t="str">
        <f>IFERROR(VLOOKUP(B380,Baza[[№]:[Profit]],3,0),"")</f>
        <v/>
      </c>
      <c r="G380" s="43" t="str">
        <f>IFERROR(VLOOKUP(B380,Baza[[№]:[Profit]],4,0),"")</f>
        <v/>
      </c>
      <c r="H380" s="43" t="str">
        <f>IFERROR(VLOOKUP(B380,Baza[[№]:[Profit]],5,0),"")</f>
        <v/>
      </c>
      <c r="I380" s="46" t="str">
        <f>IFERROR(VLOOKUP(B380,Baza[[№]:[Profit]],6,0),"")</f>
        <v/>
      </c>
      <c r="J380" s="49" t="str">
        <f>IFERROR(VLOOKUP(B380,Baza[[№]:[Profit]],7,0),"")</f>
        <v/>
      </c>
      <c r="K380" s="43" t="str">
        <f>IFERROR(VLOOKUP(B380,Baza[[№]:[Profit]],8,0),"")</f>
        <v/>
      </c>
      <c r="L380" s="43" t="str">
        <f>IFERROR(VLOOKUP(B380,Baza[[№]:[Profit]],9,0),"")</f>
        <v/>
      </c>
      <c r="M380" s="43" t="str">
        <f>IFERROR(VLOOKUP(B380,Baza[[№]:[Profit]],10,0),"")</f>
        <v/>
      </c>
      <c r="N380" s="43" t="str">
        <f>IFERROR(IF(VLOOKUP(B380,Baza[[№]:[Profit]],11,0)=0,"-",VLOOKUP(B380,Baza[[№]:[Profit]],11,0)),"")</f>
        <v/>
      </c>
      <c r="O380" s="43" t="str">
        <f>IFERROR(IF(VLOOKUP(B380,Baza[[№]:[Profit]],12,0)=0,"-",VLOOKUP(B380,Baza[[№]:[Profit]],12,0)),"")</f>
        <v/>
      </c>
      <c r="P380" s="43" t="str">
        <f>IFERROR(IF(VLOOKUP(B380,Baza[[№]:[Profit]],13,0)=0,"-",VLOOKUP(B380,Baza[[№]:[Profit]],13,0)),"")</f>
        <v/>
      </c>
      <c r="Q380" s="43" t="str">
        <f>IFERROR(IF(VLOOKUP(B380,Baza[[№]:[Profit]],15,0)=0,"-",VLOOKUP(B380,Baza[[№]:[Profit]],15,0)),"")</f>
        <v/>
      </c>
      <c r="R380" s="43" t="str">
        <f>IFERROR(IF(VLOOKUP(B380,Baza[[№]:[Profit]],16,0)=0,"-",VLOOKUP(B380,Baza[[№]:[Profit]],16,0)),"")</f>
        <v/>
      </c>
      <c r="S380" s="43" t="str">
        <f>IFERROR(IF(VLOOKUP(B380,Baza[[№]:[Profit]],17,0)=0,"-",VLOOKUP(B380,Baza[[№]:[Profit]],17,0)),"")</f>
        <v/>
      </c>
      <c r="T380" s="43" t="str">
        <f>IFERROR(IF(VLOOKUP(B380,Baza[[№]:[Profit]],18,0)=0,"-",VLOOKUP(B380,Baza[[№]:[Profit]],18,0)),"")</f>
        <v/>
      </c>
      <c r="U380" s="41" t="str">
        <f>IFERROR(IF(VLOOKUP(B380,Baza[[№]:[Profit]],19,0)=0,"-",VLOOKUP(B380,Baza[[№]:[Profit]],19,0)),"")</f>
        <v/>
      </c>
      <c r="V380" s="41" t="str">
        <f>IFERROR(VLOOKUP(B380,Baza[[№]:[Profit]],20,0),"")</f>
        <v/>
      </c>
      <c r="W380" s="41" t="str">
        <f>IFERROR(IF(VLOOKUP(B380,Baza[[№]:[Profit]],21,0)=0,"-",VLOOKUP(B380,Baza[[№]:[Profit]],21,0)),"")</f>
        <v/>
      </c>
      <c r="X380" s="45" t="str">
        <f>IFERROR(IF(VLOOKUP(B380,Baza[[№]:[Profit]],22,0)=0,"-",VLOOKUP(B380,Baza[[№]:[Profit]],22,0)),"")</f>
        <v/>
      </c>
      <c r="Y380" s="45" t="str">
        <f>IFERROR(VLOOKUP(B380,Baza[[№]:[Profit]],23,0),"")</f>
        <v/>
      </c>
      <c r="Z380" s="44" t="str">
        <f>IFERROR(VLOOKUP(B380,Baza[[№]:[AFS]],24,0),"")</f>
        <v/>
      </c>
      <c r="AA380" s="45" t="str">
        <f>IF(Таблица2[[#This Row],[Profit]]="","#Н/Д",SUM($Y$40:Y380))</f>
        <v>#Н/Д</v>
      </c>
      <c r="AB380" s="45" t="b">
        <f>IF(Таблица2[[#This Row],[Grafik]]="#Н/Д",FALSE,TRUE)</f>
        <v>0</v>
      </c>
    </row>
    <row r="381" spans="2:28" ht="11.1" hidden="1" customHeight="1" x14ac:dyDescent="0.25">
      <c r="B381"/>
      <c r="C381" s="41" t="str">
        <f>IFERROR(VLOOKUP(B381,Baza[[№]:[Profit]],2,0),"")</f>
        <v/>
      </c>
      <c r="D38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8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81" s="43" t="str">
        <f>IFERROR(VLOOKUP(B381,Baza[[№]:[Profit]],3,0),"")</f>
        <v/>
      </c>
      <c r="G381" s="43" t="str">
        <f>IFERROR(VLOOKUP(B381,Baza[[№]:[Profit]],4,0),"")</f>
        <v/>
      </c>
      <c r="H381" s="43" t="str">
        <f>IFERROR(VLOOKUP(B381,Baza[[№]:[Profit]],5,0),"")</f>
        <v/>
      </c>
      <c r="I381" s="46" t="str">
        <f>IFERROR(VLOOKUP(B381,Baza[[№]:[Profit]],6,0),"")</f>
        <v/>
      </c>
      <c r="J381" s="49" t="str">
        <f>IFERROR(VLOOKUP(B381,Baza[[№]:[Profit]],7,0),"")</f>
        <v/>
      </c>
      <c r="K381" s="43" t="str">
        <f>IFERROR(VLOOKUP(B381,Baza[[№]:[Profit]],8,0),"")</f>
        <v/>
      </c>
      <c r="L381" s="43" t="str">
        <f>IFERROR(VLOOKUP(B381,Baza[[№]:[Profit]],9,0),"")</f>
        <v/>
      </c>
      <c r="M381" s="43" t="str">
        <f>IFERROR(VLOOKUP(B381,Baza[[№]:[Profit]],10,0),"")</f>
        <v/>
      </c>
      <c r="N381" s="43" t="str">
        <f>IFERROR(IF(VLOOKUP(B381,Baza[[№]:[Profit]],11,0)=0,"-",VLOOKUP(B381,Baza[[№]:[Profit]],11,0)),"")</f>
        <v/>
      </c>
      <c r="O381" s="43" t="str">
        <f>IFERROR(IF(VLOOKUP(B381,Baza[[№]:[Profit]],12,0)=0,"-",VLOOKUP(B381,Baza[[№]:[Profit]],12,0)),"")</f>
        <v/>
      </c>
      <c r="P381" s="43" t="str">
        <f>IFERROR(IF(VLOOKUP(B381,Baza[[№]:[Profit]],13,0)=0,"-",VLOOKUP(B381,Baza[[№]:[Profit]],13,0)),"")</f>
        <v/>
      </c>
      <c r="Q381" s="43" t="str">
        <f>IFERROR(IF(VLOOKUP(B381,Baza[[№]:[Profit]],15,0)=0,"-",VLOOKUP(B381,Baza[[№]:[Profit]],15,0)),"")</f>
        <v/>
      </c>
      <c r="R381" s="43" t="str">
        <f>IFERROR(IF(VLOOKUP(B381,Baza[[№]:[Profit]],16,0)=0,"-",VLOOKUP(B381,Baza[[№]:[Profit]],16,0)),"")</f>
        <v/>
      </c>
      <c r="S381" s="43" t="str">
        <f>IFERROR(IF(VLOOKUP(B381,Baza[[№]:[Profit]],17,0)=0,"-",VLOOKUP(B381,Baza[[№]:[Profit]],17,0)),"")</f>
        <v/>
      </c>
      <c r="T381" s="43" t="str">
        <f>IFERROR(IF(VLOOKUP(B381,Baza[[№]:[Profit]],18,0)=0,"-",VLOOKUP(B381,Baza[[№]:[Profit]],18,0)),"")</f>
        <v/>
      </c>
      <c r="U381" s="41" t="str">
        <f>IFERROR(IF(VLOOKUP(B381,Baza[[№]:[Profit]],19,0)=0,"-",VLOOKUP(B381,Baza[[№]:[Profit]],19,0)),"")</f>
        <v/>
      </c>
      <c r="V381" s="41" t="str">
        <f>IFERROR(VLOOKUP(B381,Baza[[№]:[Profit]],20,0),"")</f>
        <v/>
      </c>
      <c r="W381" s="41" t="str">
        <f>IFERROR(IF(VLOOKUP(B381,Baza[[№]:[Profit]],21,0)=0,"-",VLOOKUP(B381,Baza[[№]:[Profit]],21,0)),"")</f>
        <v/>
      </c>
      <c r="X381" s="45" t="str">
        <f>IFERROR(IF(VLOOKUP(B381,Baza[[№]:[Profit]],22,0)=0,"-",VLOOKUP(B381,Baza[[№]:[Profit]],22,0)),"")</f>
        <v/>
      </c>
      <c r="Y381" s="45" t="str">
        <f>IFERROR(VLOOKUP(B381,Baza[[№]:[Profit]],23,0),"")</f>
        <v/>
      </c>
      <c r="Z381" s="44" t="str">
        <f>IFERROR(VLOOKUP(B381,Baza[[№]:[AFS]],24,0),"")</f>
        <v/>
      </c>
      <c r="AA381" s="45" t="str">
        <f>IF(Таблица2[[#This Row],[Profit]]="","#Н/Д",SUM($Y$40:Y381))</f>
        <v>#Н/Д</v>
      </c>
      <c r="AB381" s="45" t="b">
        <f>IF(Таблица2[[#This Row],[Grafik]]="#Н/Д",FALSE,TRUE)</f>
        <v>0</v>
      </c>
    </row>
    <row r="382" spans="2:28" ht="11.1" hidden="1" customHeight="1" x14ac:dyDescent="0.25">
      <c r="B382"/>
      <c r="C382" s="41" t="str">
        <f>IFERROR(VLOOKUP(B382,Baza[[№]:[Profit]],2,0),"")</f>
        <v/>
      </c>
      <c r="D38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8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82" s="43" t="str">
        <f>IFERROR(VLOOKUP(B382,Baza[[№]:[Profit]],3,0),"")</f>
        <v/>
      </c>
      <c r="G382" s="43" t="str">
        <f>IFERROR(VLOOKUP(B382,Baza[[№]:[Profit]],4,0),"")</f>
        <v/>
      </c>
      <c r="H382" s="43" t="str">
        <f>IFERROR(VLOOKUP(B382,Baza[[№]:[Profit]],5,0),"")</f>
        <v/>
      </c>
      <c r="I382" s="46" t="str">
        <f>IFERROR(VLOOKUP(B382,Baza[[№]:[Profit]],6,0),"")</f>
        <v/>
      </c>
      <c r="J382" s="49" t="str">
        <f>IFERROR(VLOOKUP(B382,Baza[[№]:[Profit]],7,0),"")</f>
        <v/>
      </c>
      <c r="K382" s="43" t="str">
        <f>IFERROR(VLOOKUP(B382,Baza[[№]:[Profit]],8,0),"")</f>
        <v/>
      </c>
      <c r="L382" s="43" t="str">
        <f>IFERROR(VLOOKUP(B382,Baza[[№]:[Profit]],9,0),"")</f>
        <v/>
      </c>
      <c r="M382" s="43" t="str">
        <f>IFERROR(VLOOKUP(B382,Baza[[№]:[Profit]],10,0),"")</f>
        <v/>
      </c>
      <c r="N382" s="43" t="str">
        <f>IFERROR(IF(VLOOKUP(B382,Baza[[№]:[Profit]],11,0)=0,"-",VLOOKUP(B382,Baza[[№]:[Profit]],11,0)),"")</f>
        <v/>
      </c>
      <c r="O382" s="43" t="str">
        <f>IFERROR(IF(VLOOKUP(B382,Baza[[№]:[Profit]],12,0)=0,"-",VLOOKUP(B382,Baza[[№]:[Profit]],12,0)),"")</f>
        <v/>
      </c>
      <c r="P382" s="43" t="str">
        <f>IFERROR(IF(VLOOKUP(B382,Baza[[№]:[Profit]],13,0)=0,"-",VLOOKUP(B382,Baza[[№]:[Profit]],13,0)),"")</f>
        <v/>
      </c>
      <c r="Q382" s="43" t="str">
        <f>IFERROR(IF(VLOOKUP(B382,Baza[[№]:[Profit]],15,0)=0,"-",VLOOKUP(B382,Baza[[№]:[Profit]],15,0)),"")</f>
        <v/>
      </c>
      <c r="R382" s="43" t="str">
        <f>IFERROR(IF(VLOOKUP(B382,Baza[[№]:[Profit]],16,0)=0,"-",VLOOKUP(B382,Baza[[№]:[Profit]],16,0)),"")</f>
        <v/>
      </c>
      <c r="S382" s="43" t="str">
        <f>IFERROR(IF(VLOOKUP(B382,Baza[[№]:[Profit]],17,0)=0,"-",VLOOKUP(B382,Baza[[№]:[Profit]],17,0)),"")</f>
        <v/>
      </c>
      <c r="T382" s="43" t="str">
        <f>IFERROR(IF(VLOOKUP(B382,Baza[[№]:[Profit]],18,0)=0,"-",VLOOKUP(B382,Baza[[№]:[Profit]],18,0)),"")</f>
        <v/>
      </c>
      <c r="U382" s="41" t="str">
        <f>IFERROR(IF(VLOOKUP(B382,Baza[[№]:[Profit]],19,0)=0,"-",VLOOKUP(B382,Baza[[№]:[Profit]],19,0)),"")</f>
        <v/>
      </c>
      <c r="V382" s="41" t="str">
        <f>IFERROR(VLOOKUP(B382,Baza[[№]:[Profit]],20,0),"")</f>
        <v/>
      </c>
      <c r="W382" s="41" t="str">
        <f>IFERROR(IF(VLOOKUP(B382,Baza[[№]:[Profit]],21,0)=0,"-",VLOOKUP(B382,Baza[[№]:[Profit]],21,0)),"")</f>
        <v/>
      </c>
      <c r="X382" s="45" t="str">
        <f>IFERROR(IF(VLOOKUP(B382,Baza[[№]:[Profit]],22,0)=0,"-",VLOOKUP(B382,Baza[[№]:[Profit]],22,0)),"")</f>
        <v/>
      </c>
      <c r="Y382" s="45" t="str">
        <f>IFERROR(VLOOKUP(B382,Baza[[№]:[Profit]],23,0),"")</f>
        <v/>
      </c>
      <c r="Z382" s="44" t="str">
        <f>IFERROR(VLOOKUP(B382,Baza[[№]:[AFS]],24,0),"")</f>
        <v/>
      </c>
      <c r="AA382" s="45" t="str">
        <f>IF(Таблица2[[#This Row],[Profit]]="","#Н/Д",SUM($Y$40:Y382))</f>
        <v>#Н/Д</v>
      </c>
      <c r="AB382" s="45" t="b">
        <f>IF(Таблица2[[#This Row],[Grafik]]="#Н/Д",FALSE,TRUE)</f>
        <v>0</v>
      </c>
    </row>
    <row r="383" spans="2:28" ht="11.1" hidden="1" customHeight="1" x14ac:dyDescent="0.25">
      <c r="B383"/>
      <c r="C383" s="41" t="str">
        <f>IFERROR(VLOOKUP(B383,Baza[[№]:[Profit]],2,0),"")</f>
        <v/>
      </c>
      <c r="D38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8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83" s="43" t="str">
        <f>IFERROR(VLOOKUP(B383,Baza[[№]:[Profit]],3,0),"")</f>
        <v/>
      </c>
      <c r="G383" s="43" t="str">
        <f>IFERROR(VLOOKUP(B383,Baza[[№]:[Profit]],4,0),"")</f>
        <v/>
      </c>
      <c r="H383" s="43" t="str">
        <f>IFERROR(VLOOKUP(B383,Baza[[№]:[Profit]],5,0),"")</f>
        <v/>
      </c>
      <c r="I383" s="46" t="str">
        <f>IFERROR(VLOOKUP(B383,Baza[[№]:[Profit]],6,0),"")</f>
        <v/>
      </c>
      <c r="J383" s="49" t="str">
        <f>IFERROR(VLOOKUP(B383,Baza[[№]:[Profit]],7,0),"")</f>
        <v/>
      </c>
      <c r="K383" s="43" t="str">
        <f>IFERROR(VLOOKUP(B383,Baza[[№]:[Profit]],8,0),"")</f>
        <v/>
      </c>
      <c r="L383" s="43" t="str">
        <f>IFERROR(VLOOKUP(B383,Baza[[№]:[Profit]],9,0),"")</f>
        <v/>
      </c>
      <c r="M383" s="43" t="str">
        <f>IFERROR(VLOOKUP(B383,Baza[[№]:[Profit]],10,0),"")</f>
        <v/>
      </c>
      <c r="N383" s="43" t="str">
        <f>IFERROR(IF(VLOOKUP(B383,Baza[[№]:[Profit]],11,0)=0,"-",VLOOKUP(B383,Baza[[№]:[Profit]],11,0)),"")</f>
        <v/>
      </c>
      <c r="O383" s="43" t="str">
        <f>IFERROR(IF(VLOOKUP(B383,Baza[[№]:[Profit]],12,0)=0,"-",VLOOKUP(B383,Baza[[№]:[Profit]],12,0)),"")</f>
        <v/>
      </c>
      <c r="P383" s="43" t="str">
        <f>IFERROR(IF(VLOOKUP(B383,Baza[[№]:[Profit]],13,0)=0,"-",VLOOKUP(B383,Baza[[№]:[Profit]],13,0)),"")</f>
        <v/>
      </c>
      <c r="Q383" s="43" t="str">
        <f>IFERROR(IF(VLOOKUP(B383,Baza[[№]:[Profit]],15,0)=0,"-",VLOOKUP(B383,Baza[[№]:[Profit]],15,0)),"")</f>
        <v/>
      </c>
      <c r="R383" s="43" t="str">
        <f>IFERROR(IF(VLOOKUP(B383,Baza[[№]:[Profit]],16,0)=0,"-",VLOOKUP(B383,Baza[[№]:[Profit]],16,0)),"")</f>
        <v/>
      </c>
      <c r="S383" s="43" t="str">
        <f>IFERROR(IF(VLOOKUP(B383,Baza[[№]:[Profit]],17,0)=0,"-",VLOOKUP(B383,Baza[[№]:[Profit]],17,0)),"")</f>
        <v/>
      </c>
      <c r="T383" s="43" t="str">
        <f>IFERROR(IF(VLOOKUP(B383,Baza[[№]:[Profit]],18,0)=0,"-",VLOOKUP(B383,Baza[[№]:[Profit]],18,0)),"")</f>
        <v/>
      </c>
      <c r="U383" s="41" t="str">
        <f>IFERROR(IF(VLOOKUP(B383,Baza[[№]:[Profit]],19,0)=0,"-",VLOOKUP(B383,Baza[[№]:[Profit]],19,0)),"")</f>
        <v/>
      </c>
      <c r="V383" s="41" t="str">
        <f>IFERROR(VLOOKUP(B383,Baza[[№]:[Profit]],20,0),"")</f>
        <v/>
      </c>
      <c r="W383" s="41" t="str">
        <f>IFERROR(IF(VLOOKUP(B383,Baza[[№]:[Profit]],21,0)=0,"-",VLOOKUP(B383,Baza[[№]:[Profit]],21,0)),"")</f>
        <v/>
      </c>
      <c r="X383" s="45" t="str">
        <f>IFERROR(IF(VLOOKUP(B383,Baza[[№]:[Profit]],22,0)=0,"-",VLOOKUP(B383,Baza[[№]:[Profit]],22,0)),"")</f>
        <v/>
      </c>
      <c r="Y383" s="45" t="str">
        <f>IFERROR(VLOOKUP(B383,Baza[[№]:[Profit]],23,0),"")</f>
        <v/>
      </c>
      <c r="Z383" s="44" t="str">
        <f>IFERROR(VLOOKUP(B383,Baza[[№]:[AFS]],24,0),"")</f>
        <v/>
      </c>
      <c r="AA383" s="45" t="str">
        <f>IF(Таблица2[[#This Row],[Profit]]="","#Н/Д",SUM($Y$40:Y383))</f>
        <v>#Н/Д</v>
      </c>
      <c r="AB383" s="45" t="b">
        <f>IF(Таблица2[[#This Row],[Grafik]]="#Н/Д",FALSE,TRUE)</f>
        <v>0</v>
      </c>
    </row>
    <row r="384" spans="2:28" ht="11.1" hidden="1" customHeight="1" x14ac:dyDescent="0.25">
      <c r="B384"/>
      <c r="C384" s="41" t="str">
        <f>IFERROR(VLOOKUP(B384,Baza[[№]:[Profit]],2,0),"")</f>
        <v/>
      </c>
      <c r="D38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8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84" s="43" t="str">
        <f>IFERROR(VLOOKUP(B384,Baza[[№]:[Profit]],3,0),"")</f>
        <v/>
      </c>
      <c r="G384" s="43" t="str">
        <f>IFERROR(VLOOKUP(B384,Baza[[№]:[Profit]],4,0),"")</f>
        <v/>
      </c>
      <c r="H384" s="43" t="str">
        <f>IFERROR(VLOOKUP(B384,Baza[[№]:[Profit]],5,0),"")</f>
        <v/>
      </c>
      <c r="I384" s="46" t="str">
        <f>IFERROR(VLOOKUP(B384,Baza[[№]:[Profit]],6,0),"")</f>
        <v/>
      </c>
      <c r="J384" s="49" t="str">
        <f>IFERROR(VLOOKUP(B384,Baza[[№]:[Profit]],7,0),"")</f>
        <v/>
      </c>
      <c r="K384" s="43" t="str">
        <f>IFERROR(VLOOKUP(B384,Baza[[№]:[Profit]],8,0),"")</f>
        <v/>
      </c>
      <c r="L384" s="43" t="str">
        <f>IFERROR(VLOOKUP(B384,Baza[[№]:[Profit]],9,0),"")</f>
        <v/>
      </c>
      <c r="M384" s="43" t="str">
        <f>IFERROR(VLOOKUP(B384,Baza[[№]:[Profit]],10,0),"")</f>
        <v/>
      </c>
      <c r="N384" s="43" t="str">
        <f>IFERROR(IF(VLOOKUP(B384,Baza[[№]:[Profit]],11,0)=0,"-",VLOOKUP(B384,Baza[[№]:[Profit]],11,0)),"")</f>
        <v/>
      </c>
      <c r="O384" s="43" t="str">
        <f>IFERROR(IF(VLOOKUP(B384,Baza[[№]:[Profit]],12,0)=0,"-",VLOOKUP(B384,Baza[[№]:[Profit]],12,0)),"")</f>
        <v/>
      </c>
      <c r="P384" s="43" t="str">
        <f>IFERROR(IF(VLOOKUP(B384,Baza[[№]:[Profit]],13,0)=0,"-",VLOOKUP(B384,Baza[[№]:[Profit]],13,0)),"")</f>
        <v/>
      </c>
      <c r="Q384" s="43" t="str">
        <f>IFERROR(IF(VLOOKUP(B384,Baza[[№]:[Profit]],15,0)=0,"-",VLOOKUP(B384,Baza[[№]:[Profit]],15,0)),"")</f>
        <v/>
      </c>
      <c r="R384" s="43" t="str">
        <f>IFERROR(IF(VLOOKUP(B384,Baza[[№]:[Profit]],16,0)=0,"-",VLOOKUP(B384,Baza[[№]:[Profit]],16,0)),"")</f>
        <v/>
      </c>
      <c r="S384" s="43" t="str">
        <f>IFERROR(IF(VLOOKUP(B384,Baza[[№]:[Profit]],17,0)=0,"-",VLOOKUP(B384,Baza[[№]:[Profit]],17,0)),"")</f>
        <v/>
      </c>
      <c r="T384" s="43" t="str">
        <f>IFERROR(IF(VLOOKUP(B384,Baza[[№]:[Profit]],18,0)=0,"-",VLOOKUP(B384,Baza[[№]:[Profit]],18,0)),"")</f>
        <v/>
      </c>
      <c r="U384" s="41" t="str">
        <f>IFERROR(IF(VLOOKUP(B384,Baza[[№]:[Profit]],19,0)=0,"-",VLOOKUP(B384,Baza[[№]:[Profit]],19,0)),"")</f>
        <v/>
      </c>
      <c r="V384" s="41" t="str">
        <f>IFERROR(VLOOKUP(B384,Baza[[№]:[Profit]],20,0),"")</f>
        <v/>
      </c>
      <c r="W384" s="41" t="str">
        <f>IFERROR(IF(VLOOKUP(B384,Baza[[№]:[Profit]],21,0)=0,"-",VLOOKUP(B384,Baza[[№]:[Profit]],21,0)),"")</f>
        <v/>
      </c>
      <c r="X384" s="45" t="str">
        <f>IFERROR(IF(VLOOKUP(B384,Baza[[№]:[Profit]],22,0)=0,"-",VLOOKUP(B384,Baza[[№]:[Profit]],22,0)),"")</f>
        <v/>
      </c>
      <c r="Y384" s="45" t="str">
        <f>IFERROR(VLOOKUP(B384,Baza[[№]:[Profit]],23,0),"")</f>
        <v/>
      </c>
      <c r="Z384" s="44" t="str">
        <f>IFERROR(VLOOKUP(B384,Baza[[№]:[AFS]],24,0),"")</f>
        <v/>
      </c>
      <c r="AA384" s="45" t="str">
        <f>IF(Таблица2[[#This Row],[Profit]]="","#Н/Д",SUM($Y$40:Y384))</f>
        <v>#Н/Д</v>
      </c>
      <c r="AB384" s="45" t="b">
        <f>IF(Таблица2[[#This Row],[Grafik]]="#Н/Д",FALSE,TRUE)</f>
        <v>0</v>
      </c>
    </row>
    <row r="385" spans="2:28" ht="11.1" hidden="1" customHeight="1" x14ac:dyDescent="0.25">
      <c r="B385"/>
      <c r="C385" s="41" t="str">
        <f>IFERROR(VLOOKUP(B385,Baza[[№]:[Profit]],2,0),"")</f>
        <v/>
      </c>
      <c r="D38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8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85" s="43" t="str">
        <f>IFERROR(VLOOKUP(B385,Baza[[№]:[Profit]],3,0),"")</f>
        <v/>
      </c>
      <c r="G385" s="43" t="str">
        <f>IFERROR(VLOOKUP(B385,Baza[[№]:[Profit]],4,0),"")</f>
        <v/>
      </c>
      <c r="H385" s="43" t="str">
        <f>IFERROR(VLOOKUP(B385,Baza[[№]:[Profit]],5,0),"")</f>
        <v/>
      </c>
      <c r="I385" s="46" t="str">
        <f>IFERROR(VLOOKUP(B385,Baza[[№]:[Profit]],6,0),"")</f>
        <v/>
      </c>
      <c r="J385" s="49" t="str">
        <f>IFERROR(VLOOKUP(B385,Baza[[№]:[Profit]],7,0),"")</f>
        <v/>
      </c>
      <c r="K385" s="43" t="str">
        <f>IFERROR(VLOOKUP(B385,Baza[[№]:[Profit]],8,0),"")</f>
        <v/>
      </c>
      <c r="L385" s="43" t="str">
        <f>IFERROR(VLOOKUP(B385,Baza[[№]:[Profit]],9,0),"")</f>
        <v/>
      </c>
      <c r="M385" s="43" t="str">
        <f>IFERROR(VLOOKUP(B385,Baza[[№]:[Profit]],10,0),"")</f>
        <v/>
      </c>
      <c r="N385" s="43" t="str">
        <f>IFERROR(IF(VLOOKUP(B385,Baza[[№]:[Profit]],11,0)=0,"-",VLOOKUP(B385,Baza[[№]:[Profit]],11,0)),"")</f>
        <v/>
      </c>
      <c r="O385" s="43" t="str">
        <f>IFERROR(IF(VLOOKUP(B385,Baza[[№]:[Profit]],12,0)=0,"-",VLOOKUP(B385,Baza[[№]:[Profit]],12,0)),"")</f>
        <v/>
      </c>
      <c r="P385" s="43" t="str">
        <f>IFERROR(IF(VLOOKUP(B385,Baza[[№]:[Profit]],13,0)=0,"-",VLOOKUP(B385,Baza[[№]:[Profit]],13,0)),"")</f>
        <v/>
      </c>
      <c r="Q385" s="43" t="str">
        <f>IFERROR(IF(VLOOKUP(B385,Baza[[№]:[Profit]],15,0)=0,"-",VLOOKUP(B385,Baza[[№]:[Profit]],15,0)),"")</f>
        <v/>
      </c>
      <c r="R385" s="43" t="str">
        <f>IFERROR(IF(VLOOKUP(B385,Baza[[№]:[Profit]],16,0)=0,"-",VLOOKUP(B385,Baza[[№]:[Profit]],16,0)),"")</f>
        <v/>
      </c>
      <c r="S385" s="43" t="str">
        <f>IFERROR(IF(VLOOKUP(B385,Baza[[№]:[Profit]],17,0)=0,"-",VLOOKUP(B385,Baza[[№]:[Profit]],17,0)),"")</f>
        <v/>
      </c>
      <c r="T385" s="43" t="str">
        <f>IFERROR(IF(VLOOKUP(B385,Baza[[№]:[Profit]],18,0)=0,"-",VLOOKUP(B385,Baza[[№]:[Profit]],18,0)),"")</f>
        <v/>
      </c>
      <c r="U385" s="41" t="str">
        <f>IFERROR(IF(VLOOKUP(B385,Baza[[№]:[Profit]],19,0)=0,"-",VLOOKUP(B385,Baza[[№]:[Profit]],19,0)),"")</f>
        <v/>
      </c>
      <c r="V385" s="41" t="str">
        <f>IFERROR(VLOOKUP(B385,Baza[[№]:[Profit]],20,0),"")</f>
        <v/>
      </c>
      <c r="W385" s="41" t="str">
        <f>IFERROR(IF(VLOOKUP(B385,Baza[[№]:[Profit]],21,0)=0,"-",VLOOKUP(B385,Baza[[№]:[Profit]],21,0)),"")</f>
        <v/>
      </c>
      <c r="X385" s="45" t="str">
        <f>IFERROR(IF(VLOOKUP(B385,Baza[[№]:[Profit]],22,0)=0,"-",VLOOKUP(B385,Baza[[№]:[Profit]],22,0)),"")</f>
        <v/>
      </c>
      <c r="Y385" s="45" t="str">
        <f>IFERROR(VLOOKUP(B385,Baza[[№]:[Profit]],23,0),"")</f>
        <v/>
      </c>
      <c r="Z385" s="44" t="str">
        <f>IFERROR(VLOOKUP(B385,Baza[[№]:[AFS]],24,0),"")</f>
        <v/>
      </c>
      <c r="AA385" s="45" t="str">
        <f>IF(Таблица2[[#This Row],[Profit]]="","#Н/Д",SUM($Y$40:Y385))</f>
        <v>#Н/Д</v>
      </c>
      <c r="AB385" s="45" t="b">
        <f>IF(Таблица2[[#This Row],[Grafik]]="#Н/Д",FALSE,TRUE)</f>
        <v>0</v>
      </c>
    </row>
    <row r="386" spans="2:28" ht="11.1" hidden="1" customHeight="1" x14ac:dyDescent="0.25">
      <c r="B386"/>
      <c r="C386" s="41" t="str">
        <f>IFERROR(VLOOKUP(B386,Baza[[№]:[Profit]],2,0),"")</f>
        <v/>
      </c>
      <c r="D38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8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86" s="43" t="str">
        <f>IFERROR(VLOOKUP(B386,Baza[[№]:[Profit]],3,0),"")</f>
        <v/>
      </c>
      <c r="G386" s="43" t="str">
        <f>IFERROR(VLOOKUP(B386,Baza[[№]:[Profit]],4,0),"")</f>
        <v/>
      </c>
      <c r="H386" s="43" t="str">
        <f>IFERROR(VLOOKUP(B386,Baza[[№]:[Profit]],5,0),"")</f>
        <v/>
      </c>
      <c r="I386" s="46" t="str">
        <f>IFERROR(VLOOKUP(B386,Baza[[№]:[Profit]],6,0),"")</f>
        <v/>
      </c>
      <c r="J386" s="49" t="str">
        <f>IFERROR(VLOOKUP(B386,Baza[[№]:[Profit]],7,0),"")</f>
        <v/>
      </c>
      <c r="K386" s="43" t="str">
        <f>IFERROR(VLOOKUP(B386,Baza[[№]:[Profit]],8,0),"")</f>
        <v/>
      </c>
      <c r="L386" s="43" t="str">
        <f>IFERROR(VLOOKUP(B386,Baza[[№]:[Profit]],9,0),"")</f>
        <v/>
      </c>
      <c r="M386" s="43" t="str">
        <f>IFERROR(VLOOKUP(B386,Baza[[№]:[Profit]],10,0),"")</f>
        <v/>
      </c>
      <c r="N386" s="43" t="str">
        <f>IFERROR(IF(VLOOKUP(B386,Baza[[№]:[Profit]],11,0)=0,"-",VLOOKUP(B386,Baza[[№]:[Profit]],11,0)),"")</f>
        <v/>
      </c>
      <c r="O386" s="43" t="str">
        <f>IFERROR(IF(VLOOKUP(B386,Baza[[№]:[Profit]],12,0)=0,"-",VLOOKUP(B386,Baza[[№]:[Profit]],12,0)),"")</f>
        <v/>
      </c>
      <c r="P386" s="43" t="str">
        <f>IFERROR(IF(VLOOKUP(B386,Baza[[№]:[Profit]],13,0)=0,"-",VLOOKUP(B386,Baza[[№]:[Profit]],13,0)),"")</f>
        <v/>
      </c>
      <c r="Q386" s="43" t="str">
        <f>IFERROR(IF(VLOOKUP(B386,Baza[[№]:[Profit]],15,0)=0,"-",VLOOKUP(B386,Baza[[№]:[Profit]],15,0)),"")</f>
        <v/>
      </c>
      <c r="R386" s="43" t="str">
        <f>IFERROR(IF(VLOOKUP(B386,Baza[[№]:[Profit]],16,0)=0,"-",VLOOKUP(B386,Baza[[№]:[Profit]],16,0)),"")</f>
        <v/>
      </c>
      <c r="S386" s="43" t="str">
        <f>IFERROR(IF(VLOOKUP(B386,Baza[[№]:[Profit]],17,0)=0,"-",VLOOKUP(B386,Baza[[№]:[Profit]],17,0)),"")</f>
        <v/>
      </c>
      <c r="T386" s="43" t="str">
        <f>IFERROR(IF(VLOOKUP(B386,Baza[[№]:[Profit]],18,0)=0,"-",VLOOKUP(B386,Baza[[№]:[Profit]],18,0)),"")</f>
        <v/>
      </c>
      <c r="U386" s="41" t="str">
        <f>IFERROR(IF(VLOOKUP(B386,Baza[[№]:[Profit]],19,0)=0,"-",VLOOKUP(B386,Baza[[№]:[Profit]],19,0)),"")</f>
        <v/>
      </c>
      <c r="V386" s="41" t="str">
        <f>IFERROR(VLOOKUP(B386,Baza[[№]:[Profit]],20,0),"")</f>
        <v/>
      </c>
      <c r="W386" s="41" t="str">
        <f>IFERROR(IF(VLOOKUP(B386,Baza[[№]:[Profit]],21,0)=0,"-",VLOOKUP(B386,Baza[[№]:[Profit]],21,0)),"")</f>
        <v/>
      </c>
      <c r="X386" s="45" t="str">
        <f>IFERROR(IF(VLOOKUP(B386,Baza[[№]:[Profit]],22,0)=0,"-",VLOOKUP(B386,Baza[[№]:[Profit]],22,0)),"")</f>
        <v/>
      </c>
      <c r="Y386" s="45" t="str">
        <f>IFERROR(VLOOKUP(B386,Baza[[№]:[Profit]],23,0),"")</f>
        <v/>
      </c>
      <c r="Z386" s="44" t="str">
        <f>IFERROR(VLOOKUP(B386,Baza[[№]:[AFS]],24,0),"")</f>
        <v/>
      </c>
      <c r="AA386" s="45" t="str">
        <f>IF(Таблица2[[#This Row],[Profit]]="","#Н/Д",SUM($Y$40:Y386))</f>
        <v>#Н/Д</v>
      </c>
      <c r="AB386" s="45" t="b">
        <f>IF(Таблица2[[#This Row],[Grafik]]="#Н/Д",FALSE,TRUE)</f>
        <v>0</v>
      </c>
    </row>
    <row r="387" spans="2:28" ht="11.1" hidden="1" customHeight="1" x14ac:dyDescent="0.25">
      <c r="B387"/>
      <c r="C387" s="41" t="str">
        <f>IFERROR(VLOOKUP(B387,Baza[[№]:[Profit]],2,0),"")</f>
        <v/>
      </c>
      <c r="D38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8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87" s="43" t="str">
        <f>IFERROR(VLOOKUP(B387,Baza[[№]:[Profit]],3,0),"")</f>
        <v/>
      </c>
      <c r="G387" s="43" t="str">
        <f>IFERROR(VLOOKUP(B387,Baza[[№]:[Profit]],4,0),"")</f>
        <v/>
      </c>
      <c r="H387" s="43" t="str">
        <f>IFERROR(VLOOKUP(B387,Baza[[№]:[Profit]],5,0),"")</f>
        <v/>
      </c>
      <c r="I387" s="46" t="str">
        <f>IFERROR(VLOOKUP(B387,Baza[[№]:[Profit]],6,0),"")</f>
        <v/>
      </c>
      <c r="J387" s="49" t="str">
        <f>IFERROR(VLOOKUP(B387,Baza[[№]:[Profit]],7,0),"")</f>
        <v/>
      </c>
      <c r="K387" s="43" t="str">
        <f>IFERROR(VLOOKUP(B387,Baza[[№]:[Profit]],8,0),"")</f>
        <v/>
      </c>
      <c r="L387" s="43" t="str">
        <f>IFERROR(VLOOKUP(B387,Baza[[№]:[Profit]],9,0),"")</f>
        <v/>
      </c>
      <c r="M387" s="43" t="str">
        <f>IFERROR(VLOOKUP(B387,Baza[[№]:[Profit]],10,0),"")</f>
        <v/>
      </c>
      <c r="N387" s="43" t="str">
        <f>IFERROR(IF(VLOOKUP(B387,Baza[[№]:[Profit]],11,0)=0,"-",VLOOKUP(B387,Baza[[№]:[Profit]],11,0)),"")</f>
        <v/>
      </c>
      <c r="O387" s="43" t="str">
        <f>IFERROR(IF(VLOOKUP(B387,Baza[[№]:[Profit]],12,0)=0,"-",VLOOKUP(B387,Baza[[№]:[Profit]],12,0)),"")</f>
        <v/>
      </c>
      <c r="P387" s="43" t="str">
        <f>IFERROR(IF(VLOOKUP(B387,Baza[[№]:[Profit]],13,0)=0,"-",VLOOKUP(B387,Baza[[№]:[Profit]],13,0)),"")</f>
        <v/>
      </c>
      <c r="Q387" s="43" t="str">
        <f>IFERROR(IF(VLOOKUP(B387,Baza[[№]:[Profit]],15,0)=0,"-",VLOOKUP(B387,Baza[[№]:[Profit]],15,0)),"")</f>
        <v/>
      </c>
      <c r="R387" s="43" t="str">
        <f>IFERROR(IF(VLOOKUP(B387,Baza[[№]:[Profit]],16,0)=0,"-",VLOOKUP(B387,Baza[[№]:[Profit]],16,0)),"")</f>
        <v/>
      </c>
      <c r="S387" s="43" t="str">
        <f>IFERROR(IF(VLOOKUP(B387,Baza[[№]:[Profit]],17,0)=0,"-",VLOOKUP(B387,Baza[[№]:[Profit]],17,0)),"")</f>
        <v/>
      </c>
      <c r="T387" s="43" t="str">
        <f>IFERROR(IF(VLOOKUP(B387,Baza[[№]:[Profit]],18,0)=0,"-",VLOOKUP(B387,Baza[[№]:[Profit]],18,0)),"")</f>
        <v/>
      </c>
      <c r="U387" s="41" t="str">
        <f>IFERROR(IF(VLOOKUP(B387,Baza[[№]:[Profit]],19,0)=0,"-",VLOOKUP(B387,Baza[[№]:[Profit]],19,0)),"")</f>
        <v/>
      </c>
      <c r="V387" s="41" t="str">
        <f>IFERROR(VLOOKUP(B387,Baza[[№]:[Profit]],20,0),"")</f>
        <v/>
      </c>
      <c r="W387" s="41" t="str">
        <f>IFERROR(IF(VLOOKUP(B387,Baza[[№]:[Profit]],21,0)=0,"-",VLOOKUP(B387,Baza[[№]:[Profit]],21,0)),"")</f>
        <v/>
      </c>
      <c r="X387" s="45" t="str">
        <f>IFERROR(IF(VLOOKUP(B387,Baza[[№]:[Profit]],22,0)=0,"-",VLOOKUP(B387,Baza[[№]:[Profit]],22,0)),"")</f>
        <v/>
      </c>
      <c r="Y387" s="45" t="str">
        <f>IFERROR(VLOOKUP(B387,Baza[[№]:[Profit]],23,0),"")</f>
        <v/>
      </c>
      <c r="Z387" s="44" t="str">
        <f>IFERROR(VLOOKUP(B387,Baza[[№]:[AFS]],24,0),"")</f>
        <v/>
      </c>
      <c r="AA387" s="45" t="str">
        <f>IF(Таблица2[[#This Row],[Profit]]="","#Н/Д",SUM($Y$40:Y387))</f>
        <v>#Н/Д</v>
      </c>
      <c r="AB387" s="45" t="b">
        <f>IF(Таблица2[[#This Row],[Grafik]]="#Н/Д",FALSE,TRUE)</f>
        <v>0</v>
      </c>
    </row>
    <row r="388" spans="2:28" ht="11.1" hidden="1" customHeight="1" x14ac:dyDescent="0.25">
      <c r="B388"/>
      <c r="C388" s="41" t="str">
        <f>IFERROR(VLOOKUP(B388,Baza[[№]:[Profit]],2,0),"")</f>
        <v/>
      </c>
      <c r="D38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8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88" s="43" t="str">
        <f>IFERROR(VLOOKUP(B388,Baza[[№]:[Profit]],3,0),"")</f>
        <v/>
      </c>
      <c r="G388" s="43" t="str">
        <f>IFERROR(VLOOKUP(B388,Baza[[№]:[Profit]],4,0),"")</f>
        <v/>
      </c>
      <c r="H388" s="43" t="str">
        <f>IFERROR(VLOOKUP(B388,Baza[[№]:[Profit]],5,0),"")</f>
        <v/>
      </c>
      <c r="I388" s="46" t="str">
        <f>IFERROR(VLOOKUP(B388,Baza[[№]:[Profit]],6,0),"")</f>
        <v/>
      </c>
      <c r="J388" s="49" t="str">
        <f>IFERROR(VLOOKUP(B388,Baza[[№]:[Profit]],7,0),"")</f>
        <v/>
      </c>
      <c r="K388" s="43" t="str">
        <f>IFERROR(VLOOKUP(B388,Baza[[№]:[Profit]],8,0),"")</f>
        <v/>
      </c>
      <c r="L388" s="43" t="str">
        <f>IFERROR(VLOOKUP(B388,Baza[[№]:[Profit]],9,0),"")</f>
        <v/>
      </c>
      <c r="M388" s="43" t="str">
        <f>IFERROR(VLOOKUP(B388,Baza[[№]:[Profit]],10,0),"")</f>
        <v/>
      </c>
      <c r="N388" s="43" t="str">
        <f>IFERROR(IF(VLOOKUP(B388,Baza[[№]:[Profit]],11,0)=0,"-",VLOOKUP(B388,Baza[[№]:[Profit]],11,0)),"")</f>
        <v/>
      </c>
      <c r="O388" s="43" t="str">
        <f>IFERROR(IF(VLOOKUP(B388,Baza[[№]:[Profit]],12,0)=0,"-",VLOOKUP(B388,Baza[[№]:[Profit]],12,0)),"")</f>
        <v/>
      </c>
      <c r="P388" s="43" t="str">
        <f>IFERROR(IF(VLOOKUP(B388,Baza[[№]:[Profit]],13,0)=0,"-",VLOOKUP(B388,Baza[[№]:[Profit]],13,0)),"")</f>
        <v/>
      </c>
      <c r="Q388" s="43" t="str">
        <f>IFERROR(IF(VLOOKUP(B388,Baza[[№]:[Profit]],15,0)=0,"-",VLOOKUP(B388,Baza[[№]:[Profit]],15,0)),"")</f>
        <v/>
      </c>
      <c r="R388" s="43" t="str">
        <f>IFERROR(IF(VLOOKUP(B388,Baza[[№]:[Profit]],16,0)=0,"-",VLOOKUP(B388,Baza[[№]:[Profit]],16,0)),"")</f>
        <v/>
      </c>
      <c r="S388" s="43" t="str">
        <f>IFERROR(IF(VLOOKUP(B388,Baza[[№]:[Profit]],17,0)=0,"-",VLOOKUP(B388,Baza[[№]:[Profit]],17,0)),"")</f>
        <v/>
      </c>
      <c r="T388" s="43" t="str">
        <f>IFERROR(IF(VLOOKUP(B388,Baza[[№]:[Profit]],18,0)=0,"-",VLOOKUP(B388,Baza[[№]:[Profit]],18,0)),"")</f>
        <v/>
      </c>
      <c r="U388" s="41" t="str">
        <f>IFERROR(IF(VLOOKUP(B388,Baza[[№]:[Profit]],19,0)=0,"-",VLOOKUP(B388,Baza[[№]:[Profit]],19,0)),"")</f>
        <v/>
      </c>
      <c r="V388" s="41" t="str">
        <f>IFERROR(VLOOKUP(B388,Baza[[№]:[Profit]],20,0),"")</f>
        <v/>
      </c>
      <c r="W388" s="41" t="str">
        <f>IFERROR(IF(VLOOKUP(B388,Baza[[№]:[Profit]],21,0)=0,"-",VLOOKUP(B388,Baza[[№]:[Profit]],21,0)),"")</f>
        <v/>
      </c>
      <c r="X388" s="45" t="str">
        <f>IFERROR(IF(VLOOKUP(B388,Baza[[№]:[Profit]],22,0)=0,"-",VLOOKUP(B388,Baza[[№]:[Profit]],22,0)),"")</f>
        <v/>
      </c>
      <c r="Y388" s="45" t="str">
        <f>IFERROR(VLOOKUP(B388,Baza[[№]:[Profit]],23,0),"")</f>
        <v/>
      </c>
      <c r="Z388" s="44" t="str">
        <f>IFERROR(VLOOKUP(B388,Baza[[№]:[AFS]],24,0),"")</f>
        <v/>
      </c>
      <c r="AA388" s="45" t="str">
        <f>IF(Таблица2[[#This Row],[Profit]]="","#Н/Д",SUM($Y$40:Y388))</f>
        <v>#Н/Д</v>
      </c>
      <c r="AB388" s="45" t="b">
        <f>IF(Таблица2[[#This Row],[Grafik]]="#Н/Д",FALSE,TRUE)</f>
        <v>0</v>
      </c>
    </row>
    <row r="389" spans="2:28" ht="11.1" hidden="1" customHeight="1" x14ac:dyDescent="0.25">
      <c r="B389"/>
      <c r="C389" s="41" t="str">
        <f>IFERROR(VLOOKUP(B389,Baza[[№]:[Profit]],2,0),"")</f>
        <v/>
      </c>
      <c r="D38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8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89" s="43" t="str">
        <f>IFERROR(VLOOKUP(B389,Baza[[№]:[Profit]],3,0),"")</f>
        <v/>
      </c>
      <c r="G389" s="43" t="str">
        <f>IFERROR(VLOOKUP(B389,Baza[[№]:[Profit]],4,0),"")</f>
        <v/>
      </c>
      <c r="H389" s="43" t="str">
        <f>IFERROR(VLOOKUP(B389,Baza[[№]:[Profit]],5,0),"")</f>
        <v/>
      </c>
      <c r="I389" s="46" t="str">
        <f>IFERROR(VLOOKUP(B389,Baza[[№]:[Profit]],6,0),"")</f>
        <v/>
      </c>
      <c r="J389" s="49" t="str">
        <f>IFERROR(VLOOKUP(B389,Baza[[№]:[Profit]],7,0),"")</f>
        <v/>
      </c>
      <c r="K389" s="43" t="str">
        <f>IFERROR(VLOOKUP(B389,Baza[[№]:[Profit]],8,0),"")</f>
        <v/>
      </c>
      <c r="L389" s="43" t="str">
        <f>IFERROR(VLOOKUP(B389,Baza[[№]:[Profit]],9,0),"")</f>
        <v/>
      </c>
      <c r="M389" s="43" t="str">
        <f>IFERROR(VLOOKUP(B389,Baza[[№]:[Profit]],10,0),"")</f>
        <v/>
      </c>
      <c r="N389" s="43" t="str">
        <f>IFERROR(IF(VLOOKUP(B389,Baza[[№]:[Profit]],11,0)=0,"-",VLOOKUP(B389,Baza[[№]:[Profit]],11,0)),"")</f>
        <v/>
      </c>
      <c r="O389" s="43" t="str">
        <f>IFERROR(IF(VLOOKUP(B389,Baza[[№]:[Profit]],12,0)=0,"-",VLOOKUP(B389,Baza[[№]:[Profit]],12,0)),"")</f>
        <v/>
      </c>
      <c r="P389" s="43" t="str">
        <f>IFERROR(IF(VLOOKUP(B389,Baza[[№]:[Profit]],13,0)=0,"-",VLOOKUP(B389,Baza[[№]:[Profit]],13,0)),"")</f>
        <v/>
      </c>
      <c r="Q389" s="43" t="str">
        <f>IFERROR(IF(VLOOKUP(B389,Baza[[№]:[Profit]],15,0)=0,"-",VLOOKUP(B389,Baza[[№]:[Profit]],15,0)),"")</f>
        <v/>
      </c>
      <c r="R389" s="43" t="str">
        <f>IFERROR(IF(VLOOKUP(B389,Baza[[№]:[Profit]],16,0)=0,"-",VLOOKUP(B389,Baza[[№]:[Profit]],16,0)),"")</f>
        <v/>
      </c>
      <c r="S389" s="43" t="str">
        <f>IFERROR(IF(VLOOKUP(B389,Baza[[№]:[Profit]],17,0)=0,"-",VLOOKUP(B389,Baza[[№]:[Profit]],17,0)),"")</f>
        <v/>
      </c>
      <c r="T389" s="43" t="str">
        <f>IFERROR(IF(VLOOKUP(B389,Baza[[№]:[Profit]],18,0)=0,"-",VLOOKUP(B389,Baza[[№]:[Profit]],18,0)),"")</f>
        <v/>
      </c>
      <c r="U389" s="41" t="str">
        <f>IFERROR(IF(VLOOKUP(B389,Baza[[№]:[Profit]],19,0)=0,"-",VLOOKUP(B389,Baza[[№]:[Profit]],19,0)),"")</f>
        <v/>
      </c>
      <c r="V389" s="41" t="str">
        <f>IFERROR(VLOOKUP(B389,Baza[[№]:[Profit]],20,0),"")</f>
        <v/>
      </c>
      <c r="W389" s="41" t="str">
        <f>IFERROR(IF(VLOOKUP(B389,Baza[[№]:[Profit]],21,0)=0,"-",VLOOKUP(B389,Baza[[№]:[Profit]],21,0)),"")</f>
        <v/>
      </c>
      <c r="X389" s="45" t="str">
        <f>IFERROR(IF(VLOOKUP(B389,Baza[[№]:[Profit]],22,0)=0,"-",VLOOKUP(B389,Baza[[№]:[Profit]],22,0)),"")</f>
        <v/>
      </c>
      <c r="Y389" s="45" t="str">
        <f>IFERROR(VLOOKUP(B389,Baza[[№]:[Profit]],23,0),"")</f>
        <v/>
      </c>
      <c r="Z389" s="44" t="str">
        <f>IFERROR(VLOOKUP(B389,Baza[[№]:[AFS]],24,0),"")</f>
        <v/>
      </c>
      <c r="AA389" s="45" t="str">
        <f>IF(Таблица2[[#This Row],[Profit]]="","#Н/Д",SUM($Y$40:Y389))</f>
        <v>#Н/Д</v>
      </c>
      <c r="AB389" s="45" t="b">
        <f>IF(Таблица2[[#This Row],[Grafik]]="#Н/Д",FALSE,TRUE)</f>
        <v>0</v>
      </c>
    </row>
    <row r="390" spans="2:28" ht="11.1" hidden="1" customHeight="1" x14ac:dyDescent="0.25">
      <c r="B390"/>
      <c r="C390" s="41" t="str">
        <f>IFERROR(VLOOKUP(B390,Baza[[№]:[Profit]],2,0),"")</f>
        <v/>
      </c>
      <c r="D39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9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90" s="43" t="str">
        <f>IFERROR(VLOOKUP(B390,Baza[[№]:[Profit]],3,0),"")</f>
        <v/>
      </c>
      <c r="G390" s="43" t="str">
        <f>IFERROR(VLOOKUP(B390,Baza[[№]:[Profit]],4,0),"")</f>
        <v/>
      </c>
      <c r="H390" s="43" t="str">
        <f>IFERROR(VLOOKUP(B390,Baza[[№]:[Profit]],5,0),"")</f>
        <v/>
      </c>
      <c r="I390" s="46" t="str">
        <f>IFERROR(VLOOKUP(B390,Baza[[№]:[Profit]],6,0),"")</f>
        <v/>
      </c>
      <c r="J390" s="49" t="str">
        <f>IFERROR(VLOOKUP(B390,Baza[[№]:[Profit]],7,0),"")</f>
        <v/>
      </c>
      <c r="K390" s="43" t="str">
        <f>IFERROR(VLOOKUP(B390,Baza[[№]:[Profit]],8,0),"")</f>
        <v/>
      </c>
      <c r="L390" s="43" t="str">
        <f>IFERROR(VLOOKUP(B390,Baza[[№]:[Profit]],9,0),"")</f>
        <v/>
      </c>
      <c r="M390" s="43" t="str">
        <f>IFERROR(VLOOKUP(B390,Baza[[№]:[Profit]],10,0),"")</f>
        <v/>
      </c>
      <c r="N390" s="43" t="str">
        <f>IFERROR(IF(VLOOKUP(B390,Baza[[№]:[Profit]],11,0)=0,"-",VLOOKUP(B390,Baza[[№]:[Profit]],11,0)),"")</f>
        <v/>
      </c>
      <c r="O390" s="43" t="str">
        <f>IFERROR(IF(VLOOKUP(B390,Baza[[№]:[Profit]],12,0)=0,"-",VLOOKUP(B390,Baza[[№]:[Profit]],12,0)),"")</f>
        <v/>
      </c>
      <c r="P390" s="43" t="str">
        <f>IFERROR(IF(VLOOKUP(B390,Baza[[№]:[Profit]],13,0)=0,"-",VLOOKUP(B390,Baza[[№]:[Profit]],13,0)),"")</f>
        <v/>
      </c>
      <c r="Q390" s="43" t="str">
        <f>IFERROR(IF(VLOOKUP(B390,Baza[[№]:[Profit]],15,0)=0,"-",VLOOKUP(B390,Baza[[№]:[Profit]],15,0)),"")</f>
        <v/>
      </c>
      <c r="R390" s="43" t="str">
        <f>IFERROR(IF(VLOOKUP(B390,Baza[[№]:[Profit]],16,0)=0,"-",VLOOKUP(B390,Baza[[№]:[Profit]],16,0)),"")</f>
        <v/>
      </c>
      <c r="S390" s="43" t="str">
        <f>IFERROR(IF(VLOOKUP(B390,Baza[[№]:[Profit]],17,0)=0,"-",VLOOKUP(B390,Baza[[№]:[Profit]],17,0)),"")</f>
        <v/>
      </c>
      <c r="T390" s="43" t="str">
        <f>IFERROR(IF(VLOOKUP(B390,Baza[[№]:[Profit]],18,0)=0,"-",VLOOKUP(B390,Baza[[№]:[Profit]],18,0)),"")</f>
        <v/>
      </c>
      <c r="U390" s="41" t="str">
        <f>IFERROR(IF(VLOOKUP(B390,Baza[[№]:[Profit]],19,0)=0,"-",VLOOKUP(B390,Baza[[№]:[Profit]],19,0)),"")</f>
        <v/>
      </c>
      <c r="V390" s="41" t="str">
        <f>IFERROR(VLOOKUP(B390,Baza[[№]:[Profit]],20,0),"")</f>
        <v/>
      </c>
      <c r="W390" s="41" t="str">
        <f>IFERROR(IF(VLOOKUP(B390,Baza[[№]:[Profit]],21,0)=0,"-",VLOOKUP(B390,Baza[[№]:[Profit]],21,0)),"")</f>
        <v/>
      </c>
      <c r="X390" s="45" t="str">
        <f>IFERROR(IF(VLOOKUP(B390,Baza[[№]:[Profit]],22,0)=0,"-",VLOOKUP(B390,Baza[[№]:[Profit]],22,0)),"")</f>
        <v/>
      </c>
      <c r="Y390" s="45" t="str">
        <f>IFERROR(VLOOKUP(B390,Baza[[№]:[Profit]],23,0),"")</f>
        <v/>
      </c>
      <c r="Z390" s="44" t="str">
        <f>IFERROR(VLOOKUP(B390,Baza[[№]:[AFS]],24,0),"")</f>
        <v/>
      </c>
      <c r="AA390" s="45" t="str">
        <f>IF(Таблица2[[#This Row],[Profit]]="","#Н/Д",SUM($Y$40:Y390))</f>
        <v>#Н/Д</v>
      </c>
      <c r="AB390" s="45" t="b">
        <f>IF(Таблица2[[#This Row],[Grafik]]="#Н/Д",FALSE,TRUE)</f>
        <v>0</v>
      </c>
    </row>
    <row r="391" spans="2:28" ht="11.1" hidden="1" customHeight="1" x14ac:dyDescent="0.25">
      <c r="B391"/>
      <c r="C391" s="41" t="str">
        <f>IFERROR(VLOOKUP(B391,Baza[[№]:[Profit]],2,0),"")</f>
        <v/>
      </c>
      <c r="D39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9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91" s="43" t="str">
        <f>IFERROR(VLOOKUP(B391,Baza[[№]:[Profit]],3,0),"")</f>
        <v/>
      </c>
      <c r="G391" s="43" t="str">
        <f>IFERROR(VLOOKUP(B391,Baza[[№]:[Profit]],4,0),"")</f>
        <v/>
      </c>
      <c r="H391" s="43" t="str">
        <f>IFERROR(VLOOKUP(B391,Baza[[№]:[Profit]],5,0),"")</f>
        <v/>
      </c>
      <c r="I391" s="46" t="str">
        <f>IFERROR(VLOOKUP(B391,Baza[[№]:[Profit]],6,0),"")</f>
        <v/>
      </c>
      <c r="J391" s="49" t="str">
        <f>IFERROR(VLOOKUP(B391,Baza[[№]:[Profit]],7,0),"")</f>
        <v/>
      </c>
      <c r="K391" s="43" t="str">
        <f>IFERROR(VLOOKUP(B391,Baza[[№]:[Profit]],8,0),"")</f>
        <v/>
      </c>
      <c r="L391" s="43" t="str">
        <f>IFERROR(VLOOKUP(B391,Baza[[№]:[Profit]],9,0),"")</f>
        <v/>
      </c>
      <c r="M391" s="43" t="str">
        <f>IFERROR(VLOOKUP(B391,Baza[[№]:[Profit]],10,0),"")</f>
        <v/>
      </c>
      <c r="N391" s="43" t="str">
        <f>IFERROR(IF(VLOOKUP(B391,Baza[[№]:[Profit]],11,0)=0,"-",VLOOKUP(B391,Baza[[№]:[Profit]],11,0)),"")</f>
        <v/>
      </c>
      <c r="O391" s="43" t="str">
        <f>IFERROR(IF(VLOOKUP(B391,Baza[[№]:[Profit]],12,0)=0,"-",VLOOKUP(B391,Baza[[№]:[Profit]],12,0)),"")</f>
        <v/>
      </c>
      <c r="P391" s="43" t="str">
        <f>IFERROR(IF(VLOOKUP(B391,Baza[[№]:[Profit]],13,0)=0,"-",VLOOKUP(B391,Baza[[№]:[Profit]],13,0)),"")</f>
        <v/>
      </c>
      <c r="Q391" s="43" t="str">
        <f>IFERROR(IF(VLOOKUP(B391,Baza[[№]:[Profit]],15,0)=0,"-",VLOOKUP(B391,Baza[[№]:[Profit]],15,0)),"")</f>
        <v/>
      </c>
      <c r="R391" s="43" t="str">
        <f>IFERROR(IF(VLOOKUP(B391,Baza[[№]:[Profit]],16,0)=0,"-",VLOOKUP(B391,Baza[[№]:[Profit]],16,0)),"")</f>
        <v/>
      </c>
      <c r="S391" s="43" t="str">
        <f>IFERROR(IF(VLOOKUP(B391,Baza[[№]:[Profit]],17,0)=0,"-",VLOOKUP(B391,Baza[[№]:[Profit]],17,0)),"")</f>
        <v/>
      </c>
      <c r="T391" s="43" t="str">
        <f>IFERROR(IF(VLOOKUP(B391,Baza[[№]:[Profit]],18,0)=0,"-",VLOOKUP(B391,Baza[[№]:[Profit]],18,0)),"")</f>
        <v/>
      </c>
      <c r="U391" s="41" t="str">
        <f>IFERROR(IF(VLOOKUP(B391,Baza[[№]:[Profit]],19,0)=0,"-",VLOOKUP(B391,Baza[[№]:[Profit]],19,0)),"")</f>
        <v/>
      </c>
      <c r="V391" s="41" t="str">
        <f>IFERROR(VLOOKUP(B391,Baza[[№]:[Profit]],20,0),"")</f>
        <v/>
      </c>
      <c r="W391" s="41" t="str">
        <f>IFERROR(IF(VLOOKUP(B391,Baza[[№]:[Profit]],21,0)=0,"-",VLOOKUP(B391,Baza[[№]:[Profit]],21,0)),"")</f>
        <v/>
      </c>
      <c r="X391" s="45" t="str">
        <f>IFERROR(IF(VLOOKUP(B391,Baza[[№]:[Profit]],22,0)=0,"-",VLOOKUP(B391,Baza[[№]:[Profit]],22,0)),"")</f>
        <v/>
      </c>
      <c r="Y391" s="45" t="str">
        <f>IFERROR(VLOOKUP(B391,Baza[[№]:[Profit]],23,0),"")</f>
        <v/>
      </c>
      <c r="Z391" s="44" t="str">
        <f>IFERROR(VLOOKUP(B391,Baza[[№]:[AFS]],24,0),"")</f>
        <v/>
      </c>
      <c r="AA391" s="45" t="str">
        <f>IF(Таблица2[[#This Row],[Profit]]="","#Н/Д",SUM($Y$40:Y391))</f>
        <v>#Н/Д</v>
      </c>
      <c r="AB391" s="45" t="b">
        <f>IF(Таблица2[[#This Row],[Grafik]]="#Н/Д",FALSE,TRUE)</f>
        <v>0</v>
      </c>
    </row>
    <row r="392" spans="2:28" ht="11.1" hidden="1" customHeight="1" x14ac:dyDescent="0.25">
      <c r="B392"/>
      <c r="C392" s="41" t="str">
        <f>IFERROR(VLOOKUP(B392,Baza[[№]:[Profit]],2,0),"")</f>
        <v/>
      </c>
      <c r="D39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9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92" s="43" t="str">
        <f>IFERROR(VLOOKUP(B392,Baza[[№]:[Profit]],3,0),"")</f>
        <v/>
      </c>
      <c r="G392" s="43" t="str">
        <f>IFERROR(VLOOKUP(B392,Baza[[№]:[Profit]],4,0),"")</f>
        <v/>
      </c>
      <c r="H392" s="43" t="str">
        <f>IFERROR(VLOOKUP(B392,Baza[[№]:[Profit]],5,0),"")</f>
        <v/>
      </c>
      <c r="I392" s="46" t="str">
        <f>IFERROR(VLOOKUP(B392,Baza[[№]:[Profit]],6,0),"")</f>
        <v/>
      </c>
      <c r="J392" s="49" t="str">
        <f>IFERROR(VLOOKUP(B392,Baza[[№]:[Profit]],7,0),"")</f>
        <v/>
      </c>
      <c r="K392" s="43" t="str">
        <f>IFERROR(VLOOKUP(B392,Baza[[№]:[Profit]],8,0),"")</f>
        <v/>
      </c>
      <c r="L392" s="43" t="str">
        <f>IFERROR(VLOOKUP(B392,Baza[[№]:[Profit]],9,0),"")</f>
        <v/>
      </c>
      <c r="M392" s="43" t="str">
        <f>IFERROR(VLOOKUP(B392,Baza[[№]:[Profit]],10,0),"")</f>
        <v/>
      </c>
      <c r="N392" s="43" t="str">
        <f>IFERROR(IF(VLOOKUP(B392,Baza[[№]:[Profit]],11,0)=0,"-",VLOOKUP(B392,Baza[[№]:[Profit]],11,0)),"")</f>
        <v/>
      </c>
      <c r="O392" s="43" t="str">
        <f>IFERROR(IF(VLOOKUP(B392,Baza[[№]:[Profit]],12,0)=0,"-",VLOOKUP(B392,Baza[[№]:[Profit]],12,0)),"")</f>
        <v/>
      </c>
      <c r="P392" s="43" t="str">
        <f>IFERROR(IF(VLOOKUP(B392,Baza[[№]:[Profit]],13,0)=0,"-",VLOOKUP(B392,Baza[[№]:[Profit]],13,0)),"")</f>
        <v/>
      </c>
      <c r="Q392" s="43" t="str">
        <f>IFERROR(IF(VLOOKUP(B392,Baza[[№]:[Profit]],15,0)=0,"-",VLOOKUP(B392,Baza[[№]:[Profit]],15,0)),"")</f>
        <v/>
      </c>
      <c r="R392" s="43" t="str">
        <f>IFERROR(IF(VLOOKUP(B392,Baza[[№]:[Profit]],16,0)=0,"-",VLOOKUP(B392,Baza[[№]:[Profit]],16,0)),"")</f>
        <v/>
      </c>
      <c r="S392" s="43" t="str">
        <f>IFERROR(IF(VLOOKUP(B392,Baza[[№]:[Profit]],17,0)=0,"-",VLOOKUP(B392,Baza[[№]:[Profit]],17,0)),"")</f>
        <v/>
      </c>
      <c r="T392" s="43" t="str">
        <f>IFERROR(IF(VLOOKUP(B392,Baza[[№]:[Profit]],18,0)=0,"-",VLOOKUP(B392,Baza[[№]:[Profit]],18,0)),"")</f>
        <v/>
      </c>
      <c r="U392" s="41" t="str">
        <f>IFERROR(IF(VLOOKUP(B392,Baza[[№]:[Profit]],19,0)=0,"-",VLOOKUP(B392,Baza[[№]:[Profit]],19,0)),"")</f>
        <v/>
      </c>
      <c r="V392" s="41" t="str">
        <f>IFERROR(VLOOKUP(B392,Baza[[№]:[Profit]],20,0),"")</f>
        <v/>
      </c>
      <c r="W392" s="41" t="str">
        <f>IFERROR(IF(VLOOKUP(B392,Baza[[№]:[Profit]],21,0)=0,"-",VLOOKUP(B392,Baza[[№]:[Profit]],21,0)),"")</f>
        <v/>
      </c>
      <c r="X392" s="45" t="str">
        <f>IFERROR(IF(VLOOKUP(B392,Baza[[№]:[Profit]],22,0)=0,"-",VLOOKUP(B392,Baza[[№]:[Profit]],22,0)),"")</f>
        <v/>
      </c>
      <c r="Y392" s="45" t="str">
        <f>IFERROR(VLOOKUP(B392,Baza[[№]:[Profit]],23,0),"")</f>
        <v/>
      </c>
      <c r="Z392" s="44" t="str">
        <f>IFERROR(VLOOKUP(B392,Baza[[№]:[AFS]],24,0),"")</f>
        <v/>
      </c>
      <c r="AA392" s="45" t="str">
        <f>IF(Таблица2[[#This Row],[Profit]]="","#Н/Д",SUM($Y$40:Y392))</f>
        <v>#Н/Д</v>
      </c>
      <c r="AB392" s="45" t="b">
        <f>IF(Таблица2[[#This Row],[Grafik]]="#Н/Д",FALSE,TRUE)</f>
        <v>0</v>
      </c>
    </row>
    <row r="393" spans="2:28" ht="11.1" hidden="1" customHeight="1" x14ac:dyDescent="0.25">
      <c r="B393"/>
      <c r="C393" s="41" t="str">
        <f>IFERROR(VLOOKUP(B393,Baza[[№]:[Profit]],2,0),"")</f>
        <v/>
      </c>
      <c r="D39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9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93" s="43" t="str">
        <f>IFERROR(VLOOKUP(B393,Baza[[№]:[Profit]],3,0),"")</f>
        <v/>
      </c>
      <c r="G393" s="43" t="str">
        <f>IFERROR(VLOOKUP(B393,Baza[[№]:[Profit]],4,0),"")</f>
        <v/>
      </c>
      <c r="H393" s="43" t="str">
        <f>IFERROR(VLOOKUP(B393,Baza[[№]:[Profit]],5,0),"")</f>
        <v/>
      </c>
      <c r="I393" s="46" t="str">
        <f>IFERROR(VLOOKUP(B393,Baza[[№]:[Profit]],6,0),"")</f>
        <v/>
      </c>
      <c r="J393" s="49" t="str">
        <f>IFERROR(VLOOKUP(B393,Baza[[№]:[Profit]],7,0),"")</f>
        <v/>
      </c>
      <c r="K393" s="43" t="str">
        <f>IFERROR(VLOOKUP(B393,Baza[[№]:[Profit]],8,0),"")</f>
        <v/>
      </c>
      <c r="L393" s="43" t="str">
        <f>IFERROR(VLOOKUP(B393,Baza[[№]:[Profit]],9,0),"")</f>
        <v/>
      </c>
      <c r="M393" s="43" t="str">
        <f>IFERROR(VLOOKUP(B393,Baza[[№]:[Profit]],10,0),"")</f>
        <v/>
      </c>
      <c r="N393" s="43" t="str">
        <f>IFERROR(IF(VLOOKUP(B393,Baza[[№]:[Profit]],11,0)=0,"-",VLOOKUP(B393,Baza[[№]:[Profit]],11,0)),"")</f>
        <v/>
      </c>
      <c r="O393" s="43" t="str">
        <f>IFERROR(IF(VLOOKUP(B393,Baza[[№]:[Profit]],12,0)=0,"-",VLOOKUP(B393,Baza[[№]:[Profit]],12,0)),"")</f>
        <v/>
      </c>
      <c r="P393" s="43" t="str">
        <f>IFERROR(IF(VLOOKUP(B393,Baza[[№]:[Profit]],13,0)=0,"-",VLOOKUP(B393,Baza[[№]:[Profit]],13,0)),"")</f>
        <v/>
      </c>
      <c r="Q393" s="43" t="str">
        <f>IFERROR(IF(VLOOKUP(B393,Baza[[№]:[Profit]],15,0)=0,"-",VLOOKUP(B393,Baza[[№]:[Profit]],15,0)),"")</f>
        <v/>
      </c>
      <c r="R393" s="43" t="str">
        <f>IFERROR(IF(VLOOKUP(B393,Baza[[№]:[Profit]],16,0)=0,"-",VLOOKUP(B393,Baza[[№]:[Profit]],16,0)),"")</f>
        <v/>
      </c>
      <c r="S393" s="43" t="str">
        <f>IFERROR(IF(VLOOKUP(B393,Baza[[№]:[Profit]],17,0)=0,"-",VLOOKUP(B393,Baza[[№]:[Profit]],17,0)),"")</f>
        <v/>
      </c>
      <c r="T393" s="43" t="str">
        <f>IFERROR(IF(VLOOKUP(B393,Baza[[№]:[Profit]],18,0)=0,"-",VLOOKUP(B393,Baza[[№]:[Profit]],18,0)),"")</f>
        <v/>
      </c>
      <c r="U393" s="41" t="str">
        <f>IFERROR(IF(VLOOKUP(B393,Baza[[№]:[Profit]],19,0)=0,"-",VLOOKUP(B393,Baza[[№]:[Profit]],19,0)),"")</f>
        <v/>
      </c>
      <c r="V393" s="41" t="str">
        <f>IFERROR(VLOOKUP(B393,Baza[[№]:[Profit]],20,0),"")</f>
        <v/>
      </c>
      <c r="W393" s="41" t="str">
        <f>IFERROR(IF(VLOOKUP(B393,Baza[[№]:[Profit]],21,0)=0,"-",VLOOKUP(B393,Baza[[№]:[Profit]],21,0)),"")</f>
        <v/>
      </c>
      <c r="X393" s="45" t="str">
        <f>IFERROR(IF(VLOOKUP(B393,Baza[[№]:[Profit]],22,0)=0,"-",VLOOKUP(B393,Baza[[№]:[Profit]],22,0)),"")</f>
        <v/>
      </c>
      <c r="Y393" s="45" t="str">
        <f>IFERROR(VLOOKUP(B393,Baza[[№]:[Profit]],23,0),"")</f>
        <v/>
      </c>
      <c r="Z393" s="44" t="str">
        <f>IFERROR(VLOOKUP(B393,Baza[[№]:[AFS]],24,0),"")</f>
        <v/>
      </c>
      <c r="AA393" s="45" t="str">
        <f>IF(Таблица2[[#This Row],[Profit]]="","#Н/Д",SUM($Y$40:Y393))</f>
        <v>#Н/Д</v>
      </c>
      <c r="AB393" s="45" t="b">
        <f>IF(Таблица2[[#This Row],[Grafik]]="#Н/Д",FALSE,TRUE)</f>
        <v>0</v>
      </c>
    </row>
    <row r="394" spans="2:28" ht="11.1" hidden="1" customHeight="1" x14ac:dyDescent="0.25">
      <c r="B394"/>
      <c r="C394" s="41" t="str">
        <f>IFERROR(VLOOKUP(B394,Baza[[№]:[Profit]],2,0),"")</f>
        <v/>
      </c>
      <c r="D39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9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94" s="43" t="str">
        <f>IFERROR(VLOOKUP(B394,Baza[[№]:[Profit]],3,0),"")</f>
        <v/>
      </c>
      <c r="G394" s="43" t="str">
        <f>IFERROR(VLOOKUP(B394,Baza[[№]:[Profit]],4,0),"")</f>
        <v/>
      </c>
      <c r="H394" s="43" t="str">
        <f>IFERROR(VLOOKUP(B394,Baza[[№]:[Profit]],5,0),"")</f>
        <v/>
      </c>
      <c r="I394" s="46" t="str">
        <f>IFERROR(VLOOKUP(B394,Baza[[№]:[Profit]],6,0),"")</f>
        <v/>
      </c>
      <c r="J394" s="49" t="str">
        <f>IFERROR(VLOOKUP(B394,Baza[[№]:[Profit]],7,0),"")</f>
        <v/>
      </c>
      <c r="K394" s="43" t="str">
        <f>IFERROR(VLOOKUP(B394,Baza[[№]:[Profit]],8,0),"")</f>
        <v/>
      </c>
      <c r="L394" s="43" t="str">
        <f>IFERROR(VLOOKUP(B394,Baza[[№]:[Profit]],9,0),"")</f>
        <v/>
      </c>
      <c r="M394" s="43" t="str">
        <f>IFERROR(VLOOKUP(B394,Baza[[№]:[Profit]],10,0),"")</f>
        <v/>
      </c>
      <c r="N394" s="43" t="str">
        <f>IFERROR(IF(VLOOKUP(B394,Baza[[№]:[Profit]],11,0)=0,"-",VLOOKUP(B394,Baza[[№]:[Profit]],11,0)),"")</f>
        <v/>
      </c>
      <c r="O394" s="43" t="str">
        <f>IFERROR(IF(VLOOKUP(B394,Baza[[№]:[Profit]],12,0)=0,"-",VLOOKUP(B394,Baza[[№]:[Profit]],12,0)),"")</f>
        <v/>
      </c>
      <c r="P394" s="43" t="str">
        <f>IFERROR(IF(VLOOKUP(B394,Baza[[№]:[Profit]],13,0)=0,"-",VLOOKUP(B394,Baza[[№]:[Profit]],13,0)),"")</f>
        <v/>
      </c>
      <c r="Q394" s="43" t="str">
        <f>IFERROR(IF(VLOOKUP(B394,Baza[[№]:[Profit]],15,0)=0,"-",VLOOKUP(B394,Baza[[№]:[Profit]],15,0)),"")</f>
        <v/>
      </c>
      <c r="R394" s="43" t="str">
        <f>IFERROR(IF(VLOOKUP(B394,Baza[[№]:[Profit]],16,0)=0,"-",VLOOKUP(B394,Baza[[№]:[Profit]],16,0)),"")</f>
        <v/>
      </c>
      <c r="S394" s="43" t="str">
        <f>IFERROR(IF(VLOOKUP(B394,Baza[[№]:[Profit]],17,0)=0,"-",VLOOKUP(B394,Baza[[№]:[Profit]],17,0)),"")</f>
        <v/>
      </c>
      <c r="T394" s="43" t="str">
        <f>IFERROR(IF(VLOOKUP(B394,Baza[[№]:[Profit]],18,0)=0,"-",VLOOKUP(B394,Baza[[№]:[Profit]],18,0)),"")</f>
        <v/>
      </c>
      <c r="U394" s="41" t="str">
        <f>IFERROR(IF(VLOOKUP(B394,Baza[[№]:[Profit]],19,0)=0,"-",VLOOKUP(B394,Baza[[№]:[Profit]],19,0)),"")</f>
        <v/>
      </c>
      <c r="V394" s="41" t="str">
        <f>IFERROR(VLOOKUP(B394,Baza[[№]:[Profit]],20,0),"")</f>
        <v/>
      </c>
      <c r="W394" s="41" t="str">
        <f>IFERROR(IF(VLOOKUP(B394,Baza[[№]:[Profit]],21,0)=0,"-",VLOOKUP(B394,Baza[[№]:[Profit]],21,0)),"")</f>
        <v/>
      </c>
      <c r="X394" s="45" t="str">
        <f>IFERROR(IF(VLOOKUP(B394,Baza[[№]:[Profit]],22,0)=0,"-",VLOOKUP(B394,Baza[[№]:[Profit]],22,0)),"")</f>
        <v/>
      </c>
      <c r="Y394" s="45" t="str">
        <f>IFERROR(VLOOKUP(B394,Baza[[№]:[Profit]],23,0),"")</f>
        <v/>
      </c>
      <c r="Z394" s="44" t="str">
        <f>IFERROR(VLOOKUP(B394,Baza[[№]:[AFS]],24,0),"")</f>
        <v/>
      </c>
      <c r="AA394" s="45" t="str">
        <f>IF(Таблица2[[#This Row],[Profit]]="","#Н/Д",SUM($Y$40:Y394))</f>
        <v>#Н/Д</v>
      </c>
      <c r="AB394" s="45" t="b">
        <f>IF(Таблица2[[#This Row],[Grafik]]="#Н/Д",FALSE,TRUE)</f>
        <v>0</v>
      </c>
    </row>
    <row r="395" spans="2:28" ht="11.1" hidden="1" customHeight="1" x14ac:dyDescent="0.25">
      <c r="B395"/>
      <c r="C395" s="41" t="str">
        <f>IFERROR(VLOOKUP(B395,Baza[[№]:[Profit]],2,0),"")</f>
        <v/>
      </c>
      <c r="D39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9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95" s="43" t="str">
        <f>IFERROR(VLOOKUP(B395,Baza[[№]:[Profit]],3,0),"")</f>
        <v/>
      </c>
      <c r="G395" s="43" t="str">
        <f>IFERROR(VLOOKUP(B395,Baza[[№]:[Profit]],4,0),"")</f>
        <v/>
      </c>
      <c r="H395" s="43" t="str">
        <f>IFERROR(VLOOKUP(B395,Baza[[№]:[Profit]],5,0),"")</f>
        <v/>
      </c>
      <c r="I395" s="46" t="str">
        <f>IFERROR(VLOOKUP(B395,Baza[[№]:[Profit]],6,0),"")</f>
        <v/>
      </c>
      <c r="J395" s="49" t="str">
        <f>IFERROR(VLOOKUP(B395,Baza[[№]:[Profit]],7,0),"")</f>
        <v/>
      </c>
      <c r="K395" s="43" t="str">
        <f>IFERROR(VLOOKUP(B395,Baza[[№]:[Profit]],8,0),"")</f>
        <v/>
      </c>
      <c r="L395" s="43" t="str">
        <f>IFERROR(VLOOKUP(B395,Baza[[№]:[Profit]],9,0),"")</f>
        <v/>
      </c>
      <c r="M395" s="43" t="str">
        <f>IFERROR(VLOOKUP(B395,Baza[[№]:[Profit]],10,0),"")</f>
        <v/>
      </c>
      <c r="N395" s="43" t="str">
        <f>IFERROR(IF(VLOOKUP(B395,Baza[[№]:[Profit]],11,0)=0,"-",VLOOKUP(B395,Baza[[№]:[Profit]],11,0)),"")</f>
        <v/>
      </c>
      <c r="O395" s="43" t="str">
        <f>IFERROR(IF(VLOOKUP(B395,Baza[[№]:[Profit]],12,0)=0,"-",VLOOKUP(B395,Baza[[№]:[Profit]],12,0)),"")</f>
        <v/>
      </c>
      <c r="P395" s="43" t="str">
        <f>IFERROR(IF(VLOOKUP(B395,Baza[[№]:[Profit]],13,0)=0,"-",VLOOKUP(B395,Baza[[№]:[Profit]],13,0)),"")</f>
        <v/>
      </c>
      <c r="Q395" s="43" t="str">
        <f>IFERROR(IF(VLOOKUP(B395,Baza[[№]:[Profit]],15,0)=0,"-",VLOOKUP(B395,Baza[[№]:[Profit]],15,0)),"")</f>
        <v/>
      </c>
      <c r="R395" s="43" t="str">
        <f>IFERROR(IF(VLOOKUP(B395,Baza[[№]:[Profit]],16,0)=0,"-",VLOOKUP(B395,Baza[[№]:[Profit]],16,0)),"")</f>
        <v/>
      </c>
      <c r="S395" s="43" t="str">
        <f>IFERROR(IF(VLOOKUP(B395,Baza[[№]:[Profit]],17,0)=0,"-",VLOOKUP(B395,Baza[[№]:[Profit]],17,0)),"")</f>
        <v/>
      </c>
      <c r="T395" s="43" t="str">
        <f>IFERROR(IF(VLOOKUP(B395,Baza[[№]:[Profit]],18,0)=0,"-",VLOOKUP(B395,Baza[[№]:[Profit]],18,0)),"")</f>
        <v/>
      </c>
      <c r="U395" s="41" t="str">
        <f>IFERROR(IF(VLOOKUP(B395,Baza[[№]:[Profit]],19,0)=0,"-",VLOOKUP(B395,Baza[[№]:[Profit]],19,0)),"")</f>
        <v/>
      </c>
      <c r="V395" s="41" t="str">
        <f>IFERROR(VLOOKUP(B395,Baza[[№]:[Profit]],20,0),"")</f>
        <v/>
      </c>
      <c r="W395" s="41" t="str">
        <f>IFERROR(IF(VLOOKUP(B395,Baza[[№]:[Profit]],21,0)=0,"-",VLOOKUP(B395,Baza[[№]:[Profit]],21,0)),"")</f>
        <v/>
      </c>
      <c r="X395" s="45" t="str">
        <f>IFERROR(IF(VLOOKUP(B395,Baza[[№]:[Profit]],22,0)=0,"-",VLOOKUP(B395,Baza[[№]:[Profit]],22,0)),"")</f>
        <v/>
      </c>
      <c r="Y395" s="45" t="str">
        <f>IFERROR(VLOOKUP(B395,Baza[[№]:[Profit]],23,0),"")</f>
        <v/>
      </c>
      <c r="Z395" s="44" t="str">
        <f>IFERROR(VLOOKUP(B395,Baza[[№]:[AFS]],24,0),"")</f>
        <v/>
      </c>
      <c r="AA395" s="45" t="str">
        <f>IF(Таблица2[[#This Row],[Profit]]="","#Н/Д",SUM($Y$40:Y395))</f>
        <v>#Н/Д</v>
      </c>
      <c r="AB395" s="45" t="b">
        <f>IF(Таблица2[[#This Row],[Grafik]]="#Н/Д",FALSE,TRUE)</f>
        <v>0</v>
      </c>
    </row>
    <row r="396" spans="2:28" ht="11.1" hidden="1" customHeight="1" x14ac:dyDescent="0.25">
      <c r="B396"/>
      <c r="C396" s="41" t="str">
        <f>IFERROR(VLOOKUP(B396,Baza[[№]:[Profit]],2,0),"")</f>
        <v/>
      </c>
      <c r="D39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9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96" s="43" t="str">
        <f>IFERROR(VLOOKUP(B396,Baza[[№]:[Profit]],3,0),"")</f>
        <v/>
      </c>
      <c r="G396" s="43" t="str">
        <f>IFERROR(VLOOKUP(B396,Baza[[№]:[Profit]],4,0),"")</f>
        <v/>
      </c>
      <c r="H396" s="43" t="str">
        <f>IFERROR(VLOOKUP(B396,Baza[[№]:[Profit]],5,0),"")</f>
        <v/>
      </c>
      <c r="I396" s="46" t="str">
        <f>IFERROR(VLOOKUP(B396,Baza[[№]:[Profit]],6,0),"")</f>
        <v/>
      </c>
      <c r="J396" s="49" t="str">
        <f>IFERROR(VLOOKUP(B396,Baza[[№]:[Profit]],7,0),"")</f>
        <v/>
      </c>
      <c r="K396" s="43" t="str">
        <f>IFERROR(VLOOKUP(B396,Baza[[№]:[Profit]],8,0),"")</f>
        <v/>
      </c>
      <c r="L396" s="43" t="str">
        <f>IFERROR(VLOOKUP(B396,Baza[[№]:[Profit]],9,0),"")</f>
        <v/>
      </c>
      <c r="M396" s="43" t="str">
        <f>IFERROR(VLOOKUP(B396,Baza[[№]:[Profit]],10,0),"")</f>
        <v/>
      </c>
      <c r="N396" s="43" t="str">
        <f>IFERROR(IF(VLOOKUP(B396,Baza[[№]:[Profit]],11,0)=0,"-",VLOOKUP(B396,Baza[[№]:[Profit]],11,0)),"")</f>
        <v/>
      </c>
      <c r="O396" s="43" t="str">
        <f>IFERROR(IF(VLOOKUP(B396,Baza[[№]:[Profit]],12,0)=0,"-",VLOOKUP(B396,Baza[[№]:[Profit]],12,0)),"")</f>
        <v/>
      </c>
      <c r="P396" s="43" t="str">
        <f>IFERROR(IF(VLOOKUP(B396,Baza[[№]:[Profit]],13,0)=0,"-",VLOOKUP(B396,Baza[[№]:[Profit]],13,0)),"")</f>
        <v/>
      </c>
      <c r="Q396" s="43" t="str">
        <f>IFERROR(IF(VLOOKUP(B396,Baza[[№]:[Profit]],15,0)=0,"-",VLOOKUP(B396,Baza[[№]:[Profit]],15,0)),"")</f>
        <v/>
      </c>
      <c r="R396" s="43" t="str">
        <f>IFERROR(IF(VLOOKUP(B396,Baza[[№]:[Profit]],16,0)=0,"-",VLOOKUP(B396,Baza[[№]:[Profit]],16,0)),"")</f>
        <v/>
      </c>
      <c r="S396" s="43" t="str">
        <f>IFERROR(IF(VLOOKUP(B396,Baza[[№]:[Profit]],17,0)=0,"-",VLOOKUP(B396,Baza[[№]:[Profit]],17,0)),"")</f>
        <v/>
      </c>
      <c r="T396" s="43" t="str">
        <f>IFERROR(IF(VLOOKUP(B396,Baza[[№]:[Profit]],18,0)=0,"-",VLOOKUP(B396,Baza[[№]:[Profit]],18,0)),"")</f>
        <v/>
      </c>
      <c r="U396" s="41" t="str">
        <f>IFERROR(IF(VLOOKUP(B396,Baza[[№]:[Profit]],19,0)=0,"-",VLOOKUP(B396,Baza[[№]:[Profit]],19,0)),"")</f>
        <v/>
      </c>
      <c r="V396" s="41" t="str">
        <f>IFERROR(VLOOKUP(B396,Baza[[№]:[Profit]],20,0),"")</f>
        <v/>
      </c>
      <c r="W396" s="41" t="str">
        <f>IFERROR(IF(VLOOKUP(B396,Baza[[№]:[Profit]],21,0)=0,"-",VLOOKUP(B396,Baza[[№]:[Profit]],21,0)),"")</f>
        <v/>
      </c>
      <c r="X396" s="45" t="str">
        <f>IFERROR(IF(VLOOKUP(B396,Baza[[№]:[Profit]],22,0)=0,"-",VLOOKUP(B396,Baza[[№]:[Profit]],22,0)),"")</f>
        <v/>
      </c>
      <c r="Y396" s="45" t="str">
        <f>IFERROR(VLOOKUP(B396,Baza[[№]:[Profit]],23,0),"")</f>
        <v/>
      </c>
      <c r="Z396" s="44" t="str">
        <f>IFERROR(VLOOKUP(B396,Baza[[№]:[AFS]],24,0),"")</f>
        <v/>
      </c>
      <c r="AA396" s="45" t="str">
        <f>IF(Таблица2[[#This Row],[Profit]]="","#Н/Д",SUM($Y$40:Y396))</f>
        <v>#Н/Д</v>
      </c>
      <c r="AB396" s="45" t="b">
        <f>IF(Таблица2[[#This Row],[Grafik]]="#Н/Д",FALSE,TRUE)</f>
        <v>0</v>
      </c>
    </row>
    <row r="397" spans="2:28" ht="11.1" hidden="1" customHeight="1" x14ac:dyDescent="0.25">
      <c r="B397"/>
      <c r="C397" s="41" t="str">
        <f>IFERROR(VLOOKUP(B397,Baza[[№]:[Profit]],2,0),"")</f>
        <v/>
      </c>
      <c r="D39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9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97" s="43" t="str">
        <f>IFERROR(VLOOKUP(B397,Baza[[№]:[Profit]],3,0),"")</f>
        <v/>
      </c>
      <c r="G397" s="43" t="str">
        <f>IFERROR(VLOOKUP(B397,Baza[[№]:[Profit]],4,0),"")</f>
        <v/>
      </c>
      <c r="H397" s="43" t="str">
        <f>IFERROR(VLOOKUP(B397,Baza[[№]:[Profit]],5,0),"")</f>
        <v/>
      </c>
      <c r="I397" s="46" t="str">
        <f>IFERROR(VLOOKUP(B397,Baza[[№]:[Profit]],6,0),"")</f>
        <v/>
      </c>
      <c r="J397" s="49" t="str">
        <f>IFERROR(VLOOKUP(B397,Baza[[№]:[Profit]],7,0),"")</f>
        <v/>
      </c>
      <c r="K397" s="43" t="str">
        <f>IFERROR(VLOOKUP(B397,Baza[[№]:[Profit]],8,0),"")</f>
        <v/>
      </c>
      <c r="L397" s="43" t="str">
        <f>IFERROR(VLOOKUP(B397,Baza[[№]:[Profit]],9,0),"")</f>
        <v/>
      </c>
      <c r="M397" s="43" t="str">
        <f>IFERROR(VLOOKUP(B397,Baza[[№]:[Profit]],10,0),"")</f>
        <v/>
      </c>
      <c r="N397" s="43" t="str">
        <f>IFERROR(IF(VLOOKUP(B397,Baza[[№]:[Profit]],11,0)=0,"-",VLOOKUP(B397,Baza[[№]:[Profit]],11,0)),"")</f>
        <v/>
      </c>
      <c r="O397" s="43" t="str">
        <f>IFERROR(IF(VLOOKUP(B397,Baza[[№]:[Profit]],12,0)=0,"-",VLOOKUP(B397,Baza[[№]:[Profit]],12,0)),"")</f>
        <v/>
      </c>
      <c r="P397" s="43" t="str">
        <f>IFERROR(IF(VLOOKUP(B397,Baza[[№]:[Profit]],13,0)=0,"-",VLOOKUP(B397,Baza[[№]:[Profit]],13,0)),"")</f>
        <v/>
      </c>
      <c r="Q397" s="43" t="str">
        <f>IFERROR(IF(VLOOKUP(B397,Baza[[№]:[Profit]],15,0)=0,"-",VLOOKUP(B397,Baza[[№]:[Profit]],15,0)),"")</f>
        <v/>
      </c>
      <c r="R397" s="43" t="str">
        <f>IFERROR(IF(VLOOKUP(B397,Baza[[№]:[Profit]],16,0)=0,"-",VLOOKUP(B397,Baza[[№]:[Profit]],16,0)),"")</f>
        <v/>
      </c>
      <c r="S397" s="43" t="str">
        <f>IFERROR(IF(VLOOKUP(B397,Baza[[№]:[Profit]],17,0)=0,"-",VLOOKUP(B397,Baza[[№]:[Profit]],17,0)),"")</f>
        <v/>
      </c>
      <c r="T397" s="43" t="str">
        <f>IFERROR(IF(VLOOKUP(B397,Baza[[№]:[Profit]],18,0)=0,"-",VLOOKUP(B397,Baza[[№]:[Profit]],18,0)),"")</f>
        <v/>
      </c>
      <c r="U397" s="41" t="str">
        <f>IFERROR(IF(VLOOKUP(B397,Baza[[№]:[Profit]],19,0)=0,"-",VLOOKUP(B397,Baza[[№]:[Profit]],19,0)),"")</f>
        <v/>
      </c>
      <c r="V397" s="41" t="str">
        <f>IFERROR(VLOOKUP(B397,Baza[[№]:[Profit]],20,0),"")</f>
        <v/>
      </c>
      <c r="W397" s="41" t="str">
        <f>IFERROR(IF(VLOOKUP(B397,Baza[[№]:[Profit]],21,0)=0,"-",VLOOKUP(B397,Baza[[№]:[Profit]],21,0)),"")</f>
        <v/>
      </c>
      <c r="X397" s="45" t="str">
        <f>IFERROR(IF(VLOOKUP(B397,Baza[[№]:[Profit]],22,0)=0,"-",VLOOKUP(B397,Baza[[№]:[Profit]],22,0)),"")</f>
        <v/>
      </c>
      <c r="Y397" s="45" t="str">
        <f>IFERROR(VLOOKUP(B397,Baza[[№]:[Profit]],23,0),"")</f>
        <v/>
      </c>
      <c r="Z397" s="44" t="str">
        <f>IFERROR(VLOOKUP(B397,Baza[[№]:[AFS]],24,0),"")</f>
        <v/>
      </c>
      <c r="AA397" s="45" t="str">
        <f>IF(Таблица2[[#This Row],[Profit]]="","#Н/Д",SUM($Y$40:Y397))</f>
        <v>#Н/Д</v>
      </c>
      <c r="AB397" s="45" t="b">
        <f>IF(Таблица2[[#This Row],[Grafik]]="#Н/Д",FALSE,TRUE)</f>
        <v>0</v>
      </c>
    </row>
    <row r="398" spans="2:28" ht="11.1" hidden="1" customHeight="1" x14ac:dyDescent="0.25">
      <c r="B398"/>
      <c r="C398" s="41" t="str">
        <f>IFERROR(VLOOKUP(B398,Baza[[№]:[Profit]],2,0),"")</f>
        <v/>
      </c>
      <c r="D39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9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98" s="43" t="str">
        <f>IFERROR(VLOOKUP(B398,Baza[[№]:[Profit]],3,0),"")</f>
        <v/>
      </c>
      <c r="G398" s="43" t="str">
        <f>IFERROR(VLOOKUP(B398,Baza[[№]:[Profit]],4,0),"")</f>
        <v/>
      </c>
      <c r="H398" s="43" t="str">
        <f>IFERROR(VLOOKUP(B398,Baza[[№]:[Profit]],5,0),"")</f>
        <v/>
      </c>
      <c r="I398" s="46" t="str">
        <f>IFERROR(VLOOKUP(B398,Baza[[№]:[Profit]],6,0),"")</f>
        <v/>
      </c>
      <c r="J398" s="49" t="str">
        <f>IFERROR(VLOOKUP(B398,Baza[[№]:[Profit]],7,0),"")</f>
        <v/>
      </c>
      <c r="K398" s="43" t="str">
        <f>IFERROR(VLOOKUP(B398,Baza[[№]:[Profit]],8,0),"")</f>
        <v/>
      </c>
      <c r="L398" s="43" t="str">
        <f>IFERROR(VLOOKUP(B398,Baza[[№]:[Profit]],9,0),"")</f>
        <v/>
      </c>
      <c r="M398" s="43" t="str">
        <f>IFERROR(VLOOKUP(B398,Baza[[№]:[Profit]],10,0),"")</f>
        <v/>
      </c>
      <c r="N398" s="43" t="str">
        <f>IFERROR(IF(VLOOKUP(B398,Baza[[№]:[Profit]],11,0)=0,"-",VLOOKUP(B398,Baza[[№]:[Profit]],11,0)),"")</f>
        <v/>
      </c>
      <c r="O398" s="43" t="str">
        <f>IFERROR(IF(VLOOKUP(B398,Baza[[№]:[Profit]],12,0)=0,"-",VLOOKUP(B398,Baza[[№]:[Profit]],12,0)),"")</f>
        <v/>
      </c>
      <c r="P398" s="43" t="str">
        <f>IFERROR(IF(VLOOKUP(B398,Baza[[№]:[Profit]],13,0)=0,"-",VLOOKUP(B398,Baza[[№]:[Profit]],13,0)),"")</f>
        <v/>
      </c>
      <c r="Q398" s="43" t="str">
        <f>IFERROR(IF(VLOOKUP(B398,Baza[[№]:[Profit]],15,0)=0,"-",VLOOKUP(B398,Baza[[№]:[Profit]],15,0)),"")</f>
        <v/>
      </c>
      <c r="R398" s="43" t="str">
        <f>IFERROR(IF(VLOOKUP(B398,Baza[[№]:[Profit]],16,0)=0,"-",VLOOKUP(B398,Baza[[№]:[Profit]],16,0)),"")</f>
        <v/>
      </c>
      <c r="S398" s="43" t="str">
        <f>IFERROR(IF(VLOOKUP(B398,Baza[[№]:[Profit]],17,0)=0,"-",VLOOKUP(B398,Baza[[№]:[Profit]],17,0)),"")</f>
        <v/>
      </c>
      <c r="T398" s="43" t="str">
        <f>IFERROR(IF(VLOOKUP(B398,Baza[[№]:[Profit]],18,0)=0,"-",VLOOKUP(B398,Baza[[№]:[Profit]],18,0)),"")</f>
        <v/>
      </c>
      <c r="U398" s="41" t="str">
        <f>IFERROR(IF(VLOOKUP(B398,Baza[[№]:[Profit]],19,0)=0,"-",VLOOKUP(B398,Baza[[№]:[Profit]],19,0)),"")</f>
        <v/>
      </c>
      <c r="V398" s="41" t="str">
        <f>IFERROR(VLOOKUP(B398,Baza[[№]:[Profit]],20,0),"")</f>
        <v/>
      </c>
      <c r="W398" s="41" t="str">
        <f>IFERROR(IF(VLOOKUP(B398,Baza[[№]:[Profit]],21,0)=0,"-",VLOOKUP(B398,Baza[[№]:[Profit]],21,0)),"")</f>
        <v/>
      </c>
      <c r="X398" s="45" t="str">
        <f>IFERROR(IF(VLOOKUP(B398,Baza[[№]:[Profit]],22,0)=0,"-",VLOOKUP(B398,Baza[[№]:[Profit]],22,0)),"")</f>
        <v/>
      </c>
      <c r="Y398" s="45" t="str">
        <f>IFERROR(VLOOKUP(B398,Baza[[№]:[Profit]],23,0),"")</f>
        <v/>
      </c>
      <c r="Z398" s="44" t="str">
        <f>IFERROR(VLOOKUP(B398,Baza[[№]:[AFS]],24,0),"")</f>
        <v/>
      </c>
      <c r="AA398" s="45" t="str">
        <f>IF(Таблица2[[#This Row],[Profit]]="","#Н/Д",SUM($Y$40:Y398))</f>
        <v>#Н/Д</v>
      </c>
      <c r="AB398" s="45" t="b">
        <f>IF(Таблица2[[#This Row],[Grafik]]="#Н/Д",FALSE,TRUE)</f>
        <v>0</v>
      </c>
    </row>
    <row r="399" spans="2:28" ht="11.1" hidden="1" customHeight="1" x14ac:dyDescent="0.25">
      <c r="B399"/>
      <c r="C399" s="41" t="str">
        <f>IFERROR(VLOOKUP(B399,Baza[[№]:[Profit]],2,0),"")</f>
        <v/>
      </c>
      <c r="D39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9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99" s="43" t="str">
        <f>IFERROR(VLOOKUP(B399,Baza[[№]:[Profit]],3,0),"")</f>
        <v/>
      </c>
      <c r="G399" s="43" t="str">
        <f>IFERROR(VLOOKUP(B399,Baza[[№]:[Profit]],4,0),"")</f>
        <v/>
      </c>
      <c r="H399" s="43" t="str">
        <f>IFERROR(VLOOKUP(B399,Baza[[№]:[Profit]],5,0),"")</f>
        <v/>
      </c>
      <c r="I399" s="46" t="str">
        <f>IFERROR(VLOOKUP(B399,Baza[[№]:[Profit]],6,0),"")</f>
        <v/>
      </c>
      <c r="J399" s="49" t="str">
        <f>IFERROR(VLOOKUP(B399,Baza[[№]:[Profit]],7,0),"")</f>
        <v/>
      </c>
      <c r="K399" s="43" t="str">
        <f>IFERROR(VLOOKUP(B399,Baza[[№]:[Profit]],8,0),"")</f>
        <v/>
      </c>
      <c r="L399" s="43" t="str">
        <f>IFERROR(VLOOKUP(B399,Baza[[№]:[Profit]],9,0),"")</f>
        <v/>
      </c>
      <c r="M399" s="43" t="str">
        <f>IFERROR(VLOOKUP(B399,Baza[[№]:[Profit]],10,0),"")</f>
        <v/>
      </c>
      <c r="N399" s="43" t="str">
        <f>IFERROR(IF(VLOOKUP(B399,Baza[[№]:[Profit]],11,0)=0,"-",VLOOKUP(B399,Baza[[№]:[Profit]],11,0)),"")</f>
        <v/>
      </c>
      <c r="O399" s="43" t="str">
        <f>IFERROR(IF(VLOOKUP(B399,Baza[[№]:[Profit]],12,0)=0,"-",VLOOKUP(B399,Baza[[№]:[Profit]],12,0)),"")</f>
        <v/>
      </c>
      <c r="P399" s="43" t="str">
        <f>IFERROR(IF(VLOOKUP(B399,Baza[[№]:[Profit]],13,0)=0,"-",VLOOKUP(B399,Baza[[№]:[Profit]],13,0)),"")</f>
        <v/>
      </c>
      <c r="Q399" s="43" t="str">
        <f>IFERROR(IF(VLOOKUP(B399,Baza[[№]:[Profit]],15,0)=0,"-",VLOOKUP(B399,Baza[[№]:[Profit]],15,0)),"")</f>
        <v/>
      </c>
      <c r="R399" s="43" t="str">
        <f>IFERROR(IF(VLOOKUP(B399,Baza[[№]:[Profit]],16,0)=0,"-",VLOOKUP(B399,Baza[[№]:[Profit]],16,0)),"")</f>
        <v/>
      </c>
      <c r="S399" s="43" t="str">
        <f>IFERROR(IF(VLOOKUP(B399,Baza[[№]:[Profit]],17,0)=0,"-",VLOOKUP(B399,Baza[[№]:[Profit]],17,0)),"")</f>
        <v/>
      </c>
      <c r="T399" s="43" t="str">
        <f>IFERROR(IF(VLOOKUP(B399,Baza[[№]:[Profit]],18,0)=0,"-",VLOOKUP(B399,Baza[[№]:[Profit]],18,0)),"")</f>
        <v/>
      </c>
      <c r="U399" s="41" t="str">
        <f>IFERROR(IF(VLOOKUP(B399,Baza[[№]:[Profit]],19,0)=0,"-",VLOOKUP(B399,Baza[[№]:[Profit]],19,0)),"")</f>
        <v/>
      </c>
      <c r="V399" s="41" t="str">
        <f>IFERROR(VLOOKUP(B399,Baza[[№]:[Profit]],20,0),"")</f>
        <v/>
      </c>
      <c r="W399" s="41" t="str">
        <f>IFERROR(IF(VLOOKUP(B399,Baza[[№]:[Profit]],21,0)=0,"-",VLOOKUP(B399,Baza[[№]:[Profit]],21,0)),"")</f>
        <v/>
      </c>
      <c r="X399" s="45" t="str">
        <f>IFERROR(IF(VLOOKUP(B399,Baza[[№]:[Profit]],22,0)=0,"-",VLOOKUP(B399,Baza[[№]:[Profit]],22,0)),"")</f>
        <v/>
      </c>
      <c r="Y399" s="45" t="str">
        <f>IFERROR(VLOOKUP(B399,Baza[[№]:[Profit]],23,0),"")</f>
        <v/>
      </c>
      <c r="Z399" s="44" t="str">
        <f>IFERROR(VLOOKUP(B399,Baza[[№]:[AFS]],24,0),"")</f>
        <v/>
      </c>
      <c r="AA399" s="45" t="str">
        <f>IF(Таблица2[[#This Row],[Profit]]="","#Н/Д",SUM($Y$40:Y399))</f>
        <v>#Н/Д</v>
      </c>
      <c r="AB399" s="45" t="b">
        <f>IF(Таблица2[[#This Row],[Grafik]]="#Н/Д",FALSE,TRUE)</f>
        <v>0</v>
      </c>
    </row>
    <row r="400" spans="2:28" ht="11.1" hidden="1" customHeight="1" x14ac:dyDescent="0.25">
      <c r="B400"/>
      <c r="C400" s="41" t="str">
        <f>IFERROR(VLOOKUP(B400,Baza[[№]:[Profit]],2,0),"")</f>
        <v/>
      </c>
      <c r="D40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0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00" s="43" t="str">
        <f>IFERROR(VLOOKUP(B400,Baza[[№]:[Profit]],3,0),"")</f>
        <v/>
      </c>
      <c r="G400" s="43" t="str">
        <f>IFERROR(VLOOKUP(B400,Baza[[№]:[Profit]],4,0),"")</f>
        <v/>
      </c>
      <c r="H400" s="43" t="str">
        <f>IFERROR(VLOOKUP(B400,Baza[[№]:[Profit]],5,0),"")</f>
        <v/>
      </c>
      <c r="I400" s="46" t="str">
        <f>IFERROR(VLOOKUP(B400,Baza[[№]:[Profit]],6,0),"")</f>
        <v/>
      </c>
      <c r="J400" s="49" t="str">
        <f>IFERROR(VLOOKUP(B400,Baza[[№]:[Profit]],7,0),"")</f>
        <v/>
      </c>
      <c r="K400" s="43" t="str">
        <f>IFERROR(VLOOKUP(B400,Baza[[№]:[Profit]],8,0),"")</f>
        <v/>
      </c>
      <c r="L400" s="43" t="str">
        <f>IFERROR(VLOOKUP(B400,Baza[[№]:[Profit]],9,0),"")</f>
        <v/>
      </c>
      <c r="M400" s="43" t="str">
        <f>IFERROR(VLOOKUP(B400,Baza[[№]:[Profit]],10,0),"")</f>
        <v/>
      </c>
      <c r="N400" s="43" t="str">
        <f>IFERROR(IF(VLOOKUP(B400,Baza[[№]:[Profit]],11,0)=0,"-",VLOOKUP(B400,Baza[[№]:[Profit]],11,0)),"")</f>
        <v/>
      </c>
      <c r="O400" s="43" t="str">
        <f>IFERROR(IF(VLOOKUP(B400,Baza[[№]:[Profit]],12,0)=0,"-",VLOOKUP(B400,Baza[[№]:[Profit]],12,0)),"")</f>
        <v/>
      </c>
      <c r="P400" s="43" t="str">
        <f>IFERROR(IF(VLOOKUP(B400,Baza[[№]:[Profit]],13,0)=0,"-",VLOOKUP(B400,Baza[[№]:[Profit]],13,0)),"")</f>
        <v/>
      </c>
      <c r="Q400" s="43" t="str">
        <f>IFERROR(IF(VLOOKUP(B400,Baza[[№]:[Profit]],15,0)=0,"-",VLOOKUP(B400,Baza[[№]:[Profit]],15,0)),"")</f>
        <v/>
      </c>
      <c r="R400" s="43" t="str">
        <f>IFERROR(IF(VLOOKUP(B400,Baza[[№]:[Profit]],16,0)=0,"-",VLOOKUP(B400,Baza[[№]:[Profit]],16,0)),"")</f>
        <v/>
      </c>
      <c r="S400" s="43" t="str">
        <f>IFERROR(IF(VLOOKUP(B400,Baza[[№]:[Profit]],17,0)=0,"-",VLOOKUP(B400,Baza[[№]:[Profit]],17,0)),"")</f>
        <v/>
      </c>
      <c r="T400" s="43" t="str">
        <f>IFERROR(IF(VLOOKUP(B400,Baza[[№]:[Profit]],18,0)=0,"-",VLOOKUP(B400,Baza[[№]:[Profit]],18,0)),"")</f>
        <v/>
      </c>
      <c r="U400" s="41" t="str">
        <f>IFERROR(IF(VLOOKUP(B400,Baza[[№]:[Profit]],19,0)=0,"-",VLOOKUP(B400,Baza[[№]:[Profit]],19,0)),"")</f>
        <v/>
      </c>
      <c r="V400" s="41" t="str">
        <f>IFERROR(VLOOKUP(B400,Baza[[№]:[Profit]],20,0),"")</f>
        <v/>
      </c>
      <c r="W400" s="41" t="str">
        <f>IFERROR(IF(VLOOKUP(B400,Baza[[№]:[Profit]],21,0)=0,"-",VLOOKUP(B400,Baza[[№]:[Profit]],21,0)),"")</f>
        <v/>
      </c>
      <c r="X400" s="45" t="str">
        <f>IFERROR(IF(VLOOKUP(B400,Baza[[№]:[Profit]],22,0)=0,"-",VLOOKUP(B400,Baza[[№]:[Profit]],22,0)),"")</f>
        <v/>
      </c>
      <c r="Y400" s="45" t="str">
        <f>IFERROR(VLOOKUP(B400,Baza[[№]:[Profit]],23,0),"")</f>
        <v/>
      </c>
      <c r="Z400" s="44" t="str">
        <f>IFERROR(VLOOKUP(B400,Baza[[№]:[AFS]],24,0),"")</f>
        <v/>
      </c>
      <c r="AA400" s="45" t="str">
        <f>IF(Таблица2[[#This Row],[Profit]]="","#Н/Д",SUM($Y$40:Y400))</f>
        <v>#Н/Д</v>
      </c>
      <c r="AB400" s="45" t="b">
        <f>IF(Таблица2[[#This Row],[Grafik]]="#Н/Д",FALSE,TRUE)</f>
        <v>0</v>
      </c>
    </row>
    <row r="401" spans="2:28" ht="11.1" hidden="1" customHeight="1" x14ac:dyDescent="0.25">
      <c r="B401"/>
      <c r="C401" s="41" t="str">
        <f>IFERROR(VLOOKUP(B401,Baza[[№]:[Profit]],2,0),"")</f>
        <v/>
      </c>
      <c r="D40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0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01" s="43" t="str">
        <f>IFERROR(VLOOKUP(B401,Baza[[№]:[Profit]],3,0),"")</f>
        <v/>
      </c>
      <c r="G401" s="43" t="str">
        <f>IFERROR(VLOOKUP(B401,Baza[[№]:[Profit]],4,0),"")</f>
        <v/>
      </c>
      <c r="H401" s="43" t="str">
        <f>IFERROR(VLOOKUP(B401,Baza[[№]:[Profit]],5,0),"")</f>
        <v/>
      </c>
      <c r="I401" s="46" t="str">
        <f>IFERROR(VLOOKUP(B401,Baza[[№]:[Profit]],6,0),"")</f>
        <v/>
      </c>
      <c r="J401" s="49" t="str">
        <f>IFERROR(VLOOKUP(B401,Baza[[№]:[Profit]],7,0),"")</f>
        <v/>
      </c>
      <c r="K401" s="43" t="str">
        <f>IFERROR(VLOOKUP(B401,Baza[[№]:[Profit]],8,0),"")</f>
        <v/>
      </c>
      <c r="L401" s="43" t="str">
        <f>IFERROR(VLOOKUP(B401,Baza[[№]:[Profit]],9,0),"")</f>
        <v/>
      </c>
      <c r="M401" s="43" t="str">
        <f>IFERROR(VLOOKUP(B401,Baza[[№]:[Profit]],10,0),"")</f>
        <v/>
      </c>
      <c r="N401" s="43" t="str">
        <f>IFERROR(IF(VLOOKUP(B401,Baza[[№]:[Profit]],11,0)=0,"-",VLOOKUP(B401,Baza[[№]:[Profit]],11,0)),"")</f>
        <v/>
      </c>
      <c r="O401" s="43" t="str">
        <f>IFERROR(IF(VLOOKUP(B401,Baza[[№]:[Profit]],12,0)=0,"-",VLOOKUP(B401,Baza[[№]:[Profit]],12,0)),"")</f>
        <v/>
      </c>
      <c r="P401" s="43" t="str">
        <f>IFERROR(IF(VLOOKUP(B401,Baza[[№]:[Profit]],13,0)=0,"-",VLOOKUP(B401,Baza[[№]:[Profit]],13,0)),"")</f>
        <v/>
      </c>
      <c r="Q401" s="43" t="str">
        <f>IFERROR(IF(VLOOKUP(B401,Baza[[№]:[Profit]],15,0)=0,"-",VLOOKUP(B401,Baza[[№]:[Profit]],15,0)),"")</f>
        <v/>
      </c>
      <c r="R401" s="43" t="str">
        <f>IFERROR(IF(VLOOKUP(B401,Baza[[№]:[Profit]],16,0)=0,"-",VLOOKUP(B401,Baza[[№]:[Profit]],16,0)),"")</f>
        <v/>
      </c>
      <c r="S401" s="43" t="str">
        <f>IFERROR(IF(VLOOKUP(B401,Baza[[№]:[Profit]],17,0)=0,"-",VLOOKUP(B401,Baza[[№]:[Profit]],17,0)),"")</f>
        <v/>
      </c>
      <c r="T401" s="43" t="str">
        <f>IFERROR(IF(VLOOKUP(B401,Baza[[№]:[Profit]],18,0)=0,"-",VLOOKUP(B401,Baza[[№]:[Profit]],18,0)),"")</f>
        <v/>
      </c>
      <c r="U401" s="41" t="str">
        <f>IFERROR(IF(VLOOKUP(B401,Baza[[№]:[Profit]],19,0)=0,"-",VLOOKUP(B401,Baza[[№]:[Profit]],19,0)),"")</f>
        <v/>
      </c>
      <c r="V401" s="41" t="str">
        <f>IFERROR(VLOOKUP(B401,Baza[[№]:[Profit]],20,0),"")</f>
        <v/>
      </c>
      <c r="W401" s="41" t="str">
        <f>IFERROR(IF(VLOOKUP(B401,Baza[[№]:[Profit]],21,0)=0,"-",VLOOKUP(B401,Baza[[№]:[Profit]],21,0)),"")</f>
        <v/>
      </c>
      <c r="X401" s="45" t="str">
        <f>IFERROR(IF(VLOOKUP(B401,Baza[[№]:[Profit]],22,0)=0,"-",VLOOKUP(B401,Baza[[№]:[Profit]],22,0)),"")</f>
        <v/>
      </c>
      <c r="Y401" s="45" t="str">
        <f>IFERROR(VLOOKUP(B401,Baza[[№]:[Profit]],23,0),"")</f>
        <v/>
      </c>
      <c r="Z401" s="44" t="str">
        <f>IFERROR(VLOOKUP(B401,Baza[[№]:[AFS]],24,0),"")</f>
        <v/>
      </c>
      <c r="AA401" s="45" t="str">
        <f>IF(Таблица2[[#This Row],[Profit]]="","#Н/Д",SUM($Y$40:Y401))</f>
        <v>#Н/Д</v>
      </c>
      <c r="AB401" s="45" t="b">
        <f>IF(Таблица2[[#This Row],[Grafik]]="#Н/Д",FALSE,TRUE)</f>
        <v>0</v>
      </c>
    </row>
    <row r="402" spans="2:28" ht="11.1" hidden="1" customHeight="1" x14ac:dyDescent="0.25">
      <c r="B402"/>
      <c r="C402" s="41" t="str">
        <f>IFERROR(VLOOKUP(B402,Baza[[№]:[Profit]],2,0),"")</f>
        <v/>
      </c>
      <c r="D40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0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02" s="43" t="str">
        <f>IFERROR(VLOOKUP(B402,Baza[[№]:[Profit]],3,0),"")</f>
        <v/>
      </c>
      <c r="G402" s="43" t="str">
        <f>IFERROR(VLOOKUP(B402,Baza[[№]:[Profit]],4,0),"")</f>
        <v/>
      </c>
      <c r="H402" s="43" t="str">
        <f>IFERROR(VLOOKUP(B402,Baza[[№]:[Profit]],5,0),"")</f>
        <v/>
      </c>
      <c r="I402" s="46" t="str">
        <f>IFERROR(VLOOKUP(B402,Baza[[№]:[Profit]],6,0),"")</f>
        <v/>
      </c>
      <c r="J402" s="49" t="str">
        <f>IFERROR(VLOOKUP(B402,Baza[[№]:[Profit]],7,0),"")</f>
        <v/>
      </c>
      <c r="K402" s="43" t="str">
        <f>IFERROR(VLOOKUP(B402,Baza[[№]:[Profit]],8,0),"")</f>
        <v/>
      </c>
      <c r="L402" s="43" t="str">
        <f>IFERROR(VLOOKUP(B402,Baza[[№]:[Profit]],9,0),"")</f>
        <v/>
      </c>
      <c r="M402" s="43" t="str">
        <f>IFERROR(VLOOKUP(B402,Baza[[№]:[Profit]],10,0),"")</f>
        <v/>
      </c>
      <c r="N402" s="43" t="str">
        <f>IFERROR(IF(VLOOKUP(B402,Baza[[№]:[Profit]],11,0)=0,"-",VLOOKUP(B402,Baza[[№]:[Profit]],11,0)),"")</f>
        <v/>
      </c>
      <c r="O402" s="43" t="str">
        <f>IFERROR(IF(VLOOKUP(B402,Baza[[№]:[Profit]],12,0)=0,"-",VLOOKUP(B402,Baza[[№]:[Profit]],12,0)),"")</f>
        <v/>
      </c>
      <c r="P402" s="43" t="str">
        <f>IFERROR(IF(VLOOKUP(B402,Baza[[№]:[Profit]],13,0)=0,"-",VLOOKUP(B402,Baza[[№]:[Profit]],13,0)),"")</f>
        <v/>
      </c>
      <c r="Q402" s="43" t="str">
        <f>IFERROR(IF(VLOOKUP(B402,Baza[[№]:[Profit]],15,0)=0,"-",VLOOKUP(B402,Baza[[№]:[Profit]],15,0)),"")</f>
        <v/>
      </c>
      <c r="R402" s="43" t="str">
        <f>IFERROR(IF(VLOOKUP(B402,Baza[[№]:[Profit]],16,0)=0,"-",VLOOKUP(B402,Baza[[№]:[Profit]],16,0)),"")</f>
        <v/>
      </c>
      <c r="S402" s="43" t="str">
        <f>IFERROR(IF(VLOOKUP(B402,Baza[[№]:[Profit]],17,0)=0,"-",VLOOKUP(B402,Baza[[№]:[Profit]],17,0)),"")</f>
        <v/>
      </c>
      <c r="T402" s="43" t="str">
        <f>IFERROR(IF(VLOOKUP(B402,Baza[[№]:[Profit]],18,0)=0,"-",VLOOKUP(B402,Baza[[№]:[Profit]],18,0)),"")</f>
        <v/>
      </c>
      <c r="U402" s="41" t="str">
        <f>IFERROR(IF(VLOOKUP(B402,Baza[[№]:[Profit]],19,0)=0,"-",VLOOKUP(B402,Baza[[№]:[Profit]],19,0)),"")</f>
        <v/>
      </c>
      <c r="V402" s="41" t="str">
        <f>IFERROR(VLOOKUP(B402,Baza[[№]:[Profit]],20,0),"")</f>
        <v/>
      </c>
      <c r="W402" s="41" t="str">
        <f>IFERROR(IF(VLOOKUP(B402,Baza[[№]:[Profit]],21,0)=0,"-",VLOOKUP(B402,Baza[[№]:[Profit]],21,0)),"")</f>
        <v/>
      </c>
      <c r="X402" s="45" t="str">
        <f>IFERROR(IF(VLOOKUP(B402,Baza[[№]:[Profit]],22,0)=0,"-",VLOOKUP(B402,Baza[[№]:[Profit]],22,0)),"")</f>
        <v/>
      </c>
      <c r="Y402" s="45" t="str">
        <f>IFERROR(VLOOKUP(B402,Baza[[№]:[Profit]],23,0),"")</f>
        <v/>
      </c>
      <c r="Z402" s="44" t="str">
        <f>IFERROR(VLOOKUP(B402,Baza[[№]:[AFS]],24,0),"")</f>
        <v/>
      </c>
      <c r="AA402" s="45" t="str">
        <f>IF(Таблица2[[#This Row],[Profit]]="","#Н/Д",SUM($Y$40:Y402))</f>
        <v>#Н/Д</v>
      </c>
      <c r="AB402" s="45" t="b">
        <f>IF(Таблица2[[#This Row],[Grafik]]="#Н/Д",FALSE,TRUE)</f>
        <v>0</v>
      </c>
    </row>
    <row r="403" spans="2:28" ht="11.1" hidden="1" customHeight="1" x14ac:dyDescent="0.25">
      <c r="B403"/>
      <c r="C403" s="41" t="str">
        <f>IFERROR(VLOOKUP(B403,Baza[[№]:[Profit]],2,0),"")</f>
        <v/>
      </c>
      <c r="D40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0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03" s="43" t="str">
        <f>IFERROR(VLOOKUP(B403,Baza[[№]:[Profit]],3,0),"")</f>
        <v/>
      </c>
      <c r="G403" s="43" t="str">
        <f>IFERROR(VLOOKUP(B403,Baza[[№]:[Profit]],4,0),"")</f>
        <v/>
      </c>
      <c r="H403" s="43" t="str">
        <f>IFERROR(VLOOKUP(B403,Baza[[№]:[Profit]],5,0),"")</f>
        <v/>
      </c>
      <c r="I403" s="46" t="str">
        <f>IFERROR(VLOOKUP(B403,Baza[[№]:[Profit]],6,0),"")</f>
        <v/>
      </c>
      <c r="J403" s="49" t="str">
        <f>IFERROR(VLOOKUP(B403,Baza[[№]:[Profit]],7,0),"")</f>
        <v/>
      </c>
      <c r="K403" s="43" t="str">
        <f>IFERROR(VLOOKUP(B403,Baza[[№]:[Profit]],8,0),"")</f>
        <v/>
      </c>
      <c r="L403" s="43" t="str">
        <f>IFERROR(VLOOKUP(B403,Baza[[№]:[Profit]],9,0),"")</f>
        <v/>
      </c>
      <c r="M403" s="43" t="str">
        <f>IFERROR(VLOOKUP(B403,Baza[[№]:[Profit]],10,0),"")</f>
        <v/>
      </c>
      <c r="N403" s="43" t="str">
        <f>IFERROR(IF(VLOOKUP(B403,Baza[[№]:[Profit]],11,0)=0,"-",VLOOKUP(B403,Baza[[№]:[Profit]],11,0)),"")</f>
        <v/>
      </c>
      <c r="O403" s="43" t="str">
        <f>IFERROR(IF(VLOOKUP(B403,Baza[[№]:[Profit]],12,0)=0,"-",VLOOKUP(B403,Baza[[№]:[Profit]],12,0)),"")</f>
        <v/>
      </c>
      <c r="P403" s="43" t="str">
        <f>IFERROR(IF(VLOOKUP(B403,Baza[[№]:[Profit]],13,0)=0,"-",VLOOKUP(B403,Baza[[№]:[Profit]],13,0)),"")</f>
        <v/>
      </c>
      <c r="Q403" s="43" t="str">
        <f>IFERROR(IF(VLOOKUP(B403,Baza[[№]:[Profit]],15,0)=0,"-",VLOOKUP(B403,Baza[[№]:[Profit]],15,0)),"")</f>
        <v/>
      </c>
      <c r="R403" s="43" t="str">
        <f>IFERROR(IF(VLOOKUP(B403,Baza[[№]:[Profit]],16,0)=0,"-",VLOOKUP(B403,Baza[[№]:[Profit]],16,0)),"")</f>
        <v/>
      </c>
      <c r="S403" s="43" t="str">
        <f>IFERROR(IF(VLOOKUP(B403,Baza[[№]:[Profit]],17,0)=0,"-",VLOOKUP(B403,Baza[[№]:[Profit]],17,0)),"")</f>
        <v/>
      </c>
      <c r="T403" s="43" t="str">
        <f>IFERROR(IF(VLOOKUP(B403,Baza[[№]:[Profit]],18,0)=0,"-",VLOOKUP(B403,Baza[[№]:[Profit]],18,0)),"")</f>
        <v/>
      </c>
      <c r="U403" s="41" t="str">
        <f>IFERROR(IF(VLOOKUP(B403,Baza[[№]:[Profit]],19,0)=0,"-",VLOOKUP(B403,Baza[[№]:[Profit]],19,0)),"")</f>
        <v/>
      </c>
      <c r="V403" s="41" t="str">
        <f>IFERROR(VLOOKUP(B403,Baza[[№]:[Profit]],20,0),"")</f>
        <v/>
      </c>
      <c r="W403" s="41" t="str">
        <f>IFERROR(IF(VLOOKUP(B403,Baza[[№]:[Profit]],21,0)=0,"-",VLOOKUP(B403,Baza[[№]:[Profit]],21,0)),"")</f>
        <v/>
      </c>
      <c r="X403" s="45" t="str">
        <f>IFERROR(IF(VLOOKUP(B403,Baza[[№]:[Profit]],22,0)=0,"-",VLOOKUP(B403,Baza[[№]:[Profit]],22,0)),"")</f>
        <v/>
      </c>
      <c r="Y403" s="45" t="str">
        <f>IFERROR(VLOOKUP(B403,Baza[[№]:[Profit]],23,0),"")</f>
        <v/>
      </c>
      <c r="Z403" s="44" t="str">
        <f>IFERROR(VLOOKUP(B403,Baza[[№]:[AFS]],24,0),"")</f>
        <v/>
      </c>
      <c r="AA403" s="45" t="str">
        <f>IF(Таблица2[[#This Row],[Profit]]="","#Н/Д",SUM($Y$40:Y403))</f>
        <v>#Н/Д</v>
      </c>
      <c r="AB403" s="45" t="b">
        <f>IF(Таблица2[[#This Row],[Grafik]]="#Н/Д",FALSE,TRUE)</f>
        <v>0</v>
      </c>
    </row>
    <row r="404" spans="2:28" ht="11.1" hidden="1" customHeight="1" x14ac:dyDescent="0.25">
      <c r="B404"/>
      <c r="C404" s="41" t="str">
        <f>IFERROR(VLOOKUP(B404,Baza[[№]:[Profit]],2,0),"")</f>
        <v/>
      </c>
      <c r="D40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0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04" s="43" t="str">
        <f>IFERROR(VLOOKUP(B404,Baza[[№]:[Profit]],3,0),"")</f>
        <v/>
      </c>
      <c r="G404" s="43" t="str">
        <f>IFERROR(VLOOKUP(B404,Baza[[№]:[Profit]],4,0),"")</f>
        <v/>
      </c>
      <c r="H404" s="43" t="str">
        <f>IFERROR(VLOOKUP(B404,Baza[[№]:[Profit]],5,0),"")</f>
        <v/>
      </c>
      <c r="I404" s="46" t="str">
        <f>IFERROR(VLOOKUP(B404,Baza[[№]:[Profit]],6,0),"")</f>
        <v/>
      </c>
      <c r="J404" s="49" t="str">
        <f>IFERROR(VLOOKUP(B404,Baza[[№]:[Profit]],7,0),"")</f>
        <v/>
      </c>
      <c r="K404" s="43" t="str">
        <f>IFERROR(VLOOKUP(B404,Baza[[№]:[Profit]],8,0),"")</f>
        <v/>
      </c>
      <c r="L404" s="43" t="str">
        <f>IFERROR(VLOOKUP(B404,Baza[[№]:[Profit]],9,0),"")</f>
        <v/>
      </c>
      <c r="M404" s="43" t="str">
        <f>IFERROR(VLOOKUP(B404,Baza[[№]:[Profit]],10,0),"")</f>
        <v/>
      </c>
      <c r="N404" s="43" t="str">
        <f>IFERROR(IF(VLOOKUP(B404,Baza[[№]:[Profit]],11,0)=0,"-",VLOOKUP(B404,Baza[[№]:[Profit]],11,0)),"")</f>
        <v/>
      </c>
      <c r="O404" s="43" t="str">
        <f>IFERROR(IF(VLOOKUP(B404,Baza[[№]:[Profit]],12,0)=0,"-",VLOOKUP(B404,Baza[[№]:[Profit]],12,0)),"")</f>
        <v/>
      </c>
      <c r="P404" s="43" t="str">
        <f>IFERROR(IF(VLOOKUP(B404,Baza[[№]:[Profit]],13,0)=0,"-",VLOOKUP(B404,Baza[[№]:[Profit]],13,0)),"")</f>
        <v/>
      </c>
      <c r="Q404" s="43" t="str">
        <f>IFERROR(IF(VLOOKUP(B404,Baza[[№]:[Profit]],15,0)=0,"-",VLOOKUP(B404,Baza[[№]:[Profit]],15,0)),"")</f>
        <v/>
      </c>
      <c r="R404" s="43" t="str">
        <f>IFERROR(IF(VLOOKUP(B404,Baza[[№]:[Profit]],16,0)=0,"-",VLOOKUP(B404,Baza[[№]:[Profit]],16,0)),"")</f>
        <v/>
      </c>
      <c r="S404" s="43" t="str">
        <f>IFERROR(IF(VLOOKUP(B404,Baza[[№]:[Profit]],17,0)=0,"-",VLOOKUP(B404,Baza[[№]:[Profit]],17,0)),"")</f>
        <v/>
      </c>
      <c r="T404" s="43" t="str">
        <f>IFERROR(IF(VLOOKUP(B404,Baza[[№]:[Profit]],18,0)=0,"-",VLOOKUP(B404,Baza[[№]:[Profit]],18,0)),"")</f>
        <v/>
      </c>
      <c r="U404" s="41" t="str">
        <f>IFERROR(IF(VLOOKUP(B404,Baza[[№]:[Profit]],19,0)=0,"-",VLOOKUP(B404,Baza[[№]:[Profit]],19,0)),"")</f>
        <v/>
      </c>
      <c r="V404" s="41" t="str">
        <f>IFERROR(VLOOKUP(B404,Baza[[№]:[Profit]],20,0),"")</f>
        <v/>
      </c>
      <c r="W404" s="41" t="str">
        <f>IFERROR(IF(VLOOKUP(B404,Baza[[№]:[Profit]],21,0)=0,"-",VLOOKUP(B404,Baza[[№]:[Profit]],21,0)),"")</f>
        <v/>
      </c>
      <c r="X404" s="45" t="str">
        <f>IFERROR(IF(VLOOKUP(B404,Baza[[№]:[Profit]],22,0)=0,"-",VLOOKUP(B404,Baza[[№]:[Profit]],22,0)),"")</f>
        <v/>
      </c>
      <c r="Y404" s="45" t="str">
        <f>IFERROR(VLOOKUP(B404,Baza[[№]:[Profit]],23,0),"")</f>
        <v/>
      </c>
      <c r="Z404" s="44" t="str">
        <f>IFERROR(VLOOKUP(B404,Baza[[№]:[AFS]],24,0),"")</f>
        <v/>
      </c>
      <c r="AA404" s="45" t="str">
        <f>IF(Таблица2[[#This Row],[Profit]]="","#Н/Д",SUM($Y$40:Y404))</f>
        <v>#Н/Д</v>
      </c>
      <c r="AB404" s="45" t="b">
        <f>IF(Таблица2[[#This Row],[Grafik]]="#Н/Д",FALSE,TRUE)</f>
        <v>0</v>
      </c>
    </row>
    <row r="405" spans="2:28" ht="11.1" hidden="1" customHeight="1" x14ac:dyDescent="0.25">
      <c r="B405"/>
      <c r="C405" s="41" t="str">
        <f>IFERROR(VLOOKUP(B405,Baza[[№]:[Profit]],2,0),"")</f>
        <v/>
      </c>
      <c r="D40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0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05" s="43" t="str">
        <f>IFERROR(VLOOKUP(B405,Baza[[№]:[Profit]],3,0),"")</f>
        <v/>
      </c>
      <c r="G405" s="43" t="str">
        <f>IFERROR(VLOOKUP(B405,Baza[[№]:[Profit]],4,0),"")</f>
        <v/>
      </c>
      <c r="H405" s="43" t="str">
        <f>IFERROR(VLOOKUP(B405,Baza[[№]:[Profit]],5,0),"")</f>
        <v/>
      </c>
      <c r="I405" s="46" t="str">
        <f>IFERROR(VLOOKUP(B405,Baza[[№]:[Profit]],6,0),"")</f>
        <v/>
      </c>
      <c r="J405" s="49" t="str">
        <f>IFERROR(VLOOKUP(B405,Baza[[№]:[Profit]],7,0),"")</f>
        <v/>
      </c>
      <c r="K405" s="43" t="str">
        <f>IFERROR(VLOOKUP(B405,Baza[[№]:[Profit]],8,0),"")</f>
        <v/>
      </c>
      <c r="L405" s="43" t="str">
        <f>IFERROR(VLOOKUP(B405,Baza[[№]:[Profit]],9,0),"")</f>
        <v/>
      </c>
      <c r="M405" s="43" t="str">
        <f>IFERROR(VLOOKUP(B405,Baza[[№]:[Profit]],10,0),"")</f>
        <v/>
      </c>
      <c r="N405" s="43" t="str">
        <f>IFERROR(IF(VLOOKUP(B405,Baza[[№]:[Profit]],11,0)=0,"-",VLOOKUP(B405,Baza[[№]:[Profit]],11,0)),"")</f>
        <v/>
      </c>
      <c r="O405" s="43" t="str">
        <f>IFERROR(IF(VLOOKUP(B405,Baza[[№]:[Profit]],12,0)=0,"-",VLOOKUP(B405,Baza[[№]:[Profit]],12,0)),"")</f>
        <v/>
      </c>
      <c r="P405" s="43" t="str">
        <f>IFERROR(IF(VLOOKUP(B405,Baza[[№]:[Profit]],13,0)=0,"-",VLOOKUP(B405,Baza[[№]:[Profit]],13,0)),"")</f>
        <v/>
      </c>
      <c r="Q405" s="43" t="str">
        <f>IFERROR(IF(VLOOKUP(B405,Baza[[№]:[Profit]],15,0)=0,"-",VLOOKUP(B405,Baza[[№]:[Profit]],15,0)),"")</f>
        <v/>
      </c>
      <c r="R405" s="43" t="str">
        <f>IFERROR(IF(VLOOKUP(B405,Baza[[№]:[Profit]],16,0)=0,"-",VLOOKUP(B405,Baza[[№]:[Profit]],16,0)),"")</f>
        <v/>
      </c>
      <c r="S405" s="43" t="str">
        <f>IFERROR(IF(VLOOKUP(B405,Baza[[№]:[Profit]],17,0)=0,"-",VLOOKUP(B405,Baza[[№]:[Profit]],17,0)),"")</f>
        <v/>
      </c>
      <c r="T405" s="43" t="str">
        <f>IFERROR(IF(VLOOKUP(B405,Baza[[№]:[Profit]],18,0)=0,"-",VLOOKUP(B405,Baza[[№]:[Profit]],18,0)),"")</f>
        <v/>
      </c>
      <c r="U405" s="41" t="str">
        <f>IFERROR(IF(VLOOKUP(B405,Baza[[№]:[Profit]],19,0)=0,"-",VLOOKUP(B405,Baza[[№]:[Profit]],19,0)),"")</f>
        <v/>
      </c>
      <c r="V405" s="41" t="str">
        <f>IFERROR(VLOOKUP(B405,Baza[[№]:[Profit]],20,0),"")</f>
        <v/>
      </c>
      <c r="W405" s="41" t="str">
        <f>IFERROR(IF(VLOOKUP(B405,Baza[[№]:[Profit]],21,0)=0,"-",VLOOKUP(B405,Baza[[№]:[Profit]],21,0)),"")</f>
        <v/>
      </c>
      <c r="X405" s="45" t="str">
        <f>IFERROR(IF(VLOOKUP(B405,Baza[[№]:[Profit]],22,0)=0,"-",VLOOKUP(B405,Baza[[№]:[Profit]],22,0)),"")</f>
        <v/>
      </c>
      <c r="Y405" s="45" t="str">
        <f>IFERROR(VLOOKUP(B405,Baza[[№]:[Profit]],23,0),"")</f>
        <v/>
      </c>
      <c r="Z405" s="44" t="str">
        <f>IFERROR(VLOOKUP(B405,Baza[[№]:[AFS]],24,0),"")</f>
        <v/>
      </c>
      <c r="AA405" s="45" t="str">
        <f>IF(Таблица2[[#This Row],[Profit]]="","#Н/Д",SUM($Y$40:Y405))</f>
        <v>#Н/Д</v>
      </c>
      <c r="AB405" s="45" t="b">
        <f>IF(Таблица2[[#This Row],[Grafik]]="#Н/Д",FALSE,TRUE)</f>
        <v>0</v>
      </c>
    </row>
    <row r="406" spans="2:28" ht="11.1" hidden="1" customHeight="1" x14ac:dyDescent="0.25">
      <c r="B406"/>
      <c r="C406" s="41" t="str">
        <f>IFERROR(VLOOKUP(B406,Baza[[№]:[Profit]],2,0),"")</f>
        <v/>
      </c>
      <c r="D40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0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06" s="43" t="str">
        <f>IFERROR(VLOOKUP(B406,Baza[[№]:[Profit]],3,0),"")</f>
        <v/>
      </c>
      <c r="G406" s="43" t="str">
        <f>IFERROR(VLOOKUP(B406,Baza[[№]:[Profit]],4,0),"")</f>
        <v/>
      </c>
      <c r="H406" s="43" t="str">
        <f>IFERROR(VLOOKUP(B406,Baza[[№]:[Profit]],5,0),"")</f>
        <v/>
      </c>
      <c r="I406" s="46" t="str">
        <f>IFERROR(VLOOKUP(B406,Baza[[№]:[Profit]],6,0),"")</f>
        <v/>
      </c>
      <c r="J406" s="49" t="str">
        <f>IFERROR(VLOOKUP(B406,Baza[[№]:[Profit]],7,0),"")</f>
        <v/>
      </c>
      <c r="K406" s="43" t="str">
        <f>IFERROR(VLOOKUP(B406,Baza[[№]:[Profit]],8,0),"")</f>
        <v/>
      </c>
      <c r="L406" s="43" t="str">
        <f>IFERROR(VLOOKUP(B406,Baza[[№]:[Profit]],9,0),"")</f>
        <v/>
      </c>
      <c r="M406" s="43" t="str">
        <f>IFERROR(VLOOKUP(B406,Baza[[№]:[Profit]],10,0),"")</f>
        <v/>
      </c>
      <c r="N406" s="43" t="str">
        <f>IFERROR(IF(VLOOKUP(B406,Baza[[№]:[Profit]],11,0)=0,"-",VLOOKUP(B406,Baza[[№]:[Profit]],11,0)),"")</f>
        <v/>
      </c>
      <c r="O406" s="43" t="str">
        <f>IFERROR(IF(VLOOKUP(B406,Baza[[№]:[Profit]],12,0)=0,"-",VLOOKUP(B406,Baza[[№]:[Profit]],12,0)),"")</f>
        <v/>
      </c>
      <c r="P406" s="43" t="str">
        <f>IFERROR(IF(VLOOKUP(B406,Baza[[№]:[Profit]],13,0)=0,"-",VLOOKUP(B406,Baza[[№]:[Profit]],13,0)),"")</f>
        <v/>
      </c>
      <c r="Q406" s="43" t="str">
        <f>IFERROR(IF(VLOOKUP(B406,Baza[[№]:[Profit]],15,0)=0,"-",VLOOKUP(B406,Baza[[№]:[Profit]],15,0)),"")</f>
        <v/>
      </c>
      <c r="R406" s="43" t="str">
        <f>IFERROR(IF(VLOOKUP(B406,Baza[[№]:[Profit]],16,0)=0,"-",VLOOKUP(B406,Baza[[№]:[Profit]],16,0)),"")</f>
        <v/>
      </c>
      <c r="S406" s="43" t="str">
        <f>IFERROR(IF(VLOOKUP(B406,Baza[[№]:[Profit]],17,0)=0,"-",VLOOKUP(B406,Baza[[№]:[Profit]],17,0)),"")</f>
        <v/>
      </c>
      <c r="T406" s="43" t="str">
        <f>IFERROR(IF(VLOOKUP(B406,Baza[[№]:[Profit]],18,0)=0,"-",VLOOKUP(B406,Baza[[№]:[Profit]],18,0)),"")</f>
        <v/>
      </c>
      <c r="U406" s="41" t="str">
        <f>IFERROR(IF(VLOOKUP(B406,Baza[[№]:[Profit]],19,0)=0,"-",VLOOKUP(B406,Baza[[№]:[Profit]],19,0)),"")</f>
        <v/>
      </c>
      <c r="V406" s="41" t="str">
        <f>IFERROR(VLOOKUP(B406,Baza[[№]:[Profit]],20,0),"")</f>
        <v/>
      </c>
      <c r="W406" s="41" t="str">
        <f>IFERROR(IF(VLOOKUP(B406,Baza[[№]:[Profit]],21,0)=0,"-",VLOOKUP(B406,Baza[[№]:[Profit]],21,0)),"")</f>
        <v/>
      </c>
      <c r="X406" s="45" t="str">
        <f>IFERROR(IF(VLOOKUP(B406,Baza[[№]:[Profit]],22,0)=0,"-",VLOOKUP(B406,Baza[[№]:[Profit]],22,0)),"")</f>
        <v/>
      </c>
      <c r="Y406" s="45" t="str">
        <f>IFERROR(VLOOKUP(B406,Baza[[№]:[Profit]],23,0),"")</f>
        <v/>
      </c>
      <c r="Z406" s="44" t="str">
        <f>IFERROR(VLOOKUP(B406,Baza[[№]:[AFS]],24,0),"")</f>
        <v/>
      </c>
      <c r="AA406" s="45" t="str">
        <f>IF(Таблица2[[#This Row],[Profit]]="","#Н/Д",SUM($Y$40:Y406))</f>
        <v>#Н/Д</v>
      </c>
      <c r="AB406" s="45" t="b">
        <f>IF(Таблица2[[#This Row],[Grafik]]="#Н/Д",FALSE,TRUE)</f>
        <v>0</v>
      </c>
    </row>
    <row r="407" spans="2:28" ht="11.1" hidden="1" customHeight="1" x14ac:dyDescent="0.25">
      <c r="B407"/>
      <c r="C407" s="41" t="str">
        <f>IFERROR(VLOOKUP(B407,Baza[[№]:[Profit]],2,0),"")</f>
        <v/>
      </c>
      <c r="D40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0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07" s="43" t="str">
        <f>IFERROR(VLOOKUP(B407,Baza[[№]:[Profit]],3,0),"")</f>
        <v/>
      </c>
      <c r="G407" s="43" t="str">
        <f>IFERROR(VLOOKUP(B407,Baza[[№]:[Profit]],4,0),"")</f>
        <v/>
      </c>
      <c r="H407" s="43" t="str">
        <f>IFERROR(VLOOKUP(B407,Baza[[№]:[Profit]],5,0),"")</f>
        <v/>
      </c>
      <c r="I407" s="46" t="str">
        <f>IFERROR(VLOOKUP(B407,Baza[[№]:[Profit]],6,0),"")</f>
        <v/>
      </c>
      <c r="J407" s="49" t="str">
        <f>IFERROR(VLOOKUP(B407,Baza[[№]:[Profit]],7,0),"")</f>
        <v/>
      </c>
      <c r="K407" s="43" t="str">
        <f>IFERROR(VLOOKUP(B407,Baza[[№]:[Profit]],8,0),"")</f>
        <v/>
      </c>
      <c r="L407" s="43" t="str">
        <f>IFERROR(VLOOKUP(B407,Baza[[№]:[Profit]],9,0),"")</f>
        <v/>
      </c>
      <c r="M407" s="43" t="str">
        <f>IFERROR(VLOOKUP(B407,Baza[[№]:[Profit]],10,0),"")</f>
        <v/>
      </c>
      <c r="N407" s="43" t="str">
        <f>IFERROR(IF(VLOOKUP(B407,Baza[[№]:[Profit]],11,0)=0,"-",VLOOKUP(B407,Baza[[№]:[Profit]],11,0)),"")</f>
        <v/>
      </c>
      <c r="O407" s="43" t="str">
        <f>IFERROR(IF(VLOOKUP(B407,Baza[[№]:[Profit]],12,0)=0,"-",VLOOKUP(B407,Baza[[№]:[Profit]],12,0)),"")</f>
        <v/>
      </c>
      <c r="P407" s="43" t="str">
        <f>IFERROR(IF(VLOOKUP(B407,Baza[[№]:[Profit]],13,0)=0,"-",VLOOKUP(B407,Baza[[№]:[Profit]],13,0)),"")</f>
        <v/>
      </c>
      <c r="Q407" s="43" t="str">
        <f>IFERROR(IF(VLOOKUP(B407,Baza[[№]:[Profit]],15,0)=0,"-",VLOOKUP(B407,Baza[[№]:[Profit]],15,0)),"")</f>
        <v/>
      </c>
      <c r="R407" s="43" t="str">
        <f>IFERROR(IF(VLOOKUP(B407,Baza[[№]:[Profit]],16,0)=0,"-",VLOOKUP(B407,Baza[[№]:[Profit]],16,0)),"")</f>
        <v/>
      </c>
      <c r="S407" s="43" t="str">
        <f>IFERROR(IF(VLOOKUP(B407,Baza[[№]:[Profit]],17,0)=0,"-",VLOOKUP(B407,Baza[[№]:[Profit]],17,0)),"")</f>
        <v/>
      </c>
      <c r="T407" s="43" t="str">
        <f>IFERROR(IF(VLOOKUP(B407,Baza[[№]:[Profit]],18,0)=0,"-",VLOOKUP(B407,Baza[[№]:[Profit]],18,0)),"")</f>
        <v/>
      </c>
      <c r="U407" s="41" t="str">
        <f>IFERROR(IF(VLOOKUP(B407,Baza[[№]:[Profit]],19,0)=0,"-",VLOOKUP(B407,Baza[[№]:[Profit]],19,0)),"")</f>
        <v/>
      </c>
      <c r="V407" s="41" t="str">
        <f>IFERROR(VLOOKUP(B407,Baza[[№]:[Profit]],20,0),"")</f>
        <v/>
      </c>
      <c r="W407" s="41" t="str">
        <f>IFERROR(IF(VLOOKUP(B407,Baza[[№]:[Profit]],21,0)=0,"-",VLOOKUP(B407,Baza[[№]:[Profit]],21,0)),"")</f>
        <v/>
      </c>
      <c r="X407" s="45" t="str">
        <f>IFERROR(IF(VLOOKUP(B407,Baza[[№]:[Profit]],22,0)=0,"-",VLOOKUP(B407,Baza[[№]:[Profit]],22,0)),"")</f>
        <v/>
      </c>
      <c r="Y407" s="45" t="str">
        <f>IFERROR(VLOOKUP(B407,Baza[[№]:[Profit]],23,0),"")</f>
        <v/>
      </c>
      <c r="Z407" s="44" t="str">
        <f>IFERROR(VLOOKUP(B407,Baza[[№]:[AFS]],24,0),"")</f>
        <v/>
      </c>
      <c r="AA407" s="45" t="str">
        <f>IF(Таблица2[[#This Row],[Profit]]="","#Н/Д",SUM($Y$40:Y407))</f>
        <v>#Н/Д</v>
      </c>
      <c r="AB407" s="45" t="b">
        <f>IF(Таблица2[[#This Row],[Grafik]]="#Н/Д",FALSE,TRUE)</f>
        <v>0</v>
      </c>
    </row>
    <row r="408" spans="2:28" ht="11.1" hidden="1" customHeight="1" x14ac:dyDescent="0.25">
      <c r="B408"/>
      <c r="C408" s="41" t="str">
        <f>IFERROR(VLOOKUP(B408,Baza[[№]:[Profit]],2,0),"")</f>
        <v/>
      </c>
      <c r="D40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0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08" s="43" t="str">
        <f>IFERROR(VLOOKUP(B408,Baza[[№]:[Profit]],3,0),"")</f>
        <v/>
      </c>
      <c r="G408" s="43" t="str">
        <f>IFERROR(VLOOKUP(B408,Baza[[№]:[Profit]],4,0),"")</f>
        <v/>
      </c>
      <c r="H408" s="43" t="str">
        <f>IFERROR(VLOOKUP(B408,Baza[[№]:[Profit]],5,0),"")</f>
        <v/>
      </c>
      <c r="I408" s="46" t="str">
        <f>IFERROR(VLOOKUP(B408,Baza[[№]:[Profit]],6,0),"")</f>
        <v/>
      </c>
      <c r="J408" s="49" t="str">
        <f>IFERROR(VLOOKUP(B408,Baza[[№]:[Profit]],7,0),"")</f>
        <v/>
      </c>
      <c r="K408" s="43" t="str">
        <f>IFERROR(VLOOKUP(B408,Baza[[№]:[Profit]],8,0),"")</f>
        <v/>
      </c>
      <c r="L408" s="43" t="str">
        <f>IFERROR(VLOOKUP(B408,Baza[[№]:[Profit]],9,0),"")</f>
        <v/>
      </c>
      <c r="M408" s="43" t="str">
        <f>IFERROR(VLOOKUP(B408,Baza[[№]:[Profit]],10,0),"")</f>
        <v/>
      </c>
      <c r="N408" s="43" t="str">
        <f>IFERROR(IF(VLOOKUP(B408,Baza[[№]:[Profit]],11,0)=0,"-",VLOOKUP(B408,Baza[[№]:[Profit]],11,0)),"")</f>
        <v/>
      </c>
      <c r="O408" s="43" t="str">
        <f>IFERROR(IF(VLOOKUP(B408,Baza[[№]:[Profit]],12,0)=0,"-",VLOOKUP(B408,Baza[[№]:[Profit]],12,0)),"")</f>
        <v/>
      </c>
      <c r="P408" s="43" t="str">
        <f>IFERROR(IF(VLOOKUP(B408,Baza[[№]:[Profit]],13,0)=0,"-",VLOOKUP(B408,Baza[[№]:[Profit]],13,0)),"")</f>
        <v/>
      </c>
      <c r="Q408" s="43" t="str">
        <f>IFERROR(IF(VLOOKUP(B408,Baza[[№]:[Profit]],15,0)=0,"-",VLOOKUP(B408,Baza[[№]:[Profit]],15,0)),"")</f>
        <v/>
      </c>
      <c r="R408" s="43" t="str">
        <f>IFERROR(IF(VLOOKUP(B408,Baza[[№]:[Profit]],16,0)=0,"-",VLOOKUP(B408,Baza[[№]:[Profit]],16,0)),"")</f>
        <v/>
      </c>
      <c r="S408" s="43" t="str">
        <f>IFERROR(IF(VLOOKUP(B408,Baza[[№]:[Profit]],17,0)=0,"-",VLOOKUP(B408,Baza[[№]:[Profit]],17,0)),"")</f>
        <v/>
      </c>
      <c r="T408" s="43" t="str">
        <f>IFERROR(IF(VLOOKUP(B408,Baza[[№]:[Profit]],18,0)=0,"-",VLOOKUP(B408,Baza[[№]:[Profit]],18,0)),"")</f>
        <v/>
      </c>
      <c r="U408" s="41" t="str">
        <f>IFERROR(IF(VLOOKUP(B408,Baza[[№]:[Profit]],19,0)=0,"-",VLOOKUP(B408,Baza[[№]:[Profit]],19,0)),"")</f>
        <v/>
      </c>
      <c r="V408" s="41" t="str">
        <f>IFERROR(VLOOKUP(B408,Baza[[№]:[Profit]],20,0),"")</f>
        <v/>
      </c>
      <c r="W408" s="41" t="str">
        <f>IFERROR(IF(VLOOKUP(B408,Baza[[№]:[Profit]],21,0)=0,"-",VLOOKUP(B408,Baza[[№]:[Profit]],21,0)),"")</f>
        <v/>
      </c>
      <c r="X408" s="45" t="str">
        <f>IFERROR(IF(VLOOKUP(B408,Baza[[№]:[Profit]],22,0)=0,"-",VLOOKUP(B408,Baza[[№]:[Profit]],22,0)),"")</f>
        <v/>
      </c>
      <c r="Y408" s="45" t="str">
        <f>IFERROR(VLOOKUP(B408,Baza[[№]:[Profit]],23,0),"")</f>
        <v/>
      </c>
      <c r="Z408" s="44" t="str">
        <f>IFERROR(VLOOKUP(B408,Baza[[№]:[AFS]],24,0),"")</f>
        <v/>
      </c>
      <c r="AA408" s="45" t="str">
        <f>IF(Таблица2[[#This Row],[Profit]]="","#Н/Д",SUM($Y$40:Y408))</f>
        <v>#Н/Д</v>
      </c>
      <c r="AB408" s="45" t="b">
        <f>IF(Таблица2[[#This Row],[Grafik]]="#Н/Д",FALSE,TRUE)</f>
        <v>0</v>
      </c>
    </row>
    <row r="409" spans="2:28" ht="11.1" hidden="1" customHeight="1" x14ac:dyDescent="0.25">
      <c r="B409"/>
      <c r="C409" s="41" t="str">
        <f>IFERROR(VLOOKUP(B409,Baza[[№]:[Profit]],2,0),"")</f>
        <v/>
      </c>
      <c r="D40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0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09" s="43" t="str">
        <f>IFERROR(VLOOKUP(B409,Baza[[№]:[Profit]],3,0),"")</f>
        <v/>
      </c>
      <c r="G409" s="43" t="str">
        <f>IFERROR(VLOOKUP(B409,Baza[[№]:[Profit]],4,0),"")</f>
        <v/>
      </c>
      <c r="H409" s="43" t="str">
        <f>IFERROR(VLOOKUP(B409,Baza[[№]:[Profit]],5,0),"")</f>
        <v/>
      </c>
      <c r="I409" s="46" t="str">
        <f>IFERROR(VLOOKUP(B409,Baza[[№]:[Profit]],6,0),"")</f>
        <v/>
      </c>
      <c r="J409" s="49" t="str">
        <f>IFERROR(VLOOKUP(B409,Baza[[№]:[Profit]],7,0),"")</f>
        <v/>
      </c>
      <c r="K409" s="43" t="str">
        <f>IFERROR(VLOOKUP(B409,Baza[[№]:[Profit]],8,0),"")</f>
        <v/>
      </c>
      <c r="L409" s="43" t="str">
        <f>IFERROR(VLOOKUP(B409,Baza[[№]:[Profit]],9,0),"")</f>
        <v/>
      </c>
      <c r="M409" s="43" t="str">
        <f>IFERROR(VLOOKUP(B409,Baza[[№]:[Profit]],10,0),"")</f>
        <v/>
      </c>
      <c r="N409" s="43" t="str">
        <f>IFERROR(IF(VLOOKUP(B409,Baza[[№]:[Profit]],11,0)=0,"-",VLOOKUP(B409,Baza[[№]:[Profit]],11,0)),"")</f>
        <v/>
      </c>
      <c r="O409" s="43" t="str">
        <f>IFERROR(IF(VLOOKUP(B409,Baza[[№]:[Profit]],12,0)=0,"-",VLOOKUP(B409,Baza[[№]:[Profit]],12,0)),"")</f>
        <v/>
      </c>
      <c r="P409" s="43" t="str">
        <f>IFERROR(IF(VLOOKUP(B409,Baza[[№]:[Profit]],13,0)=0,"-",VLOOKUP(B409,Baza[[№]:[Profit]],13,0)),"")</f>
        <v/>
      </c>
      <c r="Q409" s="43" t="str">
        <f>IFERROR(IF(VLOOKUP(B409,Baza[[№]:[Profit]],15,0)=0,"-",VLOOKUP(B409,Baza[[№]:[Profit]],15,0)),"")</f>
        <v/>
      </c>
      <c r="R409" s="43" t="str">
        <f>IFERROR(IF(VLOOKUP(B409,Baza[[№]:[Profit]],16,0)=0,"-",VLOOKUP(B409,Baza[[№]:[Profit]],16,0)),"")</f>
        <v/>
      </c>
      <c r="S409" s="43" t="str">
        <f>IFERROR(IF(VLOOKUP(B409,Baza[[№]:[Profit]],17,0)=0,"-",VLOOKUP(B409,Baza[[№]:[Profit]],17,0)),"")</f>
        <v/>
      </c>
      <c r="T409" s="43" t="str">
        <f>IFERROR(IF(VLOOKUP(B409,Baza[[№]:[Profit]],18,0)=0,"-",VLOOKUP(B409,Baza[[№]:[Profit]],18,0)),"")</f>
        <v/>
      </c>
      <c r="U409" s="41" t="str">
        <f>IFERROR(IF(VLOOKUP(B409,Baza[[№]:[Profit]],19,0)=0,"-",VLOOKUP(B409,Baza[[№]:[Profit]],19,0)),"")</f>
        <v/>
      </c>
      <c r="V409" s="41" t="str">
        <f>IFERROR(VLOOKUP(B409,Baza[[№]:[Profit]],20,0),"")</f>
        <v/>
      </c>
      <c r="W409" s="41" t="str">
        <f>IFERROR(IF(VLOOKUP(B409,Baza[[№]:[Profit]],21,0)=0,"-",VLOOKUP(B409,Baza[[№]:[Profit]],21,0)),"")</f>
        <v/>
      </c>
      <c r="X409" s="45" t="str">
        <f>IFERROR(IF(VLOOKUP(B409,Baza[[№]:[Profit]],22,0)=0,"-",VLOOKUP(B409,Baza[[№]:[Profit]],22,0)),"")</f>
        <v/>
      </c>
      <c r="Y409" s="45" t="str">
        <f>IFERROR(VLOOKUP(B409,Baza[[№]:[Profit]],23,0),"")</f>
        <v/>
      </c>
      <c r="Z409" s="44" t="str">
        <f>IFERROR(VLOOKUP(B409,Baza[[№]:[AFS]],24,0),"")</f>
        <v/>
      </c>
      <c r="AA409" s="45" t="str">
        <f>IF(Таблица2[[#This Row],[Profit]]="","#Н/Д",SUM($Y$40:Y409))</f>
        <v>#Н/Д</v>
      </c>
      <c r="AB409" s="45" t="b">
        <f>IF(Таблица2[[#This Row],[Grafik]]="#Н/Д",FALSE,TRUE)</f>
        <v>0</v>
      </c>
    </row>
    <row r="410" spans="2:28" ht="11.1" hidden="1" customHeight="1" x14ac:dyDescent="0.25">
      <c r="B410"/>
      <c r="C410" s="41" t="str">
        <f>IFERROR(VLOOKUP(B410,Baza[[№]:[Profit]],2,0),"")</f>
        <v/>
      </c>
      <c r="D41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1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10" s="43" t="str">
        <f>IFERROR(VLOOKUP(B410,Baza[[№]:[Profit]],3,0),"")</f>
        <v/>
      </c>
      <c r="G410" s="43" t="str">
        <f>IFERROR(VLOOKUP(B410,Baza[[№]:[Profit]],4,0),"")</f>
        <v/>
      </c>
      <c r="H410" s="43" t="str">
        <f>IFERROR(VLOOKUP(B410,Baza[[№]:[Profit]],5,0),"")</f>
        <v/>
      </c>
      <c r="I410" s="46" t="str">
        <f>IFERROR(VLOOKUP(B410,Baza[[№]:[Profit]],6,0),"")</f>
        <v/>
      </c>
      <c r="J410" s="49" t="str">
        <f>IFERROR(VLOOKUP(B410,Baza[[№]:[Profit]],7,0),"")</f>
        <v/>
      </c>
      <c r="K410" s="43" t="str">
        <f>IFERROR(VLOOKUP(B410,Baza[[№]:[Profit]],8,0),"")</f>
        <v/>
      </c>
      <c r="L410" s="43" t="str">
        <f>IFERROR(VLOOKUP(B410,Baza[[№]:[Profit]],9,0),"")</f>
        <v/>
      </c>
      <c r="M410" s="43" t="str">
        <f>IFERROR(VLOOKUP(B410,Baza[[№]:[Profit]],10,0),"")</f>
        <v/>
      </c>
      <c r="N410" s="43" t="str">
        <f>IFERROR(IF(VLOOKUP(B410,Baza[[№]:[Profit]],11,0)=0,"-",VLOOKUP(B410,Baza[[№]:[Profit]],11,0)),"")</f>
        <v/>
      </c>
      <c r="O410" s="43" t="str">
        <f>IFERROR(IF(VLOOKUP(B410,Baza[[№]:[Profit]],12,0)=0,"-",VLOOKUP(B410,Baza[[№]:[Profit]],12,0)),"")</f>
        <v/>
      </c>
      <c r="P410" s="43" t="str">
        <f>IFERROR(IF(VLOOKUP(B410,Baza[[№]:[Profit]],13,0)=0,"-",VLOOKUP(B410,Baza[[№]:[Profit]],13,0)),"")</f>
        <v/>
      </c>
      <c r="Q410" s="43" t="str">
        <f>IFERROR(IF(VLOOKUP(B410,Baza[[№]:[Profit]],15,0)=0,"-",VLOOKUP(B410,Baza[[№]:[Profit]],15,0)),"")</f>
        <v/>
      </c>
      <c r="R410" s="43" t="str">
        <f>IFERROR(IF(VLOOKUP(B410,Baza[[№]:[Profit]],16,0)=0,"-",VLOOKUP(B410,Baza[[№]:[Profit]],16,0)),"")</f>
        <v/>
      </c>
      <c r="S410" s="43" t="str">
        <f>IFERROR(IF(VLOOKUP(B410,Baza[[№]:[Profit]],17,0)=0,"-",VLOOKUP(B410,Baza[[№]:[Profit]],17,0)),"")</f>
        <v/>
      </c>
      <c r="T410" s="43" t="str">
        <f>IFERROR(IF(VLOOKUP(B410,Baza[[№]:[Profit]],18,0)=0,"-",VLOOKUP(B410,Baza[[№]:[Profit]],18,0)),"")</f>
        <v/>
      </c>
      <c r="U410" s="41" t="str">
        <f>IFERROR(IF(VLOOKUP(B410,Baza[[№]:[Profit]],19,0)=0,"-",VLOOKUP(B410,Baza[[№]:[Profit]],19,0)),"")</f>
        <v/>
      </c>
      <c r="V410" s="41" t="str">
        <f>IFERROR(VLOOKUP(B410,Baza[[№]:[Profit]],20,0),"")</f>
        <v/>
      </c>
      <c r="W410" s="41" t="str">
        <f>IFERROR(IF(VLOOKUP(B410,Baza[[№]:[Profit]],21,0)=0,"-",VLOOKUP(B410,Baza[[№]:[Profit]],21,0)),"")</f>
        <v/>
      </c>
      <c r="X410" s="45" t="str">
        <f>IFERROR(IF(VLOOKUP(B410,Baza[[№]:[Profit]],22,0)=0,"-",VLOOKUP(B410,Baza[[№]:[Profit]],22,0)),"")</f>
        <v/>
      </c>
      <c r="Y410" s="45" t="str">
        <f>IFERROR(VLOOKUP(B410,Baza[[№]:[Profit]],23,0),"")</f>
        <v/>
      </c>
      <c r="Z410" s="44" t="str">
        <f>IFERROR(VLOOKUP(B410,Baza[[№]:[AFS]],24,0),"")</f>
        <v/>
      </c>
      <c r="AA410" s="45" t="str">
        <f>IF(Таблица2[[#This Row],[Profit]]="","#Н/Д",SUM($Y$40:Y410))</f>
        <v>#Н/Д</v>
      </c>
      <c r="AB410" s="45" t="b">
        <f>IF(Таблица2[[#This Row],[Grafik]]="#Н/Д",FALSE,TRUE)</f>
        <v>0</v>
      </c>
    </row>
    <row r="411" spans="2:28" ht="11.1" hidden="1" customHeight="1" x14ac:dyDescent="0.25">
      <c r="B411"/>
      <c r="C411" s="41" t="str">
        <f>IFERROR(VLOOKUP(B411,Baza[[№]:[Profit]],2,0),"")</f>
        <v/>
      </c>
      <c r="D41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1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11" s="43" t="str">
        <f>IFERROR(VLOOKUP(B411,Baza[[№]:[Profit]],3,0),"")</f>
        <v/>
      </c>
      <c r="G411" s="43" t="str">
        <f>IFERROR(VLOOKUP(B411,Baza[[№]:[Profit]],4,0),"")</f>
        <v/>
      </c>
      <c r="H411" s="43" t="str">
        <f>IFERROR(VLOOKUP(B411,Baza[[№]:[Profit]],5,0),"")</f>
        <v/>
      </c>
      <c r="I411" s="46" t="str">
        <f>IFERROR(VLOOKUP(B411,Baza[[№]:[Profit]],6,0),"")</f>
        <v/>
      </c>
      <c r="J411" s="49" t="str">
        <f>IFERROR(VLOOKUP(B411,Baza[[№]:[Profit]],7,0),"")</f>
        <v/>
      </c>
      <c r="K411" s="43" t="str">
        <f>IFERROR(VLOOKUP(B411,Baza[[№]:[Profit]],8,0),"")</f>
        <v/>
      </c>
      <c r="L411" s="43" t="str">
        <f>IFERROR(VLOOKUP(B411,Baza[[№]:[Profit]],9,0),"")</f>
        <v/>
      </c>
      <c r="M411" s="43" t="str">
        <f>IFERROR(VLOOKUP(B411,Baza[[№]:[Profit]],10,0),"")</f>
        <v/>
      </c>
      <c r="N411" s="43" t="str">
        <f>IFERROR(IF(VLOOKUP(B411,Baza[[№]:[Profit]],11,0)=0,"-",VLOOKUP(B411,Baza[[№]:[Profit]],11,0)),"")</f>
        <v/>
      </c>
      <c r="O411" s="43" t="str">
        <f>IFERROR(IF(VLOOKUP(B411,Baza[[№]:[Profit]],12,0)=0,"-",VLOOKUP(B411,Baza[[№]:[Profit]],12,0)),"")</f>
        <v/>
      </c>
      <c r="P411" s="43" t="str">
        <f>IFERROR(IF(VLOOKUP(B411,Baza[[№]:[Profit]],13,0)=0,"-",VLOOKUP(B411,Baza[[№]:[Profit]],13,0)),"")</f>
        <v/>
      </c>
      <c r="Q411" s="43" t="str">
        <f>IFERROR(IF(VLOOKUP(B411,Baza[[№]:[Profit]],15,0)=0,"-",VLOOKUP(B411,Baza[[№]:[Profit]],15,0)),"")</f>
        <v/>
      </c>
      <c r="R411" s="43" t="str">
        <f>IFERROR(IF(VLOOKUP(B411,Baza[[№]:[Profit]],16,0)=0,"-",VLOOKUP(B411,Baza[[№]:[Profit]],16,0)),"")</f>
        <v/>
      </c>
      <c r="S411" s="43" t="str">
        <f>IFERROR(IF(VLOOKUP(B411,Baza[[№]:[Profit]],17,0)=0,"-",VLOOKUP(B411,Baza[[№]:[Profit]],17,0)),"")</f>
        <v/>
      </c>
      <c r="T411" s="43" t="str">
        <f>IFERROR(IF(VLOOKUP(B411,Baza[[№]:[Profit]],18,0)=0,"-",VLOOKUP(B411,Baza[[№]:[Profit]],18,0)),"")</f>
        <v/>
      </c>
      <c r="U411" s="41" t="str">
        <f>IFERROR(IF(VLOOKUP(B411,Baza[[№]:[Profit]],19,0)=0,"-",VLOOKUP(B411,Baza[[№]:[Profit]],19,0)),"")</f>
        <v/>
      </c>
      <c r="V411" s="41" t="str">
        <f>IFERROR(VLOOKUP(B411,Baza[[№]:[Profit]],20,0),"")</f>
        <v/>
      </c>
      <c r="W411" s="41" t="str">
        <f>IFERROR(IF(VLOOKUP(B411,Baza[[№]:[Profit]],21,0)=0,"-",VLOOKUP(B411,Baza[[№]:[Profit]],21,0)),"")</f>
        <v/>
      </c>
      <c r="X411" s="45" t="str">
        <f>IFERROR(IF(VLOOKUP(B411,Baza[[№]:[Profit]],22,0)=0,"-",VLOOKUP(B411,Baza[[№]:[Profit]],22,0)),"")</f>
        <v/>
      </c>
      <c r="Y411" s="45" t="str">
        <f>IFERROR(VLOOKUP(B411,Baza[[№]:[Profit]],23,0),"")</f>
        <v/>
      </c>
      <c r="Z411" s="44" t="str">
        <f>IFERROR(VLOOKUP(B411,Baza[[№]:[AFS]],24,0),"")</f>
        <v/>
      </c>
      <c r="AA411" s="45" t="str">
        <f>IF(Таблица2[[#This Row],[Profit]]="","#Н/Д",SUM($Y$40:Y411))</f>
        <v>#Н/Д</v>
      </c>
      <c r="AB411" s="45" t="b">
        <f>IF(Таблица2[[#This Row],[Grafik]]="#Н/Д",FALSE,TRUE)</f>
        <v>0</v>
      </c>
    </row>
    <row r="412" spans="2:28" ht="11.1" hidden="1" customHeight="1" x14ac:dyDescent="0.25">
      <c r="B412"/>
      <c r="C412" s="41" t="str">
        <f>IFERROR(VLOOKUP(B412,Baza[[№]:[Profit]],2,0),"")</f>
        <v/>
      </c>
      <c r="D41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1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12" s="43" t="str">
        <f>IFERROR(VLOOKUP(B412,Baza[[№]:[Profit]],3,0),"")</f>
        <v/>
      </c>
      <c r="G412" s="43" t="str">
        <f>IFERROR(VLOOKUP(B412,Baza[[№]:[Profit]],4,0),"")</f>
        <v/>
      </c>
      <c r="H412" s="43" t="str">
        <f>IFERROR(VLOOKUP(B412,Baza[[№]:[Profit]],5,0),"")</f>
        <v/>
      </c>
      <c r="I412" s="46" t="str">
        <f>IFERROR(VLOOKUP(B412,Baza[[№]:[Profit]],6,0),"")</f>
        <v/>
      </c>
      <c r="J412" s="49" t="str">
        <f>IFERROR(VLOOKUP(B412,Baza[[№]:[Profit]],7,0),"")</f>
        <v/>
      </c>
      <c r="K412" s="43" t="str">
        <f>IFERROR(VLOOKUP(B412,Baza[[№]:[Profit]],8,0),"")</f>
        <v/>
      </c>
      <c r="L412" s="43" t="str">
        <f>IFERROR(VLOOKUP(B412,Baza[[№]:[Profit]],9,0),"")</f>
        <v/>
      </c>
      <c r="M412" s="43" t="str">
        <f>IFERROR(VLOOKUP(B412,Baza[[№]:[Profit]],10,0),"")</f>
        <v/>
      </c>
      <c r="N412" s="43" t="str">
        <f>IFERROR(IF(VLOOKUP(B412,Baza[[№]:[Profit]],11,0)=0,"-",VLOOKUP(B412,Baza[[№]:[Profit]],11,0)),"")</f>
        <v/>
      </c>
      <c r="O412" s="43" t="str">
        <f>IFERROR(IF(VLOOKUP(B412,Baza[[№]:[Profit]],12,0)=0,"-",VLOOKUP(B412,Baza[[№]:[Profit]],12,0)),"")</f>
        <v/>
      </c>
      <c r="P412" s="43" t="str">
        <f>IFERROR(IF(VLOOKUP(B412,Baza[[№]:[Profit]],13,0)=0,"-",VLOOKUP(B412,Baza[[№]:[Profit]],13,0)),"")</f>
        <v/>
      </c>
      <c r="Q412" s="43" t="str">
        <f>IFERROR(IF(VLOOKUP(B412,Baza[[№]:[Profit]],15,0)=0,"-",VLOOKUP(B412,Baza[[№]:[Profit]],15,0)),"")</f>
        <v/>
      </c>
      <c r="R412" s="43" t="str">
        <f>IFERROR(IF(VLOOKUP(B412,Baza[[№]:[Profit]],16,0)=0,"-",VLOOKUP(B412,Baza[[№]:[Profit]],16,0)),"")</f>
        <v/>
      </c>
      <c r="S412" s="43" t="str">
        <f>IFERROR(IF(VLOOKUP(B412,Baza[[№]:[Profit]],17,0)=0,"-",VLOOKUP(B412,Baza[[№]:[Profit]],17,0)),"")</f>
        <v/>
      </c>
      <c r="T412" s="43" t="str">
        <f>IFERROR(IF(VLOOKUP(B412,Baza[[№]:[Profit]],18,0)=0,"-",VLOOKUP(B412,Baza[[№]:[Profit]],18,0)),"")</f>
        <v/>
      </c>
      <c r="U412" s="41" t="str">
        <f>IFERROR(IF(VLOOKUP(B412,Baza[[№]:[Profit]],19,0)=0,"-",VLOOKUP(B412,Baza[[№]:[Profit]],19,0)),"")</f>
        <v/>
      </c>
      <c r="V412" s="41" t="str">
        <f>IFERROR(VLOOKUP(B412,Baza[[№]:[Profit]],20,0),"")</f>
        <v/>
      </c>
      <c r="W412" s="41" t="str">
        <f>IFERROR(IF(VLOOKUP(B412,Baza[[№]:[Profit]],21,0)=0,"-",VLOOKUP(B412,Baza[[№]:[Profit]],21,0)),"")</f>
        <v/>
      </c>
      <c r="X412" s="45" t="str">
        <f>IFERROR(IF(VLOOKUP(B412,Baza[[№]:[Profit]],22,0)=0,"-",VLOOKUP(B412,Baza[[№]:[Profit]],22,0)),"")</f>
        <v/>
      </c>
      <c r="Y412" s="45" t="str">
        <f>IFERROR(VLOOKUP(B412,Baza[[№]:[Profit]],23,0),"")</f>
        <v/>
      </c>
      <c r="Z412" s="44" t="str">
        <f>IFERROR(VLOOKUP(B412,Baza[[№]:[AFS]],24,0),"")</f>
        <v/>
      </c>
      <c r="AA412" s="45" t="str">
        <f>IF(Таблица2[[#This Row],[Profit]]="","#Н/Д",SUM($Y$40:Y412))</f>
        <v>#Н/Д</v>
      </c>
      <c r="AB412" s="45" t="b">
        <f>IF(Таблица2[[#This Row],[Grafik]]="#Н/Д",FALSE,TRUE)</f>
        <v>0</v>
      </c>
    </row>
    <row r="413" spans="2:28" ht="11.1" hidden="1" customHeight="1" x14ac:dyDescent="0.25">
      <c r="B413"/>
      <c r="C413" s="41" t="str">
        <f>IFERROR(VLOOKUP(B413,Baza[[№]:[Profit]],2,0),"")</f>
        <v/>
      </c>
      <c r="D41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1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13" s="43" t="str">
        <f>IFERROR(VLOOKUP(B413,Baza[[№]:[Profit]],3,0),"")</f>
        <v/>
      </c>
      <c r="G413" s="43" t="str">
        <f>IFERROR(VLOOKUP(B413,Baza[[№]:[Profit]],4,0),"")</f>
        <v/>
      </c>
      <c r="H413" s="43" t="str">
        <f>IFERROR(VLOOKUP(B413,Baza[[№]:[Profit]],5,0),"")</f>
        <v/>
      </c>
      <c r="I413" s="46" t="str">
        <f>IFERROR(VLOOKUP(B413,Baza[[№]:[Profit]],6,0),"")</f>
        <v/>
      </c>
      <c r="J413" s="49" t="str">
        <f>IFERROR(VLOOKUP(B413,Baza[[№]:[Profit]],7,0),"")</f>
        <v/>
      </c>
      <c r="K413" s="43" t="str">
        <f>IFERROR(VLOOKUP(B413,Baza[[№]:[Profit]],8,0),"")</f>
        <v/>
      </c>
      <c r="L413" s="43" t="str">
        <f>IFERROR(VLOOKUP(B413,Baza[[№]:[Profit]],9,0),"")</f>
        <v/>
      </c>
      <c r="M413" s="43" t="str">
        <f>IFERROR(VLOOKUP(B413,Baza[[№]:[Profit]],10,0),"")</f>
        <v/>
      </c>
      <c r="N413" s="43" t="str">
        <f>IFERROR(IF(VLOOKUP(B413,Baza[[№]:[Profit]],11,0)=0,"-",VLOOKUP(B413,Baza[[№]:[Profit]],11,0)),"")</f>
        <v/>
      </c>
      <c r="O413" s="43" t="str">
        <f>IFERROR(IF(VLOOKUP(B413,Baza[[№]:[Profit]],12,0)=0,"-",VLOOKUP(B413,Baza[[№]:[Profit]],12,0)),"")</f>
        <v/>
      </c>
      <c r="P413" s="43" t="str">
        <f>IFERROR(IF(VLOOKUP(B413,Baza[[№]:[Profit]],13,0)=0,"-",VLOOKUP(B413,Baza[[№]:[Profit]],13,0)),"")</f>
        <v/>
      </c>
      <c r="Q413" s="43" t="str">
        <f>IFERROR(IF(VLOOKUP(B413,Baza[[№]:[Profit]],15,0)=0,"-",VLOOKUP(B413,Baza[[№]:[Profit]],15,0)),"")</f>
        <v/>
      </c>
      <c r="R413" s="43" t="str">
        <f>IFERROR(IF(VLOOKUP(B413,Baza[[№]:[Profit]],16,0)=0,"-",VLOOKUP(B413,Baza[[№]:[Profit]],16,0)),"")</f>
        <v/>
      </c>
      <c r="S413" s="43" t="str">
        <f>IFERROR(IF(VLOOKUP(B413,Baza[[№]:[Profit]],17,0)=0,"-",VLOOKUP(B413,Baza[[№]:[Profit]],17,0)),"")</f>
        <v/>
      </c>
      <c r="T413" s="43" t="str">
        <f>IFERROR(IF(VLOOKUP(B413,Baza[[№]:[Profit]],18,0)=0,"-",VLOOKUP(B413,Baza[[№]:[Profit]],18,0)),"")</f>
        <v/>
      </c>
      <c r="U413" s="41" t="str">
        <f>IFERROR(IF(VLOOKUP(B413,Baza[[№]:[Profit]],19,0)=0,"-",VLOOKUP(B413,Baza[[№]:[Profit]],19,0)),"")</f>
        <v/>
      </c>
      <c r="V413" s="41" t="str">
        <f>IFERROR(VLOOKUP(B413,Baza[[№]:[Profit]],20,0),"")</f>
        <v/>
      </c>
      <c r="W413" s="41" t="str">
        <f>IFERROR(IF(VLOOKUP(B413,Baza[[№]:[Profit]],21,0)=0,"-",VLOOKUP(B413,Baza[[№]:[Profit]],21,0)),"")</f>
        <v/>
      </c>
      <c r="X413" s="45" t="str">
        <f>IFERROR(IF(VLOOKUP(B413,Baza[[№]:[Profit]],22,0)=0,"-",VLOOKUP(B413,Baza[[№]:[Profit]],22,0)),"")</f>
        <v/>
      </c>
      <c r="Y413" s="45" t="str">
        <f>IFERROR(VLOOKUP(B413,Baza[[№]:[Profit]],23,0),"")</f>
        <v/>
      </c>
      <c r="Z413" s="44" t="str">
        <f>IFERROR(VLOOKUP(B413,Baza[[№]:[AFS]],24,0),"")</f>
        <v/>
      </c>
      <c r="AA413" s="45" t="str">
        <f>IF(Таблица2[[#This Row],[Profit]]="","#Н/Д",SUM($Y$40:Y413))</f>
        <v>#Н/Д</v>
      </c>
      <c r="AB413" s="45" t="b">
        <f>IF(Таблица2[[#This Row],[Grafik]]="#Н/Д",FALSE,TRUE)</f>
        <v>0</v>
      </c>
    </row>
    <row r="414" spans="2:28" ht="11.1" hidden="1" customHeight="1" x14ac:dyDescent="0.25">
      <c r="B414"/>
      <c r="C414" s="41" t="str">
        <f>IFERROR(VLOOKUP(B414,Baza[[№]:[Profit]],2,0),"")</f>
        <v/>
      </c>
      <c r="D41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1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14" s="43" t="str">
        <f>IFERROR(VLOOKUP(B414,Baza[[№]:[Profit]],3,0),"")</f>
        <v/>
      </c>
      <c r="G414" s="43" t="str">
        <f>IFERROR(VLOOKUP(B414,Baza[[№]:[Profit]],4,0),"")</f>
        <v/>
      </c>
      <c r="H414" s="43" t="str">
        <f>IFERROR(VLOOKUP(B414,Baza[[№]:[Profit]],5,0),"")</f>
        <v/>
      </c>
      <c r="I414" s="46" t="str">
        <f>IFERROR(VLOOKUP(B414,Baza[[№]:[Profit]],6,0),"")</f>
        <v/>
      </c>
      <c r="J414" s="49" t="str">
        <f>IFERROR(VLOOKUP(B414,Baza[[№]:[Profit]],7,0),"")</f>
        <v/>
      </c>
      <c r="K414" s="43" t="str">
        <f>IFERROR(VLOOKUP(B414,Baza[[№]:[Profit]],8,0),"")</f>
        <v/>
      </c>
      <c r="L414" s="43" t="str">
        <f>IFERROR(VLOOKUP(B414,Baza[[№]:[Profit]],9,0),"")</f>
        <v/>
      </c>
      <c r="M414" s="43" t="str">
        <f>IFERROR(VLOOKUP(B414,Baza[[№]:[Profit]],10,0),"")</f>
        <v/>
      </c>
      <c r="N414" s="43" t="str">
        <f>IFERROR(IF(VLOOKUP(B414,Baza[[№]:[Profit]],11,0)=0,"-",VLOOKUP(B414,Baza[[№]:[Profit]],11,0)),"")</f>
        <v/>
      </c>
      <c r="O414" s="43" t="str">
        <f>IFERROR(IF(VLOOKUP(B414,Baza[[№]:[Profit]],12,0)=0,"-",VLOOKUP(B414,Baza[[№]:[Profit]],12,0)),"")</f>
        <v/>
      </c>
      <c r="P414" s="43" t="str">
        <f>IFERROR(IF(VLOOKUP(B414,Baza[[№]:[Profit]],13,0)=0,"-",VLOOKUP(B414,Baza[[№]:[Profit]],13,0)),"")</f>
        <v/>
      </c>
      <c r="Q414" s="43" t="str">
        <f>IFERROR(IF(VLOOKUP(B414,Baza[[№]:[Profit]],15,0)=0,"-",VLOOKUP(B414,Baza[[№]:[Profit]],15,0)),"")</f>
        <v/>
      </c>
      <c r="R414" s="43" t="str">
        <f>IFERROR(IF(VLOOKUP(B414,Baza[[№]:[Profit]],16,0)=0,"-",VLOOKUP(B414,Baza[[№]:[Profit]],16,0)),"")</f>
        <v/>
      </c>
      <c r="S414" s="43" t="str">
        <f>IFERROR(IF(VLOOKUP(B414,Baza[[№]:[Profit]],17,0)=0,"-",VLOOKUP(B414,Baza[[№]:[Profit]],17,0)),"")</f>
        <v/>
      </c>
      <c r="T414" s="43" t="str">
        <f>IFERROR(IF(VLOOKUP(B414,Baza[[№]:[Profit]],18,0)=0,"-",VLOOKUP(B414,Baza[[№]:[Profit]],18,0)),"")</f>
        <v/>
      </c>
      <c r="U414" s="41" t="str">
        <f>IFERROR(IF(VLOOKUP(B414,Baza[[№]:[Profit]],19,0)=0,"-",VLOOKUP(B414,Baza[[№]:[Profit]],19,0)),"")</f>
        <v/>
      </c>
      <c r="V414" s="41" t="str">
        <f>IFERROR(VLOOKUP(B414,Baza[[№]:[Profit]],20,0),"")</f>
        <v/>
      </c>
      <c r="W414" s="41" t="str">
        <f>IFERROR(IF(VLOOKUP(B414,Baza[[№]:[Profit]],21,0)=0,"-",VLOOKUP(B414,Baza[[№]:[Profit]],21,0)),"")</f>
        <v/>
      </c>
      <c r="X414" s="45" t="str">
        <f>IFERROR(IF(VLOOKUP(B414,Baza[[№]:[Profit]],22,0)=0,"-",VLOOKUP(B414,Baza[[№]:[Profit]],22,0)),"")</f>
        <v/>
      </c>
      <c r="Y414" s="45" t="str">
        <f>IFERROR(VLOOKUP(B414,Baza[[№]:[Profit]],23,0),"")</f>
        <v/>
      </c>
      <c r="Z414" s="44" t="str">
        <f>IFERROR(VLOOKUP(B414,Baza[[№]:[AFS]],24,0),"")</f>
        <v/>
      </c>
      <c r="AA414" s="45" t="str">
        <f>IF(Таблица2[[#This Row],[Profit]]="","#Н/Д",SUM($Y$40:Y414))</f>
        <v>#Н/Д</v>
      </c>
      <c r="AB414" s="45" t="b">
        <f>IF(Таблица2[[#This Row],[Grafik]]="#Н/Д",FALSE,TRUE)</f>
        <v>0</v>
      </c>
    </row>
    <row r="415" spans="2:28" ht="11.1" hidden="1" customHeight="1" x14ac:dyDescent="0.25">
      <c r="B415"/>
      <c r="C415" s="41" t="str">
        <f>IFERROR(VLOOKUP(B415,Baza[[№]:[Profit]],2,0),"")</f>
        <v/>
      </c>
      <c r="D41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1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15" s="43" t="str">
        <f>IFERROR(VLOOKUP(B415,Baza[[№]:[Profit]],3,0),"")</f>
        <v/>
      </c>
      <c r="G415" s="43" t="str">
        <f>IFERROR(VLOOKUP(B415,Baza[[№]:[Profit]],4,0),"")</f>
        <v/>
      </c>
      <c r="H415" s="43" t="str">
        <f>IFERROR(VLOOKUP(B415,Baza[[№]:[Profit]],5,0),"")</f>
        <v/>
      </c>
      <c r="I415" s="46" t="str">
        <f>IFERROR(VLOOKUP(B415,Baza[[№]:[Profit]],6,0),"")</f>
        <v/>
      </c>
      <c r="J415" s="49" t="str">
        <f>IFERROR(VLOOKUP(B415,Baza[[№]:[Profit]],7,0),"")</f>
        <v/>
      </c>
      <c r="K415" s="43" t="str">
        <f>IFERROR(VLOOKUP(B415,Baza[[№]:[Profit]],8,0),"")</f>
        <v/>
      </c>
      <c r="L415" s="43" t="str">
        <f>IFERROR(VLOOKUP(B415,Baza[[№]:[Profit]],9,0),"")</f>
        <v/>
      </c>
      <c r="M415" s="43" t="str">
        <f>IFERROR(VLOOKUP(B415,Baza[[№]:[Profit]],10,0),"")</f>
        <v/>
      </c>
      <c r="N415" s="43" t="str">
        <f>IFERROR(IF(VLOOKUP(B415,Baza[[№]:[Profit]],11,0)=0,"-",VLOOKUP(B415,Baza[[№]:[Profit]],11,0)),"")</f>
        <v/>
      </c>
      <c r="O415" s="43" t="str">
        <f>IFERROR(IF(VLOOKUP(B415,Baza[[№]:[Profit]],12,0)=0,"-",VLOOKUP(B415,Baza[[№]:[Profit]],12,0)),"")</f>
        <v/>
      </c>
      <c r="P415" s="43" t="str">
        <f>IFERROR(IF(VLOOKUP(B415,Baza[[№]:[Profit]],13,0)=0,"-",VLOOKUP(B415,Baza[[№]:[Profit]],13,0)),"")</f>
        <v/>
      </c>
      <c r="Q415" s="43" t="str">
        <f>IFERROR(IF(VLOOKUP(B415,Baza[[№]:[Profit]],15,0)=0,"-",VLOOKUP(B415,Baza[[№]:[Profit]],15,0)),"")</f>
        <v/>
      </c>
      <c r="R415" s="43" t="str">
        <f>IFERROR(IF(VLOOKUP(B415,Baza[[№]:[Profit]],16,0)=0,"-",VLOOKUP(B415,Baza[[№]:[Profit]],16,0)),"")</f>
        <v/>
      </c>
      <c r="S415" s="43" t="str">
        <f>IFERROR(IF(VLOOKUP(B415,Baza[[№]:[Profit]],17,0)=0,"-",VLOOKUP(B415,Baza[[№]:[Profit]],17,0)),"")</f>
        <v/>
      </c>
      <c r="T415" s="43" t="str">
        <f>IFERROR(IF(VLOOKUP(B415,Baza[[№]:[Profit]],18,0)=0,"-",VLOOKUP(B415,Baza[[№]:[Profit]],18,0)),"")</f>
        <v/>
      </c>
      <c r="U415" s="41" t="str">
        <f>IFERROR(IF(VLOOKUP(B415,Baza[[№]:[Profit]],19,0)=0,"-",VLOOKUP(B415,Baza[[№]:[Profit]],19,0)),"")</f>
        <v/>
      </c>
      <c r="V415" s="41" t="str">
        <f>IFERROR(VLOOKUP(B415,Baza[[№]:[Profit]],20,0),"")</f>
        <v/>
      </c>
      <c r="W415" s="41" t="str">
        <f>IFERROR(IF(VLOOKUP(B415,Baza[[№]:[Profit]],21,0)=0,"-",VLOOKUP(B415,Baza[[№]:[Profit]],21,0)),"")</f>
        <v/>
      </c>
      <c r="X415" s="45" t="str">
        <f>IFERROR(IF(VLOOKUP(B415,Baza[[№]:[Profit]],22,0)=0,"-",VLOOKUP(B415,Baza[[№]:[Profit]],22,0)),"")</f>
        <v/>
      </c>
      <c r="Y415" s="45" t="str">
        <f>IFERROR(VLOOKUP(B415,Baza[[№]:[Profit]],23,0),"")</f>
        <v/>
      </c>
      <c r="Z415" s="44" t="str">
        <f>IFERROR(VLOOKUP(B415,Baza[[№]:[AFS]],24,0),"")</f>
        <v/>
      </c>
      <c r="AA415" s="45" t="str">
        <f>IF(Таблица2[[#This Row],[Profit]]="","#Н/Д",SUM($Y$40:Y415))</f>
        <v>#Н/Д</v>
      </c>
      <c r="AB415" s="45" t="b">
        <f>IF(Таблица2[[#This Row],[Grafik]]="#Н/Д",FALSE,TRUE)</f>
        <v>0</v>
      </c>
    </row>
    <row r="416" spans="2:28" ht="11.1" hidden="1" customHeight="1" x14ac:dyDescent="0.25">
      <c r="B416"/>
      <c r="C416" s="41" t="str">
        <f>IFERROR(VLOOKUP(B416,Baza[[№]:[Profit]],2,0),"")</f>
        <v/>
      </c>
      <c r="D41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1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16" s="43" t="str">
        <f>IFERROR(VLOOKUP(B416,Baza[[№]:[Profit]],3,0),"")</f>
        <v/>
      </c>
      <c r="G416" s="43" t="str">
        <f>IFERROR(VLOOKUP(B416,Baza[[№]:[Profit]],4,0),"")</f>
        <v/>
      </c>
      <c r="H416" s="43" t="str">
        <f>IFERROR(VLOOKUP(B416,Baza[[№]:[Profit]],5,0),"")</f>
        <v/>
      </c>
      <c r="I416" s="46" t="str">
        <f>IFERROR(VLOOKUP(B416,Baza[[№]:[Profit]],6,0),"")</f>
        <v/>
      </c>
      <c r="J416" s="49" t="str">
        <f>IFERROR(VLOOKUP(B416,Baza[[№]:[Profit]],7,0),"")</f>
        <v/>
      </c>
      <c r="K416" s="43" t="str">
        <f>IFERROR(VLOOKUP(B416,Baza[[№]:[Profit]],8,0),"")</f>
        <v/>
      </c>
      <c r="L416" s="43" t="str">
        <f>IFERROR(VLOOKUP(B416,Baza[[№]:[Profit]],9,0),"")</f>
        <v/>
      </c>
      <c r="M416" s="43" t="str">
        <f>IFERROR(VLOOKUP(B416,Baza[[№]:[Profit]],10,0),"")</f>
        <v/>
      </c>
      <c r="N416" s="43" t="str">
        <f>IFERROR(IF(VLOOKUP(B416,Baza[[№]:[Profit]],11,0)=0,"-",VLOOKUP(B416,Baza[[№]:[Profit]],11,0)),"")</f>
        <v/>
      </c>
      <c r="O416" s="43" t="str">
        <f>IFERROR(IF(VLOOKUP(B416,Baza[[№]:[Profit]],12,0)=0,"-",VLOOKUP(B416,Baza[[№]:[Profit]],12,0)),"")</f>
        <v/>
      </c>
      <c r="P416" s="43" t="str">
        <f>IFERROR(IF(VLOOKUP(B416,Baza[[№]:[Profit]],13,0)=0,"-",VLOOKUP(B416,Baza[[№]:[Profit]],13,0)),"")</f>
        <v/>
      </c>
      <c r="Q416" s="43" t="str">
        <f>IFERROR(IF(VLOOKUP(B416,Baza[[№]:[Profit]],15,0)=0,"-",VLOOKUP(B416,Baza[[№]:[Profit]],15,0)),"")</f>
        <v/>
      </c>
      <c r="R416" s="43" t="str">
        <f>IFERROR(IF(VLOOKUP(B416,Baza[[№]:[Profit]],16,0)=0,"-",VLOOKUP(B416,Baza[[№]:[Profit]],16,0)),"")</f>
        <v/>
      </c>
      <c r="S416" s="43" t="str">
        <f>IFERROR(IF(VLOOKUP(B416,Baza[[№]:[Profit]],17,0)=0,"-",VLOOKUP(B416,Baza[[№]:[Profit]],17,0)),"")</f>
        <v/>
      </c>
      <c r="T416" s="43" t="str">
        <f>IFERROR(IF(VLOOKUP(B416,Baza[[№]:[Profit]],18,0)=0,"-",VLOOKUP(B416,Baza[[№]:[Profit]],18,0)),"")</f>
        <v/>
      </c>
      <c r="U416" s="41" t="str">
        <f>IFERROR(IF(VLOOKUP(B416,Baza[[№]:[Profit]],19,0)=0,"-",VLOOKUP(B416,Baza[[№]:[Profit]],19,0)),"")</f>
        <v/>
      </c>
      <c r="V416" s="41" t="str">
        <f>IFERROR(VLOOKUP(B416,Baza[[№]:[Profit]],20,0),"")</f>
        <v/>
      </c>
      <c r="W416" s="41" t="str">
        <f>IFERROR(IF(VLOOKUP(B416,Baza[[№]:[Profit]],21,0)=0,"-",VLOOKUP(B416,Baza[[№]:[Profit]],21,0)),"")</f>
        <v/>
      </c>
      <c r="X416" s="45" t="str">
        <f>IFERROR(IF(VLOOKUP(B416,Baza[[№]:[Profit]],22,0)=0,"-",VLOOKUP(B416,Baza[[№]:[Profit]],22,0)),"")</f>
        <v/>
      </c>
      <c r="Y416" s="45" t="str">
        <f>IFERROR(VLOOKUP(B416,Baza[[№]:[Profit]],23,0),"")</f>
        <v/>
      </c>
      <c r="Z416" s="44" t="str">
        <f>IFERROR(VLOOKUP(B416,Baza[[№]:[AFS]],24,0),"")</f>
        <v/>
      </c>
      <c r="AA416" s="45" t="str">
        <f>IF(Таблица2[[#This Row],[Profit]]="","#Н/Д",SUM($Y$40:Y416))</f>
        <v>#Н/Д</v>
      </c>
      <c r="AB416" s="45" t="b">
        <f>IF(Таблица2[[#This Row],[Grafik]]="#Н/Д",FALSE,TRUE)</f>
        <v>0</v>
      </c>
    </row>
    <row r="417" spans="2:28" ht="11.1" hidden="1" customHeight="1" x14ac:dyDescent="0.25">
      <c r="B417"/>
      <c r="C417" s="41" t="str">
        <f>IFERROR(VLOOKUP(B417,Baza[[№]:[Profit]],2,0),"")</f>
        <v/>
      </c>
      <c r="D41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1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17" s="43" t="str">
        <f>IFERROR(VLOOKUP(B417,Baza[[№]:[Profit]],3,0),"")</f>
        <v/>
      </c>
      <c r="G417" s="43" t="str">
        <f>IFERROR(VLOOKUP(B417,Baza[[№]:[Profit]],4,0),"")</f>
        <v/>
      </c>
      <c r="H417" s="43" t="str">
        <f>IFERROR(VLOOKUP(B417,Baza[[№]:[Profit]],5,0),"")</f>
        <v/>
      </c>
      <c r="I417" s="46" t="str">
        <f>IFERROR(VLOOKUP(B417,Baza[[№]:[Profit]],6,0),"")</f>
        <v/>
      </c>
      <c r="J417" s="49" t="str">
        <f>IFERROR(VLOOKUP(B417,Baza[[№]:[Profit]],7,0),"")</f>
        <v/>
      </c>
      <c r="K417" s="43" t="str">
        <f>IFERROR(VLOOKUP(B417,Baza[[№]:[Profit]],8,0),"")</f>
        <v/>
      </c>
      <c r="L417" s="43" t="str">
        <f>IFERROR(VLOOKUP(B417,Baza[[№]:[Profit]],9,0),"")</f>
        <v/>
      </c>
      <c r="M417" s="43" t="str">
        <f>IFERROR(VLOOKUP(B417,Baza[[№]:[Profit]],10,0),"")</f>
        <v/>
      </c>
      <c r="N417" s="43" t="str">
        <f>IFERROR(IF(VLOOKUP(B417,Baza[[№]:[Profit]],11,0)=0,"-",VLOOKUP(B417,Baza[[№]:[Profit]],11,0)),"")</f>
        <v/>
      </c>
      <c r="O417" s="43" t="str">
        <f>IFERROR(IF(VLOOKUP(B417,Baza[[№]:[Profit]],12,0)=0,"-",VLOOKUP(B417,Baza[[№]:[Profit]],12,0)),"")</f>
        <v/>
      </c>
      <c r="P417" s="43" t="str">
        <f>IFERROR(IF(VLOOKUP(B417,Baza[[№]:[Profit]],13,0)=0,"-",VLOOKUP(B417,Baza[[№]:[Profit]],13,0)),"")</f>
        <v/>
      </c>
      <c r="Q417" s="43" t="str">
        <f>IFERROR(IF(VLOOKUP(B417,Baza[[№]:[Profit]],15,0)=0,"-",VLOOKUP(B417,Baza[[№]:[Profit]],15,0)),"")</f>
        <v/>
      </c>
      <c r="R417" s="43" t="str">
        <f>IFERROR(IF(VLOOKUP(B417,Baza[[№]:[Profit]],16,0)=0,"-",VLOOKUP(B417,Baza[[№]:[Profit]],16,0)),"")</f>
        <v/>
      </c>
      <c r="S417" s="43" t="str">
        <f>IFERROR(IF(VLOOKUP(B417,Baza[[№]:[Profit]],17,0)=0,"-",VLOOKUP(B417,Baza[[№]:[Profit]],17,0)),"")</f>
        <v/>
      </c>
      <c r="T417" s="43" t="str">
        <f>IFERROR(IF(VLOOKUP(B417,Baza[[№]:[Profit]],18,0)=0,"-",VLOOKUP(B417,Baza[[№]:[Profit]],18,0)),"")</f>
        <v/>
      </c>
      <c r="U417" s="41" t="str">
        <f>IFERROR(IF(VLOOKUP(B417,Baza[[№]:[Profit]],19,0)=0,"-",VLOOKUP(B417,Baza[[№]:[Profit]],19,0)),"")</f>
        <v/>
      </c>
      <c r="V417" s="41" t="str">
        <f>IFERROR(VLOOKUP(B417,Baza[[№]:[Profit]],20,0),"")</f>
        <v/>
      </c>
      <c r="W417" s="41" t="str">
        <f>IFERROR(IF(VLOOKUP(B417,Baza[[№]:[Profit]],21,0)=0,"-",VLOOKUP(B417,Baza[[№]:[Profit]],21,0)),"")</f>
        <v/>
      </c>
      <c r="X417" s="45" t="str">
        <f>IFERROR(IF(VLOOKUP(B417,Baza[[№]:[Profit]],22,0)=0,"-",VLOOKUP(B417,Baza[[№]:[Profit]],22,0)),"")</f>
        <v/>
      </c>
      <c r="Y417" s="45" t="str">
        <f>IFERROR(VLOOKUP(B417,Baza[[№]:[Profit]],23,0),"")</f>
        <v/>
      </c>
      <c r="Z417" s="44" t="str">
        <f>IFERROR(VLOOKUP(B417,Baza[[№]:[AFS]],24,0),"")</f>
        <v/>
      </c>
      <c r="AA417" s="45" t="str">
        <f>IF(Таблица2[[#This Row],[Profit]]="","#Н/Д",SUM($Y$40:Y417))</f>
        <v>#Н/Д</v>
      </c>
      <c r="AB417" s="45" t="b">
        <f>IF(Таблица2[[#This Row],[Grafik]]="#Н/Д",FALSE,TRUE)</f>
        <v>0</v>
      </c>
    </row>
    <row r="418" spans="2:28" ht="11.1" hidden="1" customHeight="1" x14ac:dyDescent="0.25">
      <c r="B418"/>
      <c r="C418" s="41" t="str">
        <f>IFERROR(VLOOKUP(B418,Baza[[№]:[Profit]],2,0),"")</f>
        <v/>
      </c>
      <c r="D41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1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18" s="43" t="str">
        <f>IFERROR(VLOOKUP(B418,Baza[[№]:[Profit]],3,0),"")</f>
        <v/>
      </c>
      <c r="G418" s="43" t="str">
        <f>IFERROR(VLOOKUP(B418,Baza[[№]:[Profit]],4,0),"")</f>
        <v/>
      </c>
      <c r="H418" s="43" t="str">
        <f>IFERROR(VLOOKUP(B418,Baza[[№]:[Profit]],5,0),"")</f>
        <v/>
      </c>
      <c r="I418" s="46" t="str">
        <f>IFERROR(VLOOKUP(B418,Baza[[№]:[Profit]],6,0),"")</f>
        <v/>
      </c>
      <c r="J418" s="49" t="str">
        <f>IFERROR(VLOOKUP(B418,Baza[[№]:[Profit]],7,0),"")</f>
        <v/>
      </c>
      <c r="K418" s="43" t="str">
        <f>IFERROR(VLOOKUP(B418,Baza[[№]:[Profit]],8,0),"")</f>
        <v/>
      </c>
      <c r="L418" s="43" t="str">
        <f>IFERROR(VLOOKUP(B418,Baza[[№]:[Profit]],9,0),"")</f>
        <v/>
      </c>
      <c r="M418" s="43" t="str">
        <f>IFERROR(VLOOKUP(B418,Baza[[№]:[Profit]],10,0),"")</f>
        <v/>
      </c>
      <c r="N418" s="43" t="str">
        <f>IFERROR(IF(VLOOKUP(B418,Baza[[№]:[Profit]],11,0)=0,"-",VLOOKUP(B418,Baza[[№]:[Profit]],11,0)),"")</f>
        <v/>
      </c>
      <c r="O418" s="43" t="str">
        <f>IFERROR(IF(VLOOKUP(B418,Baza[[№]:[Profit]],12,0)=0,"-",VLOOKUP(B418,Baza[[№]:[Profit]],12,0)),"")</f>
        <v/>
      </c>
      <c r="P418" s="43" t="str">
        <f>IFERROR(IF(VLOOKUP(B418,Baza[[№]:[Profit]],13,0)=0,"-",VLOOKUP(B418,Baza[[№]:[Profit]],13,0)),"")</f>
        <v/>
      </c>
      <c r="Q418" s="43" t="str">
        <f>IFERROR(IF(VLOOKUP(B418,Baza[[№]:[Profit]],15,0)=0,"-",VLOOKUP(B418,Baza[[№]:[Profit]],15,0)),"")</f>
        <v/>
      </c>
      <c r="R418" s="43" t="str">
        <f>IFERROR(IF(VLOOKUP(B418,Baza[[№]:[Profit]],16,0)=0,"-",VLOOKUP(B418,Baza[[№]:[Profit]],16,0)),"")</f>
        <v/>
      </c>
      <c r="S418" s="43" t="str">
        <f>IFERROR(IF(VLOOKUP(B418,Baza[[№]:[Profit]],17,0)=0,"-",VLOOKUP(B418,Baza[[№]:[Profit]],17,0)),"")</f>
        <v/>
      </c>
      <c r="T418" s="43" t="str">
        <f>IFERROR(IF(VLOOKUP(B418,Baza[[№]:[Profit]],18,0)=0,"-",VLOOKUP(B418,Baza[[№]:[Profit]],18,0)),"")</f>
        <v/>
      </c>
      <c r="U418" s="41" t="str">
        <f>IFERROR(IF(VLOOKUP(B418,Baza[[№]:[Profit]],19,0)=0,"-",VLOOKUP(B418,Baza[[№]:[Profit]],19,0)),"")</f>
        <v/>
      </c>
      <c r="V418" s="41" t="str">
        <f>IFERROR(VLOOKUP(B418,Baza[[№]:[Profit]],20,0),"")</f>
        <v/>
      </c>
      <c r="W418" s="41" t="str">
        <f>IFERROR(IF(VLOOKUP(B418,Baza[[№]:[Profit]],21,0)=0,"-",VLOOKUP(B418,Baza[[№]:[Profit]],21,0)),"")</f>
        <v/>
      </c>
      <c r="X418" s="45" t="str">
        <f>IFERROR(IF(VLOOKUP(B418,Baza[[№]:[Profit]],22,0)=0,"-",VLOOKUP(B418,Baza[[№]:[Profit]],22,0)),"")</f>
        <v/>
      </c>
      <c r="Y418" s="45" t="str">
        <f>IFERROR(VLOOKUP(B418,Baza[[№]:[Profit]],23,0),"")</f>
        <v/>
      </c>
      <c r="Z418" s="44" t="str">
        <f>IFERROR(VLOOKUP(B418,Baza[[№]:[AFS]],24,0),"")</f>
        <v/>
      </c>
      <c r="AA418" s="45" t="str">
        <f>IF(Таблица2[[#This Row],[Profit]]="","#Н/Д",SUM($Y$40:Y418))</f>
        <v>#Н/Д</v>
      </c>
      <c r="AB418" s="45" t="b">
        <f>IF(Таблица2[[#This Row],[Grafik]]="#Н/Д",FALSE,TRUE)</f>
        <v>0</v>
      </c>
    </row>
    <row r="419" spans="2:28" ht="11.1" hidden="1" customHeight="1" x14ac:dyDescent="0.25">
      <c r="B419"/>
      <c r="C419" s="41" t="str">
        <f>IFERROR(VLOOKUP(B419,Baza[[№]:[Profit]],2,0),"")</f>
        <v/>
      </c>
      <c r="D41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1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19" s="43" t="str">
        <f>IFERROR(VLOOKUP(B419,Baza[[№]:[Profit]],3,0),"")</f>
        <v/>
      </c>
      <c r="G419" s="43" t="str">
        <f>IFERROR(VLOOKUP(B419,Baza[[№]:[Profit]],4,0),"")</f>
        <v/>
      </c>
      <c r="H419" s="43" t="str">
        <f>IFERROR(VLOOKUP(B419,Baza[[№]:[Profit]],5,0),"")</f>
        <v/>
      </c>
      <c r="I419" s="46" t="str">
        <f>IFERROR(VLOOKUP(B419,Baza[[№]:[Profit]],6,0),"")</f>
        <v/>
      </c>
      <c r="J419" s="49" t="str">
        <f>IFERROR(VLOOKUP(B419,Baza[[№]:[Profit]],7,0),"")</f>
        <v/>
      </c>
      <c r="K419" s="43" t="str">
        <f>IFERROR(VLOOKUP(B419,Baza[[№]:[Profit]],8,0),"")</f>
        <v/>
      </c>
      <c r="L419" s="43" t="str">
        <f>IFERROR(VLOOKUP(B419,Baza[[№]:[Profit]],9,0),"")</f>
        <v/>
      </c>
      <c r="M419" s="43" t="str">
        <f>IFERROR(VLOOKUP(B419,Baza[[№]:[Profit]],10,0),"")</f>
        <v/>
      </c>
      <c r="N419" s="43" t="str">
        <f>IFERROR(IF(VLOOKUP(B419,Baza[[№]:[Profit]],11,0)=0,"-",VLOOKUP(B419,Baza[[№]:[Profit]],11,0)),"")</f>
        <v/>
      </c>
      <c r="O419" s="43" t="str">
        <f>IFERROR(IF(VLOOKUP(B419,Baza[[№]:[Profit]],12,0)=0,"-",VLOOKUP(B419,Baza[[№]:[Profit]],12,0)),"")</f>
        <v/>
      </c>
      <c r="P419" s="43" t="str">
        <f>IFERROR(IF(VLOOKUP(B419,Baza[[№]:[Profit]],13,0)=0,"-",VLOOKUP(B419,Baza[[№]:[Profit]],13,0)),"")</f>
        <v/>
      </c>
      <c r="Q419" s="43" t="str">
        <f>IFERROR(IF(VLOOKUP(B419,Baza[[№]:[Profit]],15,0)=0,"-",VLOOKUP(B419,Baza[[№]:[Profit]],15,0)),"")</f>
        <v/>
      </c>
      <c r="R419" s="43" t="str">
        <f>IFERROR(IF(VLOOKUP(B419,Baza[[№]:[Profit]],16,0)=0,"-",VLOOKUP(B419,Baza[[№]:[Profit]],16,0)),"")</f>
        <v/>
      </c>
      <c r="S419" s="43" t="str">
        <f>IFERROR(IF(VLOOKUP(B419,Baza[[№]:[Profit]],17,0)=0,"-",VLOOKUP(B419,Baza[[№]:[Profit]],17,0)),"")</f>
        <v/>
      </c>
      <c r="T419" s="43" t="str">
        <f>IFERROR(IF(VLOOKUP(B419,Baza[[№]:[Profit]],18,0)=0,"-",VLOOKUP(B419,Baza[[№]:[Profit]],18,0)),"")</f>
        <v/>
      </c>
      <c r="U419" s="41" t="str">
        <f>IFERROR(IF(VLOOKUP(B419,Baza[[№]:[Profit]],19,0)=0,"-",VLOOKUP(B419,Baza[[№]:[Profit]],19,0)),"")</f>
        <v/>
      </c>
      <c r="V419" s="41" t="str">
        <f>IFERROR(VLOOKUP(B419,Baza[[№]:[Profit]],20,0),"")</f>
        <v/>
      </c>
      <c r="W419" s="41" t="str">
        <f>IFERROR(IF(VLOOKUP(B419,Baza[[№]:[Profit]],21,0)=0,"-",VLOOKUP(B419,Baza[[№]:[Profit]],21,0)),"")</f>
        <v/>
      </c>
      <c r="X419" s="45" t="str">
        <f>IFERROR(IF(VLOOKUP(B419,Baza[[№]:[Profit]],22,0)=0,"-",VLOOKUP(B419,Baza[[№]:[Profit]],22,0)),"")</f>
        <v/>
      </c>
      <c r="Y419" s="45" t="str">
        <f>IFERROR(VLOOKUP(B419,Baza[[№]:[Profit]],23,0),"")</f>
        <v/>
      </c>
      <c r="Z419" s="44" t="str">
        <f>IFERROR(VLOOKUP(B419,Baza[[№]:[AFS]],24,0),"")</f>
        <v/>
      </c>
      <c r="AA419" s="45" t="str">
        <f>IF(Таблица2[[#This Row],[Profit]]="","#Н/Д",SUM($Y$40:Y419))</f>
        <v>#Н/Д</v>
      </c>
      <c r="AB419" s="45" t="b">
        <f>IF(Таблица2[[#This Row],[Grafik]]="#Н/Д",FALSE,TRUE)</f>
        <v>0</v>
      </c>
    </row>
    <row r="420" spans="2:28" ht="11.1" hidden="1" customHeight="1" x14ac:dyDescent="0.25">
      <c r="B420"/>
      <c r="C420" s="41" t="str">
        <f>IFERROR(VLOOKUP(B420,Baza[[№]:[Profit]],2,0),"")</f>
        <v/>
      </c>
      <c r="D42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2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20" s="43" t="str">
        <f>IFERROR(VLOOKUP(B420,Baza[[№]:[Profit]],3,0),"")</f>
        <v/>
      </c>
      <c r="G420" s="43" t="str">
        <f>IFERROR(VLOOKUP(B420,Baza[[№]:[Profit]],4,0),"")</f>
        <v/>
      </c>
      <c r="H420" s="43" t="str">
        <f>IFERROR(VLOOKUP(B420,Baza[[№]:[Profit]],5,0),"")</f>
        <v/>
      </c>
      <c r="I420" s="46" t="str">
        <f>IFERROR(VLOOKUP(B420,Baza[[№]:[Profit]],6,0),"")</f>
        <v/>
      </c>
      <c r="J420" s="49" t="str">
        <f>IFERROR(VLOOKUP(B420,Baza[[№]:[Profit]],7,0),"")</f>
        <v/>
      </c>
      <c r="K420" s="43" t="str">
        <f>IFERROR(VLOOKUP(B420,Baza[[№]:[Profit]],8,0),"")</f>
        <v/>
      </c>
      <c r="L420" s="43" t="str">
        <f>IFERROR(VLOOKUP(B420,Baza[[№]:[Profit]],9,0),"")</f>
        <v/>
      </c>
      <c r="M420" s="43" t="str">
        <f>IFERROR(VLOOKUP(B420,Baza[[№]:[Profit]],10,0),"")</f>
        <v/>
      </c>
      <c r="N420" s="43" t="str">
        <f>IFERROR(IF(VLOOKUP(B420,Baza[[№]:[Profit]],11,0)=0,"-",VLOOKUP(B420,Baza[[№]:[Profit]],11,0)),"")</f>
        <v/>
      </c>
      <c r="O420" s="43" t="str">
        <f>IFERROR(IF(VLOOKUP(B420,Baza[[№]:[Profit]],12,0)=0,"-",VLOOKUP(B420,Baza[[№]:[Profit]],12,0)),"")</f>
        <v/>
      </c>
      <c r="P420" s="43" t="str">
        <f>IFERROR(IF(VLOOKUP(B420,Baza[[№]:[Profit]],13,0)=0,"-",VLOOKUP(B420,Baza[[№]:[Profit]],13,0)),"")</f>
        <v/>
      </c>
      <c r="Q420" s="43" t="str">
        <f>IFERROR(IF(VLOOKUP(B420,Baza[[№]:[Profit]],15,0)=0,"-",VLOOKUP(B420,Baza[[№]:[Profit]],15,0)),"")</f>
        <v/>
      </c>
      <c r="R420" s="43" t="str">
        <f>IFERROR(IF(VLOOKUP(B420,Baza[[№]:[Profit]],16,0)=0,"-",VLOOKUP(B420,Baza[[№]:[Profit]],16,0)),"")</f>
        <v/>
      </c>
      <c r="S420" s="43" t="str">
        <f>IFERROR(IF(VLOOKUP(B420,Baza[[№]:[Profit]],17,0)=0,"-",VLOOKUP(B420,Baza[[№]:[Profit]],17,0)),"")</f>
        <v/>
      </c>
      <c r="T420" s="43" t="str">
        <f>IFERROR(IF(VLOOKUP(B420,Baza[[№]:[Profit]],18,0)=0,"-",VLOOKUP(B420,Baza[[№]:[Profit]],18,0)),"")</f>
        <v/>
      </c>
      <c r="U420" s="41" t="str">
        <f>IFERROR(IF(VLOOKUP(B420,Baza[[№]:[Profit]],19,0)=0,"-",VLOOKUP(B420,Baza[[№]:[Profit]],19,0)),"")</f>
        <v/>
      </c>
      <c r="V420" s="41" t="str">
        <f>IFERROR(VLOOKUP(B420,Baza[[№]:[Profit]],20,0),"")</f>
        <v/>
      </c>
      <c r="W420" s="41" t="str">
        <f>IFERROR(IF(VLOOKUP(B420,Baza[[№]:[Profit]],21,0)=0,"-",VLOOKUP(B420,Baza[[№]:[Profit]],21,0)),"")</f>
        <v/>
      </c>
      <c r="X420" s="45" t="str">
        <f>IFERROR(IF(VLOOKUP(B420,Baza[[№]:[Profit]],22,0)=0,"-",VLOOKUP(B420,Baza[[№]:[Profit]],22,0)),"")</f>
        <v/>
      </c>
      <c r="Y420" s="45" t="str">
        <f>IFERROR(VLOOKUP(B420,Baza[[№]:[Profit]],23,0),"")</f>
        <v/>
      </c>
      <c r="Z420" s="44" t="str">
        <f>IFERROR(VLOOKUP(B420,Baza[[№]:[AFS]],24,0),"")</f>
        <v/>
      </c>
      <c r="AA420" s="45" t="str">
        <f>IF(Таблица2[[#This Row],[Profit]]="","#Н/Д",SUM($Y$40:Y420))</f>
        <v>#Н/Д</v>
      </c>
      <c r="AB420" s="45" t="b">
        <f>IF(Таблица2[[#This Row],[Grafik]]="#Н/Д",FALSE,TRUE)</f>
        <v>0</v>
      </c>
    </row>
    <row r="421" spans="2:28" ht="11.1" hidden="1" customHeight="1" x14ac:dyDescent="0.25">
      <c r="B421"/>
      <c r="C421" s="41" t="str">
        <f>IFERROR(VLOOKUP(B421,Baza[[№]:[Profit]],2,0),"")</f>
        <v/>
      </c>
      <c r="D42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2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21" s="43" t="str">
        <f>IFERROR(VLOOKUP(B421,Baza[[№]:[Profit]],3,0),"")</f>
        <v/>
      </c>
      <c r="G421" s="43" t="str">
        <f>IFERROR(VLOOKUP(B421,Baza[[№]:[Profit]],4,0),"")</f>
        <v/>
      </c>
      <c r="H421" s="43" t="str">
        <f>IFERROR(VLOOKUP(B421,Baza[[№]:[Profit]],5,0),"")</f>
        <v/>
      </c>
      <c r="I421" s="46" t="str">
        <f>IFERROR(VLOOKUP(B421,Baza[[№]:[Profit]],6,0),"")</f>
        <v/>
      </c>
      <c r="J421" s="49" t="str">
        <f>IFERROR(VLOOKUP(B421,Baza[[№]:[Profit]],7,0),"")</f>
        <v/>
      </c>
      <c r="K421" s="43" t="str">
        <f>IFERROR(VLOOKUP(B421,Baza[[№]:[Profit]],8,0),"")</f>
        <v/>
      </c>
      <c r="L421" s="43" t="str">
        <f>IFERROR(VLOOKUP(B421,Baza[[№]:[Profit]],9,0),"")</f>
        <v/>
      </c>
      <c r="M421" s="43" t="str">
        <f>IFERROR(VLOOKUP(B421,Baza[[№]:[Profit]],10,0),"")</f>
        <v/>
      </c>
      <c r="N421" s="43" t="str">
        <f>IFERROR(IF(VLOOKUP(B421,Baza[[№]:[Profit]],11,0)=0,"-",VLOOKUP(B421,Baza[[№]:[Profit]],11,0)),"")</f>
        <v/>
      </c>
      <c r="O421" s="43" t="str">
        <f>IFERROR(IF(VLOOKUP(B421,Baza[[№]:[Profit]],12,0)=0,"-",VLOOKUP(B421,Baza[[№]:[Profit]],12,0)),"")</f>
        <v/>
      </c>
      <c r="P421" s="43" t="str">
        <f>IFERROR(IF(VLOOKUP(B421,Baza[[№]:[Profit]],13,0)=0,"-",VLOOKUP(B421,Baza[[№]:[Profit]],13,0)),"")</f>
        <v/>
      </c>
      <c r="Q421" s="43" t="str">
        <f>IFERROR(IF(VLOOKUP(B421,Baza[[№]:[Profit]],15,0)=0,"-",VLOOKUP(B421,Baza[[№]:[Profit]],15,0)),"")</f>
        <v/>
      </c>
      <c r="R421" s="43" t="str">
        <f>IFERROR(IF(VLOOKUP(B421,Baza[[№]:[Profit]],16,0)=0,"-",VLOOKUP(B421,Baza[[№]:[Profit]],16,0)),"")</f>
        <v/>
      </c>
      <c r="S421" s="43" t="str">
        <f>IFERROR(IF(VLOOKUP(B421,Baza[[№]:[Profit]],17,0)=0,"-",VLOOKUP(B421,Baza[[№]:[Profit]],17,0)),"")</f>
        <v/>
      </c>
      <c r="T421" s="43" t="str">
        <f>IFERROR(IF(VLOOKUP(B421,Baza[[№]:[Profit]],18,0)=0,"-",VLOOKUP(B421,Baza[[№]:[Profit]],18,0)),"")</f>
        <v/>
      </c>
      <c r="U421" s="41" t="str">
        <f>IFERROR(IF(VLOOKUP(B421,Baza[[№]:[Profit]],19,0)=0,"-",VLOOKUP(B421,Baza[[№]:[Profit]],19,0)),"")</f>
        <v/>
      </c>
      <c r="V421" s="41" t="str">
        <f>IFERROR(VLOOKUP(B421,Baza[[№]:[Profit]],20,0),"")</f>
        <v/>
      </c>
      <c r="W421" s="41" t="str">
        <f>IFERROR(IF(VLOOKUP(B421,Baza[[№]:[Profit]],21,0)=0,"-",VLOOKUP(B421,Baza[[№]:[Profit]],21,0)),"")</f>
        <v/>
      </c>
      <c r="X421" s="45" t="str">
        <f>IFERROR(IF(VLOOKUP(B421,Baza[[№]:[Profit]],22,0)=0,"-",VLOOKUP(B421,Baza[[№]:[Profit]],22,0)),"")</f>
        <v/>
      </c>
      <c r="Y421" s="45" t="str">
        <f>IFERROR(VLOOKUP(B421,Baza[[№]:[Profit]],23,0),"")</f>
        <v/>
      </c>
      <c r="Z421" s="44" t="str">
        <f>IFERROR(VLOOKUP(B421,Baza[[№]:[AFS]],24,0),"")</f>
        <v/>
      </c>
      <c r="AA421" s="45" t="str">
        <f>IF(Таблица2[[#This Row],[Profit]]="","#Н/Д",SUM($Y$40:Y421))</f>
        <v>#Н/Д</v>
      </c>
      <c r="AB421" s="45" t="b">
        <f>IF(Таблица2[[#This Row],[Grafik]]="#Н/Д",FALSE,TRUE)</f>
        <v>0</v>
      </c>
    </row>
    <row r="422" spans="2:28" ht="11.1" hidden="1" customHeight="1" x14ac:dyDescent="0.25">
      <c r="B422"/>
      <c r="C422" s="41" t="str">
        <f>IFERROR(VLOOKUP(B422,Baza[[№]:[Profit]],2,0),"")</f>
        <v/>
      </c>
      <c r="D42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2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22" s="43" t="str">
        <f>IFERROR(VLOOKUP(B422,Baza[[№]:[Profit]],3,0),"")</f>
        <v/>
      </c>
      <c r="G422" s="43" t="str">
        <f>IFERROR(VLOOKUP(B422,Baza[[№]:[Profit]],4,0),"")</f>
        <v/>
      </c>
      <c r="H422" s="43" t="str">
        <f>IFERROR(VLOOKUP(B422,Baza[[№]:[Profit]],5,0),"")</f>
        <v/>
      </c>
      <c r="I422" s="46" t="str">
        <f>IFERROR(VLOOKUP(B422,Baza[[№]:[Profit]],6,0),"")</f>
        <v/>
      </c>
      <c r="J422" s="49" t="str">
        <f>IFERROR(VLOOKUP(B422,Baza[[№]:[Profit]],7,0),"")</f>
        <v/>
      </c>
      <c r="K422" s="43" t="str">
        <f>IFERROR(VLOOKUP(B422,Baza[[№]:[Profit]],8,0),"")</f>
        <v/>
      </c>
      <c r="L422" s="43" t="str">
        <f>IFERROR(VLOOKUP(B422,Baza[[№]:[Profit]],9,0),"")</f>
        <v/>
      </c>
      <c r="M422" s="43" t="str">
        <f>IFERROR(VLOOKUP(B422,Baza[[№]:[Profit]],10,0),"")</f>
        <v/>
      </c>
      <c r="N422" s="43" t="str">
        <f>IFERROR(IF(VLOOKUP(B422,Baza[[№]:[Profit]],11,0)=0,"-",VLOOKUP(B422,Baza[[№]:[Profit]],11,0)),"")</f>
        <v/>
      </c>
      <c r="O422" s="43" t="str">
        <f>IFERROR(IF(VLOOKUP(B422,Baza[[№]:[Profit]],12,0)=0,"-",VLOOKUP(B422,Baza[[№]:[Profit]],12,0)),"")</f>
        <v/>
      </c>
      <c r="P422" s="43" t="str">
        <f>IFERROR(IF(VLOOKUP(B422,Baza[[№]:[Profit]],13,0)=0,"-",VLOOKUP(B422,Baza[[№]:[Profit]],13,0)),"")</f>
        <v/>
      </c>
      <c r="Q422" s="43" t="str">
        <f>IFERROR(IF(VLOOKUP(B422,Baza[[№]:[Profit]],15,0)=0,"-",VLOOKUP(B422,Baza[[№]:[Profit]],15,0)),"")</f>
        <v/>
      </c>
      <c r="R422" s="43" t="str">
        <f>IFERROR(IF(VLOOKUP(B422,Baza[[№]:[Profit]],16,0)=0,"-",VLOOKUP(B422,Baza[[№]:[Profit]],16,0)),"")</f>
        <v/>
      </c>
      <c r="S422" s="43" t="str">
        <f>IFERROR(IF(VLOOKUP(B422,Baza[[№]:[Profit]],17,0)=0,"-",VLOOKUP(B422,Baza[[№]:[Profit]],17,0)),"")</f>
        <v/>
      </c>
      <c r="T422" s="43" t="str">
        <f>IFERROR(IF(VLOOKUP(B422,Baza[[№]:[Profit]],18,0)=0,"-",VLOOKUP(B422,Baza[[№]:[Profit]],18,0)),"")</f>
        <v/>
      </c>
      <c r="U422" s="41" t="str">
        <f>IFERROR(IF(VLOOKUP(B422,Baza[[№]:[Profit]],19,0)=0,"-",VLOOKUP(B422,Baza[[№]:[Profit]],19,0)),"")</f>
        <v/>
      </c>
      <c r="V422" s="41" t="str">
        <f>IFERROR(VLOOKUP(B422,Baza[[№]:[Profit]],20,0),"")</f>
        <v/>
      </c>
      <c r="W422" s="41" t="str">
        <f>IFERROR(IF(VLOOKUP(B422,Baza[[№]:[Profit]],21,0)=0,"-",VLOOKUP(B422,Baza[[№]:[Profit]],21,0)),"")</f>
        <v/>
      </c>
      <c r="X422" s="45" t="str">
        <f>IFERROR(IF(VLOOKUP(B422,Baza[[№]:[Profit]],22,0)=0,"-",VLOOKUP(B422,Baza[[№]:[Profit]],22,0)),"")</f>
        <v/>
      </c>
      <c r="Y422" s="45" t="str">
        <f>IFERROR(VLOOKUP(B422,Baza[[№]:[Profit]],23,0),"")</f>
        <v/>
      </c>
      <c r="Z422" s="44" t="str">
        <f>IFERROR(VLOOKUP(B422,Baza[[№]:[AFS]],24,0),"")</f>
        <v/>
      </c>
      <c r="AA422" s="45" t="str">
        <f>IF(Таблица2[[#This Row],[Profit]]="","#Н/Д",SUM($Y$40:Y422))</f>
        <v>#Н/Д</v>
      </c>
      <c r="AB422" s="45" t="b">
        <f>IF(Таблица2[[#This Row],[Grafik]]="#Н/Д",FALSE,TRUE)</f>
        <v>0</v>
      </c>
    </row>
    <row r="423" spans="2:28" ht="11.1" hidden="1" customHeight="1" x14ac:dyDescent="0.25">
      <c r="B423"/>
      <c r="C423" s="41" t="str">
        <f>IFERROR(VLOOKUP(B423,Baza[[№]:[Profit]],2,0),"")</f>
        <v/>
      </c>
      <c r="D42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2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23" s="43" t="str">
        <f>IFERROR(VLOOKUP(B423,Baza[[№]:[Profit]],3,0),"")</f>
        <v/>
      </c>
      <c r="G423" s="43" t="str">
        <f>IFERROR(VLOOKUP(B423,Baza[[№]:[Profit]],4,0),"")</f>
        <v/>
      </c>
      <c r="H423" s="43" t="str">
        <f>IFERROR(VLOOKUP(B423,Baza[[№]:[Profit]],5,0),"")</f>
        <v/>
      </c>
      <c r="I423" s="46" t="str">
        <f>IFERROR(VLOOKUP(B423,Baza[[№]:[Profit]],6,0),"")</f>
        <v/>
      </c>
      <c r="J423" s="49" t="str">
        <f>IFERROR(VLOOKUP(B423,Baza[[№]:[Profit]],7,0),"")</f>
        <v/>
      </c>
      <c r="K423" s="43" t="str">
        <f>IFERROR(VLOOKUP(B423,Baza[[№]:[Profit]],8,0),"")</f>
        <v/>
      </c>
      <c r="L423" s="43" t="str">
        <f>IFERROR(VLOOKUP(B423,Baza[[№]:[Profit]],9,0),"")</f>
        <v/>
      </c>
      <c r="M423" s="43" t="str">
        <f>IFERROR(VLOOKUP(B423,Baza[[№]:[Profit]],10,0),"")</f>
        <v/>
      </c>
      <c r="N423" s="43" t="str">
        <f>IFERROR(IF(VLOOKUP(B423,Baza[[№]:[Profit]],11,0)=0,"-",VLOOKUP(B423,Baza[[№]:[Profit]],11,0)),"")</f>
        <v/>
      </c>
      <c r="O423" s="43" t="str">
        <f>IFERROR(IF(VLOOKUP(B423,Baza[[№]:[Profit]],12,0)=0,"-",VLOOKUP(B423,Baza[[№]:[Profit]],12,0)),"")</f>
        <v/>
      </c>
      <c r="P423" s="43" t="str">
        <f>IFERROR(IF(VLOOKUP(B423,Baza[[№]:[Profit]],13,0)=0,"-",VLOOKUP(B423,Baza[[№]:[Profit]],13,0)),"")</f>
        <v/>
      </c>
      <c r="Q423" s="43" t="str">
        <f>IFERROR(IF(VLOOKUP(B423,Baza[[№]:[Profit]],15,0)=0,"-",VLOOKUP(B423,Baza[[№]:[Profit]],15,0)),"")</f>
        <v/>
      </c>
      <c r="R423" s="43" t="str">
        <f>IFERROR(IF(VLOOKUP(B423,Baza[[№]:[Profit]],16,0)=0,"-",VLOOKUP(B423,Baza[[№]:[Profit]],16,0)),"")</f>
        <v/>
      </c>
      <c r="S423" s="43" t="str">
        <f>IFERROR(IF(VLOOKUP(B423,Baza[[№]:[Profit]],17,0)=0,"-",VLOOKUP(B423,Baza[[№]:[Profit]],17,0)),"")</f>
        <v/>
      </c>
      <c r="T423" s="43" t="str">
        <f>IFERROR(IF(VLOOKUP(B423,Baza[[№]:[Profit]],18,0)=0,"-",VLOOKUP(B423,Baza[[№]:[Profit]],18,0)),"")</f>
        <v/>
      </c>
      <c r="U423" s="41" t="str">
        <f>IFERROR(IF(VLOOKUP(B423,Baza[[№]:[Profit]],19,0)=0,"-",VLOOKUP(B423,Baza[[№]:[Profit]],19,0)),"")</f>
        <v/>
      </c>
      <c r="V423" s="41" t="str">
        <f>IFERROR(VLOOKUP(B423,Baza[[№]:[Profit]],20,0),"")</f>
        <v/>
      </c>
      <c r="W423" s="41" t="str">
        <f>IFERROR(IF(VLOOKUP(B423,Baza[[№]:[Profit]],21,0)=0,"-",VLOOKUP(B423,Baza[[№]:[Profit]],21,0)),"")</f>
        <v/>
      </c>
      <c r="X423" s="45" t="str">
        <f>IFERROR(IF(VLOOKUP(B423,Baza[[№]:[Profit]],22,0)=0,"-",VLOOKUP(B423,Baza[[№]:[Profit]],22,0)),"")</f>
        <v/>
      </c>
      <c r="Y423" s="45" t="str">
        <f>IFERROR(VLOOKUP(B423,Baza[[№]:[Profit]],23,0),"")</f>
        <v/>
      </c>
      <c r="Z423" s="44" t="str">
        <f>IFERROR(VLOOKUP(B423,Baza[[№]:[AFS]],24,0),"")</f>
        <v/>
      </c>
      <c r="AA423" s="45" t="str">
        <f>IF(Таблица2[[#This Row],[Profit]]="","#Н/Д",SUM($Y$40:Y423))</f>
        <v>#Н/Д</v>
      </c>
      <c r="AB423" s="45" t="b">
        <f>IF(Таблица2[[#This Row],[Grafik]]="#Н/Д",FALSE,TRUE)</f>
        <v>0</v>
      </c>
    </row>
    <row r="424" spans="2:28" ht="11.1" hidden="1" customHeight="1" x14ac:dyDescent="0.25">
      <c r="B424"/>
      <c r="C424" s="41" t="str">
        <f>IFERROR(VLOOKUP(B424,Baza[[№]:[Profit]],2,0),"")</f>
        <v/>
      </c>
      <c r="D42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2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24" s="43" t="str">
        <f>IFERROR(VLOOKUP(B424,Baza[[№]:[Profit]],3,0),"")</f>
        <v/>
      </c>
      <c r="G424" s="43" t="str">
        <f>IFERROR(VLOOKUP(B424,Baza[[№]:[Profit]],4,0),"")</f>
        <v/>
      </c>
      <c r="H424" s="43" t="str">
        <f>IFERROR(VLOOKUP(B424,Baza[[№]:[Profit]],5,0),"")</f>
        <v/>
      </c>
      <c r="I424" s="46" t="str">
        <f>IFERROR(VLOOKUP(B424,Baza[[№]:[Profit]],6,0),"")</f>
        <v/>
      </c>
      <c r="J424" s="49" t="str">
        <f>IFERROR(VLOOKUP(B424,Baza[[№]:[Profit]],7,0),"")</f>
        <v/>
      </c>
      <c r="K424" s="43" t="str">
        <f>IFERROR(VLOOKUP(B424,Baza[[№]:[Profit]],8,0),"")</f>
        <v/>
      </c>
      <c r="L424" s="43" t="str">
        <f>IFERROR(VLOOKUP(B424,Baza[[№]:[Profit]],9,0),"")</f>
        <v/>
      </c>
      <c r="M424" s="43" t="str">
        <f>IFERROR(VLOOKUP(B424,Baza[[№]:[Profit]],10,0),"")</f>
        <v/>
      </c>
      <c r="N424" s="43" t="str">
        <f>IFERROR(IF(VLOOKUP(B424,Baza[[№]:[Profit]],11,0)=0,"-",VLOOKUP(B424,Baza[[№]:[Profit]],11,0)),"")</f>
        <v/>
      </c>
      <c r="O424" s="43" t="str">
        <f>IFERROR(IF(VLOOKUP(B424,Baza[[№]:[Profit]],12,0)=0,"-",VLOOKUP(B424,Baza[[№]:[Profit]],12,0)),"")</f>
        <v/>
      </c>
      <c r="P424" s="43" t="str">
        <f>IFERROR(IF(VLOOKUP(B424,Baza[[№]:[Profit]],13,0)=0,"-",VLOOKUP(B424,Baza[[№]:[Profit]],13,0)),"")</f>
        <v/>
      </c>
      <c r="Q424" s="43" t="str">
        <f>IFERROR(IF(VLOOKUP(B424,Baza[[№]:[Profit]],15,0)=0,"-",VLOOKUP(B424,Baza[[№]:[Profit]],15,0)),"")</f>
        <v/>
      </c>
      <c r="R424" s="43" t="str">
        <f>IFERROR(IF(VLOOKUP(B424,Baza[[№]:[Profit]],16,0)=0,"-",VLOOKUP(B424,Baza[[№]:[Profit]],16,0)),"")</f>
        <v/>
      </c>
      <c r="S424" s="43" t="str">
        <f>IFERROR(IF(VLOOKUP(B424,Baza[[№]:[Profit]],17,0)=0,"-",VLOOKUP(B424,Baza[[№]:[Profit]],17,0)),"")</f>
        <v/>
      </c>
      <c r="T424" s="43" t="str">
        <f>IFERROR(IF(VLOOKUP(B424,Baza[[№]:[Profit]],18,0)=0,"-",VLOOKUP(B424,Baza[[№]:[Profit]],18,0)),"")</f>
        <v/>
      </c>
      <c r="U424" s="41" t="str">
        <f>IFERROR(IF(VLOOKUP(B424,Baza[[№]:[Profit]],19,0)=0,"-",VLOOKUP(B424,Baza[[№]:[Profit]],19,0)),"")</f>
        <v/>
      </c>
      <c r="V424" s="41" t="str">
        <f>IFERROR(VLOOKUP(B424,Baza[[№]:[Profit]],20,0),"")</f>
        <v/>
      </c>
      <c r="W424" s="41" t="str">
        <f>IFERROR(IF(VLOOKUP(B424,Baza[[№]:[Profit]],21,0)=0,"-",VLOOKUP(B424,Baza[[№]:[Profit]],21,0)),"")</f>
        <v/>
      </c>
      <c r="X424" s="45" t="str">
        <f>IFERROR(IF(VLOOKUP(B424,Baza[[№]:[Profit]],22,0)=0,"-",VLOOKUP(B424,Baza[[№]:[Profit]],22,0)),"")</f>
        <v/>
      </c>
      <c r="Y424" s="45" t="str">
        <f>IFERROR(VLOOKUP(B424,Baza[[№]:[Profit]],23,0),"")</f>
        <v/>
      </c>
      <c r="Z424" s="44" t="str">
        <f>IFERROR(VLOOKUP(B424,Baza[[№]:[AFS]],24,0),"")</f>
        <v/>
      </c>
      <c r="AA424" s="45" t="str">
        <f>IF(Таблица2[[#This Row],[Profit]]="","#Н/Д",SUM($Y$40:Y424))</f>
        <v>#Н/Д</v>
      </c>
      <c r="AB424" s="45" t="b">
        <f>IF(Таблица2[[#This Row],[Grafik]]="#Н/Д",FALSE,TRUE)</f>
        <v>0</v>
      </c>
    </row>
    <row r="425" spans="2:28" ht="11.1" hidden="1" customHeight="1" x14ac:dyDescent="0.25">
      <c r="B425"/>
      <c r="C425" s="41" t="str">
        <f>IFERROR(VLOOKUP(B425,Baza[[№]:[Profit]],2,0),"")</f>
        <v/>
      </c>
      <c r="D42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2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25" s="43" t="str">
        <f>IFERROR(VLOOKUP(B425,Baza[[№]:[Profit]],3,0),"")</f>
        <v/>
      </c>
      <c r="G425" s="43" t="str">
        <f>IFERROR(VLOOKUP(B425,Baza[[№]:[Profit]],4,0),"")</f>
        <v/>
      </c>
      <c r="H425" s="43" t="str">
        <f>IFERROR(VLOOKUP(B425,Baza[[№]:[Profit]],5,0),"")</f>
        <v/>
      </c>
      <c r="I425" s="46" t="str">
        <f>IFERROR(VLOOKUP(B425,Baza[[№]:[Profit]],6,0),"")</f>
        <v/>
      </c>
      <c r="J425" s="49" t="str">
        <f>IFERROR(VLOOKUP(B425,Baza[[№]:[Profit]],7,0),"")</f>
        <v/>
      </c>
      <c r="K425" s="43" t="str">
        <f>IFERROR(VLOOKUP(B425,Baza[[№]:[Profit]],8,0),"")</f>
        <v/>
      </c>
      <c r="L425" s="43" t="str">
        <f>IFERROR(VLOOKUP(B425,Baza[[№]:[Profit]],9,0),"")</f>
        <v/>
      </c>
      <c r="M425" s="43" t="str">
        <f>IFERROR(VLOOKUP(B425,Baza[[№]:[Profit]],10,0),"")</f>
        <v/>
      </c>
      <c r="N425" s="43" t="str">
        <f>IFERROR(IF(VLOOKUP(B425,Baza[[№]:[Profit]],11,0)=0,"-",VLOOKUP(B425,Baza[[№]:[Profit]],11,0)),"")</f>
        <v/>
      </c>
      <c r="O425" s="43" t="str">
        <f>IFERROR(IF(VLOOKUP(B425,Baza[[№]:[Profit]],12,0)=0,"-",VLOOKUP(B425,Baza[[№]:[Profit]],12,0)),"")</f>
        <v/>
      </c>
      <c r="P425" s="43" t="str">
        <f>IFERROR(IF(VLOOKUP(B425,Baza[[№]:[Profit]],13,0)=0,"-",VLOOKUP(B425,Baza[[№]:[Profit]],13,0)),"")</f>
        <v/>
      </c>
      <c r="Q425" s="43" t="str">
        <f>IFERROR(IF(VLOOKUP(B425,Baza[[№]:[Profit]],15,0)=0,"-",VLOOKUP(B425,Baza[[№]:[Profit]],15,0)),"")</f>
        <v/>
      </c>
      <c r="R425" s="43" t="str">
        <f>IFERROR(IF(VLOOKUP(B425,Baza[[№]:[Profit]],16,0)=0,"-",VLOOKUP(B425,Baza[[№]:[Profit]],16,0)),"")</f>
        <v/>
      </c>
      <c r="S425" s="43" t="str">
        <f>IFERROR(IF(VLOOKUP(B425,Baza[[№]:[Profit]],17,0)=0,"-",VLOOKUP(B425,Baza[[№]:[Profit]],17,0)),"")</f>
        <v/>
      </c>
      <c r="T425" s="43" t="str">
        <f>IFERROR(IF(VLOOKUP(B425,Baza[[№]:[Profit]],18,0)=0,"-",VLOOKUP(B425,Baza[[№]:[Profit]],18,0)),"")</f>
        <v/>
      </c>
      <c r="U425" s="41" t="str">
        <f>IFERROR(IF(VLOOKUP(B425,Baza[[№]:[Profit]],19,0)=0,"-",VLOOKUP(B425,Baza[[№]:[Profit]],19,0)),"")</f>
        <v/>
      </c>
      <c r="V425" s="41" t="str">
        <f>IFERROR(VLOOKUP(B425,Baza[[№]:[Profit]],20,0),"")</f>
        <v/>
      </c>
      <c r="W425" s="41" t="str">
        <f>IFERROR(IF(VLOOKUP(B425,Baza[[№]:[Profit]],21,0)=0,"-",VLOOKUP(B425,Baza[[№]:[Profit]],21,0)),"")</f>
        <v/>
      </c>
      <c r="X425" s="45" t="str">
        <f>IFERROR(IF(VLOOKUP(B425,Baza[[№]:[Profit]],22,0)=0,"-",VLOOKUP(B425,Baza[[№]:[Profit]],22,0)),"")</f>
        <v/>
      </c>
      <c r="Y425" s="45" t="str">
        <f>IFERROR(VLOOKUP(B425,Baza[[№]:[Profit]],23,0),"")</f>
        <v/>
      </c>
      <c r="Z425" s="44" t="str">
        <f>IFERROR(VLOOKUP(B425,Baza[[№]:[AFS]],24,0),"")</f>
        <v/>
      </c>
      <c r="AA425" s="45" t="str">
        <f>IF(Таблица2[[#This Row],[Profit]]="","#Н/Д",SUM($Y$40:Y425))</f>
        <v>#Н/Д</v>
      </c>
      <c r="AB425" s="45" t="b">
        <f>IF(Таблица2[[#This Row],[Grafik]]="#Н/Д",FALSE,TRUE)</f>
        <v>0</v>
      </c>
    </row>
    <row r="426" spans="2:28" ht="11.1" hidden="1" customHeight="1" x14ac:dyDescent="0.25">
      <c r="B426"/>
      <c r="C426" s="41" t="str">
        <f>IFERROR(VLOOKUP(B426,Baza[[№]:[Profit]],2,0),"")</f>
        <v/>
      </c>
      <c r="D42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2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26" s="43" t="str">
        <f>IFERROR(VLOOKUP(B426,Baza[[№]:[Profit]],3,0),"")</f>
        <v/>
      </c>
      <c r="G426" s="43" t="str">
        <f>IFERROR(VLOOKUP(B426,Baza[[№]:[Profit]],4,0),"")</f>
        <v/>
      </c>
      <c r="H426" s="43" t="str">
        <f>IFERROR(VLOOKUP(B426,Baza[[№]:[Profit]],5,0),"")</f>
        <v/>
      </c>
      <c r="I426" s="46" t="str">
        <f>IFERROR(VLOOKUP(B426,Baza[[№]:[Profit]],6,0),"")</f>
        <v/>
      </c>
      <c r="J426" s="49" t="str">
        <f>IFERROR(VLOOKUP(B426,Baza[[№]:[Profit]],7,0),"")</f>
        <v/>
      </c>
      <c r="K426" s="43" t="str">
        <f>IFERROR(VLOOKUP(B426,Baza[[№]:[Profit]],8,0),"")</f>
        <v/>
      </c>
      <c r="L426" s="43" t="str">
        <f>IFERROR(VLOOKUP(B426,Baza[[№]:[Profit]],9,0),"")</f>
        <v/>
      </c>
      <c r="M426" s="43" t="str">
        <f>IFERROR(VLOOKUP(B426,Baza[[№]:[Profit]],10,0),"")</f>
        <v/>
      </c>
      <c r="N426" s="43" t="str">
        <f>IFERROR(IF(VLOOKUP(B426,Baza[[№]:[Profit]],11,0)=0,"-",VLOOKUP(B426,Baza[[№]:[Profit]],11,0)),"")</f>
        <v/>
      </c>
      <c r="O426" s="43" t="str">
        <f>IFERROR(IF(VLOOKUP(B426,Baza[[№]:[Profit]],12,0)=0,"-",VLOOKUP(B426,Baza[[№]:[Profit]],12,0)),"")</f>
        <v/>
      </c>
      <c r="P426" s="43" t="str">
        <f>IFERROR(IF(VLOOKUP(B426,Baza[[№]:[Profit]],13,0)=0,"-",VLOOKUP(B426,Baza[[№]:[Profit]],13,0)),"")</f>
        <v/>
      </c>
      <c r="Q426" s="43" t="str">
        <f>IFERROR(IF(VLOOKUP(B426,Baza[[№]:[Profit]],15,0)=0,"-",VLOOKUP(B426,Baza[[№]:[Profit]],15,0)),"")</f>
        <v/>
      </c>
      <c r="R426" s="43" t="str">
        <f>IFERROR(IF(VLOOKUP(B426,Baza[[№]:[Profit]],16,0)=0,"-",VLOOKUP(B426,Baza[[№]:[Profit]],16,0)),"")</f>
        <v/>
      </c>
      <c r="S426" s="43" t="str">
        <f>IFERROR(IF(VLOOKUP(B426,Baza[[№]:[Profit]],17,0)=0,"-",VLOOKUP(B426,Baza[[№]:[Profit]],17,0)),"")</f>
        <v/>
      </c>
      <c r="T426" s="43" t="str">
        <f>IFERROR(IF(VLOOKUP(B426,Baza[[№]:[Profit]],18,0)=0,"-",VLOOKUP(B426,Baza[[№]:[Profit]],18,0)),"")</f>
        <v/>
      </c>
      <c r="U426" s="41" t="str">
        <f>IFERROR(IF(VLOOKUP(B426,Baza[[№]:[Profit]],19,0)=0,"-",VLOOKUP(B426,Baza[[№]:[Profit]],19,0)),"")</f>
        <v/>
      </c>
      <c r="V426" s="41" t="str">
        <f>IFERROR(VLOOKUP(B426,Baza[[№]:[Profit]],20,0),"")</f>
        <v/>
      </c>
      <c r="W426" s="41" t="str">
        <f>IFERROR(IF(VLOOKUP(B426,Baza[[№]:[Profit]],21,0)=0,"-",VLOOKUP(B426,Baza[[№]:[Profit]],21,0)),"")</f>
        <v/>
      </c>
      <c r="X426" s="45" t="str">
        <f>IFERROR(IF(VLOOKUP(B426,Baza[[№]:[Profit]],22,0)=0,"-",VLOOKUP(B426,Baza[[№]:[Profit]],22,0)),"")</f>
        <v/>
      </c>
      <c r="Y426" s="45" t="str">
        <f>IFERROR(VLOOKUP(B426,Baza[[№]:[Profit]],23,0),"")</f>
        <v/>
      </c>
      <c r="Z426" s="44" t="str">
        <f>IFERROR(VLOOKUP(B426,Baza[[№]:[AFS]],24,0),"")</f>
        <v/>
      </c>
      <c r="AA426" s="45" t="str">
        <f>IF(Таблица2[[#This Row],[Profit]]="","#Н/Д",SUM($Y$40:Y426))</f>
        <v>#Н/Д</v>
      </c>
      <c r="AB426" s="45" t="b">
        <f>IF(Таблица2[[#This Row],[Grafik]]="#Н/Д",FALSE,TRUE)</f>
        <v>0</v>
      </c>
    </row>
    <row r="427" spans="2:28" ht="11.1" hidden="1" customHeight="1" x14ac:dyDescent="0.25">
      <c r="B427"/>
      <c r="C427" s="41" t="str">
        <f>IFERROR(VLOOKUP(B427,Baza[[№]:[Profit]],2,0),"")</f>
        <v/>
      </c>
      <c r="D42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2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27" s="43" t="str">
        <f>IFERROR(VLOOKUP(B427,Baza[[№]:[Profit]],3,0),"")</f>
        <v/>
      </c>
      <c r="G427" s="43" t="str">
        <f>IFERROR(VLOOKUP(B427,Baza[[№]:[Profit]],4,0),"")</f>
        <v/>
      </c>
      <c r="H427" s="43" t="str">
        <f>IFERROR(VLOOKUP(B427,Baza[[№]:[Profit]],5,0),"")</f>
        <v/>
      </c>
      <c r="I427" s="46" t="str">
        <f>IFERROR(VLOOKUP(B427,Baza[[№]:[Profit]],6,0),"")</f>
        <v/>
      </c>
      <c r="J427" s="49" t="str">
        <f>IFERROR(VLOOKUP(B427,Baza[[№]:[Profit]],7,0),"")</f>
        <v/>
      </c>
      <c r="K427" s="43" t="str">
        <f>IFERROR(VLOOKUP(B427,Baza[[№]:[Profit]],8,0),"")</f>
        <v/>
      </c>
      <c r="L427" s="43" t="str">
        <f>IFERROR(VLOOKUP(B427,Baza[[№]:[Profit]],9,0),"")</f>
        <v/>
      </c>
      <c r="M427" s="43" t="str">
        <f>IFERROR(VLOOKUP(B427,Baza[[№]:[Profit]],10,0),"")</f>
        <v/>
      </c>
      <c r="N427" s="43" t="str">
        <f>IFERROR(IF(VLOOKUP(B427,Baza[[№]:[Profit]],11,0)=0,"-",VLOOKUP(B427,Baza[[№]:[Profit]],11,0)),"")</f>
        <v/>
      </c>
      <c r="O427" s="43" t="str">
        <f>IFERROR(IF(VLOOKUP(B427,Baza[[№]:[Profit]],12,0)=0,"-",VLOOKUP(B427,Baza[[№]:[Profit]],12,0)),"")</f>
        <v/>
      </c>
      <c r="P427" s="43" t="str">
        <f>IFERROR(IF(VLOOKUP(B427,Baza[[№]:[Profit]],13,0)=0,"-",VLOOKUP(B427,Baza[[№]:[Profit]],13,0)),"")</f>
        <v/>
      </c>
      <c r="Q427" s="43" t="str">
        <f>IFERROR(IF(VLOOKUP(B427,Baza[[№]:[Profit]],15,0)=0,"-",VLOOKUP(B427,Baza[[№]:[Profit]],15,0)),"")</f>
        <v/>
      </c>
      <c r="R427" s="43" t="str">
        <f>IFERROR(IF(VLOOKUP(B427,Baza[[№]:[Profit]],16,0)=0,"-",VLOOKUP(B427,Baza[[№]:[Profit]],16,0)),"")</f>
        <v/>
      </c>
      <c r="S427" s="43" t="str">
        <f>IFERROR(IF(VLOOKUP(B427,Baza[[№]:[Profit]],17,0)=0,"-",VLOOKUP(B427,Baza[[№]:[Profit]],17,0)),"")</f>
        <v/>
      </c>
      <c r="T427" s="43" t="str">
        <f>IFERROR(IF(VLOOKUP(B427,Baza[[№]:[Profit]],18,0)=0,"-",VLOOKUP(B427,Baza[[№]:[Profit]],18,0)),"")</f>
        <v/>
      </c>
      <c r="U427" s="41" t="str">
        <f>IFERROR(IF(VLOOKUP(B427,Baza[[№]:[Profit]],19,0)=0,"-",VLOOKUP(B427,Baza[[№]:[Profit]],19,0)),"")</f>
        <v/>
      </c>
      <c r="V427" s="41" t="str">
        <f>IFERROR(VLOOKUP(B427,Baza[[№]:[Profit]],20,0),"")</f>
        <v/>
      </c>
      <c r="W427" s="41" t="str">
        <f>IFERROR(IF(VLOOKUP(B427,Baza[[№]:[Profit]],21,0)=0,"-",VLOOKUP(B427,Baza[[№]:[Profit]],21,0)),"")</f>
        <v/>
      </c>
      <c r="X427" s="45" t="str">
        <f>IFERROR(IF(VLOOKUP(B427,Baza[[№]:[Profit]],22,0)=0,"-",VLOOKUP(B427,Baza[[№]:[Profit]],22,0)),"")</f>
        <v/>
      </c>
      <c r="Y427" s="45" t="str">
        <f>IFERROR(VLOOKUP(B427,Baza[[№]:[Profit]],23,0),"")</f>
        <v/>
      </c>
      <c r="Z427" s="44" t="str">
        <f>IFERROR(VLOOKUP(B427,Baza[[№]:[AFS]],24,0),"")</f>
        <v/>
      </c>
      <c r="AA427" s="45" t="str">
        <f>IF(Таблица2[[#This Row],[Profit]]="","#Н/Д",SUM($Y$40:Y427))</f>
        <v>#Н/Д</v>
      </c>
      <c r="AB427" s="45" t="b">
        <f>IF(Таблица2[[#This Row],[Grafik]]="#Н/Д",FALSE,TRUE)</f>
        <v>0</v>
      </c>
    </row>
    <row r="428" spans="2:28" ht="11.1" hidden="1" customHeight="1" x14ac:dyDescent="0.25">
      <c r="B428"/>
      <c r="C428" s="41" t="str">
        <f>IFERROR(VLOOKUP(B428,Baza[[№]:[Profit]],2,0),"")</f>
        <v/>
      </c>
      <c r="D42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2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28" s="43" t="str">
        <f>IFERROR(VLOOKUP(B428,Baza[[№]:[Profit]],3,0),"")</f>
        <v/>
      </c>
      <c r="G428" s="43" t="str">
        <f>IFERROR(VLOOKUP(B428,Baza[[№]:[Profit]],4,0),"")</f>
        <v/>
      </c>
      <c r="H428" s="43" t="str">
        <f>IFERROR(VLOOKUP(B428,Baza[[№]:[Profit]],5,0),"")</f>
        <v/>
      </c>
      <c r="I428" s="46" t="str">
        <f>IFERROR(VLOOKUP(B428,Baza[[№]:[Profit]],6,0),"")</f>
        <v/>
      </c>
      <c r="J428" s="49" t="str">
        <f>IFERROR(VLOOKUP(B428,Baza[[№]:[Profit]],7,0),"")</f>
        <v/>
      </c>
      <c r="K428" s="43" t="str">
        <f>IFERROR(VLOOKUP(B428,Baza[[№]:[Profit]],8,0),"")</f>
        <v/>
      </c>
      <c r="L428" s="43" t="str">
        <f>IFERROR(VLOOKUP(B428,Baza[[№]:[Profit]],9,0),"")</f>
        <v/>
      </c>
      <c r="M428" s="43" t="str">
        <f>IFERROR(VLOOKUP(B428,Baza[[№]:[Profit]],10,0),"")</f>
        <v/>
      </c>
      <c r="N428" s="43" t="str">
        <f>IFERROR(IF(VLOOKUP(B428,Baza[[№]:[Profit]],11,0)=0,"-",VLOOKUP(B428,Baza[[№]:[Profit]],11,0)),"")</f>
        <v/>
      </c>
      <c r="O428" s="43" t="str">
        <f>IFERROR(IF(VLOOKUP(B428,Baza[[№]:[Profit]],12,0)=0,"-",VLOOKUP(B428,Baza[[№]:[Profit]],12,0)),"")</f>
        <v/>
      </c>
      <c r="P428" s="43" t="str">
        <f>IFERROR(IF(VLOOKUP(B428,Baza[[№]:[Profit]],13,0)=0,"-",VLOOKUP(B428,Baza[[№]:[Profit]],13,0)),"")</f>
        <v/>
      </c>
      <c r="Q428" s="43" t="str">
        <f>IFERROR(IF(VLOOKUP(B428,Baza[[№]:[Profit]],15,0)=0,"-",VLOOKUP(B428,Baza[[№]:[Profit]],15,0)),"")</f>
        <v/>
      </c>
      <c r="R428" s="43" t="str">
        <f>IFERROR(IF(VLOOKUP(B428,Baza[[№]:[Profit]],16,0)=0,"-",VLOOKUP(B428,Baza[[№]:[Profit]],16,0)),"")</f>
        <v/>
      </c>
      <c r="S428" s="43" t="str">
        <f>IFERROR(IF(VLOOKUP(B428,Baza[[№]:[Profit]],17,0)=0,"-",VLOOKUP(B428,Baza[[№]:[Profit]],17,0)),"")</f>
        <v/>
      </c>
      <c r="T428" s="43" t="str">
        <f>IFERROR(IF(VLOOKUP(B428,Baza[[№]:[Profit]],18,0)=0,"-",VLOOKUP(B428,Baza[[№]:[Profit]],18,0)),"")</f>
        <v/>
      </c>
      <c r="U428" s="41" t="str">
        <f>IFERROR(IF(VLOOKUP(B428,Baza[[№]:[Profit]],19,0)=0,"-",VLOOKUP(B428,Baza[[№]:[Profit]],19,0)),"")</f>
        <v/>
      </c>
      <c r="V428" s="41" t="str">
        <f>IFERROR(VLOOKUP(B428,Baza[[№]:[Profit]],20,0),"")</f>
        <v/>
      </c>
      <c r="W428" s="41" t="str">
        <f>IFERROR(IF(VLOOKUP(B428,Baza[[№]:[Profit]],21,0)=0,"-",VLOOKUP(B428,Baza[[№]:[Profit]],21,0)),"")</f>
        <v/>
      </c>
      <c r="X428" s="45" t="str">
        <f>IFERROR(IF(VLOOKUP(B428,Baza[[№]:[Profit]],22,0)=0,"-",VLOOKUP(B428,Baza[[№]:[Profit]],22,0)),"")</f>
        <v/>
      </c>
      <c r="Y428" s="45" t="str">
        <f>IFERROR(VLOOKUP(B428,Baza[[№]:[Profit]],23,0),"")</f>
        <v/>
      </c>
      <c r="Z428" s="44" t="str">
        <f>IFERROR(VLOOKUP(B428,Baza[[№]:[AFS]],24,0),"")</f>
        <v/>
      </c>
      <c r="AA428" s="45" t="str">
        <f>IF(Таблица2[[#This Row],[Profit]]="","#Н/Д",SUM($Y$40:Y428))</f>
        <v>#Н/Д</v>
      </c>
      <c r="AB428" s="45" t="b">
        <f>IF(Таблица2[[#This Row],[Grafik]]="#Н/Д",FALSE,TRUE)</f>
        <v>0</v>
      </c>
    </row>
    <row r="429" spans="2:28" ht="11.1" hidden="1" customHeight="1" x14ac:dyDescent="0.25">
      <c r="B429"/>
      <c r="C429" s="41" t="str">
        <f>IFERROR(VLOOKUP(B429,Baza[[№]:[Profit]],2,0),"")</f>
        <v/>
      </c>
      <c r="D42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2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29" s="43" t="str">
        <f>IFERROR(VLOOKUP(B429,Baza[[№]:[Profit]],3,0),"")</f>
        <v/>
      </c>
      <c r="G429" s="43" t="str">
        <f>IFERROR(VLOOKUP(B429,Baza[[№]:[Profit]],4,0),"")</f>
        <v/>
      </c>
      <c r="H429" s="43" t="str">
        <f>IFERROR(VLOOKUP(B429,Baza[[№]:[Profit]],5,0),"")</f>
        <v/>
      </c>
      <c r="I429" s="46" t="str">
        <f>IFERROR(VLOOKUP(B429,Baza[[№]:[Profit]],6,0),"")</f>
        <v/>
      </c>
      <c r="J429" s="49" t="str">
        <f>IFERROR(VLOOKUP(B429,Baza[[№]:[Profit]],7,0),"")</f>
        <v/>
      </c>
      <c r="K429" s="43" t="str">
        <f>IFERROR(VLOOKUP(B429,Baza[[№]:[Profit]],8,0),"")</f>
        <v/>
      </c>
      <c r="L429" s="43" t="str">
        <f>IFERROR(VLOOKUP(B429,Baza[[№]:[Profit]],9,0),"")</f>
        <v/>
      </c>
      <c r="M429" s="43" t="str">
        <f>IFERROR(VLOOKUP(B429,Baza[[№]:[Profit]],10,0),"")</f>
        <v/>
      </c>
      <c r="N429" s="43" t="str">
        <f>IFERROR(IF(VLOOKUP(B429,Baza[[№]:[Profit]],11,0)=0,"-",VLOOKUP(B429,Baza[[№]:[Profit]],11,0)),"")</f>
        <v/>
      </c>
      <c r="O429" s="43" t="str">
        <f>IFERROR(IF(VLOOKUP(B429,Baza[[№]:[Profit]],12,0)=0,"-",VLOOKUP(B429,Baza[[№]:[Profit]],12,0)),"")</f>
        <v/>
      </c>
      <c r="P429" s="43" t="str">
        <f>IFERROR(IF(VLOOKUP(B429,Baza[[№]:[Profit]],13,0)=0,"-",VLOOKUP(B429,Baza[[№]:[Profit]],13,0)),"")</f>
        <v/>
      </c>
      <c r="Q429" s="43" t="str">
        <f>IFERROR(IF(VLOOKUP(B429,Baza[[№]:[Profit]],15,0)=0,"-",VLOOKUP(B429,Baza[[№]:[Profit]],15,0)),"")</f>
        <v/>
      </c>
      <c r="R429" s="43" t="str">
        <f>IFERROR(IF(VLOOKUP(B429,Baza[[№]:[Profit]],16,0)=0,"-",VLOOKUP(B429,Baza[[№]:[Profit]],16,0)),"")</f>
        <v/>
      </c>
      <c r="S429" s="43" t="str">
        <f>IFERROR(IF(VLOOKUP(B429,Baza[[№]:[Profit]],17,0)=0,"-",VLOOKUP(B429,Baza[[№]:[Profit]],17,0)),"")</f>
        <v/>
      </c>
      <c r="T429" s="43" t="str">
        <f>IFERROR(IF(VLOOKUP(B429,Baza[[№]:[Profit]],18,0)=0,"-",VLOOKUP(B429,Baza[[№]:[Profit]],18,0)),"")</f>
        <v/>
      </c>
      <c r="U429" s="41" t="str">
        <f>IFERROR(IF(VLOOKUP(B429,Baza[[№]:[Profit]],19,0)=0,"-",VLOOKUP(B429,Baza[[№]:[Profit]],19,0)),"")</f>
        <v/>
      </c>
      <c r="V429" s="41" t="str">
        <f>IFERROR(VLOOKUP(B429,Baza[[№]:[Profit]],20,0),"")</f>
        <v/>
      </c>
      <c r="W429" s="41" t="str">
        <f>IFERROR(IF(VLOOKUP(B429,Baza[[№]:[Profit]],21,0)=0,"-",VLOOKUP(B429,Baza[[№]:[Profit]],21,0)),"")</f>
        <v/>
      </c>
      <c r="X429" s="45" t="str">
        <f>IFERROR(IF(VLOOKUP(B429,Baza[[№]:[Profit]],22,0)=0,"-",VLOOKUP(B429,Baza[[№]:[Profit]],22,0)),"")</f>
        <v/>
      </c>
      <c r="Y429" s="45" t="str">
        <f>IFERROR(VLOOKUP(B429,Baza[[№]:[Profit]],23,0),"")</f>
        <v/>
      </c>
      <c r="Z429" s="44" t="str">
        <f>IFERROR(VLOOKUP(B429,Baza[[№]:[AFS]],24,0),"")</f>
        <v/>
      </c>
      <c r="AA429" s="45" t="str">
        <f>IF(Таблица2[[#This Row],[Profit]]="","#Н/Д",SUM($Y$40:Y429))</f>
        <v>#Н/Д</v>
      </c>
      <c r="AB429" s="45" t="b">
        <f>IF(Таблица2[[#This Row],[Grafik]]="#Н/Д",FALSE,TRUE)</f>
        <v>0</v>
      </c>
    </row>
    <row r="430" spans="2:28" ht="11.1" hidden="1" customHeight="1" x14ac:dyDescent="0.25">
      <c r="B430"/>
      <c r="C430" s="41" t="str">
        <f>IFERROR(VLOOKUP(B430,Baza[[№]:[Profit]],2,0),"")</f>
        <v/>
      </c>
      <c r="D43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3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30" s="43" t="str">
        <f>IFERROR(VLOOKUP(B430,Baza[[№]:[Profit]],3,0),"")</f>
        <v/>
      </c>
      <c r="G430" s="43" t="str">
        <f>IFERROR(VLOOKUP(B430,Baza[[№]:[Profit]],4,0),"")</f>
        <v/>
      </c>
      <c r="H430" s="43" t="str">
        <f>IFERROR(VLOOKUP(B430,Baza[[№]:[Profit]],5,0),"")</f>
        <v/>
      </c>
      <c r="I430" s="46" t="str">
        <f>IFERROR(VLOOKUP(B430,Baza[[№]:[Profit]],6,0),"")</f>
        <v/>
      </c>
      <c r="J430" s="49" t="str">
        <f>IFERROR(VLOOKUP(B430,Baza[[№]:[Profit]],7,0),"")</f>
        <v/>
      </c>
      <c r="K430" s="43" t="str">
        <f>IFERROR(VLOOKUP(B430,Baza[[№]:[Profit]],8,0),"")</f>
        <v/>
      </c>
      <c r="L430" s="43" t="str">
        <f>IFERROR(VLOOKUP(B430,Baza[[№]:[Profit]],9,0),"")</f>
        <v/>
      </c>
      <c r="M430" s="43" t="str">
        <f>IFERROR(VLOOKUP(B430,Baza[[№]:[Profit]],10,0),"")</f>
        <v/>
      </c>
      <c r="N430" s="43" t="str">
        <f>IFERROR(IF(VLOOKUP(B430,Baza[[№]:[Profit]],11,0)=0,"-",VLOOKUP(B430,Baza[[№]:[Profit]],11,0)),"")</f>
        <v/>
      </c>
      <c r="O430" s="43" t="str">
        <f>IFERROR(IF(VLOOKUP(B430,Baza[[№]:[Profit]],12,0)=0,"-",VLOOKUP(B430,Baza[[№]:[Profit]],12,0)),"")</f>
        <v/>
      </c>
      <c r="P430" s="43" t="str">
        <f>IFERROR(IF(VLOOKUP(B430,Baza[[№]:[Profit]],13,0)=0,"-",VLOOKUP(B430,Baza[[№]:[Profit]],13,0)),"")</f>
        <v/>
      </c>
      <c r="Q430" s="43" t="str">
        <f>IFERROR(IF(VLOOKUP(B430,Baza[[№]:[Profit]],15,0)=0,"-",VLOOKUP(B430,Baza[[№]:[Profit]],15,0)),"")</f>
        <v/>
      </c>
      <c r="R430" s="43" t="str">
        <f>IFERROR(IF(VLOOKUP(B430,Baza[[№]:[Profit]],16,0)=0,"-",VLOOKUP(B430,Baza[[№]:[Profit]],16,0)),"")</f>
        <v/>
      </c>
      <c r="S430" s="43" t="str">
        <f>IFERROR(IF(VLOOKUP(B430,Baza[[№]:[Profit]],17,0)=0,"-",VLOOKUP(B430,Baza[[№]:[Profit]],17,0)),"")</f>
        <v/>
      </c>
      <c r="T430" s="43" t="str">
        <f>IFERROR(IF(VLOOKUP(B430,Baza[[№]:[Profit]],18,0)=0,"-",VLOOKUP(B430,Baza[[№]:[Profit]],18,0)),"")</f>
        <v/>
      </c>
      <c r="U430" s="41" t="str">
        <f>IFERROR(IF(VLOOKUP(B430,Baza[[№]:[Profit]],19,0)=0,"-",VLOOKUP(B430,Baza[[№]:[Profit]],19,0)),"")</f>
        <v/>
      </c>
      <c r="V430" s="41" t="str">
        <f>IFERROR(VLOOKUP(B430,Baza[[№]:[Profit]],20,0),"")</f>
        <v/>
      </c>
      <c r="W430" s="41" t="str">
        <f>IFERROR(IF(VLOOKUP(B430,Baza[[№]:[Profit]],21,0)=0,"-",VLOOKUP(B430,Baza[[№]:[Profit]],21,0)),"")</f>
        <v/>
      </c>
      <c r="X430" s="45" t="str">
        <f>IFERROR(IF(VLOOKUP(B430,Baza[[№]:[Profit]],22,0)=0,"-",VLOOKUP(B430,Baza[[№]:[Profit]],22,0)),"")</f>
        <v/>
      </c>
      <c r="Y430" s="45" t="str">
        <f>IFERROR(VLOOKUP(B430,Baza[[№]:[Profit]],23,0),"")</f>
        <v/>
      </c>
      <c r="Z430" s="44" t="str">
        <f>IFERROR(VLOOKUP(B430,Baza[[№]:[AFS]],24,0),"")</f>
        <v/>
      </c>
      <c r="AA430" s="45" t="str">
        <f>IF(Таблица2[[#This Row],[Profit]]="","#Н/Д",SUM($Y$40:Y430))</f>
        <v>#Н/Д</v>
      </c>
      <c r="AB430" s="45" t="b">
        <f>IF(Таблица2[[#This Row],[Grafik]]="#Н/Д",FALSE,TRUE)</f>
        <v>0</v>
      </c>
    </row>
    <row r="431" spans="2:28" ht="11.1" hidden="1" customHeight="1" x14ac:dyDescent="0.25">
      <c r="B431"/>
      <c r="C431" s="41" t="str">
        <f>IFERROR(VLOOKUP(B431,Baza[[№]:[Profit]],2,0),"")</f>
        <v/>
      </c>
      <c r="D43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3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31" s="43" t="str">
        <f>IFERROR(VLOOKUP(B431,Baza[[№]:[Profit]],3,0),"")</f>
        <v/>
      </c>
      <c r="G431" s="43" t="str">
        <f>IFERROR(VLOOKUP(B431,Baza[[№]:[Profit]],4,0),"")</f>
        <v/>
      </c>
      <c r="H431" s="43" t="str">
        <f>IFERROR(VLOOKUP(B431,Baza[[№]:[Profit]],5,0),"")</f>
        <v/>
      </c>
      <c r="I431" s="46" t="str">
        <f>IFERROR(VLOOKUP(B431,Baza[[№]:[Profit]],6,0),"")</f>
        <v/>
      </c>
      <c r="J431" s="49" t="str">
        <f>IFERROR(VLOOKUP(B431,Baza[[№]:[Profit]],7,0),"")</f>
        <v/>
      </c>
      <c r="K431" s="43" t="str">
        <f>IFERROR(VLOOKUP(B431,Baza[[№]:[Profit]],8,0),"")</f>
        <v/>
      </c>
      <c r="L431" s="43" t="str">
        <f>IFERROR(VLOOKUP(B431,Baza[[№]:[Profit]],9,0),"")</f>
        <v/>
      </c>
      <c r="M431" s="43" t="str">
        <f>IFERROR(VLOOKUP(B431,Baza[[№]:[Profit]],10,0),"")</f>
        <v/>
      </c>
      <c r="N431" s="43" t="str">
        <f>IFERROR(IF(VLOOKUP(B431,Baza[[№]:[Profit]],11,0)=0,"-",VLOOKUP(B431,Baza[[№]:[Profit]],11,0)),"")</f>
        <v/>
      </c>
      <c r="O431" s="43" t="str">
        <f>IFERROR(IF(VLOOKUP(B431,Baza[[№]:[Profit]],12,0)=0,"-",VLOOKUP(B431,Baza[[№]:[Profit]],12,0)),"")</f>
        <v/>
      </c>
      <c r="P431" s="43" t="str">
        <f>IFERROR(IF(VLOOKUP(B431,Baza[[№]:[Profit]],13,0)=0,"-",VLOOKUP(B431,Baza[[№]:[Profit]],13,0)),"")</f>
        <v/>
      </c>
      <c r="Q431" s="43" t="str">
        <f>IFERROR(IF(VLOOKUP(B431,Baza[[№]:[Profit]],15,0)=0,"-",VLOOKUP(B431,Baza[[№]:[Profit]],15,0)),"")</f>
        <v/>
      </c>
      <c r="R431" s="43" t="str">
        <f>IFERROR(IF(VLOOKUP(B431,Baza[[№]:[Profit]],16,0)=0,"-",VLOOKUP(B431,Baza[[№]:[Profit]],16,0)),"")</f>
        <v/>
      </c>
      <c r="S431" s="43" t="str">
        <f>IFERROR(IF(VLOOKUP(B431,Baza[[№]:[Profit]],17,0)=0,"-",VLOOKUP(B431,Baza[[№]:[Profit]],17,0)),"")</f>
        <v/>
      </c>
      <c r="T431" s="43" t="str">
        <f>IFERROR(IF(VLOOKUP(B431,Baza[[№]:[Profit]],18,0)=0,"-",VLOOKUP(B431,Baza[[№]:[Profit]],18,0)),"")</f>
        <v/>
      </c>
      <c r="U431" s="41" t="str">
        <f>IFERROR(IF(VLOOKUP(B431,Baza[[№]:[Profit]],19,0)=0,"-",VLOOKUP(B431,Baza[[№]:[Profit]],19,0)),"")</f>
        <v/>
      </c>
      <c r="V431" s="41" t="str">
        <f>IFERROR(VLOOKUP(B431,Baza[[№]:[Profit]],20,0),"")</f>
        <v/>
      </c>
      <c r="W431" s="41" t="str">
        <f>IFERROR(IF(VLOOKUP(B431,Baza[[№]:[Profit]],21,0)=0,"-",VLOOKUP(B431,Baza[[№]:[Profit]],21,0)),"")</f>
        <v/>
      </c>
      <c r="X431" s="45" t="str">
        <f>IFERROR(IF(VLOOKUP(B431,Baza[[№]:[Profit]],22,0)=0,"-",VLOOKUP(B431,Baza[[№]:[Profit]],22,0)),"")</f>
        <v/>
      </c>
      <c r="Y431" s="45" t="str">
        <f>IFERROR(VLOOKUP(B431,Baza[[№]:[Profit]],23,0),"")</f>
        <v/>
      </c>
      <c r="Z431" s="44" t="str">
        <f>IFERROR(VLOOKUP(B431,Baza[[№]:[AFS]],24,0),"")</f>
        <v/>
      </c>
      <c r="AA431" s="45" t="str">
        <f>IF(Таблица2[[#This Row],[Profit]]="","#Н/Д",SUM($Y$40:Y431))</f>
        <v>#Н/Д</v>
      </c>
      <c r="AB431" s="45" t="b">
        <f>IF(Таблица2[[#This Row],[Grafik]]="#Н/Д",FALSE,TRUE)</f>
        <v>0</v>
      </c>
    </row>
    <row r="432" spans="2:28" ht="11.1" hidden="1" customHeight="1" x14ac:dyDescent="0.25">
      <c r="B432"/>
      <c r="C432" s="41" t="str">
        <f>IFERROR(VLOOKUP(B432,Baza[[№]:[Profit]],2,0),"")</f>
        <v/>
      </c>
      <c r="D43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3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32" s="43" t="str">
        <f>IFERROR(VLOOKUP(B432,Baza[[№]:[Profit]],3,0),"")</f>
        <v/>
      </c>
      <c r="G432" s="43" t="str">
        <f>IFERROR(VLOOKUP(B432,Baza[[№]:[Profit]],4,0),"")</f>
        <v/>
      </c>
      <c r="H432" s="43" t="str">
        <f>IFERROR(VLOOKUP(B432,Baza[[№]:[Profit]],5,0),"")</f>
        <v/>
      </c>
      <c r="I432" s="46" t="str">
        <f>IFERROR(VLOOKUP(B432,Baza[[№]:[Profit]],6,0),"")</f>
        <v/>
      </c>
      <c r="J432" s="49" t="str">
        <f>IFERROR(VLOOKUP(B432,Baza[[№]:[Profit]],7,0),"")</f>
        <v/>
      </c>
      <c r="K432" s="43" t="str">
        <f>IFERROR(VLOOKUP(B432,Baza[[№]:[Profit]],8,0),"")</f>
        <v/>
      </c>
      <c r="L432" s="43" t="str">
        <f>IFERROR(VLOOKUP(B432,Baza[[№]:[Profit]],9,0),"")</f>
        <v/>
      </c>
      <c r="M432" s="43" t="str">
        <f>IFERROR(VLOOKUP(B432,Baza[[№]:[Profit]],10,0),"")</f>
        <v/>
      </c>
      <c r="N432" s="43" t="str">
        <f>IFERROR(IF(VLOOKUP(B432,Baza[[№]:[Profit]],11,0)=0,"-",VLOOKUP(B432,Baza[[№]:[Profit]],11,0)),"")</f>
        <v/>
      </c>
      <c r="O432" s="43" t="str">
        <f>IFERROR(IF(VLOOKUP(B432,Baza[[№]:[Profit]],12,0)=0,"-",VLOOKUP(B432,Baza[[№]:[Profit]],12,0)),"")</f>
        <v/>
      </c>
      <c r="P432" s="43" t="str">
        <f>IFERROR(IF(VLOOKUP(B432,Baza[[№]:[Profit]],13,0)=0,"-",VLOOKUP(B432,Baza[[№]:[Profit]],13,0)),"")</f>
        <v/>
      </c>
      <c r="Q432" s="43" t="str">
        <f>IFERROR(IF(VLOOKUP(B432,Baza[[№]:[Profit]],15,0)=0,"-",VLOOKUP(B432,Baza[[№]:[Profit]],15,0)),"")</f>
        <v/>
      </c>
      <c r="R432" s="43" t="str">
        <f>IFERROR(IF(VLOOKUP(B432,Baza[[№]:[Profit]],16,0)=0,"-",VLOOKUP(B432,Baza[[№]:[Profit]],16,0)),"")</f>
        <v/>
      </c>
      <c r="S432" s="43" t="str">
        <f>IFERROR(IF(VLOOKUP(B432,Baza[[№]:[Profit]],17,0)=0,"-",VLOOKUP(B432,Baza[[№]:[Profit]],17,0)),"")</f>
        <v/>
      </c>
      <c r="T432" s="43" t="str">
        <f>IFERROR(IF(VLOOKUP(B432,Baza[[№]:[Profit]],18,0)=0,"-",VLOOKUP(B432,Baza[[№]:[Profit]],18,0)),"")</f>
        <v/>
      </c>
      <c r="U432" s="41" t="str">
        <f>IFERROR(IF(VLOOKUP(B432,Baza[[№]:[Profit]],19,0)=0,"-",VLOOKUP(B432,Baza[[№]:[Profit]],19,0)),"")</f>
        <v/>
      </c>
      <c r="V432" s="41" t="str">
        <f>IFERROR(VLOOKUP(B432,Baza[[№]:[Profit]],20,0),"")</f>
        <v/>
      </c>
      <c r="W432" s="41" t="str">
        <f>IFERROR(IF(VLOOKUP(B432,Baza[[№]:[Profit]],21,0)=0,"-",VLOOKUP(B432,Baza[[№]:[Profit]],21,0)),"")</f>
        <v/>
      </c>
      <c r="X432" s="45" t="str">
        <f>IFERROR(IF(VLOOKUP(B432,Baza[[№]:[Profit]],22,0)=0,"-",VLOOKUP(B432,Baza[[№]:[Profit]],22,0)),"")</f>
        <v/>
      </c>
      <c r="Y432" s="45" t="str">
        <f>IFERROR(VLOOKUP(B432,Baza[[№]:[Profit]],23,0),"")</f>
        <v/>
      </c>
      <c r="Z432" s="44" t="str">
        <f>IFERROR(VLOOKUP(B432,Baza[[№]:[AFS]],24,0),"")</f>
        <v/>
      </c>
      <c r="AA432" s="45" t="str">
        <f>IF(Таблица2[[#This Row],[Profit]]="","#Н/Д",SUM($Y$40:Y432))</f>
        <v>#Н/Д</v>
      </c>
      <c r="AB432" s="45" t="b">
        <f>IF(Таблица2[[#This Row],[Grafik]]="#Н/Д",FALSE,TRUE)</f>
        <v>0</v>
      </c>
    </row>
    <row r="433" spans="2:28" ht="11.1" hidden="1" customHeight="1" x14ac:dyDescent="0.25">
      <c r="B433"/>
      <c r="C433" s="41" t="str">
        <f>IFERROR(VLOOKUP(B433,Baza[[№]:[Profit]],2,0),"")</f>
        <v/>
      </c>
      <c r="D43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3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33" s="43" t="str">
        <f>IFERROR(VLOOKUP(B433,Baza[[№]:[Profit]],3,0),"")</f>
        <v/>
      </c>
      <c r="G433" s="43" t="str">
        <f>IFERROR(VLOOKUP(B433,Baza[[№]:[Profit]],4,0),"")</f>
        <v/>
      </c>
      <c r="H433" s="43" t="str">
        <f>IFERROR(VLOOKUP(B433,Baza[[№]:[Profit]],5,0),"")</f>
        <v/>
      </c>
      <c r="I433" s="46" t="str">
        <f>IFERROR(VLOOKUP(B433,Baza[[№]:[Profit]],6,0),"")</f>
        <v/>
      </c>
      <c r="J433" s="49" t="str">
        <f>IFERROR(VLOOKUP(B433,Baza[[№]:[Profit]],7,0),"")</f>
        <v/>
      </c>
      <c r="K433" s="43" t="str">
        <f>IFERROR(VLOOKUP(B433,Baza[[№]:[Profit]],8,0),"")</f>
        <v/>
      </c>
      <c r="L433" s="43" t="str">
        <f>IFERROR(VLOOKUP(B433,Baza[[№]:[Profit]],9,0),"")</f>
        <v/>
      </c>
      <c r="M433" s="43" t="str">
        <f>IFERROR(VLOOKUP(B433,Baza[[№]:[Profit]],10,0),"")</f>
        <v/>
      </c>
      <c r="N433" s="43" t="str">
        <f>IFERROR(IF(VLOOKUP(B433,Baza[[№]:[Profit]],11,0)=0,"-",VLOOKUP(B433,Baza[[№]:[Profit]],11,0)),"")</f>
        <v/>
      </c>
      <c r="O433" s="43" t="str">
        <f>IFERROR(IF(VLOOKUP(B433,Baza[[№]:[Profit]],12,0)=0,"-",VLOOKUP(B433,Baza[[№]:[Profit]],12,0)),"")</f>
        <v/>
      </c>
      <c r="P433" s="43" t="str">
        <f>IFERROR(IF(VLOOKUP(B433,Baza[[№]:[Profit]],13,0)=0,"-",VLOOKUP(B433,Baza[[№]:[Profit]],13,0)),"")</f>
        <v/>
      </c>
      <c r="Q433" s="43" t="str">
        <f>IFERROR(IF(VLOOKUP(B433,Baza[[№]:[Profit]],15,0)=0,"-",VLOOKUP(B433,Baza[[№]:[Profit]],15,0)),"")</f>
        <v/>
      </c>
      <c r="R433" s="43" t="str">
        <f>IFERROR(IF(VLOOKUP(B433,Baza[[№]:[Profit]],16,0)=0,"-",VLOOKUP(B433,Baza[[№]:[Profit]],16,0)),"")</f>
        <v/>
      </c>
      <c r="S433" s="43" t="str">
        <f>IFERROR(IF(VLOOKUP(B433,Baza[[№]:[Profit]],17,0)=0,"-",VLOOKUP(B433,Baza[[№]:[Profit]],17,0)),"")</f>
        <v/>
      </c>
      <c r="T433" s="43" t="str">
        <f>IFERROR(IF(VLOOKUP(B433,Baza[[№]:[Profit]],18,0)=0,"-",VLOOKUP(B433,Baza[[№]:[Profit]],18,0)),"")</f>
        <v/>
      </c>
      <c r="U433" s="41" t="str">
        <f>IFERROR(IF(VLOOKUP(B433,Baza[[№]:[Profit]],19,0)=0,"-",VLOOKUP(B433,Baza[[№]:[Profit]],19,0)),"")</f>
        <v/>
      </c>
      <c r="V433" s="41" t="str">
        <f>IFERROR(VLOOKUP(B433,Baza[[№]:[Profit]],20,0),"")</f>
        <v/>
      </c>
      <c r="W433" s="41" t="str">
        <f>IFERROR(IF(VLOOKUP(B433,Baza[[№]:[Profit]],21,0)=0,"-",VLOOKUP(B433,Baza[[№]:[Profit]],21,0)),"")</f>
        <v/>
      </c>
      <c r="X433" s="45" t="str">
        <f>IFERROR(IF(VLOOKUP(B433,Baza[[№]:[Profit]],22,0)=0,"-",VLOOKUP(B433,Baza[[№]:[Profit]],22,0)),"")</f>
        <v/>
      </c>
      <c r="Y433" s="45" t="str">
        <f>IFERROR(VLOOKUP(B433,Baza[[№]:[Profit]],23,0),"")</f>
        <v/>
      </c>
      <c r="Z433" s="44" t="str">
        <f>IFERROR(VLOOKUP(B433,Baza[[№]:[AFS]],24,0),"")</f>
        <v/>
      </c>
      <c r="AA433" s="45" t="str">
        <f>IF(Таблица2[[#This Row],[Profit]]="","#Н/Д",SUM($Y$40:Y433))</f>
        <v>#Н/Д</v>
      </c>
      <c r="AB433" s="45" t="b">
        <f>IF(Таблица2[[#This Row],[Grafik]]="#Н/Д",FALSE,TRUE)</f>
        <v>0</v>
      </c>
    </row>
    <row r="434" spans="2:28" ht="11.1" hidden="1" customHeight="1" x14ac:dyDescent="0.25">
      <c r="B434"/>
      <c r="C434" s="41" t="str">
        <f>IFERROR(VLOOKUP(B434,Baza[[№]:[Profit]],2,0),"")</f>
        <v/>
      </c>
      <c r="D43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3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34" s="43" t="str">
        <f>IFERROR(VLOOKUP(B434,Baza[[№]:[Profit]],3,0),"")</f>
        <v/>
      </c>
      <c r="G434" s="43" t="str">
        <f>IFERROR(VLOOKUP(B434,Baza[[№]:[Profit]],4,0),"")</f>
        <v/>
      </c>
      <c r="H434" s="43" t="str">
        <f>IFERROR(VLOOKUP(B434,Baza[[№]:[Profit]],5,0),"")</f>
        <v/>
      </c>
      <c r="I434" s="46" t="str">
        <f>IFERROR(VLOOKUP(B434,Baza[[№]:[Profit]],6,0),"")</f>
        <v/>
      </c>
      <c r="J434" s="49" t="str">
        <f>IFERROR(VLOOKUP(B434,Baza[[№]:[Profit]],7,0),"")</f>
        <v/>
      </c>
      <c r="K434" s="43" t="str">
        <f>IFERROR(VLOOKUP(B434,Baza[[№]:[Profit]],8,0),"")</f>
        <v/>
      </c>
      <c r="L434" s="43" t="str">
        <f>IFERROR(VLOOKUP(B434,Baza[[№]:[Profit]],9,0),"")</f>
        <v/>
      </c>
      <c r="M434" s="43" t="str">
        <f>IFERROR(VLOOKUP(B434,Baza[[№]:[Profit]],10,0),"")</f>
        <v/>
      </c>
      <c r="N434" s="43" t="str">
        <f>IFERROR(IF(VLOOKUP(B434,Baza[[№]:[Profit]],11,0)=0,"-",VLOOKUP(B434,Baza[[№]:[Profit]],11,0)),"")</f>
        <v/>
      </c>
      <c r="O434" s="43" t="str">
        <f>IFERROR(IF(VLOOKUP(B434,Baza[[№]:[Profit]],12,0)=0,"-",VLOOKUP(B434,Baza[[№]:[Profit]],12,0)),"")</f>
        <v/>
      </c>
      <c r="P434" s="43" t="str">
        <f>IFERROR(IF(VLOOKUP(B434,Baza[[№]:[Profit]],13,0)=0,"-",VLOOKUP(B434,Baza[[№]:[Profit]],13,0)),"")</f>
        <v/>
      </c>
      <c r="Q434" s="43" t="str">
        <f>IFERROR(IF(VLOOKUP(B434,Baza[[№]:[Profit]],15,0)=0,"-",VLOOKUP(B434,Baza[[№]:[Profit]],15,0)),"")</f>
        <v/>
      </c>
      <c r="R434" s="43" t="str">
        <f>IFERROR(IF(VLOOKUP(B434,Baza[[№]:[Profit]],16,0)=0,"-",VLOOKUP(B434,Baza[[№]:[Profit]],16,0)),"")</f>
        <v/>
      </c>
      <c r="S434" s="43" t="str">
        <f>IFERROR(IF(VLOOKUP(B434,Baza[[№]:[Profit]],17,0)=0,"-",VLOOKUP(B434,Baza[[№]:[Profit]],17,0)),"")</f>
        <v/>
      </c>
      <c r="T434" s="43" t="str">
        <f>IFERROR(IF(VLOOKUP(B434,Baza[[№]:[Profit]],18,0)=0,"-",VLOOKUP(B434,Baza[[№]:[Profit]],18,0)),"")</f>
        <v/>
      </c>
      <c r="U434" s="41" t="str">
        <f>IFERROR(IF(VLOOKUP(B434,Baza[[№]:[Profit]],19,0)=0,"-",VLOOKUP(B434,Baza[[№]:[Profit]],19,0)),"")</f>
        <v/>
      </c>
      <c r="V434" s="41" t="str">
        <f>IFERROR(VLOOKUP(B434,Baza[[№]:[Profit]],20,0),"")</f>
        <v/>
      </c>
      <c r="W434" s="41" t="str">
        <f>IFERROR(IF(VLOOKUP(B434,Baza[[№]:[Profit]],21,0)=0,"-",VLOOKUP(B434,Baza[[№]:[Profit]],21,0)),"")</f>
        <v/>
      </c>
      <c r="X434" s="45" t="str">
        <f>IFERROR(IF(VLOOKUP(B434,Baza[[№]:[Profit]],22,0)=0,"-",VLOOKUP(B434,Baza[[№]:[Profit]],22,0)),"")</f>
        <v/>
      </c>
      <c r="Y434" s="45" t="str">
        <f>IFERROR(VLOOKUP(B434,Baza[[№]:[Profit]],23,0),"")</f>
        <v/>
      </c>
      <c r="Z434" s="44" t="str">
        <f>IFERROR(VLOOKUP(B434,Baza[[№]:[AFS]],24,0),"")</f>
        <v/>
      </c>
      <c r="AA434" s="45" t="str">
        <f>IF(Таблица2[[#This Row],[Profit]]="","#Н/Д",SUM($Y$40:Y434))</f>
        <v>#Н/Д</v>
      </c>
      <c r="AB434" s="45" t="b">
        <f>IF(Таблица2[[#This Row],[Grafik]]="#Н/Д",FALSE,TRUE)</f>
        <v>0</v>
      </c>
    </row>
    <row r="435" spans="2:28" ht="11.1" hidden="1" customHeight="1" x14ac:dyDescent="0.25">
      <c r="B435"/>
      <c r="C435" s="41" t="str">
        <f>IFERROR(VLOOKUP(B435,Baza[[№]:[Profit]],2,0),"")</f>
        <v/>
      </c>
      <c r="D43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3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35" s="43" t="str">
        <f>IFERROR(VLOOKUP(B435,Baza[[№]:[Profit]],3,0),"")</f>
        <v/>
      </c>
      <c r="G435" s="43" t="str">
        <f>IFERROR(VLOOKUP(B435,Baza[[№]:[Profit]],4,0),"")</f>
        <v/>
      </c>
      <c r="H435" s="43" t="str">
        <f>IFERROR(VLOOKUP(B435,Baza[[№]:[Profit]],5,0),"")</f>
        <v/>
      </c>
      <c r="I435" s="46" t="str">
        <f>IFERROR(VLOOKUP(B435,Baza[[№]:[Profit]],6,0),"")</f>
        <v/>
      </c>
      <c r="J435" s="49" t="str">
        <f>IFERROR(VLOOKUP(B435,Baza[[№]:[Profit]],7,0),"")</f>
        <v/>
      </c>
      <c r="K435" s="43" t="str">
        <f>IFERROR(VLOOKUP(B435,Baza[[№]:[Profit]],8,0),"")</f>
        <v/>
      </c>
      <c r="L435" s="43" t="str">
        <f>IFERROR(VLOOKUP(B435,Baza[[№]:[Profit]],9,0),"")</f>
        <v/>
      </c>
      <c r="M435" s="43" t="str">
        <f>IFERROR(VLOOKUP(B435,Baza[[№]:[Profit]],10,0),"")</f>
        <v/>
      </c>
      <c r="N435" s="43" t="str">
        <f>IFERROR(IF(VLOOKUP(B435,Baza[[№]:[Profit]],11,0)=0,"-",VLOOKUP(B435,Baza[[№]:[Profit]],11,0)),"")</f>
        <v/>
      </c>
      <c r="O435" s="43" t="str">
        <f>IFERROR(IF(VLOOKUP(B435,Baza[[№]:[Profit]],12,0)=0,"-",VLOOKUP(B435,Baza[[№]:[Profit]],12,0)),"")</f>
        <v/>
      </c>
      <c r="P435" s="43" t="str">
        <f>IFERROR(IF(VLOOKUP(B435,Baza[[№]:[Profit]],13,0)=0,"-",VLOOKUP(B435,Baza[[№]:[Profit]],13,0)),"")</f>
        <v/>
      </c>
      <c r="Q435" s="43" t="str">
        <f>IFERROR(IF(VLOOKUP(B435,Baza[[№]:[Profit]],15,0)=0,"-",VLOOKUP(B435,Baza[[№]:[Profit]],15,0)),"")</f>
        <v/>
      </c>
      <c r="R435" s="43" t="str">
        <f>IFERROR(IF(VLOOKUP(B435,Baza[[№]:[Profit]],16,0)=0,"-",VLOOKUP(B435,Baza[[№]:[Profit]],16,0)),"")</f>
        <v/>
      </c>
      <c r="S435" s="43" t="str">
        <f>IFERROR(IF(VLOOKUP(B435,Baza[[№]:[Profit]],17,0)=0,"-",VLOOKUP(B435,Baza[[№]:[Profit]],17,0)),"")</f>
        <v/>
      </c>
      <c r="T435" s="43" t="str">
        <f>IFERROR(IF(VLOOKUP(B435,Baza[[№]:[Profit]],18,0)=0,"-",VLOOKUP(B435,Baza[[№]:[Profit]],18,0)),"")</f>
        <v/>
      </c>
      <c r="U435" s="41" t="str">
        <f>IFERROR(IF(VLOOKUP(B435,Baza[[№]:[Profit]],19,0)=0,"-",VLOOKUP(B435,Baza[[№]:[Profit]],19,0)),"")</f>
        <v/>
      </c>
      <c r="V435" s="41" t="str">
        <f>IFERROR(VLOOKUP(B435,Baza[[№]:[Profit]],20,0),"")</f>
        <v/>
      </c>
      <c r="W435" s="41" t="str">
        <f>IFERROR(IF(VLOOKUP(B435,Baza[[№]:[Profit]],21,0)=0,"-",VLOOKUP(B435,Baza[[№]:[Profit]],21,0)),"")</f>
        <v/>
      </c>
      <c r="X435" s="45" t="str">
        <f>IFERROR(IF(VLOOKUP(B435,Baza[[№]:[Profit]],22,0)=0,"-",VLOOKUP(B435,Baza[[№]:[Profit]],22,0)),"")</f>
        <v/>
      </c>
      <c r="Y435" s="45" t="str">
        <f>IFERROR(VLOOKUP(B435,Baza[[№]:[Profit]],23,0),"")</f>
        <v/>
      </c>
      <c r="Z435" s="44" t="str">
        <f>IFERROR(VLOOKUP(B435,Baza[[№]:[AFS]],24,0),"")</f>
        <v/>
      </c>
      <c r="AA435" s="45" t="str">
        <f>IF(Таблица2[[#This Row],[Profit]]="","#Н/Д",SUM($Y$40:Y435))</f>
        <v>#Н/Д</v>
      </c>
      <c r="AB435" s="45" t="b">
        <f>IF(Таблица2[[#This Row],[Grafik]]="#Н/Д",FALSE,TRUE)</f>
        <v>0</v>
      </c>
    </row>
    <row r="436" spans="2:28" ht="11.1" hidden="1" customHeight="1" x14ac:dyDescent="0.25">
      <c r="B436"/>
      <c r="C436" s="41" t="str">
        <f>IFERROR(VLOOKUP(B436,Baza[[№]:[Profit]],2,0),"")</f>
        <v/>
      </c>
      <c r="D43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3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36" s="43" t="str">
        <f>IFERROR(VLOOKUP(B436,Baza[[№]:[Profit]],3,0),"")</f>
        <v/>
      </c>
      <c r="G436" s="43" t="str">
        <f>IFERROR(VLOOKUP(B436,Baza[[№]:[Profit]],4,0),"")</f>
        <v/>
      </c>
      <c r="H436" s="43" t="str">
        <f>IFERROR(VLOOKUP(B436,Baza[[№]:[Profit]],5,0),"")</f>
        <v/>
      </c>
      <c r="I436" s="46" t="str">
        <f>IFERROR(VLOOKUP(B436,Baza[[№]:[Profit]],6,0),"")</f>
        <v/>
      </c>
      <c r="J436" s="49" t="str">
        <f>IFERROR(VLOOKUP(B436,Baza[[№]:[Profit]],7,0),"")</f>
        <v/>
      </c>
      <c r="K436" s="43" t="str">
        <f>IFERROR(VLOOKUP(B436,Baza[[№]:[Profit]],8,0),"")</f>
        <v/>
      </c>
      <c r="L436" s="43" t="str">
        <f>IFERROR(VLOOKUP(B436,Baza[[№]:[Profit]],9,0),"")</f>
        <v/>
      </c>
      <c r="M436" s="43" t="str">
        <f>IFERROR(VLOOKUP(B436,Baza[[№]:[Profit]],10,0),"")</f>
        <v/>
      </c>
      <c r="N436" s="43" t="str">
        <f>IFERROR(IF(VLOOKUP(B436,Baza[[№]:[Profit]],11,0)=0,"-",VLOOKUP(B436,Baza[[№]:[Profit]],11,0)),"")</f>
        <v/>
      </c>
      <c r="O436" s="43" t="str">
        <f>IFERROR(IF(VLOOKUP(B436,Baza[[№]:[Profit]],12,0)=0,"-",VLOOKUP(B436,Baza[[№]:[Profit]],12,0)),"")</f>
        <v/>
      </c>
      <c r="P436" s="43" t="str">
        <f>IFERROR(IF(VLOOKUP(B436,Baza[[№]:[Profit]],13,0)=0,"-",VLOOKUP(B436,Baza[[№]:[Profit]],13,0)),"")</f>
        <v/>
      </c>
      <c r="Q436" s="43" t="str">
        <f>IFERROR(IF(VLOOKUP(B436,Baza[[№]:[Profit]],15,0)=0,"-",VLOOKUP(B436,Baza[[№]:[Profit]],15,0)),"")</f>
        <v/>
      </c>
      <c r="R436" s="43" t="str">
        <f>IFERROR(IF(VLOOKUP(B436,Baza[[№]:[Profit]],16,0)=0,"-",VLOOKUP(B436,Baza[[№]:[Profit]],16,0)),"")</f>
        <v/>
      </c>
      <c r="S436" s="43" t="str">
        <f>IFERROR(IF(VLOOKUP(B436,Baza[[№]:[Profit]],17,0)=0,"-",VLOOKUP(B436,Baza[[№]:[Profit]],17,0)),"")</f>
        <v/>
      </c>
      <c r="T436" s="43" t="str">
        <f>IFERROR(IF(VLOOKUP(B436,Baza[[№]:[Profit]],18,0)=0,"-",VLOOKUP(B436,Baza[[№]:[Profit]],18,0)),"")</f>
        <v/>
      </c>
      <c r="U436" s="41" t="str">
        <f>IFERROR(IF(VLOOKUP(B436,Baza[[№]:[Profit]],19,0)=0,"-",VLOOKUP(B436,Baza[[№]:[Profit]],19,0)),"")</f>
        <v/>
      </c>
      <c r="V436" s="41" t="str">
        <f>IFERROR(VLOOKUP(B436,Baza[[№]:[Profit]],20,0),"")</f>
        <v/>
      </c>
      <c r="W436" s="41" t="str">
        <f>IFERROR(IF(VLOOKUP(B436,Baza[[№]:[Profit]],21,0)=0,"-",VLOOKUP(B436,Baza[[№]:[Profit]],21,0)),"")</f>
        <v/>
      </c>
      <c r="X436" s="45" t="str">
        <f>IFERROR(IF(VLOOKUP(B436,Baza[[№]:[Profit]],22,0)=0,"-",VLOOKUP(B436,Baza[[№]:[Profit]],22,0)),"")</f>
        <v/>
      </c>
      <c r="Y436" s="45" t="str">
        <f>IFERROR(VLOOKUP(B436,Baza[[№]:[Profit]],23,0),"")</f>
        <v/>
      </c>
      <c r="Z436" s="44" t="str">
        <f>IFERROR(VLOOKUP(B436,Baza[[№]:[AFS]],24,0),"")</f>
        <v/>
      </c>
      <c r="AA436" s="45" t="str">
        <f>IF(Таблица2[[#This Row],[Profit]]="","#Н/Д",SUM($Y$40:Y436))</f>
        <v>#Н/Д</v>
      </c>
      <c r="AB436" s="45" t="b">
        <f>IF(Таблица2[[#This Row],[Grafik]]="#Н/Д",FALSE,TRUE)</f>
        <v>0</v>
      </c>
    </row>
    <row r="437" spans="2:28" ht="11.1" hidden="1" customHeight="1" x14ac:dyDescent="0.25">
      <c r="B437"/>
      <c r="C437" s="41" t="str">
        <f>IFERROR(VLOOKUP(B437,Baza[[№]:[Profit]],2,0),"")</f>
        <v/>
      </c>
      <c r="D43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3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37" s="43" t="str">
        <f>IFERROR(VLOOKUP(B437,Baza[[№]:[Profit]],3,0),"")</f>
        <v/>
      </c>
      <c r="G437" s="43" t="str">
        <f>IFERROR(VLOOKUP(B437,Baza[[№]:[Profit]],4,0),"")</f>
        <v/>
      </c>
      <c r="H437" s="43" t="str">
        <f>IFERROR(VLOOKUP(B437,Baza[[№]:[Profit]],5,0),"")</f>
        <v/>
      </c>
      <c r="I437" s="46" t="str">
        <f>IFERROR(VLOOKUP(B437,Baza[[№]:[Profit]],6,0),"")</f>
        <v/>
      </c>
      <c r="J437" s="49" t="str">
        <f>IFERROR(VLOOKUP(B437,Baza[[№]:[Profit]],7,0),"")</f>
        <v/>
      </c>
      <c r="K437" s="43" t="str">
        <f>IFERROR(VLOOKUP(B437,Baza[[№]:[Profit]],8,0),"")</f>
        <v/>
      </c>
      <c r="L437" s="43" t="str">
        <f>IFERROR(VLOOKUP(B437,Baza[[№]:[Profit]],9,0),"")</f>
        <v/>
      </c>
      <c r="M437" s="43" t="str">
        <f>IFERROR(VLOOKUP(B437,Baza[[№]:[Profit]],10,0),"")</f>
        <v/>
      </c>
      <c r="N437" s="43" t="str">
        <f>IFERROR(IF(VLOOKUP(B437,Baza[[№]:[Profit]],11,0)=0,"-",VLOOKUP(B437,Baza[[№]:[Profit]],11,0)),"")</f>
        <v/>
      </c>
      <c r="O437" s="43" t="str">
        <f>IFERROR(IF(VLOOKUP(B437,Baza[[№]:[Profit]],12,0)=0,"-",VLOOKUP(B437,Baza[[№]:[Profit]],12,0)),"")</f>
        <v/>
      </c>
      <c r="P437" s="43" t="str">
        <f>IFERROR(IF(VLOOKUP(B437,Baza[[№]:[Profit]],13,0)=0,"-",VLOOKUP(B437,Baza[[№]:[Profit]],13,0)),"")</f>
        <v/>
      </c>
      <c r="Q437" s="43" t="str">
        <f>IFERROR(IF(VLOOKUP(B437,Baza[[№]:[Profit]],15,0)=0,"-",VLOOKUP(B437,Baza[[№]:[Profit]],15,0)),"")</f>
        <v/>
      </c>
      <c r="R437" s="43" t="str">
        <f>IFERROR(IF(VLOOKUP(B437,Baza[[№]:[Profit]],16,0)=0,"-",VLOOKUP(B437,Baza[[№]:[Profit]],16,0)),"")</f>
        <v/>
      </c>
      <c r="S437" s="43" t="str">
        <f>IFERROR(IF(VLOOKUP(B437,Baza[[№]:[Profit]],17,0)=0,"-",VLOOKUP(B437,Baza[[№]:[Profit]],17,0)),"")</f>
        <v/>
      </c>
      <c r="T437" s="43" t="str">
        <f>IFERROR(IF(VLOOKUP(B437,Baza[[№]:[Profit]],18,0)=0,"-",VLOOKUP(B437,Baza[[№]:[Profit]],18,0)),"")</f>
        <v/>
      </c>
      <c r="U437" s="41" t="str">
        <f>IFERROR(IF(VLOOKUP(B437,Baza[[№]:[Profit]],19,0)=0,"-",VLOOKUP(B437,Baza[[№]:[Profit]],19,0)),"")</f>
        <v/>
      </c>
      <c r="V437" s="41" t="str">
        <f>IFERROR(VLOOKUP(B437,Baza[[№]:[Profit]],20,0),"")</f>
        <v/>
      </c>
      <c r="W437" s="41" t="str">
        <f>IFERROR(IF(VLOOKUP(B437,Baza[[№]:[Profit]],21,0)=0,"-",VLOOKUP(B437,Baza[[№]:[Profit]],21,0)),"")</f>
        <v/>
      </c>
      <c r="X437" s="45" t="str">
        <f>IFERROR(IF(VLOOKUP(B437,Baza[[№]:[Profit]],22,0)=0,"-",VLOOKUP(B437,Baza[[№]:[Profit]],22,0)),"")</f>
        <v/>
      </c>
      <c r="Y437" s="45" t="str">
        <f>IFERROR(VLOOKUP(B437,Baza[[№]:[Profit]],23,0),"")</f>
        <v/>
      </c>
      <c r="Z437" s="44" t="str">
        <f>IFERROR(VLOOKUP(B437,Baza[[№]:[AFS]],24,0),"")</f>
        <v/>
      </c>
      <c r="AA437" s="45" t="str">
        <f>IF(Таблица2[[#This Row],[Profit]]="","#Н/Д",SUM($Y$40:Y437))</f>
        <v>#Н/Д</v>
      </c>
      <c r="AB437" s="45" t="b">
        <f>IF(Таблица2[[#This Row],[Grafik]]="#Н/Д",FALSE,TRUE)</f>
        <v>0</v>
      </c>
    </row>
    <row r="438" spans="2:28" ht="11.1" hidden="1" customHeight="1" x14ac:dyDescent="0.25">
      <c r="B438"/>
      <c r="C438" s="41" t="str">
        <f>IFERROR(VLOOKUP(B438,Baza[[№]:[Profit]],2,0),"")</f>
        <v/>
      </c>
      <c r="D43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3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38" s="43" t="str">
        <f>IFERROR(VLOOKUP(B438,Baza[[№]:[Profit]],3,0),"")</f>
        <v/>
      </c>
      <c r="G438" s="43" t="str">
        <f>IFERROR(VLOOKUP(B438,Baza[[№]:[Profit]],4,0),"")</f>
        <v/>
      </c>
      <c r="H438" s="43" t="str">
        <f>IFERROR(VLOOKUP(B438,Baza[[№]:[Profit]],5,0),"")</f>
        <v/>
      </c>
      <c r="I438" s="46" t="str">
        <f>IFERROR(VLOOKUP(B438,Baza[[№]:[Profit]],6,0),"")</f>
        <v/>
      </c>
      <c r="J438" s="49" t="str">
        <f>IFERROR(VLOOKUP(B438,Baza[[№]:[Profit]],7,0),"")</f>
        <v/>
      </c>
      <c r="K438" s="43" t="str">
        <f>IFERROR(VLOOKUP(B438,Baza[[№]:[Profit]],8,0),"")</f>
        <v/>
      </c>
      <c r="L438" s="43" t="str">
        <f>IFERROR(VLOOKUP(B438,Baza[[№]:[Profit]],9,0),"")</f>
        <v/>
      </c>
      <c r="M438" s="43" t="str">
        <f>IFERROR(VLOOKUP(B438,Baza[[№]:[Profit]],10,0),"")</f>
        <v/>
      </c>
      <c r="N438" s="43" t="str">
        <f>IFERROR(IF(VLOOKUP(B438,Baza[[№]:[Profit]],11,0)=0,"-",VLOOKUP(B438,Baza[[№]:[Profit]],11,0)),"")</f>
        <v/>
      </c>
      <c r="O438" s="43" t="str">
        <f>IFERROR(IF(VLOOKUP(B438,Baza[[№]:[Profit]],12,0)=0,"-",VLOOKUP(B438,Baza[[№]:[Profit]],12,0)),"")</f>
        <v/>
      </c>
      <c r="P438" s="43" t="str">
        <f>IFERROR(IF(VLOOKUP(B438,Baza[[№]:[Profit]],13,0)=0,"-",VLOOKUP(B438,Baza[[№]:[Profit]],13,0)),"")</f>
        <v/>
      </c>
      <c r="Q438" s="43" t="str">
        <f>IFERROR(IF(VLOOKUP(B438,Baza[[№]:[Profit]],15,0)=0,"-",VLOOKUP(B438,Baza[[№]:[Profit]],15,0)),"")</f>
        <v/>
      </c>
      <c r="R438" s="43" t="str">
        <f>IFERROR(IF(VLOOKUP(B438,Baza[[№]:[Profit]],16,0)=0,"-",VLOOKUP(B438,Baza[[№]:[Profit]],16,0)),"")</f>
        <v/>
      </c>
      <c r="S438" s="43" t="str">
        <f>IFERROR(IF(VLOOKUP(B438,Baza[[№]:[Profit]],17,0)=0,"-",VLOOKUP(B438,Baza[[№]:[Profit]],17,0)),"")</f>
        <v/>
      </c>
      <c r="T438" s="43" t="str">
        <f>IFERROR(IF(VLOOKUP(B438,Baza[[№]:[Profit]],18,0)=0,"-",VLOOKUP(B438,Baza[[№]:[Profit]],18,0)),"")</f>
        <v/>
      </c>
      <c r="U438" s="41" t="str">
        <f>IFERROR(IF(VLOOKUP(B438,Baza[[№]:[Profit]],19,0)=0,"-",VLOOKUP(B438,Baza[[№]:[Profit]],19,0)),"")</f>
        <v/>
      </c>
      <c r="V438" s="41" t="str">
        <f>IFERROR(VLOOKUP(B438,Baza[[№]:[Profit]],20,0),"")</f>
        <v/>
      </c>
      <c r="W438" s="41" t="str">
        <f>IFERROR(IF(VLOOKUP(B438,Baza[[№]:[Profit]],21,0)=0,"-",VLOOKUP(B438,Baza[[№]:[Profit]],21,0)),"")</f>
        <v/>
      </c>
      <c r="X438" s="45" t="str">
        <f>IFERROR(IF(VLOOKUP(B438,Baza[[№]:[Profit]],22,0)=0,"-",VLOOKUP(B438,Baza[[№]:[Profit]],22,0)),"")</f>
        <v/>
      </c>
      <c r="Y438" s="45" t="str">
        <f>IFERROR(VLOOKUP(B438,Baza[[№]:[Profit]],23,0),"")</f>
        <v/>
      </c>
      <c r="Z438" s="44" t="str">
        <f>IFERROR(VLOOKUP(B438,Baza[[№]:[AFS]],24,0),"")</f>
        <v/>
      </c>
      <c r="AA438" s="45" t="str">
        <f>IF(Таблица2[[#This Row],[Profit]]="","#Н/Д",SUM($Y$40:Y438))</f>
        <v>#Н/Д</v>
      </c>
      <c r="AB438" s="45" t="b">
        <f>IF(Таблица2[[#This Row],[Grafik]]="#Н/Д",FALSE,TRUE)</f>
        <v>0</v>
      </c>
    </row>
    <row r="439" spans="2:28" ht="11.1" hidden="1" customHeight="1" x14ac:dyDescent="0.25">
      <c r="B439"/>
      <c r="C439" s="41" t="str">
        <f>IFERROR(VLOOKUP(B439,Baza[[№]:[Profit]],2,0),"")</f>
        <v/>
      </c>
      <c r="D43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3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39" s="43" t="str">
        <f>IFERROR(VLOOKUP(B439,Baza[[№]:[Profit]],3,0),"")</f>
        <v/>
      </c>
      <c r="G439" s="43" t="str">
        <f>IFERROR(VLOOKUP(B439,Baza[[№]:[Profit]],4,0),"")</f>
        <v/>
      </c>
      <c r="H439" s="43" t="str">
        <f>IFERROR(VLOOKUP(B439,Baza[[№]:[Profit]],5,0),"")</f>
        <v/>
      </c>
      <c r="I439" s="46" t="str">
        <f>IFERROR(VLOOKUP(B439,Baza[[№]:[Profit]],6,0),"")</f>
        <v/>
      </c>
      <c r="J439" s="49" t="str">
        <f>IFERROR(VLOOKUP(B439,Baza[[№]:[Profit]],7,0),"")</f>
        <v/>
      </c>
      <c r="K439" s="43" t="str">
        <f>IFERROR(VLOOKUP(B439,Baza[[№]:[Profit]],8,0),"")</f>
        <v/>
      </c>
      <c r="L439" s="43" t="str">
        <f>IFERROR(VLOOKUP(B439,Baza[[№]:[Profit]],9,0),"")</f>
        <v/>
      </c>
      <c r="M439" s="43" t="str">
        <f>IFERROR(VLOOKUP(B439,Baza[[№]:[Profit]],10,0),"")</f>
        <v/>
      </c>
      <c r="N439" s="43" t="str">
        <f>IFERROR(IF(VLOOKUP(B439,Baza[[№]:[Profit]],11,0)=0,"-",VLOOKUP(B439,Baza[[№]:[Profit]],11,0)),"")</f>
        <v/>
      </c>
      <c r="O439" s="43" t="str">
        <f>IFERROR(IF(VLOOKUP(B439,Baza[[№]:[Profit]],12,0)=0,"-",VLOOKUP(B439,Baza[[№]:[Profit]],12,0)),"")</f>
        <v/>
      </c>
      <c r="P439" s="43" t="str">
        <f>IFERROR(IF(VLOOKUP(B439,Baza[[№]:[Profit]],13,0)=0,"-",VLOOKUP(B439,Baza[[№]:[Profit]],13,0)),"")</f>
        <v/>
      </c>
      <c r="Q439" s="43" t="str">
        <f>IFERROR(IF(VLOOKUP(B439,Baza[[№]:[Profit]],15,0)=0,"-",VLOOKUP(B439,Baza[[№]:[Profit]],15,0)),"")</f>
        <v/>
      </c>
      <c r="R439" s="43" t="str">
        <f>IFERROR(IF(VLOOKUP(B439,Baza[[№]:[Profit]],16,0)=0,"-",VLOOKUP(B439,Baza[[№]:[Profit]],16,0)),"")</f>
        <v/>
      </c>
      <c r="S439" s="43" t="str">
        <f>IFERROR(IF(VLOOKUP(B439,Baza[[№]:[Profit]],17,0)=0,"-",VLOOKUP(B439,Baza[[№]:[Profit]],17,0)),"")</f>
        <v/>
      </c>
      <c r="T439" s="43" t="str">
        <f>IFERROR(IF(VLOOKUP(B439,Baza[[№]:[Profit]],18,0)=0,"-",VLOOKUP(B439,Baza[[№]:[Profit]],18,0)),"")</f>
        <v/>
      </c>
      <c r="U439" s="41" t="str">
        <f>IFERROR(IF(VLOOKUP(B439,Baza[[№]:[Profit]],19,0)=0,"-",VLOOKUP(B439,Baza[[№]:[Profit]],19,0)),"")</f>
        <v/>
      </c>
      <c r="V439" s="41" t="str">
        <f>IFERROR(VLOOKUP(B439,Baza[[№]:[Profit]],20,0),"")</f>
        <v/>
      </c>
      <c r="W439" s="41" t="str">
        <f>IFERROR(IF(VLOOKUP(B439,Baza[[№]:[Profit]],21,0)=0,"-",VLOOKUP(B439,Baza[[№]:[Profit]],21,0)),"")</f>
        <v/>
      </c>
      <c r="X439" s="45" t="str">
        <f>IFERROR(IF(VLOOKUP(B439,Baza[[№]:[Profit]],22,0)=0,"-",VLOOKUP(B439,Baza[[№]:[Profit]],22,0)),"")</f>
        <v/>
      </c>
      <c r="Y439" s="45" t="str">
        <f>IFERROR(VLOOKUP(B439,Baza[[№]:[Profit]],23,0),"")</f>
        <v/>
      </c>
      <c r="Z439" s="44" t="str">
        <f>IFERROR(VLOOKUP(B439,Baza[[№]:[AFS]],24,0),"")</f>
        <v/>
      </c>
      <c r="AA439" s="45" t="str">
        <f>IF(Таблица2[[#This Row],[Profit]]="","#Н/Д",SUM($Y$40:Y439))</f>
        <v>#Н/Д</v>
      </c>
      <c r="AB439" s="45" t="b">
        <f>IF(Таблица2[[#This Row],[Grafik]]="#Н/Д",FALSE,TRUE)</f>
        <v>0</v>
      </c>
    </row>
    <row r="440" spans="2:28" ht="11.1" hidden="1" customHeight="1" x14ac:dyDescent="0.25">
      <c r="B440"/>
      <c r="C440" s="41" t="str">
        <f>IFERROR(VLOOKUP(B440,Baza[[№]:[Profit]],2,0),"")</f>
        <v/>
      </c>
      <c r="D44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4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40" s="43" t="str">
        <f>IFERROR(VLOOKUP(B440,Baza[[№]:[Profit]],3,0),"")</f>
        <v/>
      </c>
      <c r="G440" s="43" t="str">
        <f>IFERROR(VLOOKUP(B440,Baza[[№]:[Profit]],4,0),"")</f>
        <v/>
      </c>
      <c r="H440" s="43" t="str">
        <f>IFERROR(VLOOKUP(B440,Baza[[№]:[Profit]],5,0),"")</f>
        <v/>
      </c>
      <c r="I440" s="46" t="str">
        <f>IFERROR(VLOOKUP(B440,Baza[[№]:[Profit]],6,0),"")</f>
        <v/>
      </c>
      <c r="J440" s="49" t="str">
        <f>IFERROR(VLOOKUP(B440,Baza[[№]:[Profit]],7,0),"")</f>
        <v/>
      </c>
      <c r="K440" s="43" t="str">
        <f>IFERROR(VLOOKUP(B440,Baza[[№]:[Profit]],8,0),"")</f>
        <v/>
      </c>
      <c r="L440" s="43" t="str">
        <f>IFERROR(VLOOKUP(B440,Baza[[№]:[Profit]],9,0),"")</f>
        <v/>
      </c>
      <c r="M440" s="43" t="str">
        <f>IFERROR(VLOOKUP(B440,Baza[[№]:[Profit]],10,0),"")</f>
        <v/>
      </c>
      <c r="N440" s="43" t="str">
        <f>IFERROR(IF(VLOOKUP(B440,Baza[[№]:[Profit]],11,0)=0,"-",VLOOKUP(B440,Baza[[№]:[Profit]],11,0)),"")</f>
        <v/>
      </c>
      <c r="O440" s="43" t="str">
        <f>IFERROR(IF(VLOOKUP(B440,Baza[[№]:[Profit]],12,0)=0,"-",VLOOKUP(B440,Baza[[№]:[Profit]],12,0)),"")</f>
        <v/>
      </c>
      <c r="P440" s="43" t="str">
        <f>IFERROR(IF(VLOOKUP(B440,Baza[[№]:[Profit]],13,0)=0,"-",VLOOKUP(B440,Baza[[№]:[Profit]],13,0)),"")</f>
        <v/>
      </c>
      <c r="Q440" s="43" t="str">
        <f>IFERROR(IF(VLOOKUP(B440,Baza[[№]:[Profit]],15,0)=0,"-",VLOOKUP(B440,Baza[[№]:[Profit]],15,0)),"")</f>
        <v/>
      </c>
      <c r="R440" s="43" t="str">
        <f>IFERROR(IF(VLOOKUP(B440,Baza[[№]:[Profit]],16,0)=0,"-",VLOOKUP(B440,Baza[[№]:[Profit]],16,0)),"")</f>
        <v/>
      </c>
      <c r="S440" s="43" t="str">
        <f>IFERROR(IF(VLOOKUP(B440,Baza[[№]:[Profit]],17,0)=0,"-",VLOOKUP(B440,Baza[[№]:[Profit]],17,0)),"")</f>
        <v/>
      </c>
      <c r="T440" s="43" t="str">
        <f>IFERROR(IF(VLOOKUP(B440,Baza[[№]:[Profit]],18,0)=0,"-",VLOOKUP(B440,Baza[[№]:[Profit]],18,0)),"")</f>
        <v/>
      </c>
      <c r="U440" s="41" t="str">
        <f>IFERROR(IF(VLOOKUP(B440,Baza[[№]:[Profit]],19,0)=0,"-",VLOOKUP(B440,Baza[[№]:[Profit]],19,0)),"")</f>
        <v/>
      </c>
      <c r="V440" s="41" t="str">
        <f>IFERROR(VLOOKUP(B440,Baza[[№]:[Profit]],20,0),"")</f>
        <v/>
      </c>
      <c r="W440" s="41" t="str">
        <f>IFERROR(IF(VLOOKUP(B440,Baza[[№]:[Profit]],21,0)=0,"-",VLOOKUP(B440,Baza[[№]:[Profit]],21,0)),"")</f>
        <v/>
      </c>
      <c r="X440" s="45" t="str">
        <f>IFERROR(IF(VLOOKUP(B440,Baza[[№]:[Profit]],22,0)=0,"-",VLOOKUP(B440,Baza[[№]:[Profit]],22,0)),"")</f>
        <v/>
      </c>
      <c r="Y440" s="45" t="str">
        <f>IFERROR(VLOOKUP(B440,Baza[[№]:[Profit]],23,0),"")</f>
        <v/>
      </c>
      <c r="Z440" s="44" t="str">
        <f>IFERROR(VLOOKUP(B440,Baza[[№]:[AFS]],24,0),"")</f>
        <v/>
      </c>
      <c r="AA440" s="45" t="str">
        <f>IF(Таблица2[[#This Row],[Profit]]="","#Н/Д",SUM($Y$40:Y440))</f>
        <v>#Н/Д</v>
      </c>
      <c r="AB440" s="45" t="b">
        <f>IF(Таблица2[[#This Row],[Grafik]]="#Н/Д",FALSE,TRUE)</f>
        <v>0</v>
      </c>
    </row>
    <row r="441" spans="2:28" ht="11.1" hidden="1" customHeight="1" x14ac:dyDescent="0.25">
      <c r="B441"/>
      <c r="C441" s="41" t="str">
        <f>IFERROR(VLOOKUP(B441,Baza[[№]:[Profit]],2,0),"")</f>
        <v/>
      </c>
      <c r="D44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4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41" s="43" t="str">
        <f>IFERROR(VLOOKUP(B441,Baza[[№]:[Profit]],3,0),"")</f>
        <v/>
      </c>
      <c r="G441" s="43" t="str">
        <f>IFERROR(VLOOKUP(B441,Baza[[№]:[Profit]],4,0),"")</f>
        <v/>
      </c>
      <c r="H441" s="43" t="str">
        <f>IFERROR(VLOOKUP(B441,Baza[[№]:[Profit]],5,0),"")</f>
        <v/>
      </c>
      <c r="I441" s="46" t="str">
        <f>IFERROR(VLOOKUP(B441,Baza[[№]:[Profit]],6,0),"")</f>
        <v/>
      </c>
      <c r="J441" s="49" t="str">
        <f>IFERROR(VLOOKUP(B441,Baza[[№]:[Profit]],7,0),"")</f>
        <v/>
      </c>
      <c r="K441" s="43" t="str">
        <f>IFERROR(VLOOKUP(B441,Baza[[№]:[Profit]],8,0),"")</f>
        <v/>
      </c>
      <c r="L441" s="43" t="str">
        <f>IFERROR(VLOOKUP(B441,Baza[[№]:[Profit]],9,0),"")</f>
        <v/>
      </c>
      <c r="M441" s="43" t="str">
        <f>IFERROR(VLOOKUP(B441,Baza[[№]:[Profit]],10,0),"")</f>
        <v/>
      </c>
      <c r="N441" s="43" t="str">
        <f>IFERROR(IF(VLOOKUP(B441,Baza[[№]:[Profit]],11,0)=0,"-",VLOOKUP(B441,Baza[[№]:[Profit]],11,0)),"")</f>
        <v/>
      </c>
      <c r="O441" s="43" t="str">
        <f>IFERROR(IF(VLOOKUP(B441,Baza[[№]:[Profit]],12,0)=0,"-",VLOOKUP(B441,Baza[[№]:[Profit]],12,0)),"")</f>
        <v/>
      </c>
      <c r="P441" s="43" t="str">
        <f>IFERROR(IF(VLOOKUP(B441,Baza[[№]:[Profit]],13,0)=0,"-",VLOOKUP(B441,Baza[[№]:[Profit]],13,0)),"")</f>
        <v/>
      </c>
      <c r="Q441" s="43" t="str">
        <f>IFERROR(IF(VLOOKUP(B441,Baza[[№]:[Profit]],15,0)=0,"-",VLOOKUP(B441,Baza[[№]:[Profit]],15,0)),"")</f>
        <v/>
      </c>
      <c r="R441" s="43" t="str">
        <f>IFERROR(IF(VLOOKUP(B441,Baza[[№]:[Profit]],16,0)=0,"-",VLOOKUP(B441,Baza[[№]:[Profit]],16,0)),"")</f>
        <v/>
      </c>
      <c r="S441" s="43" t="str">
        <f>IFERROR(IF(VLOOKUP(B441,Baza[[№]:[Profit]],17,0)=0,"-",VLOOKUP(B441,Baza[[№]:[Profit]],17,0)),"")</f>
        <v/>
      </c>
      <c r="T441" s="43" t="str">
        <f>IFERROR(IF(VLOOKUP(B441,Baza[[№]:[Profit]],18,0)=0,"-",VLOOKUP(B441,Baza[[№]:[Profit]],18,0)),"")</f>
        <v/>
      </c>
      <c r="U441" s="41" t="str">
        <f>IFERROR(IF(VLOOKUP(B441,Baza[[№]:[Profit]],19,0)=0,"-",VLOOKUP(B441,Baza[[№]:[Profit]],19,0)),"")</f>
        <v/>
      </c>
      <c r="V441" s="41" t="str">
        <f>IFERROR(VLOOKUP(B441,Baza[[№]:[Profit]],20,0),"")</f>
        <v/>
      </c>
      <c r="W441" s="41" t="str">
        <f>IFERROR(IF(VLOOKUP(B441,Baza[[№]:[Profit]],21,0)=0,"-",VLOOKUP(B441,Baza[[№]:[Profit]],21,0)),"")</f>
        <v/>
      </c>
      <c r="X441" s="45" t="str">
        <f>IFERROR(IF(VLOOKUP(B441,Baza[[№]:[Profit]],22,0)=0,"-",VLOOKUP(B441,Baza[[№]:[Profit]],22,0)),"")</f>
        <v/>
      </c>
      <c r="Y441" s="45" t="str">
        <f>IFERROR(VLOOKUP(B441,Baza[[№]:[Profit]],23,0),"")</f>
        <v/>
      </c>
      <c r="Z441" s="44" t="str">
        <f>IFERROR(VLOOKUP(B441,Baza[[№]:[AFS]],24,0),"")</f>
        <v/>
      </c>
      <c r="AA441" s="45" t="str">
        <f>IF(Таблица2[[#This Row],[Profit]]="","#Н/Д",SUM($Y$40:Y441))</f>
        <v>#Н/Д</v>
      </c>
      <c r="AB441" s="45" t="b">
        <f>IF(Таблица2[[#This Row],[Grafik]]="#Н/Д",FALSE,TRUE)</f>
        <v>0</v>
      </c>
    </row>
    <row r="442" spans="2:28" ht="11.1" hidden="1" customHeight="1" x14ac:dyDescent="0.25">
      <c r="B442"/>
      <c r="C442" s="41" t="str">
        <f>IFERROR(VLOOKUP(B442,Baza[[№]:[Profit]],2,0),"")</f>
        <v/>
      </c>
      <c r="D44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4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42" s="43" t="str">
        <f>IFERROR(VLOOKUP(B442,Baza[[№]:[Profit]],3,0),"")</f>
        <v/>
      </c>
      <c r="G442" s="43" t="str">
        <f>IFERROR(VLOOKUP(B442,Baza[[№]:[Profit]],4,0),"")</f>
        <v/>
      </c>
      <c r="H442" s="43" t="str">
        <f>IFERROR(VLOOKUP(B442,Baza[[№]:[Profit]],5,0),"")</f>
        <v/>
      </c>
      <c r="I442" s="46" t="str">
        <f>IFERROR(VLOOKUP(B442,Baza[[№]:[Profit]],6,0),"")</f>
        <v/>
      </c>
      <c r="J442" s="49" t="str">
        <f>IFERROR(VLOOKUP(B442,Baza[[№]:[Profit]],7,0),"")</f>
        <v/>
      </c>
      <c r="K442" s="43" t="str">
        <f>IFERROR(VLOOKUP(B442,Baza[[№]:[Profit]],8,0),"")</f>
        <v/>
      </c>
      <c r="L442" s="43" t="str">
        <f>IFERROR(VLOOKUP(B442,Baza[[№]:[Profit]],9,0),"")</f>
        <v/>
      </c>
      <c r="M442" s="43" t="str">
        <f>IFERROR(VLOOKUP(B442,Baza[[№]:[Profit]],10,0),"")</f>
        <v/>
      </c>
      <c r="N442" s="43" t="str">
        <f>IFERROR(IF(VLOOKUP(B442,Baza[[№]:[Profit]],11,0)=0,"-",VLOOKUP(B442,Baza[[№]:[Profit]],11,0)),"")</f>
        <v/>
      </c>
      <c r="O442" s="43" t="str">
        <f>IFERROR(IF(VLOOKUP(B442,Baza[[№]:[Profit]],12,0)=0,"-",VLOOKUP(B442,Baza[[№]:[Profit]],12,0)),"")</f>
        <v/>
      </c>
      <c r="P442" s="43" t="str">
        <f>IFERROR(IF(VLOOKUP(B442,Baza[[№]:[Profit]],13,0)=0,"-",VLOOKUP(B442,Baza[[№]:[Profit]],13,0)),"")</f>
        <v/>
      </c>
      <c r="Q442" s="43" t="str">
        <f>IFERROR(IF(VLOOKUP(B442,Baza[[№]:[Profit]],15,0)=0,"-",VLOOKUP(B442,Baza[[№]:[Profit]],15,0)),"")</f>
        <v/>
      </c>
      <c r="R442" s="43" t="str">
        <f>IFERROR(IF(VLOOKUP(B442,Baza[[№]:[Profit]],16,0)=0,"-",VLOOKUP(B442,Baza[[№]:[Profit]],16,0)),"")</f>
        <v/>
      </c>
      <c r="S442" s="43" t="str">
        <f>IFERROR(IF(VLOOKUP(B442,Baza[[№]:[Profit]],17,0)=0,"-",VLOOKUP(B442,Baza[[№]:[Profit]],17,0)),"")</f>
        <v/>
      </c>
      <c r="T442" s="43" t="str">
        <f>IFERROR(IF(VLOOKUP(B442,Baza[[№]:[Profit]],18,0)=0,"-",VLOOKUP(B442,Baza[[№]:[Profit]],18,0)),"")</f>
        <v/>
      </c>
      <c r="U442" s="41" t="str">
        <f>IFERROR(IF(VLOOKUP(B442,Baza[[№]:[Profit]],19,0)=0,"-",VLOOKUP(B442,Baza[[№]:[Profit]],19,0)),"")</f>
        <v/>
      </c>
      <c r="V442" s="41" t="str">
        <f>IFERROR(VLOOKUP(B442,Baza[[№]:[Profit]],20,0),"")</f>
        <v/>
      </c>
      <c r="W442" s="41" t="str">
        <f>IFERROR(IF(VLOOKUP(B442,Baza[[№]:[Profit]],21,0)=0,"-",VLOOKUP(B442,Baza[[№]:[Profit]],21,0)),"")</f>
        <v/>
      </c>
      <c r="X442" s="45" t="str">
        <f>IFERROR(IF(VLOOKUP(B442,Baza[[№]:[Profit]],22,0)=0,"-",VLOOKUP(B442,Baza[[№]:[Profit]],22,0)),"")</f>
        <v/>
      </c>
      <c r="Y442" s="45" t="str">
        <f>IFERROR(VLOOKUP(B442,Baza[[№]:[Profit]],23,0),"")</f>
        <v/>
      </c>
      <c r="Z442" s="44" t="str">
        <f>IFERROR(VLOOKUP(B442,Baza[[№]:[AFS]],24,0),"")</f>
        <v/>
      </c>
      <c r="AA442" s="45" t="str">
        <f>IF(Таблица2[[#This Row],[Profit]]="","#Н/Д",SUM($Y$40:Y442))</f>
        <v>#Н/Д</v>
      </c>
      <c r="AB442" s="45" t="b">
        <f>IF(Таблица2[[#This Row],[Grafik]]="#Н/Д",FALSE,TRUE)</f>
        <v>0</v>
      </c>
    </row>
    <row r="443" spans="2:28" ht="11.1" hidden="1" customHeight="1" x14ac:dyDescent="0.25">
      <c r="B443"/>
      <c r="C443" s="41" t="str">
        <f>IFERROR(VLOOKUP(B443,Baza[[№]:[Profit]],2,0),"")</f>
        <v/>
      </c>
      <c r="D44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4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43" s="43" t="str">
        <f>IFERROR(VLOOKUP(B443,Baza[[№]:[Profit]],3,0),"")</f>
        <v/>
      </c>
      <c r="G443" s="43" t="str">
        <f>IFERROR(VLOOKUP(B443,Baza[[№]:[Profit]],4,0),"")</f>
        <v/>
      </c>
      <c r="H443" s="43" t="str">
        <f>IFERROR(VLOOKUP(B443,Baza[[№]:[Profit]],5,0),"")</f>
        <v/>
      </c>
      <c r="I443" s="46" t="str">
        <f>IFERROR(VLOOKUP(B443,Baza[[№]:[Profit]],6,0),"")</f>
        <v/>
      </c>
      <c r="J443" s="49" t="str">
        <f>IFERROR(VLOOKUP(B443,Baza[[№]:[Profit]],7,0),"")</f>
        <v/>
      </c>
      <c r="K443" s="43" t="str">
        <f>IFERROR(VLOOKUP(B443,Baza[[№]:[Profit]],8,0),"")</f>
        <v/>
      </c>
      <c r="L443" s="43" t="str">
        <f>IFERROR(VLOOKUP(B443,Baza[[№]:[Profit]],9,0),"")</f>
        <v/>
      </c>
      <c r="M443" s="43" t="str">
        <f>IFERROR(VLOOKUP(B443,Baza[[№]:[Profit]],10,0),"")</f>
        <v/>
      </c>
      <c r="N443" s="43" t="str">
        <f>IFERROR(IF(VLOOKUP(B443,Baza[[№]:[Profit]],11,0)=0,"-",VLOOKUP(B443,Baza[[№]:[Profit]],11,0)),"")</f>
        <v/>
      </c>
      <c r="O443" s="43" t="str">
        <f>IFERROR(IF(VLOOKUP(B443,Baza[[№]:[Profit]],12,0)=0,"-",VLOOKUP(B443,Baza[[№]:[Profit]],12,0)),"")</f>
        <v/>
      </c>
      <c r="P443" s="43" t="str">
        <f>IFERROR(IF(VLOOKUP(B443,Baza[[№]:[Profit]],13,0)=0,"-",VLOOKUP(B443,Baza[[№]:[Profit]],13,0)),"")</f>
        <v/>
      </c>
      <c r="Q443" s="43" t="str">
        <f>IFERROR(IF(VLOOKUP(B443,Baza[[№]:[Profit]],15,0)=0,"-",VLOOKUP(B443,Baza[[№]:[Profit]],15,0)),"")</f>
        <v/>
      </c>
      <c r="R443" s="43" t="str">
        <f>IFERROR(IF(VLOOKUP(B443,Baza[[№]:[Profit]],16,0)=0,"-",VLOOKUP(B443,Baza[[№]:[Profit]],16,0)),"")</f>
        <v/>
      </c>
      <c r="S443" s="43" t="str">
        <f>IFERROR(IF(VLOOKUP(B443,Baza[[№]:[Profit]],17,0)=0,"-",VLOOKUP(B443,Baza[[№]:[Profit]],17,0)),"")</f>
        <v/>
      </c>
      <c r="T443" s="43" t="str">
        <f>IFERROR(IF(VLOOKUP(B443,Baza[[№]:[Profit]],18,0)=0,"-",VLOOKUP(B443,Baza[[№]:[Profit]],18,0)),"")</f>
        <v/>
      </c>
      <c r="U443" s="41" t="str">
        <f>IFERROR(IF(VLOOKUP(B443,Baza[[№]:[Profit]],19,0)=0,"-",VLOOKUP(B443,Baza[[№]:[Profit]],19,0)),"")</f>
        <v/>
      </c>
      <c r="V443" s="41" t="str">
        <f>IFERROR(VLOOKUP(B443,Baza[[№]:[Profit]],20,0),"")</f>
        <v/>
      </c>
      <c r="W443" s="41" t="str">
        <f>IFERROR(IF(VLOOKUP(B443,Baza[[№]:[Profit]],21,0)=0,"-",VLOOKUP(B443,Baza[[№]:[Profit]],21,0)),"")</f>
        <v/>
      </c>
      <c r="X443" s="45" t="str">
        <f>IFERROR(IF(VLOOKUP(B443,Baza[[№]:[Profit]],22,0)=0,"-",VLOOKUP(B443,Baza[[№]:[Profit]],22,0)),"")</f>
        <v/>
      </c>
      <c r="Y443" s="45" t="str">
        <f>IFERROR(VLOOKUP(B443,Baza[[№]:[Profit]],23,0),"")</f>
        <v/>
      </c>
      <c r="Z443" s="44" t="str">
        <f>IFERROR(VLOOKUP(B443,Baza[[№]:[AFS]],24,0),"")</f>
        <v/>
      </c>
      <c r="AA443" s="45" t="str">
        <f>IF(Таблица2[[#This Row],[Profit]]="","#Н/Д",SUM($Y$40:Y443))</f>
        <v>#Н/Д</v>
      </c>
      <c r="AB443" s="45" t="b">
        <f>IF(Таблица2[[#This Row],[Grafik]]="#Н/Д",FALSE,TRUE)</f>
        <v>0</v>
      </c>
    </row>
    <row r="444" spans="2:28" ht="11.1" hidden="1" customHeight="1" x14ac:dyDescent="0.25">
      <c r="B444"/>
      <c r="C444" s="41" t="str">
        <f>IFERROR(VLOOKUP(B444,Baza[[№]:[Profit]],2,0),"")</f>
        <v/>
      </c>
      <c r="D44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4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44" s="43" t="str">
        <f>IFERROR(VLOOKUP(B444,Baza[[№]:[Profit]],3,0),"")</f>
        <v/>
      </c>
      <c r="G444" s="43" t="str">
        <f>IFERROR(VLOOKUP(B444,Baza[[№]:[Profit]],4,0),"")</f>
        <v/>
      </c>
      <c r="H444" s="43" t="str">
        <f>IFERROR(VLOOKUP(B444,Baza[[№]:[Profit]],5,0),"")</f>
        <v/>
      </c>
      <c r="I444" s="46" t="str">
        <f>IFERROR(VLOOKUP(B444,Baza[[№]:[Profit]],6,0),"")</f>
        <v/>
      </c>
      <c r="J444" s="49" t="str">
        <f>IFERROR(VLOOKUP(B444,Baza[[№]:[Profit]],7,0),"")</f>
        <v/>
      </c>
      <c r="K444" s="43" t="str">
        <f>IFERROR(VLOOKUP(B444,Baza[[№]:[Profit]],8,0),"")</f>
        <v/>
      </c>
      <c r="L444" s="43" t="str">
        <f>IFERROR(VLOOKUP(B444,Baza[[№]:[Profit]],9,0),"")</f>
        <v/>
      </c>
      <c r="M444" s="43" t="str">
        <f>IFERROR(VLOOKUP(B444,Baza[[№]:[Profit]],10,0),"")</f>
        <v/>
      </c>
      <c r="N444" s="43" t="str">
        <f>IFERROR(IF(VLOOKUP(B444,Baza[[№]:[Profit]],11,0)=0,"-",VLOOKUP(B444,Baza[[№]:[Profit]],11,0)),"")</f>
        <v/>
      </c>
      <c r="O444" s="43" t="str">
        <f>IFERROR(IF(VLOOKUP(B444,Baza[[№]:[Profit]],12,0)=0,"-",VLOOKUP(B444,Baza[[№]:[Profit]],12,0)),"")</f>
        <v/>
      </c>
      <c r="P444" s="43" t="str">
        <f>IFERROR(IF(VLOOKUP(B444,Baza[[№]:[Profit]],13,0)=0,"-",VLOOKUP(B444,Baza[[№]:[Profit]],13,0)),"")</f>
        <v/>
      </c>
      <c r="Q444" s="43" t="str">
        <f>IFERROR(IF(VLOOKUP(B444,Baza[[№]:[Profit]],15,0)=0,"-",VLOOKUP(B444,Baza[[№]:[Profit]],15,0)),"")</f>
        <v/>
      </c>
      <c r="R444" s="43" t="str">
        <f>IFERROR(IF(VLOOKUP(B444,Baza[[№]:[Profit]],16,0)=0,"-",VLOOKUP(B444,Baza[[№]:[Profit]],16,0)),"")</f>
        <v/>
      </c>
      <c r="S444" s="43" t="str">
        <f>IFERROR(IF(VLOOKUP(B444,Baza[[№]:[Profit]],17,0)=0,"-",VLOOKUP(B444,Baza[[№]:[Profit]],17,0)),"")</f>
        <v/>
      </c>
      <c r="T444" s="43" t="str">
        <f>IFERROR(IF(VLOOKUP(B444,Baza[[№]:[Profit]],18,0)=0,"-",VLOOKUP(B444,Baza[[№]:[Profit]],18,0)),"")</f>
        <v/>
      </c>
      <c r="U444" s="41" t="str">
        <f>IFERROR(IF(VLOOKUP(B444,Baza[[№]:[Profit]],19,0)=0,"-",VLOOKUP(B444,Baza[[№]:[Profit]],19,0)),"")</f>
        <v/>
      </c>
      <c r="V444" s="41" t="str">
        <f>IFERROR(VLOOKUP(B444,Baza[[№]:[Profit]],20,0),"")</f>
        <v/>
      </c>
      <c r="W444" s="41" t="str">
        <f>IFERROR(IF(VLOOKUP(B444,Baza[[№]:[Profit]],21,0)=0,"-",VLOOKUP(B444,Baza[[№]:[Profit]],21,0)),"")</f>
        <v/>
      </c>
      <c r="X444" s="45" t="str">
        <f>IFERROR(IF(VLOOKUP(B444,Baza[[№]:[Profit]],22,0)=0,"-",VLOOKUP(B444,Baza[[№]:[Profit]],22,0)),"")</f>
        <v/>
      </c>
      <c r="Y444" s="45" t="str">
        <f>IFERROR(VLOOKUP(B444,Baza[[№]:[Profit]],23,0),"")</f>
        <v/>
      </c>
      <c r="Z444" s="44" t="str">
        <f>IFERROR(VLOOKUP(B444,Baza[[№]:[AFS]],24,0),"")</f>
        <v/>
      </c>
      <c r="AA444" s="45" t="str">
        <f>IF(Таблица2[[#This Row],[Profit]]="","#Н/Д",SUM($Y$40:Y444))</f>
        <v>#Н/Д</v>
      </c>
      <c r="AB444" s="45" t="b">
        <f>IF(Таблица2[[#This Row],[Grafik]]="#Н/Д",FALSE,TRUE)</f>
        <v>0</v>
      </c>
    </row>
    <row r="445" spans="2:28" ht="11.1" hidden="1" customHeight="1" x14ac:dyDescent="0.25">
      <c r="B445"/>
      <c r="C445" s="41" t="str">
        <f>IFERROR(VLOOKUP(B445,Baza[[№]:[Profit]],2,0),"")</f>
        <v/>
      </c>
      <c r="D44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4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45" s="43" t="str">
        <f>IFERROR(VLOOKUP(B445,Baza[[№]:[Profit]],3,0),"")</f>
        <v/>
      </c>
      <c r="G445" s="43" t="str">
        <f>IFERROR(VLOOKUP(B445,Baza[[№]:[Profit]],4,0),"")</f>
        <v/>
      </c>
      <c r="H445" s="43" t="str">
        <f>IFERROR(VLOOKUP(B445,Baza[[№]:[Profit]],5,0),"")</f>
        <v/>
      </c>
      <c r="I445" s="46" t="str">
        <f>IFERROR(VLOOKUP(B445,Baza[[№]:[Profit]],6,0),"")</f>
        <v/>
      </c>
      <c r="J445" s="49" t="str">
        <f>IFERROR(VLOOKUP(B445,Baza[[№]:[Profit]],7,0),"")</f>
        <v/>
      </c>
      <c r="K445" s="43" t="str">
        <f>IFERROR(VLOOKUP(B445,Baza[[№]:[Profit]],8,0),"")</f>
        <v/>
      </c>
      <c r="L445" s="43" t="str">
        <f>IFERROR(VLOOKUP(B445,Baza[[№]:[Profit]],9,0),"")</f>
        <v/>
      </c>
      <c r="M445" s="43" t="str">
        <f>IFERROR(VLOOKUP(B445,Baza[[№]:[Profit]],10,0),"")</f>
        <v/>
      </c>
      <c r="N445" s="43" t="str">
        <f>IFERROR(IF(VLOOKUP(B445,Baza[[№]:[Profit]],11,0)=0,"-",VLOOKUP(B445,Baza[[№]:[Profit]],11,0)),"")</f>
        <v/>
      </c>
      <c r="O445" s="43" t="str">
        <f>IFERROR(IF(VLOOKUP(B445,Baza[[№]:[Profit]],12,0)=0,"-",VLOOKUP(B445,Baza[[№]:[Profit]],12,0)),"")</f>
        <v/>
      </c>
      <c r="P445" s="43" t="str">
        <f>IFERROR(IF(VLOOKUP(B445,Baza[[№]:[Profit]],13,0)=0,"-",VLOOKUP(B445,Baza[[№]:[Profit]],13,0)),"")</f>
        <v/>
      </c>
      <c r="Q445" s="43" t="str">
        <f>IFERROR(IF(VLOOKUP(B445,Baza[[№]:[Profit]],15,0)=0,"-",VLOOKUP(B445,Baza[[№]:[Profit]],15,0)),"")</f>
        <v/>
      </c>
      <c r="R445" s="43" t="str">
        <f>IFERROR(IF(VLOOKUP(B445,Baza[[№]:[Profit]],16,0)=0,"-",VLOOKUP(B445,Baza[[№]:[Profit]],16,0)),"")</f>
        <v/>
      </c>
      <c r="S445" s="43" t="str">
        <f>IFERROR(IF(VLOOKUP(B445,Baza[[№]:[Profit]],17,0)=0,"-",VLOOKUP(B445,Baza[[№]:[Profit]],17,0)),"")</f>
        <v/>
      </c>
      <c r="T445" s="43" t="str">
        <f>IFERROR(IF(VLOOKUP(B445,Baza[[№]:[Profit]],18,0)=0,"-",VLOOKUP(B445,Baza[[№]:[Profit]],18,0)),"")</f>
        <v/>
      </c>
      <c r="U445" s="41" t="str">
        <f>IFERROR(IF(VLOOKUP(B445,Baza[[№]:[Profit]],19,0)=0,"-",VLOOKUP(B445,Baza[[№]:[Profit]],19,0)),"")</f>
        <v/>
      </c>
      <c r="V445" s="41" t="str">
        <f>IFERROR(VLOOKUP(B445,Baza[[№]:[Profit]],20,0),"")</f>
        <v/>
      </c>
      <c r="W445" s="41" t="str">
        <f>IFERROR(IF(VLOOKUP(B445,Baza[[№]:[Profit]],21,0)=0,"-",VLOOKUP(B445,Baza[[№]:[Profit]],21,0)),"")</f>
        <v/>
      </c>
      <c r="X445" s="45" t="str">
        <f>IFERROR(IF(VLOOKUP(B445,Baza[[№]:[Profit]],22,0)=0,"-",VLOOKUP(B445,Baza[[№]:[Profit]],22,0)),"")</f>
        <v/>
      </c>
      <c r="Y445" s="45" t="str">
        <f>IFERROR(VLOOKUP(B445,Baza[[№]:[Profit]],23,0),"")</f>
        <v/>
      </c>
      <c r="Z445" s="44" t="str">
        <f>IFERROR(VLOOKUP(B445,Baza[[№]:[AFS]],24,0),"")</f>
        <v/>
      </c>
      <c r="AA445" s="45" t="str">
        <f>IF(Таблица2[[#This Row],[Profit]]="","#Н/Д",SUM($Y$40:Y445))</f>
        <v>#Н/Д</v>
      </c>
      <c r="AB445" s="45" t="b">
        <f>IF(Таблица2[[#This Row],[Grafik]]="#Н/Д",FALSE,TRUE)</f>
        <v>0</v>
      </c>
    </row>
    <row r="446" spans="2:28" ht="11.1" hidden="1" customHeight="1" x14ac:dyDescent="0.25">
      <c r="B446"/>
      <c r="C446" s="41" t="str">
        <f>IFERROR(VLOOKUP(B446,Baza[[№]:[Profit]],2,0),"")</f>
        <v/>
      </c>
      <c r="D44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4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46" s="43" t="str">
        <f>IFERROR(VLOOKUP(B446,Baza[[№]:[Profit]],3,0),"")</f>
        <v/>
      </c>
      <c r="G446" s="43" t="str">
        <f>IFERROR(VLOOKUP(B446,Baza[[№]:[Profit]],4,0),"")</f>
        <v/>
      </c>
      <c r="H446" s="43" t="str">
        <f>IFERROR(VLOOKUP(B446,Baza[[№]:[Profit]],5,0),"")</f>
        <v/>
      </c>
      <c r="I446" s="46" t="str">
        <f>IFERROR(VLOOKUP(B446,Baza[[№]:[Profit]],6,0),"")</f>
        <v/>
      </c>
      <c r="J446" s="49" t="str">
        <f>IFERROR(VLOOKUP(B446,Baza[[№]:[Profit]],7,0),"")</f>
        <v/>
      </c>
      <c r="K446" s="43" t="str">
        <f>IFERROR(VLOOKUP(B446,Baza[[№]:[Profit]],8,0),"")</f>
        <v/>
      </c>
      <c r="L446" s="43" t="str">
        <f>IFERROR(VLOOKUP(B446,Baza[[№]:[Profit]],9,0),"")</f>
        <v/>
      </c>
      <c r="M446" s="43" t="str">
        <f>IFERROR(VLOOKUP(B446,Baza[[№]:[Profit]],10,0),"")</f>
        <v/>
      </c>
      <c r="N446" s="43" t="str">
        <f>IFERROR(IF(VLOOKUP(B446,Baza[[№]:[Profit]],11,0)=0,"-",VLOOKUP(B446,Baza[[№]:[Profit]],11,0)),"")</f>
        <v/>
      </c>
      <c r="O446" s="43" t="str">
        <f>IFERROR(IF(VLOOKUP(B446,Baza[[№]:[Profit]],12,0)=0,"-",VLOOKUP(B446,Baza[[№]:[Profit]],12,0)),"")</f>
        <v/>
      </c>
      <c r="P446" s="43" t="str">
        <f>IFERROR(IF(VLOOKUP(B446,Baza[[№]:[Profit]],13,0)=0,"-",VLOOKUP(B446,Baza[[№]:[Profit]],13,0)),"")</f>
        <v/>
      </c>
      <c r="Q446" s="43" t="str">
        <f>IFERROR(IF(VLOOKUP(B446,Baza[[№]:[Profit]],15,0)=0,"-",VLOOKUP(B446,Baza[[№]:[Profit]],15,0)),"")</f>
        <v/>
      </c>
      <c r="R446" s="43" t="str">
        <f>IFERROR(IF(VLOOKUP(B446,Baza[[№]:[Profit]],16,0)=0,"-",VLOOKUP(B446,Baza[[№]:[Profit]],16,0)),"")</f>
        <v/>
      </c>
      <c r="S446" s="43" t="str">
        <f>IFERROR(IF(VLOOKUP(B446,Baza[[№]:[Profit]],17,0)=0,"-",VLOOKUP(B446,Baza[[№]:[Profit]],17,0)),"")</f>
        <v/>
      </c>
      <c r="T446" s="43" t="str">
        <f>IFERROR(IF(VLOOKUP(B446,Baza[[№]:[Profit]],18,0)=0,"-",VLOOKUP(B446,Baza[[№]:[Profit]],18,0)),"")</f>
        <v/>
      </c>
      <c r="U446" s="41" t="str">
        <f>IFERROR(IF(VLOOKUP(B446,Baza[[№]:[Profit]],19,0)=0,"-",VLOOKUP(B446,Baza[[№]:[Profit]],19,0)),"")</f>
        <v/>
      </c>
      <c r="V446" s="41" t="str">
        <f>IFERROR(VLOOKUP(B446,Baza[[№]:[Profit]],20,0),"")</f>
        <v/>
      </c>
      <c r="W446" s="41" t="str">
        <f>IFERROR(IF(VLOOKUP(B446,Baza[[№]:[Profit]],21,0)=0,"-",VLOOKUP(B446,Baza[[№]:[Profit]],21,0)),"")</f>
        <v/>
      </c>
      <c r="X446" s="45" t="str">
        <f>IFERROR(IF(VLOOKUP(B446,Baza[[№]:[Profit]],22,0)=0,"-",VLOOKUP(B446,Baza[[№]:[Profit]],22,0)),"")</f>
        <v/>
      </c>
      <c r="Y446" s="45" t="str">
        <f>IFERROR(VLOOKUP(B446,Baza[[№]:[Profit]],23,0),"")</f>
        <v/>
      </c>
      <c r="Z446" s="44" t="str">
        <f>IFERROR(VLOOKUP(B446,Baza[[№]:[AFS]],24,0),"")</f>
        <v/>
      </c>
      <c r="AA446" s="45" t="str">
        <f>IF(Таблица2[[#This Row],[Profit]]="","#Н/Д",SUM($Y$40:Y446))</f>
        <v>#Н/Д</v>
      </c>
      <c r="AB446" s="45" t="b">
        <f>IF(Таблица2[[#This Row],[Grafik]]="#Н/Д",FALSE,TRUE)</f>
        <v>0</v>
      </c>
    </row>
    <row r="447" spans="2:28" ht="11.1" hidden="1" customHeight="1" x14ac:dyDescent="0.25">
      <c r="B447"/>
      <c r="C447" s="41" t="str">
        <f>IFERROR(VLOOKUP(B447,Baza[[№]:[Profit]],2,0),"")</f>
        <v/>
      </c>
      <c r="D44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4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47" s="43" t="str">
        <f>IFERROR(VLOOKUP(B447,Baza[[№]:[Profit]],3,0),"")</f>
        <v/>
      </c>
      <c r="G447" s="43" t="str">
        <f>IFERROR(VLOOKUP(B447,Baza[[№]:[Profit]],4,0),"")</f>
        <v/>
      </c>
      <c r="H447" s="43" t="str">
        <f>IFERROR(VLOOKUP(B447,Baza[[№]:[Profit]],5,0),"")</f>
        <v/>
      </c>
      <c r="I447" s="46" t="str">
        <f>IFERROR(VLOOKUP(B447,Baza[[№]:[Profit]],6,0),"")</f>
        <v/>
      </c>
      <c r="J447" s="49" t="str">
        <f>IFERROR(VLOOKUP(B447,Baza[[№]:[Profit]],7,0),"")</f>
        <v/>
      </c>
      <c r="K447" s="43" t="str">
        <f>IFERROR(VLOOKUP(B447,Baza[[№]:[Profit]],8,0),"")</f>
        <v/>
      </c>
      <c r="L447" s="43" t="str">
        <f>IFERROR(VLOOKUP(B447,Baza[[№]:[Profit]],9,0),"")</f>
        <v/>
      </c>
      <c r="M447" s="43" t="str">
        <f>IFERROR(VLOOKUP(B447,Baza[[№]:[Profit]],10,0),"")</f>
        <v/>
      </c>
      <c r="N447" s="43" t="str">
        <f>IFERROR(IF(VLOOKUP(B447,Baza[[№]:[Profit]],11,0)=0,"-",VLOOKUP(B447,Baza[[№]:[Profit]],11,0)),"")</f>
        <v/>
      </c>
      <c r="O447" s="43" t="str">
        <f>IFERROR(IF(VLOOKUP(B447,Baza[[№]:[Profit]],12,0)=0,"-",VLOOKUP(B447,Baza[[№]:[Profit]],12,0)),"")</f>
        <v/>
      </c>
      <c r="P447" s="43" t="str">
        <f>IFERROR(IF(VLOOKUP(B447,Baza[[№]:[Profit]],13,0)=0,"-",VLOOKUP(B447,Baza[[№]:[Profit]],13,0)),"")</f>
        <v/>
      </c>
      <c r="Q447" s="43" t="str">
        <f>IFERROR(IF(VLOOKUP(B447,Baza[[№]:[Profit]],15,0)=0,"-",VLOOKUP(B447,Baza[[№]:[Profit]],15,0)),"")</f>
        <v/>
      </c>
      <c r="R447" s="43" t="str">
        <f>IFERROR(IF(VLOOKUP(B447,Baza[[№]:[Profit]],16,0)=0,"-",VLOOKUP(B447,Baza[[№]:[Profit]],16,0)),"")</f>
        <v/>
      </c>
      <c r="S447" s="43" t="str">
        <f>IFERROR(IF(VLOOKUP(B447,Baza[[№]:[Profit]],17,0)=0,"-",VLOOKUP(B447,Baza[[№]:[Profit]],17,0)),"")</f>
        <v/>
      </c>
      <c r="T447" s="43" t="str">
        <f>IFERROR(IF(VLOOKUP(B447,Baza[[№]:[Profit]],18,0)=0,"-",VLOOKUP(B447,Baza[[№]:[Profit]],18,0)),"")</f>
        <v/>
      </c>
      <c r="U447" s="41" t="str">
        <f>IFERROR(IF(VLOOKUP(B447,Baza[[№]:[Profit]],19,0)=0,"-",VLOOKUP(B447,Baza[[№]:[Profit]],19,0)),"")</f>
        <v/>
      </c>
      <c r="V447" s="41" t="str">
        <f>IFERROR(VLOOKUP(B447,Baza[[№]:[Profit]],20,0),"")</f>
        <v/>
      </c>
      <c r="W447" s="41" t="str">
        <f>IFERROR(IF(VLOOKUP(B447,Baza[[№]:[Profit]],21,0)=0,"-",VLOOKUP(B447,Baza[[№]:[Profit]],21,0)),"")</f>
        <v/>
      </c>
      <c r="X447" s="45" t="str">
        <f>IFERROR(IF(VLOOKUP(B447,Baza[[№]:[Profit]],22,0)=0,"-",VLOOKUP(B447,Baza[[№]:[Profit]],22,0)),"")</f>
        <v/>
      </c>
      <c r="Y447" s="45" t="str">
        <f>IFERROR(VLOOKUP(B447,Baza[[№]:[Profit]],23,0),"")</f>
        <v/>
      </c>
      <c r="Z447" s="44" t="str">
        <f>IFERROR(VLOOKUP(B447,Baza[[№]:[AFS]],24,0),"")</f>
        <v/>
      </c>
      <c r="AA447" s="45" t="str">
        <f>IF(Таблица2[[#This Row],[Profit]]="","#Н/Д",SUM($Y$40:Y447))</f>
        <v>#Н/Д</v>
      </c>
      <c r="AB447" s="45" t="b">
        <f>IF(Таблица2[[#This Row],[Grafik]]="#Н/Д",FALSE,TRUE)</f>
        <v>0</v>
      </c>
    </row>
    <row r="448" spans="2:28" ht="11.1" hidden="1" customHeight="1" x14ac:dyDescent="0.25">
      <c r="B448"/>
      <c r="C448" s="41" t="str">
        <f>IFERROR(VLOOKUP(B448,Baza[[№]:[Profit]],2,0),"")</f>
        <v/>
      </c>
      <c r="D44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4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48" s="43" t="str">
        <f>IFERROR(VLOOKUP(B448,Baza[[№]:[Profit]],3,0),"")</f>
        <v/>
      </c>
      <c r="G448" s="43" t="str">
        <f>IFERROR(VLOOKUP(B448,Baza[[№]:[Profit]],4,0),"")</f>
        <v/>
      </c>
      <c r="H448" s="43" t="str">
        <f>IFERROR(VLOOKUP(B448,Baza[[№]:[Profit]],5,0),"")</f>
        <v/>
      </c>
      <c r="I448" s="46" t="str">
        <f>IFERROR(VLOOKUP(B448,Baza[[№]:[Profit]],6,0),"")</f>
        <v/>
      </c>
      <c r="J448" s="49" t="str">
        <f>IFERROR(VLOOKUP(B448,Baza[[№]:[Profit]],7,0),"")</f>
        <v/>
      </c>
      <c r="K448" s="43" t="str">
        <f>IFERROR(VLOOKUP(B448,Baza[[№]:[Profit]],8,0),"")</f>
        <v/>
      </c>
      <c r="L448" s="43" t="str">
        <f>IFERROR(VLOOKUP(B448,Baza[[№]:[Profit]],9,0),"")</f>
        <v/>
      </c>
      <c r="M448" s="43" t="str">
        <f>IFERROR(VLOOKUP(B448,Baza[[№]:[Profit]],10,0),"")</f>
        <v/>
      </c>
      <c r="N448" s="43" t="str">
        <f>IFERROR(IF(VLOOKUP(B448,Baza[[№]:[Profit]],11,0)=0,"-",VLOOKUP(B448,Baza[[№]:[Profit]],11,0)),"")</f>
        <v/>
      </c>
      <c r="O448" s="43" t="str">
        <f>IFERROR(IF(VLOOKUP(B448,Baza[[№]:[Profit]],12,0)=0,"-",VLOOKUP(B448,Baza[[№]:[Profit]],12,0)),"")</f>
        <v/>
      </c>
      <c r="P448" s="43" t="str">
        <f>IFERROR(IF(VLOOKUP(B448,Baza[[№]:[Profit]],13,0)=0,"-",VLOOKUP(B448,Baza[[№]:[Profit]],13,0)),"")</f>
        <v/>
      </c>
      <c r="Q448" s="43" t="str">
        <f>IFERROR(IF(VLOOKUP(B448,Baza[[№]:[Profit]],15,0)=0,"-",VLOOKUP(B448,Baza[[№]:[Profit]],15,0)),"")</f>
        <v/>
      </c>
      <c r="R448" s="43" t="str">
        <f>IFERROR(IF(VLOOKUP(B448,Baza[[№]:[Profit]],16,0)=0,"-",VLOOKUP(B448,Baza[[№]:[Profit]],16,0)),"")</f>
        <v/>
      </c>
      <c r="S448" s="43" t="str">
        <f>IFERROR(IF(VLOOKUP(B448,Baza[[№]:[Profit]],17,0)=0,"-",VLOOKUP(B448,Baza[[№]:[Profit]],17,0)),"")</f>
        <v/>
      </c>
      <c r="T448" s="43" t="str">
        <f>IFERROR(IF(VLOOKUP(B448,Baza[[№]:[Profit]],18,0)=0,"-",VLOOKUP(B448,Baza[[№]:[Profit]],18,0)),"")</f>
        <v/>
      </c>
      <c r="U448" s="41" t="str">
        <f>IFERROR(IF(VLOOKUP(B448,Baza[[№]:[Profit]],19,0)=0,"-",VLOOKUP(B448,Baza[[№]:[Profit]],19,0)),"")</f>
        <v/>
      </c>
      <c r="V448" s="41" t="str">
        <f>IFERROR(VLOOKUP(B448,Baza[[№]:[Profit]],20,0),"")</f>
        <v/>
      </c>
      <c r="W448" s="41" t="str">
        <f>IFERROR(IF(VLOOKUP(B448,Baza[[№]:[Profit]],21,0)=0,"-",VLOOKUP(B448,Baza[[№]:[Profit]],21,0)),"")</f>
        <v/>
      </c>
      <c r="X448" s="45" t="str">
        <f>IFERROR(IF(VLOOKUP(B448,Baza[[№]:[Profit]],22,0)=0,"-",VLOOKUP(B448,Baza[[№]:[Profit]],22,0)),"")</f>
        <v/>
      </c>
      <c r="Y448" s="45" t="str">
        <f>IFERROR(VLOOKUP(B448,Baza[[№]:[Profit]],23,0),"")</f>
        <v/>
      </c>
      <c r="Z448" s="44" t="str">
        <f>IFERROR(VLOOKUP(B448,Baza[[№]:[AFS]],24,0),"")</f>
        <v/>
      </c>
      <c r="AA448" s="45" t="str">
        <f>IF(Таблица2[[#This Row],[Profit]]="","#Н/Д",SUM($Y$40:Y448))</f>
        <v>#Н/Д</v>
      </c>
      <c r="AB448" s="45" t="b">
        <f>IF(Таблица2[[#This Row],[Grafik]]="#Н/Д",FALSE,TRUE)</f>
        <v>0</v>
      </c>
    </row>
    <row r="449" spans="2:28" ht="11.1" hidden="1" customHeight="1" x14ac:dyDescent="0.25">
      <c r="B449"/>
      <c r="C449" s="41" t="str">
        <f>IFERROR(VLOOKUP(B449,Baza[[№]:[Profit]],2,0),"")</f>
        <v/>
      </c>
      <c r="D44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4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49" s="43" t="str">
        <f>IFERROR(VLOOKUP(B449,Baza[[№]:[Profit]],3,0),"")</f>
        <v/>
      </c>
      <c r="G449" s="43" t="str">
        <f>IFERROR(VLOOKUP(B449,Baza[[№]:[Profit]],4,0),"")</f>
        <v/>
      </c>
      <c r="H449" s="43" t="str">
        <f>IFERROR(VLOOKUP(B449,Baza[[№]:[Profit]],5,0),"")</f>
        <v/>
      </c>
      <c r="I449" s="46" t="str">
        <f>IFERROR(VLOOKUP(B449,Baza[[№]:[Profit]],6,0),"")</f>
        <v/>
      </c>
      <c r="J449" s="49" t="str">
        <f>IFERROR(VLOOKUP(B449,Baza[[№]:[Profit]],7,0),"")</f>
        <v/>
      </c>
      <c r="K449" s="43" t="str">
        <f>IFERROR(VLOOKUP(B449,Baza[[№]:[Profit]],8,0),"")</f>
        <v/>
      </c>
      <c r="L449" s="43" t="str">
        <f>IFERROR(VLOOKUP(B449,Baza[[№]:[Profit]],9,0),"")</f>
        <v/>
      </c>
      <c r="M449" s="43" t="str">
        <f>IFERROR(VLOOKUP(B449,Baza[[№]:[Profit]],10,0),"")</f>
        <v/>
      </c>
      <c r="N449" s="43" t="str">
        <f>IFERROR(IF(VLOOKUP(B449,Baza[[№]:[Profit]],11,0)=0,"-",VLOOKUP(B449,Baza[[№]:[Profit]],11,0)),"")</f>
        <v/>
      </c>
      <c r="O449" s="43" t="str">
        <f>IFERROR(IF(VLOOKUP(B449,Baza[[№]:[Profit]],12,0)=0,"-",VLOOKUP(B449,Baza[[№]:[Profit]],12,0)),"")</f>
        <v/>
      </c>
      <c r="P449" s="43" t="str">
        <f>IFERROR(IF(VLOOKUP(B449,Baza[[№]:[Profit]],13,0)=0,"-",VLOOKUP(B449,Baza[[№]:[Profit]],13,0)),"")</f>
        <v/>
      </c>
      <c r="Q449" s="43" t="str">
        <f>IFERROR(IF(VLOOKUP(B449,Baza[[№]:[Profit]],15,0)=0,"-",VLOOKUP(B449,Baza[[№]:[Profit]],15,0)),"")</f>
        <v/>
      </c>
      <c r="R449" s="43" t="str">
        <f>IFERROR(IF(VLOOKUP(B449,Baza[[№]:[Profit]],16,0)=0,"-",VLOOKUP(B449,Baza[[№]:[Profit]],16,0)),"")</f>
        <v/>
      </c>
      <c r="S449" s="43" t="str">
        <f>IFERROR(IF(VLOOKUP(B449,Baza[[№]:[Profit]],17,0)=0,"-",VLOOKUP(B449,Baza[[№]:[Profit]],17,0)),"")</f>
        <v/>
      </c>
      <c r="T449" s="43" t="str">
        <f>IFERROR(IF(VLOOKUP(B449,Baza[[№]:[Profit]],18,0)=0,"-",VLOOKUP(B449,Baza[[№]:[Profit]],18,0)),"")</f>
        <v/>
      </c>
      <c r="U449" s="41" t="str">
        <f>IFERROR(IF(VLOOKUP(B449,Baza[[№]:[Profit]],19,0)=0,"-",VLOOKUP(B449,Baza[[№]:[Profit]],19,0)),"")</f>
        <v/>
      </c>
      <c r="V449" s="41" t="str">
        <f>IFERROR(VLOOKUP(B449,Baza[[№]:[Profit]],20,0),"")</f>
        <v/>
      </c>
      <c r="W449" s="41" t="str">
        <f>IFERROR(IF(VLOOKUP(B449,Baza[[№]:[Profit]],21,0)=0,"-",VLOOKUP(B449,Baza[[№]:[Profit]],21,0)),"")</f>
        <v/>
      </c>
      <c r="X449" s="45" t="str">
        <f>IFERROR(IF(VLOOKUP(B449,Baza[[№]:[Profit]],22,0)=0,"-",VLOOKUP(B449,Baza[[№]:[Profit]],22,0)),"")</f>
        <v/>
      </c>
      <c r="Y449" s="45" t="str">
        <f>IFERROR(VLOOKUP(B449,Baza[[№]:[Profit]],23,0),"")</f>
        <v/>
      </c>
      <c r="Z449" s="44" t="str">
        <f>IFERROR(VLOOKUP(B449,Baza[[№]:[AFS]],24,0),"")</f>
        <v/>
      </c>
      <c r="AA449" s="45" t="str">
        <f>IF(Таблица2[[#This Row],[Profit]]="","#Н/Д",SUM($Y$40:Y449))</f>
        <v>#Н/Д</v>
      </c>
      <c r="AB449" s="45" t="b">
        <f>IF(Таблица2[[#This Row],[Grafik]]="#Н/Д",FALSE,TRUE)</f>
        <v>0</v>
      </c>
    </row>
    <row r="450" spans="2:28" ht="11.1" hidden="1" customHeight="1" x14ac:dyDescent="0.25">
      <c r="B450"/>
      <c r="C450" s="41" t="str">
        <f>IFERROR(VLOOKUP(B450,Baza[[№]:[Profit]],2,0),"")</f>
        <v/>
      </c>
      <c r="D45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5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50" s="43" t="str">
        <f>IFERROR(VLOOKUP(B450,Baza[[№]:[Profit]],3,0),"")</f>
        <v/>
      </c>
      <c r="G450" s="43" t="str">
        <f>IFERROR(VLOOKUP(B450,Baza[[№]:[Profit]],4,0),"")</f>
        <v/>
      </c>
      <c r="H450" s="43" t="str">
        <f>IFERROR(VLOOKUP(B450,Baza[[№]:[Profit]],5,0),"")</f>
        <v/>
      </c>
      <c r="I450" s="46" t="str">
        <f>IFERROR(VLOOKUP(B450,Baza[[№]:[Profit]],6,0),"")</f>
        <v/>
      </c>
      <c r="J450" s="49" t="str">
        <f>IFERROR(VLOOKUP(B450,Baza[[№]:[Profit]],7,0),"")</f>
        <v/>
      </c>
      <c r="K450" s="43" t="str">
        <f>IFERROR(VLOOKUP(B450,Baza[[№]:[Profit]],8,0),"")</f>
        <v/>
      </c>
      <c r="L450" s="43" t="str">
        <f>IFERROR(VLOOKUP(B450,Baza[[№]:[Profit]],9,0),"")</f>
        <v/>
      </c>
      <c r="M450" s="43" t="str">
        <f>IFERROR(VLOOKUP(B450,Baza[[№]:[Profit]],10,0),"")</f>
        <v/>
      </c>
      <c r="N450" s="43" t="str">
        <f>IFERROR(IF(VLOOKUP(B450,Baza[[№]:[Profit]],11,0)=0,"-",VLOOKUP(B450,Baza[[№]:[Profit]],11,0)),"")</f>
        <v/>
      </c>
      <c r="O450" s="43" t="str">
        <f>IFERROR(IF(VLOOKUP(B450,Baza[[№]:[Profit]],12,0)=0,"-",VLOOKUP(B450,Baza[[№]:[Profit]],12,0)),"")</f>
        <v/>
      </c>
      <c r="P450" s="43" t="str">
        <f>IFERROR(IF(VLOOKUP(B450,Baza[[№]:[Profit]],13,0)=0,"-",VLOOKUP(B450,Baza[[№]:[Profit]],13,0)),"")</f>
        <v/>
      </c>
      <c r="Q450" s="43" t="str">
        <f>IFERROR(IF(VLOOKUP(B450,Baza[[№]:[Profit]],15,0)=0,"-",VLOOKUP(B450,Baza[[№]:[Profit]],15,0)),"")</f>
        <v/>
      </c>
      <c r="R450" s="43" t="str">
        <f>IFERROR(IF(VLOOKUP(B450,Baza[[№]:[Profit]],16,0)=0,"-",VLOOKUP(B450,Baza[[№]:[Profit]],16,0)),"")</f>
        <v/>
      </c>
      <c r="S450" s="43" t="str">
        <f>IFERROR(IF(VLOOKUP(B450,Baza[[№]:[Profit]],17,0)=0,"-",VLOOKUP(B450,Baza[[№]:[Profit]],17,0)),"")</f>
        <v/>
      </c>
      <c r="T450" s="43" t="str">
        <f>IFERROR(IF(VLOOKUP(B450,Baza[[№]:[Profit]],18,0)=0,"-",VLOOKUP(B450,Baza[[№]:[Profit]],18,0)),"")</f>
        <v/>
      </c>
      <c r="U450" s="41" t="str">
        <f>IFERROR(IF(VLOOKUP(B450,Baza[[№]:[Profit]],19,0)=0,"-",VLOOKUP(B450,Baza[[№]:[Profit]],19,0)),"")</f>
        <v/>
      </c>
      <c r="V450" s="41" t="str">
        <f>IFERROR(VLOOKUP(B450,Baza[[№]:[Profit]],20,0),"")</f>
        <v/>
      </c>
      <c r="W450" s="41" t="str">
        <f>IFERROR(IF(VLOOKUP(B450,Baza[[№]:[Profit]],21,0)=0,"-",VLOOKUP(B450,Baza[[№]:[Profit]],21,0)),"")</f>
        <v/>
      </c>
      <c r="X450" s="45" t="str">
        <f>IFERROR(IF(VLOOKUP(B450,Baza[[№]:[Profit]],22,0)=0,"-",VLOOKUP(B450,Baza[[№]:[Profit]],22,0)),"")</f>
        <v/>
      </c>
      <c r="Y450" s="45" t="str">
        <f>IFERROR(VLOOKUP(B450,Baza[[№]:[Profit]],23,0),"")</f>
        <v/>
      </c>
      <c r="Z450" s="44" t="str">
        <f>IFERROR(VLOOKUP(B450,Baza[[№]:[AFS]],24,0),"")</f>
        <v/>
      </c>
      <c r="AA450" s="45" t="str">
        <f>IF(Таблица2[[#This Row],[Profit]]="","#Н/Д",SUM($Y$40:Y450))</f>
        <v>#Н/Д</v>
      </c>
      <c r="AB450" s="45" t="b">
        <f>IF(Таблица2[[#This Row],[Grafik]]="#Н/Д",FALSE,TRUE)</f>
        <v>0</v>
      </c>
    </row>
    <row r="451" spans="2:28" ht="11.1" hidden="1" customHeight="1" x14ac:dyDescent="0.25">
      <c r="B451"/>
      <c r="C451" s="41" t="str">
        <f>IFERROR(VLOOKUP(B451,Baza[[№]:[Profit]],2,0),"")</f>
        <v/>
      </c>
      <c r="D45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5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51" s="43" t="str">
        <f>IFERROR(VLOOKUP(B451,Baza[[№]:[Profit]],3,0),"")</f>
        <v/>
      </c>
      <c r="G451" s="43" t="str">
        <f>IFERROR(VLOOKUP(B451,Baza[[№]:[Profit]],4,0),"")</f>
        <v/>
      </c>
      <c r="H451" s="43" t="str">
        <f>IFERROR(VLOOKUP(B451,Baza[[№]:[Profit]],5,0),"")</f>
        <v/>
      </c>
      <c r="I451" s="46" t="str">
        <f>IFERROR(VLOOKUP(B451,Baza[[№]:[Profit]],6,0),"")</f>
        <v/>
      </c>
      <c r="J451" s="49" t="str">
        <f>IFERROR(VLOOKUP(B451,Baza[[№]:[Profit]],7,0),"")</f>
        <v/>
      </c>
      <c r="K451" s="43" t="str">
        <f>IFERROR(VLOOKUP(B451,Baza[[№]:[Profit]],8,0),"")</f>
        <v/>
      </c>
      <c r="L451" s="43" t="str">
        <f>IFERROR(VLOOKUP(B451,Baza[[№]:[Profit]],9,0),"")</f>
        <v/>
      </c>
      <c r="M451" s="43" t="str">
        <f>IFERROR(VLOOKUP(B451,Baza[[№]:[Profit]],10,0),"")</f>
        <v/>
      </c>
      <c r="N451" s="43" t="str">
        <f>IFERROR(IF(VLOOKUP(B451,Baza[[№]:[Profit]],11,0)=0,"-",VLOOKUP(B451,Baza[[№]:[Profit]],11,0)),"")</f>
        <v/>
      </c>
      <c r="O451" s="43" t="str">
        <f>IFERROR(IF(VLOOKUP(B451,Baza[[№]:[Profit]],12,0)=0,"-",VLOOKUP(B451,Baza[[№]:[Profit]],12,0)),"")</f>
        <v/>
      </c>
      <c r="P451" s="43" t="str">
        <f>IFERROR(IF(VLOOKUP(B451,Baza[[№]:[Profit]],13,0)=0,"-",VLOOKUP(B451,Baza[[№]:[Profit]],13,0)),"")</f>
        <v/>
      </c>
      <c r="Q451" s="43" t="str">
        <f>IFERROR(IF(VLOOKUP(B451,Baza[[№]:[Profit]],15,0)=0,"-",VLOOKUP(B451,Baza[[№]:[Profit]],15,0)),"")</f>
        <v/>
      </c>
      <c r="R451" s="43" t="str">
        <f>IFERROR(IF(VLOOKUP(B451,Baza[[№]:[Profit]],16,0)=0,"-",VLOOKUP(B451,Baza[[№]:[Profit]],16,0)),"")</f>
        <v/>
      </c>
      <c r="S451" s="43" t="str">
        <f>IFERROR(IF(VLOOKUP(B451,Baza[[№]:[Profit]],17,0)=0,"-",VLOOKUP(B451,Baza[[№]:[Profit]],17,0)),"")</f>
        <v/>
      </c>
      <c r="T451" s="43" t="str">
        <f>IFERROR(IF(VLOOKUP(B451,Baza[[№]:[Profit]],18,0)=0,"-",VLOOKUP(B451,Baza[[№]:[Profit]],18,0)),"")</f>
        <v/>
      </c>
      <c r="U451" s="41" t="str">
        <f>IFERROR(IF(VLOOKUP(B451,Baza[[№]:[Profit]],19,0)=0,"-",VLOOKUP(B451,Baza[[№]:[Profit]],19,0)),"")</f>
        <v/>
      </c>
      <c r="V451" s="41" t="str">
        <f>IFERROR(VLOOKUP(B451,Baza[[№]:[Profit]],20,0),"")</f>
        <v/>
      </c>
      <c r="W451" s="41" t="str">
        <f>IFERROR(IF(VLOOKUP(B451,Baza[[№]:[Profit]],21,0)=0,"-",VLOOKUP(B451,Baza[[№]:[Profit]],21,0)),"")</f>
        <v/>
      </c>
      <c r="X451" s="45" t="str">
        <f>IFERROR(IF(VLOOKUP(B451,Baza[[№]:[Profit]],22,0)=0,"-",VLOOKUP(B451,Baza[[№]:[Profit]],22,0)),"")</f>
        <v/>
      </c>
      <c r="Y451" s="45" t="str">
        <f>IFERROR(VLOOKUP(B451,Baza[[№]:[Profit]],23,0),"")</f>
        <v/>
      </c>
      <c r="Z451" s="44" t="str">
        <f>IFERROR(VLOOKUP(B451,Baza[[№]:[AFS]],24,0),"")</f>
        <v/>
      </c>
      <c r="AA451" s="45" t="str">
        <f>IF(Таблица2[[#This Row],[Profit]]="","#Н/Д",SUM($Y$40:Y451))</f>
        <v>#Н/Д</v>
      </c>
      <c r="AB451" s="45" t="b">
        <f>IF(Таблица2[[#This Row],[Grafik]]="#Н/Д",FALSE,TRUE)</f>
        <v>0</v>
      </c>
    </row>
    <row r="452" spans="2:28" ht="11.1" hidden="1" customHeight="1" x14ac:dyDescent="0.25">
      <c r="B452"/>
      <c r="C452" s="41" t="str">
        <f>IFERROR(VLOOKUP(B452,Baza[[№]:[Profit]],2,0),"")</f>
        <v/>
      </c>
      <c r="D45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5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52" s="43" t="str">
        <f>IFERROR(VLOOKUP(B452,Baza[[№]:[Profit]],3,0),"")</f>
        <v/>
      </c>
      <c r="G452" s="43" t="str">
        <f>IFERROR(VLOOKUP(B452,Baza[[№]:[Profit]],4,0),"")</f>
        <v/>
      </c>
      <c r="H452" s="43" t="str">
        <f>IFERROR(VLOOKUP(B452,Baza[[№]:[Profit]],5,0),"")</f>
        <v/>
      </c>
      <c r="I452" s="46" t="str">
        <f>IFERROR(VLOOKUP(B452,Baza[[№]:[Profit]],6,0),"")</f>
        <v/>
      </c>
      <c r="J452" s="49" t="str">
        <f>IFERROR(VLOOKUP(B452,Baza[[№]:[Profit]],7,0),"")</f>
        <v/>
      </c>
      <c r="K452" s="43" t="str">
        <f>IFERROR(VLOOKUP(B452,Baza[[№]:[Profit]],8,0),"")</f>
        <v/>
      </c>
      <c r="L452" s="43" t="str">
        <f>IFERROR(VLOOKUP(B452,Baza[[№]:[Profit]],9,0),"")</f>
        <v/>
      </c>
      <c r="M452" s="43" t="str">
        <f>IFERROR(VLOOKUP(B452,Baza[[№]:[Profit]],10,0),"")</f>
        <v/>
      </c>
      <c r="N452" s="43" t="str">
        <f>IFERROR(IF(VLOOKUP(B452,Baza[[№]:[Profit]],11,0)=0,"-",VLOOKUP(B452,Baza[[№]:[Profit]],11,0)),"")</f>
        <v/>
      </c>
      <c r="O452" s="43" t="str">
        <f>IFERROR(IF(VLOOKUP(B452,Baza[[№]:[Profit]],12,0)=0,"-",VLOOKUP(B452,Baza[[№]:[Profit]],12,0)),"")</f>
        <v/>
      </c>
      <c r="P452" s="43" t="str">
        <f>IFERROR(IF(VLOOKUP(B452,Baza[[№]:[Profit]],13,0)=0,"-",VLOOKUP(B452,Baza[[№]:[Profit]],13,0)),"")</f>
        <v/>
      </c>
      <c r="Q452" s="43" t="str">
        <f>IFERROR(IF(VLOOKUP(B452,Baza[[№]:[Profit]],15,0)=0,"-",VLOOKUP(B452,Baza[[№]:[Profit]],15,0)),"")</f>
        <v/>
      </c>
      <c r="R452" s="43" t="str">
        <f>IFERROR(IF(VLOOKUP(B452,Baza[[№]:[Profit]],16,0)=0,"-",VLOOKUP(B452,Baza[[№]:[Profit]],16,0)),"")</f>
        <v/>
      </c>
      <c r="S452" s="43" t="str">
        <f>IFERROR(IF(VLOOKUP(B452,Baza[[№]:[Profit]],17,0)=0,"-",VLOOKUP(B452,Baza[[№]:[Profit]],17,0)),"")</f>
        <v/>
      </c>
      <c r="T452" s="43" t="str">
        <f>IFERROR(IF(VLOOKUP(B452,Baza[[№]:[Profit]],18,0)=0,"-",VLOOKUP(B452,Baza[[№]:[Profit]],18,0)),"")</f>
        <v/>
      </c>
      <c r="U452" s="41" t="str">
        <f>IFERROR(IF(VLOOKUP(B452,Baza[[№]:[Profit]],19,0)=0,"-",VLOOKUP(B452,Baza[[№]:[Profit]],19,0)),"")</f>
        <v/>
      </c>
      <c r="V452" s="41" t="str">
        <f>IFERROR(VLOOKUP(B452,Baza[[№]:[Profit]],20,0),"")</f>
        <v/>
      </c>
      <c r="W452" s="41" t="str">
        <f>IFERROR(IF(VLOOKUP(B452,Baza[[№]:[Profit]],21,0)=0,"-",VLOOKUP(B452,Baza[[№]:[Profit]],21,0)),"")</f>
        <v/>
      </c>
      <c r="X452" s="45" t="str">
        <f>IFERROR(IF(VLOOKUP(B452,Baza[[№]:[Profit]],22,0)=0,"-",VLOOKUP(B452,Baza[[№]:[Profit]],22,0)),"")</f>
        <v/>
      </c>
      <c r="Y452" s="45" t="str">
        <f>IFERROR(VLOOKUP(B452,Baza[[№]:[Profit]],23,0),"")</f>
        <v/>
      </c>
      <c r="Z452" s="44" t="str">
        <f>IFERROR(VLOOKUP(B452,Baza[[№]:[AFS]],24,0),"")</f>
        <v/>
      </c>
      <c r="AA452" s="45" t="str">
        <f>IF(Таблица2[[#This Row],[Profit]]="","#Н/Д",SUM($Y$40:Y452))</f>
        <v>#Н/Д</v>
      </c>
      <c r="AB452" s="45" t="b">
        <f>IF(Таблица2[[#This Row],[Grafik]]="#Н/Д",FALSE,TRUE)</f>
        <v>0</v>
      </c>
    </row>
    <row r="453" spans="2:28" ht="11.1" hidden="1" customHeight="1" x14ac:dyDescent="0.25">
      <c r="B453"/>
      <c r="C453" s="41" t="str">
        <f>IFERROR(VLOOKUP(B453,Baza[[№]:[Profit]],2,0),"")</f>
        <v/>
      </c>
      <c r="D45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5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53" s="43" t="str">
        <f>IFERROR(VLOOKUP(B453,Baza[[№]:[Profit]],3,0),"")</f>
        <v/>
      </c>
      <c r="G453" s="43" t="str">
        <f>IFERROR(VLOOKUP(B453,Baza[[№]:[Profit]],4,0),"")</f>
        <v/>
      </c>
      <c r="H453" s="43" t="str">
        <f>IFERROR(VLOOKUP(B453,Baza[[№]:[Profit]],5,0),"")</f>
        <v/>
      </c>
      <c r="I453" s="46" t="str">
        <f>IFERROR(VLOOKUP(B453,Baza[[№]:[Profit]],6,0),"")</f>
        <v/>
      </c>
      <c r="J453" s="49" t="str">
        <f>IFERROR(VLOOKUP(B453,Baza[[№]:[Profit]],7,0),"")</f>
        <v/>
      </c>
      <c r="K453" s="43" t="str">
        <f>IFERROR(VLOOKUP(B453,Baza[[№]:[Profit]],8,0),"")</f>
        <v/>
      </c>
      <c r="L453" s="43" t="str">
        <f>IFERROR(VLOOKUP(B453,Baza[[№]:[Profit]],9,0),"")</f>
        <v/>
      </c>
      <c r="M453" s="43" t="str">
        <f>IFERROR(VLOOKUP(B453,Baza[[№]:[Profit]],10,0),"")</f>
        <v/>
      </c>
      <c r="N453" s="43" t="str">
        <f>IFERROR(IF(VLOOKUP(B453,Baza[[№]:[Profit]],11,0)=0,"-",VLOOKUP(B453,Baza[[№]:[Profit]],11,0)),"")</f>
        <v/>
      </c>
      <c r="O453" s="43" t="str">
        <f>IFERROR(IF(VLOOKUP(B453,Baza[[№]:[Profit]],12,0)=0,"-",VLOOKUP(B453,Baza[[№]:[Profit]],12,0)),"")</f>
        <v/>
      </c>
      <c r="P453" s="43" t="str">
        <f>IFERROR(IF(VLOOKUP(B453,Baza[[№]:[Profit]],13,0)=0,"-",VLOOKUP(B453,Baza[[№]:[Profit]],13,0)),"")</f>
        <v/>
      </c>
      <c r="Q453" s="43" t="str">
        <f>IFERROR(IF(VLOOKUP(B453,Baza[[№]:[Profit]],15,0)=0,"-",VLOOKUP(B453,Baza[[№]:[Profit]],15,0)),"")</f>
        <v/>
      </c>
      <c r="R453" s="43" t="str">
        <f>IFERROR(IF(VLOOKUP(B453,Baza[[№]:[Profit]],16,0)=0,"-",VLOOKUP(B453,Baza[[№]:[Profit]],16,0)),"")</f>
        <v/>
      </c>
      <c r="S453" s="43" t="str">
        <f>IFERROR(IF(VLOOKUP(B453,Baza[[№]:[Profit]],17,0)=0,"-",VLOOKUP(B453,Baza[[№]:[Profit]],17,0)),"")</f>
        <v/>
      </c>
      <c r="T453" s="43" t="str">
        <f>IFERROR(IF(VLOOKUP(B453,Baza[[№]:[Profit]],18,0)=0,"-",VLOOKUP(B453,Baza[[№]:[Profit]],18,0)),"")</f>
        <v/>
      </c>
      <c r="U453" s="41" t="str">
        <f>IFERROR(IF(VLOOKUP(B453,Baza[[№]:[Profit]],19,0)=0,"-",VLOOKUP(B453,Baza[[№]:[Profit]],19,0)),"")</f>
        <v/>
      </c>
      <c r="V453" s="41" t="str">
        <f>IFERROR(VLOOKUP(B453,Baza[[№]:[Profit]],20,0),"")</f>
        <v/>
      </c>
      <c r="W453" s="41" t="str">
        <f>IFERROR(IF(VLOOKUP(B453,Baza[[№]:[Profit]],21,0)=0,"-",VLOOKUP(B453,Baza[[№]:[Profit]],21,0)),"")</f>
        <v/>
      </c>
      <c r="X453" s="45" t="str">
        <f>IFERROR(IF(VLOOKUP(B453,Baza[[№]:[Profit]],22,0)=0,"-",VLOOKUP(B453,Baza[[№]:[Profit]],22,0)),"")</f>
        <v/>
      </c>
      <c r="Y453" s="45" t="str">
        <f>IFERROR(VLOOKUP(B453,Baza[[№]:[Profit]],23,0),"")</f>
        <v/>
      </c>
      <c r="Z453" s="44" t="str">
        <f>IFERROR(VLOOKUP(B453,Baza[[№]:[AFS]],24,0),"")</f>
        <v/>
      </c>
      <c r="AA453" s="45" t="str">
        <f>IF(Таблица2[[#This Row],[Profit]]="","#Н/Д",SUM($Y$40:Y453))</f>
        <v>#Н/Д</v>
      </c>
      <c r="AB453" s="45" t="b">
        <f>IF(Таблица2[[#This Row],[Grafik]]="#Н/Д",FALSE,TRUE)</f>
        <v>0</v>
      </c>
    </row>
    <row r="454" spans="2:28" ht="11.1" hidden="1" customHeight="1" x14ac:dyDescent="0.25">
      <c r="B454"/>
      <c r="C454" s="41" t="str">
        <f>IFERROR(VLOOKUP(B454,Baza[[№]:[Profit]],2,0),"")</f>
        <v/>
      </c>
      <c r="D45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5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54" s="43" t="str">
        <f>IFERROR(VLOOKUP(B454,Baza[[№]:[Profit]],3,0),"")</f>
        <v/>
      </c>
      <c r="G454" s="43" t="str">
        <f>IFERROR(VLOOKUP(B454,Baza[[№]:[Profit]],4,0),"")</f>
        <v/>
      </c>
      <c r="H454" s="43" t="str">
        <f>IFERROR(VLOOKUP(B454,Baza[[№]:[Profit]],5,0),"")</f>
        <v/>
      </c>
      <c r="I454" s="46" t="str">
        <f>IFERROR(VLOOKUP(B454,Baza[[№]:[Profit]],6,0),"")</f>
        <v/>
      </c>
      <c r="J454" s="49" t="str">
        <f>IFERROR(VLOOKUP(B454,Baza[[№]:[Profit]],7,0),"")</f>
        <v/>
      </c>
      <c r="K454" s="43" t="str">
        <f>IFERROR(VLOOKUP(B454,Baza[[№]:[Profit]],8,0),"")</f>
        <v/>
      </c>
      <c r="L454" s="43" t="str">
        <f>IFERROR(VLOOKUP(B454,Baza[[№]:[Profit]],9,0),"")</f>
        <v/>
      </c>
      <c r="M454" s="43" t="str">
        <f>IFERROR(VLOOKUP(B454,Baza[[№]:[Profit]],10,0),"")</f>
        <v/>
      </c>
      <c r="N454" s="43" t="str">
        <f>IFERROR(IF(VLOOKUP(B454,Baza[[№]:[Profit]],11,0)=0,"-",VLOOKUP(B454,Baza[[№]:[Profit]],11,0)),"")</f>
        <v/>
      </c>
      <c r="O454" s="43" t="str">
        <f>IFERROR(IF(VLOOKUP(B454,Baza[[№]:[Profit]],12,0)=0,"-",VLOOKUP(B454,Baza[[№]:[Profit]],12,0)),"")</f>
        <v/>
      </c>
      <c r="P454" s="43" t="str">
        <f>IFERROR(IF(VLOOKUP(B454,Baza[[№]:[Profit]],13,0)=0,"-",VLOOKUP(B454,Baza[[№]:[Profit]],13,0)),"")</f>
        <v/>
      </c>
      <c r="Q454" s="43" t="str">
        <f>IFERROR(IF(VLOOKUP(B454,Baza[[№]:[Profit]],15,0)=0,"-",VLOOKUP(B454,Baza[[№]:[Profit]],15,0)),"")</f>
        <v/>
      </c>
      <c r="R454" s="43" t="str">
        <f>IFERROR(IF(VLOOKUP(B454,Baza[[№]:[Profit]],16,0)=0,"-",VLOOKUP(B454,Baza[[№]:[Profit]],16,0)),"")</f>
        <v/>
      </c>
      <c r="S454" s="43" t="str">
        <f>IFERROR(IF(VLOOKUP(B454,Baza[[№]:[Profit]],17,0)=0,"-",VLOOKUP(B454,Baza[[№]:[Profit]],17,0)),"")</f>
        <v/>
      </c>
      <c r="T454" s="43" t="str">
        <f>IFERROR(IF(VLOOKUP(B454,Baza[[№]:[Profit]],18,0)=0,"-",VLOOKUP(B454,Baza[[№]:[Profit]],18,0)),"")</f>
        <v/>
      </c>
      <c r="U454" s="41" t="str">
        <f>IFERROR(IF(VLOOKUP(B454,Baza[[№]:[Profit]],19,0)=0,"-",VLOOKUP(B454,Baza[[№]:[Profit]],19,0)),"")</f>
        <v/>
      </c>
      <c r="V454" s="41" t="str">
        <f>IFERROR(VLOOKUP(B454,Baza[[№]:[Profit]],20,0),"")</f>
        <v/>
      </c>
      <c r="W454" s="41" t="str">
        <f>IFERROR(IF(VLOOKUP(B454,Baza[[№]:[Profit]],21,0)=0,"-",VLOOKUP(B454,Baza[[№]:[Profit]],21,0)),"")</f>
        <v/>
      </c>
      <c r="X454" s="45" t="str">
        <f>IFERROR(IF(VLOOKUP(B454,Baza[[№]:[Profit]],22,0)=0,"-",VLOOKUP(B454,Baza[[№]:[Profit]],22,0)),"")</f>
        <v/>
      </c>
      <c r="Y454" s="45" t="str">
        <f>IFERROR(VLOOKUP(B454,Baza[[№]:[Profit]],23,0),"")</f>
        <v/>
      </c>
      <c r="Z454" s="44" t="str">
        <f>IFERROR(VLOOKUP(B454,Baza[[№]:[AFS]],24,0),"")</f>
        <v/>
      </c>
      <c r="AA454" s="45" t="str">
        <f>IF(Таблица2[[#This Row],[Profit]]="","#Н/Д",SUM($Y$40:Y454))</f>
        <v>#Н/Д</v>
      </c>
      <c r="AB454" s="45" t="b">
        <f>IF(Таблица2[[#This Row],[Grafik]]="#Н/Д",FALSE,TRUE)</f>
        <v>0</v>
      </c>
    </row>
    <row r="455" spans="2:28" ht="11.1" hidden="1" customHeight="1" x14ac:dyDescent="0.25">
      <c r="B455"/>
      <c r="C455" s="41" t="str">
        <f>IFERROR(VLOOKUP(B455,Baza[[№]:[Profit]],2,0),"")</f>
        <v/>
      </c>
      <c r="D45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5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55" s="43" t="str">
        <f>IFERROR(VLOOKUP(B455,Baza[[№]:[Profit]],3,0),"")</f>
        <v/>
      </c>
      <c r="G455" s="43" t="str">
        <f>IFERROR(VLOOKUP(B455,Baza[[№]:[Profit]],4,0),"")</f>
        <v/>
      </c>
      <c r="H455" s="43" t="str">
        <f>IFERROR(VLOOKUP(B455,Baza[[№]:[Profit]],5,0),"")</f>
        <v/>
      </c>
      <c r="I455" s="46" t="str">
        <f>IFERROR(VLOOKUP(B455,Baza[[№]:[Profit]],6,0),"")</f>
        <v/>
      </c>
      <c r="J455" s="49" t="str">
        <f>IFERROR(VLOOKUP(B455,Baza[[№]:[Profit]],7,0),"")</f>
        <v/>
      </c>
      <c r="K455" s="43" t="str">
        <f>IFERROR(VLOOKUP(B455,Baza[[№]:[Profit]],8,0),"")</f>
        <v/>
      </c>
      <c r="L455" s="43" t="str">
        <f>IFERROR(VLOOKUP(B455,Baza[[№]:[Profit]],9,0),"")</f>
        <v/>
      </c>
      <c r="M455" s="43" t="str">
        <f>IFERROR(VLOOKUP(B455,Baza[[№]:[Profit]],10,0),"")</f>
        <v/>
      </c>
      <c r="N455" s="43" t="str">
        <f>IFERROR(IF(VLOOKUP(B455,Baza[[№]:[Profit]],11,0)=0,"-",VLOOKUP(B455,Baza[[№]:[Profit]],11,0)),"")</f>
        <v/>
      </c>
      <c r="O455" s="43" t="str">
        <f>IFERROR(IF(VLOOKUP(B455,Baza[[№]:[Profit]],12,0)=0,"-",VLOOKUP(B455,Baza[[№]:[Profit]],12,0)),"")</f>
        <v/>
      </c>
      <c r="P455" s="43" t="str">
        <f>IFERROR(IF(VLOOKUP(B455,Baza[[№]:[Profit]],13,0)=0,"-",VLOOKUP(B455,Baza[[№]:[Profit]],13,0)),"")</f>
        <v/>
      </c>
      <c r="Q455" s="43" t="str">
        <f>IFERROR(IF(VLOOKUP(B455,Baza[[№]:[Profit]],15,0)=0,"-",VLOOKUP(B455,Baza[[№]:[Profit]],15,0)),"")</f>
        <v/>
      </c>
      <c r="R455" s="43" t="str">
        <f>IFERROR(IF(VLOOKUP(B455,Baza[[№]:[Profit]],16,0)=0,"-",VLOOKUP(B455,Baza[[№]:[Profit]],16,0)),"")</f>
        <v/>
      </c>
      <c r="S455" s="43" t="str">
        <f>IFERROR(IF(VLOOKUP(B455,Baza[[№]:[Profit]],17,0)=0,"-",VLOOKUP(B455,Baza[[№]:[Profit]],17,0)),"")</f>
        <v/>
      </c>
      <c r="T455" s="43" t="str">
        <f>IFERROR(IF(VLOOKUP(B455,Baza[[№]:[Profit]],18,0)=0,"-",VLOOKUP(B455,Baza[[№]:[Profit]],18,0)),"")</f>
        <v/>
      </c>
      <c r="U455" s="41" t="str">
        <f>IFERROR(IF(VLOOKUP(B455,Baza[[№]:[Profit]],19,0)=0,"-",VLOOKUP(B455,Baza[[№]:[Profit]],19,0)),"")</f>
        <v/>
      </c>
      <c r="V455" s="41" t="str">
        <f>IFERROR(VLOOKUP(B455,Baza[[№]:[Profit]],20,0),"")</f>
        <v/>
      </c>
      <c r="W455" s="41" t="str">
        <f>IFERROR(IF(VLOOKUP(B455,Baza[[№]:[Profit]],21,0)=0,"-",VLOOKUP(B455,Baza[[№]:[Profit]],21,0)),"")</f>
        <v/>
      </c>
      <c r="X455" s="45" t="str">
        <f>IFERROR(IF(VLOOKUP(B455,Baza[[№]:[Profit]],22,0)=0,"-",VLOOKUP(B455,Baza[[№]:[Profit]],22,0)),"")</f>
        <v/>
      </c>
      <c r="Y455" s="45" t="str">
        <f>IFERROR(VLOOKUP(B455,Baza[[№]:[Profit]],23,0),"")</f>
        <v/>
      </c>
      <c r="Z455" s="44" t="str">
        <f>IFERROR(VLOOKUP(B455,Baza[[№]:[AFS]],24,0),"")</f>
        <v/>
      </c>
      <c r="AA455" s="45" t="str">
        <f>IF(Таблица2[[#This Row],[Profit]]="","#Н/Д",SUM($Y$40:Y455))</f>
        <v>#Н/Д</v>
      </c>
      <c r="AB455" s="45" t="b">
        <f>IF(Таблица2[[#This Row],[Grafik]]="#Н/Д",FALSE,TRUE)</f>
        <v>0</v>
      </c>
    </row>
    <row r="456" spans="2:28" ht="11.1" hidden="1" customHeight="1" x14ac:dyDescent="0.25">
      <c r="B456"/>
      <c r="C456" s="41" t="str">
        <f>IFERROR(VLOOKUP(B456,Baza[[№]:[Profit]],2,0),"")</f>
        <v/>
      </c>
      <c r="D45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5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56" s="43" t="str">
        <f>IFERROR(VLOOKUP(B456,Baza[[№]:[Profit]],3,0),"")</f>
        <v/>
      </c>
      <c r="G456" s="43" t="str">
        <f>IFERROR(VLOOKUP(B456,Baza[[№]:[Profit]],4,0),"")</f>
        <v/>
      </c>
      <c r="H456" s="43" t="str">
        <f>IFERROR(VLOOKUP(B456,Baza[[№]:[Profit]],5,0),"")</f>
        <v/>
      </c>
      <c r="I456" s="46" t="str">
        <f>IFERROR(VLOOKUP(B456,Baza[[№]:[Profit]],6,0),"")</f>
        <v/>
      </c>
      <c r="J456" s="49" t="str">
        <f>IFERROR(VLOOKUP(B456,Baza[[№]:[Profit]],7,0),"")</f>
        <v/>
      </c>
      <c r="K456" s="43" t="str">
        <f>IFERROR(VLOOKUP(B456,Baza[[№]:[Profit]],8,0),"")</f>
        <v/>
      </c>
      <c r="L456" s="43" t="str">
        <f>IFERROR(VLOOKUP(B456,Baza[[№]:[Profit]],9,0),"")</f>
        <v/>
      </c>
      <c r="M456" s="43" t="str">
        <f>IFERROR(VLOOKUP(B456,Baza[[№]:[Profit]],10,0),"")</f>
        <v/>
      </c>
      <c r="N456" s="43" t="str">
        <f>IFERROR(IF(VLOOKUP(B456,Baza[[№]:[Profit]],11,0)=0,"-",VLOOKUP(B456,Baza[[№]:[Profit]],11,0)),"")</f>
        <v/>
      </c>
      <c r="O456" s="43" t="str">
        <f>IFERROR(IF(VLOOKUP(B456,Baza[[№]:[Profit]],12,0)=0,"-",VLOOKUP(B456,Baza[[№]:[Profit]],12,0)),"")</f>
        <v/>
      </c>
      <c r="P456" s="43" t="str">
        <f>IFERROR(IF(VLOOKUP(B456,Baza[[№]:[Profit]],13,0)=0,"-",VLOOKUP(B456,Baza[[№]:[Profit]],13,0)),"")</f>
        <v/>
      </c>
      <c r="Q456" s="43" t="str">
        <f>IFERROR(IF(VLOOKUP(B456,Baza[[№]:[Profit]],15,0)=0,"-",VLOOKUP(B456,Baza[[№]:[Profit]],15,0)),"")</f>
        <v/>
      </c>
      <c r="R456" s="43" t="str">
        <f>IFERROR(IF(VLOOKUP(B456,Baza[[№]:[Profit]],16,0)=0,"-",VLOOKUP(B456,Baza[[№]:[Profit]],16,0)),"")</f>
        <v/>
      </c>
      <c r="S456" s="43" t="str">
        <f>IFERROR(IF(VLOOKUP(B456,Baza[[№]:[Profit]],17,0)=0,"-",VLOOKUP(B456,Baza[[№]:[Profit]],17,0)),"")</f>
        <v/>
      </c>
      <c r="T456" s="43" t="str">
        <f>IFERROR(IF(VLOOKUP(B456,Baza[[№]:[Profit]],18,0)=0,"-",VLOOKUP(B456,Baza[[№]:[Profit]],18,0)),"")</f>
        <v/>
      </c>
      <c r="U456" s="41" t="str">
        <f>IFERROR(IF(VLOOKUP(B456,Baza[[№]:[Profit]],19,0)=0,"-",VLOOKUP(B456,Baza[[№]:[Profit]],19,0)),"")</f>
        <v/>
      </c>
      <c r="V456" s="41" t="str">
        <f>IFERROR(VLOOKUP(B456,Baza[[№]:[Profit]],20,0),"")</f>
        <v/>
      </c>
      <c r="W456" s="41" t="str">
        <f>IFERROR(IF(VLOOKUP(B456,Baza[[№]:[Profit]],21,0)=0,"-",VLOOKUP(B456,Baza[[№]:[Profit]],21,0)),"")</f>
        <v/>
      </c>
      <c r="X456" s="45" t="str">
        <f>IFERROR(IF(VLOOKUP(B456,Baza[[№]:[Profit]],22,0)=0,"-",VLOOKUP(B456,Baza[[№]:[Profit]],22,0)),"")</f>
        <v/>
      </c>
      <c r="Y456" s="45" t="str">
        <f>IFERROR(VLOOKUP(B456,Baza[[№]:[Profit]],23,0),"")</f>
        <v/>
      </c>
      <c r="Z456" s="44" t="str">
        <f>IFERROR(VLOOKUP(B456,Baza[[№]:[AFS]],24,0),"")</f>
        <v/>
      </c>
      <c r="AA456" s="45" t="str">
        <f>IF(Таблица2[[#This Row],[Profit]]="","#Н/Д",SUM($Y$40:Y456))</f>
        <v>#Н/Д</v>
      </c>
      <c r="AB456" s="45" t="b">
        <f>IF(Таблица2[[#This Row],[Grafik]]="#Н/Д",FALSE,TRUE)</f>
        <v>0</v>
      </c>
    </row>
    <row r="457" spans="2:28" ht="11.1" hidden="1" customHeight="1" x14ac:dyDescent="0.25">
      <c r="B457"/>
      <c r="C457" s="41" t="str">
        <f>IFERROR(VLOOKUP(B457,Baza[[№]:[Profit]],2,0),"")</f>
        <v/>
      </c>
      <c r="D45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5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57" s="43" t="str">
        <f>IFERROR(VLOOKUP(B457,Baza[[№]:[Profit]],3,0),"")</f>
        <v/>
      </c>
      <c r="G457" s="43" t="str">
        <f>IFERROR(VLOOKUP(B457,Baza[[№]:[Profit]],4,0),"")</f>
        <v/>
      </c>
      <c r="H457" s="43" t="str">
        <f>IFERROR(VLOOKUP(B457,Baza[[№]:[Profit]],5,0),"")</f>
        <v/>
      </c>
      <c r="I457" s="46" t="str">
        <f>IFERROR(VLOOKUP(B457,Baza[[№]:[Profit]],6,0),"")</f>
        <v/>
      </c>
      <c r="J457" s="49" t="str">
        <f>IFERROR(VLOOKUP(B457,Baza[[№]:[Profit]],7,0),"")</f>
        <v/>
      </c>
      <c r="K457" s="43" t="str">
        <f>IFERROR(VLOOKUP(B457,Baza[[№]:[Profit]],8,0),"")</f>
        <v/>
      </c>
      <c r="L457" s="43" t="str">
        <f>IFERROR(VLOOKUP(B457,Baza[[№]:[Profit]],9,0),"")</f>
        <v/>
      </c>
      <c r="M457" s="43" t="str">
        <f>IFERROR(VLOOKUP(B457,Baza[[№]:[Profit]],10,0),"")</f>
        <v/>
      </c>
      <c r="N457" s="43" t="str">
        <f>IFERROR(IF(VLOOKUP(B457,Baza[[№]:[Profit]],11,0)=0,"-",VLOOKUP(B457,Baza[[№]:[Profit]],11,0)),"")</f>
        <v/>
      </c>
      <c r="O457" s="43" t="str">
        <f>IFERROR(IF(VLOOKUP(B457,Baza[[№]:[Profit]],12,0)=0,"-",VLOOKUP(B457,Baza[[№]:[Profit]],12,0)),"")</f>
        <v/>
      </c>
      <c r="P457" s="43" t="str">
        <f>IFERROR(IF(VLOOKUP(B457,Baza[[№]:[Profit]],13,0)=0,"-",VLOOKUP(B457,Baza[[№]:[Profit]],13,0)),"")</f>
        <v/>
      </c>
      <c r="Q457" s="43" t="str">
        <f>IFERROR(IF(VLOOKUP(B457,Baza[[№]:[Profit]],15,0)=0,"-",VLOOKUP(B457,Baza[[№]:[Profit]],15,0)),"")</f>
        <v/>
      </c>
      <c r="R457" s="43" t="str">
        <f>IFERROR(IF(VLOOKUP(B457,Baza[[№]:[Profit]],16,0)=0,"-",VLOOKUP(B457,Baza[[№]:[Profit]],16,0)),"")</f>
        <v/>
      </c>
      <c r="S457" s="43" t="str">
        <f>IFERROR(IF(VLOOKUP(B457,Baza[[№]:[Profit]],17,0)=0,"-",VLOOKUP(B457,Baza[[№]:[Profit]],17,0)),"")</f>
        <v/>
      </c>
      <c r="T457" s="43" t="str">
        <f>IFERROR(IF(VLOOKUP(B457,Baza[[№]:[Profit]],18,0)=0,"-",VLOOKUP(B457,Baza[[№]:[Profit]],18,0)),"")</f>
        <v/>
      </c>
      <c r="U457" s="41" t="str">
        <f>IFERROR(IF(VLOOKUP(B457,Baza[[№]:[Profit]],19,0)=0,"-",VLOOKUP(B457,Baza[[№]:[Profit]],19,0)),"")</f>
        <v/>
      </c>
      <c r="V457" s="41" t="str">
        <f>IFERROR(VLOOKUP(B457,Baza[[№]:[Profit]],20,0),"")</f>
        <v/>
      </c>
      <c r="W457" s="41" t="str">
        <f>IFERROR(IF(VLOOKUP(B457,Baza[[№]:[Profit]],21,0)=0,"-",VLOOKUP(B457,Baza[[№]:[Profit]],21,0)),"")</f>
        <v/>
      </c>
      <c r="X457" s="45" t="str">
        <f>IFERROR(IF(VLOOKUP(B457,Baza[[№]:[Profit]],22,0)=0,"-",VLOOKUP(B457,Baza[[№]:[Profit]],22,0)),"")</f>
        <v/>
      </c>
      <c r="Y457" s="45" t="str">
        <f>IFERROR(VLOOKUP(B457,Baza[[№]:[Profit]],23,0),"")</f>
        <v/>
      </c>
      <c r="Z457" s="44" t="str">
        <f>IFERROR(VLOOKUP(B457,Baza[[№]:[AFS]],24,0),"")</f>
        <v/>
      </c>
      <c r="AA457" s="45" t="str">
        <f>IF(Таблица2[[#This Row],[Profit]]="","#Н/Д",SUM($Y$40:Y457))</f>
        <v>#Н/Д</v>
      </c>
      <c r="AB457" s="45" t="b">
        <f>IF(Таблица2[[#This Row],[Grafik]]="#Н/Д",FALSE,TRUE)</f>
        <v>0</v>
      </c>
    </row>
    <row r="458" spans="2:28" ht="11.1" hidden="1" customHeight="1" x14ac:dyDescent="0.25">
      <c r="B458"/>
      <c r="C458" s="41" t="str">
        <f>IFERROR(VLOOKUP(B458,Baza[[№]:[Profit]],2,0),"")</f>
        <v/>
      </c>
      <c r="D45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5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58" s="43" t="str">
        <f>IFERROR(VLOOKUP(B458,Baza[[№]:[Profit]],3,0),"")</f>
        <v/>
      </c>
      <c r="G458" s="43" t="str">
        <f>IFERROR(VLOOKUP(B458,Baza[[№]:[Profit]],4,0),"")</f>
        <v/>
      </c>
      <c r="H458" s="43" t="str">
        <f>IFERROR(VLOOKUP(B458,Baza[[№]:[Profit]],5,0),"")</f>
        <v/>
      </c>
      <c r="I458" s="46" t="str">
        <f>IFERROR(VLOOKUP(B458,Baza[[№]:[Profit]],6,0),"")</f>
        <v/>
      </c>
      <c r="J458" s="49" t="str">
        <f>IFERROR(VLOOKUP(B458,Baza[[№]:[Profit]],7,0),"")</f>
        <v/>
      </c>
      <c r="K458" s="43" t="str">
        <f>IFERROR(VLOOKUP(B458,Baza[[№]:[Profit]],8,0),"")</f>
        <v/>
      </c>
      <c r="L458" s="43" t="str">
        <f>IFERROR(VLOOKUP(B458,Baza[[№]:[Profit]],9,0),"")</f>
        <v/>
      </c>
      <c r="M458" s="43" t="str">
        <f>IFERROR(VLOOKUP(B458,Baza[[№]:[Profit]],10,0),"")</f>
        <v/>
      </c>
      <c r="N458" s="43" t="str">
        <f>IFERROR(IF(VLOOKUP(B458,Baza[[№]:[Profit]],11,0)=0,"-",VLOOKUP(B458,Baza[[№]:[Profit]],11,0)),"")</f>
        <v/>
      </c>
      <c r="O458" s="43" t="str">
        <f>IFERROR(IF(VLOOKUP(B458,Baza[[№]:[Profit]],12,0)=0,"-",VLOOKUP(B458,Baza[[№]:[Profit]],12,0)),"")</f>
        <v/>
      </c>
      <c r="P458" s="43" t="str">
        <f>IFERROR(IF(VLOOKUP(B458,Baza[[№]:[Profit]],13,0)=0,"-",VLOOKUP(B458,Baza[[№]:[Profit]],13,0)),"")</f>
        <v/>
      </c>
      <c r="Q458" s="43" t="str">
        <f>IFERROR(IF(VLOOKUP(B458,Baza[[№]:[Profit]],15,0)=0,"-",VLOOKUP(B458,Baza[[№]:[Profit]],15,0)),"")</f>
        <v/>
      </c>
      <c r="R458" s="43" t="str">
        <f>IFERROR(IF(VLOOKUP(B458,Baza[[№]:[Profit]],16,0)=0,"-",VLOOKUP(B458,Baza[[№]:[Profit]],16,0)),"")</f>
        <v/>
      </c>
      <c r="S458" s="43" t="str">
        <f>IFERROR(IF(VLOOKUP(B458,Baza[[№]:[Profit]],17,0)=0,"-",VLOOKUP(B458,Baza[[№]:[Profit]],17,0)),"")</f>
        <v/>
      </c>
      <c r="T458" s="43" t="str">
        <f>IFERROR(IF(VLOOKUP(B458,Baza[[№]:[Profit]],18,0)=0,"-",VLOOKUP(B458,Baza[[№]:[Profit]],18,0)),"")</f>
        <v/>
      </c>
      <c r="U458" s="41" t="str">
        <f>IFERROR(IF(VLOOKUP(B458,Baza[[№]:[Profit]],19,0)=0,"-",VLOOKUP(B458,Baza[[№]:[Profit]],19,0)),"")</f>
        <v/>
      </c>
      <c r="V458" s="41" t="str">
        <f>IFERROR(VLOOKUP(B458,Baza[[№]:[Profit]],20,0),"")</f>
        <v/>
      </c>
      <c r="W458" s="41" t="str">
        <f>IFERROR(IF(VLOOKUP(B458,Baza[[№]:[Profit]],21,0)=0,"-",VLOOKUP(B458,Baza[[№]:[Profit]],21,0)),"")</f>
        <v/>
      </c>
      <c r="X458" s="45" t="str">
        <f>IFERROR(IF(VLOOKUP(B458,Baza[[№]:[Profit]],22,0)=0,"-",VLOOKUP(B458,Baza[[№]:[Profit]],22,0)),"")</f>
        <v/>
      </c>
      <c r="Y458" s="45" t="str">
        <f>IFERROR(VLOOKUP(B458,Baza[[№]:[Profit]],23,0),"")</f>
        <v/>
      </c>
      <c r="Z458" s="44" t="str">
        <f>IFERROR(VLOOKUP(B458,Baza[[№]:[AFS]],24,0),"")</f>
        <v/>
      </c>
      <c r="AA458" s="45" t="str">
        <f>IF(Таблица2[[#This Row],[Profit]]="","#Н/Д",SUM($Y$40:Y458))</f>
        <v>#Н/Д</v>
      </c>
      <c r="AB458" s="45" t="b">
        <f>IF(Таблица2[[#This Row],[Grafik]]="#Н/Д",FALSE,TRUE)</f>
        <v>0</v>
      </c>
    </row>
    <row r="459" spans="2:28" ht="11.1" hidden="1" customHeight="1" x14ac:dyDescent="0.25">
      <c r="B459"/>
      <c r="C459" s="41" t="str">
        <f>IFERROR(VLOOKUP(B459,Baza[[№]:[Profit]],2,0),"")</f>
        <v/>
      </c>
      <c r="D45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5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59" s="43" t="str">
        <f>IFERROR(VLOOKUP(B459,Baza[[№]:[Profit]],3,0),"")</f>
        <v/>
      </c>
      <c r="G459" s="43" t="str">
        <f>IFERROR(VLOOKUP(B459,Baza[[№]:[Profit]],4,0),"")</f>
        <v/>
      </c>
      <c r="H459" s="43" t="str">
        <f>IFERROR(VLOOKUP(B459,Baza[[№]:[Profit]],5,0),"")</f>
        <v/>
      </c>
      <c r="I459" s="46" t="str">
        <f>IFERROR(VLOOKUP(B459,Baza[[№]:[Profit]],6,0),"")</f>
        <v/>
      </c>
      <c r="J459" s="49" t="str">
        <f>IFERROR(VLOOKUP(B459,Baza[[№]:[Profit]],7,0),"")</f>
        <v/>
      </c>
      <c r="K459" s="43" t="str">
        <f>IFERROR(VLOOKUP(B459,Baza[[№]:[Profit]],8,0),"")</f>
        <v/>
      </c>
      <c r="L459" s="43" t="str">
        <f>IFERROR(VLOOKUP(B459,Baza[[№]:[Profit]],9,0),"")</f>
        <v/>
      </c>
      <c r="M459" s="43" t="str">
        <f>IFERROR(VLOOKUP(B459,Baza[[№]:[Profit]],10,0),"")</f>
        <v/>
      </c>
      <c r="N459" s="43" t="str">
        <f>IFERROR(IF(VLOOKUP(B459,Baza[[№]:[Profit]],11,0)=0,"-",VLOOKUP(B459,Baza[[№]:[Profit]],11,0)),"")</f>
        <v/>
      </c>
      <c r="O459" s="43" t="str">
        <f>IFERROR(IF(VLOOKUP(B459,Baza[[№]:[Profit]],12,0)=0,"-",VLOOKUP(B459,Baza[[№]:[Profit]],12,0)),"")</f>
        <v/>
      </c>
      <c r="P459" s="43" t="str">
        <f>IFERROR(IF(VLOOKUP(B459,Baza[[№]:[Profit]],13,0)=0,"-",VLOOKUP(B459,Baza[[№]:[Profit]],13,0)),"")</f>
        <v/>
      </c>
      <c r="Q459" s="43" t="str">
        <f>IFERROR(IF(VLOOKUP(B459,Baza[[№]:[Profit]],15,0)=0,"-",VLOOKUP(B459,Baza[[№]:[Profit]],15,0)),"")</f>
        <v/>
      </c>
      <c r="R459" s="43" t="str">
        <f>IFERROR(IF(VLOOKUP(B459,Baza[[№]:[Profit]],16,0)=0,"-",VLOOKUP(B459,Baza[[№]:[Profit]],16,0)),"")</f>
        <v/>
      </c>
      <c r="S459" s="43" t="str">
        <f>IFERROR(IF(VLOOKUP(B459,Baza[[№]:[Profit]],17,0)=0,"-",VLOOKUP(B459,Baza[[№]:[Profit]],17,0)),"")</f>
        <v/>
      </c>
      <c r="T459" s="43" t="str">
        <f>IFERROR(IF(VLOOKUP(B459,Baza[[№]:[Profit]],18,0)=0,"-",VLOOKUP(B459,Baza[[№]:[Profit]],18,0)),"")</f>
        <v/>
      </c>
      <c r="U459" s="41" t="str">
        <f>IFERROR(IF(VLOOKUP(B459,Baza[[№]:[Profit]],19,0)=0,"-",VLOOKUP(B459,Baza[[№]:[Profit]],19,0)),"")</f>
        <v/>
      </c>
      <c r="V459" s="41" t="str">
        <f>IFERROR(VLOOKUP(B459,Baza[[№]:[Profit]],20,0),"")</f>
        <v/>
      </c>
      <c r="W459" s="41" t="str">
        <f>IFERROR(IF(VLOOKUP(B459,Baza[[№]:[Profit]],21,0)=0,"-",VLOOKUP(B459,Baza[[№]:[Profit]],21,0)),"")</f>
        <v/>
      </c>
      <c r="X459" s="45" t="str">
        <f>IFERROR(IF(VLOOKUP(B459,Baza[[№]:[Profit]],22,0)=0,"-",VLOOKUP(B459,Baza[[№]:[Profit]],22,0)),"")</f>
        <v/>
      </c>
      <c r="Y459" s="45" t="str">
        <f>IFERROR(VLOOKUP(B459,Baza[[№]:[Profit]],23,0),"")</f>
        <v/>
      </c>
      <c r="Z459" s="44" t="str">
        <f>IFERROR(VLOOKUP(B459,Baza[[№]:[AFS]],24,0),"")</f>
        <v/>
      </c>
      <c r="AA459" s="45" t="str">
        <f>IF(Таблица2[[#This Row],[Profit]]="","#Н/Д",SUM($Y$40:Y459))</f>
        <v>#Н/Д</v>
      </c>
      <c r="AB459" s="45" t="b">
        <f>IF(Таблица2[[#This Row],[Grafik]]="#Н/Д",FALSE,TRUE)</f>
        <v>0</v>
      </c>
    </row>
    <row r="460" spans="2:28" ht="11.1" hidden="1" customHeight="1" x14ac:dyDescent="0.25">
      <c r="B460"/>
      <c r="C460" s="41" t="str">
        <f>IFERROR(VLOOKUP(B460,Baza[[№]:[Profit]],2,0),"")</f>
        <v/>
      </c>
      <c r="D46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6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60" s="43" t="str">
        <f>IFERROR(VLOOKUP(B460,Baza[[№]:[Profit]],3,0),"")</f>
        <v/>
      </c>
      <c r="G460" s="43" t="str">
        <f>IFERROR(VLOOKUP(B460,Baza[[№]:[Profit]],4,0),"")</f>
        <v/>
      </c>
      <c r="H460" s="43" t="str">
        <f>IFERROR(VLOOKUP(B460,Baza[[№]:[Profit]],5,0),"")</f>
        <v/>
      </c>
      <c r="I460" s="46" t="str">
        <f>IFERROR(VLOOKUP(B460,Baza[[№]:[Profit]],6,0),"")</f>
        <v/>
      </c>
      <c r="J460" s="49" t="str">
        <f>IFERROR(VLOOKUP(B460,Baza[[№]:[Profit]],7,0),"")</f>
        <v/>
      </c>
      <c r="K460" s="43" t="str">
        <f>IFERROR(VLOOKUP(B460,Baza[[№]:[Profit]],8,0),"")</f>
        <v/>
      </c>
      <c r="L460" s="43" t="str">
        <f>IFERROR(VLOOKUP(B460,Baza[[№]:[Profit]],9,0),"")</f>
        <v/>
      </c>
      <c r="M460" s="43" t="str">
        <f>IFERROR(VLOOKUP(B460,Baza[[№]:[Profit]],10,0),"")</f>
        <v/>
      </c>
      <c r="N460" s="43" t="str">
        <f>IFERROR(IF(VLOOKUP(B460,Baza[[№]:[Profit]],11,0)=0,"-",VLOOKUP(B460,Baza[[№]:[Profit]],11,0)),"")</f>
        <v/>
      </c>
      <c r="O460" s="43" t="str">
        <f>IFERROR(IF(VLOOKUP(B460,Baza[[№]:[Profit]],12,0)=0,"-",VLOOKUP(B460,Baza[[№]:[Profit]],12,0)),"")</f>
        <v/>
      </c>
      <c r="P460" s="43" t="str">
        <f>IFERROR(IF(VLOOKUP(B460,Baza[[№]:[Profit]],13,0)=0,"-",VLOOKUP(B460,Baza[[№]:[Profit]],13,0)),"")</f>
        <v/>
      </c>
      <c r="Q460" s="43" t="str">
        <f>IFERROR(IF(VLOOKUP(B460,Baza[[№]:[Profit]],15,0)=0,"-",VLOOKUP(B460,Baza[[№]:[Profit]],15,0)),"")</f>
        <v/>
      </c>
      <c r="R460" s="43" t="str">
        <f>IFERROR(IF(VLOOKUP(B460,Baza[[№]:[Profit]],16,0)=0,"-",VLOOKUP(B460,Baza[[№]:[Profit]],16,0)),"")</f>
        <v/>
      </c>
      <c r="S460" s="43" t="str">
        <f>IFERROR(IF(VLOOKUP(B460,Baza[[№]:[Profit]],17,0)=0,"-",VLOOKUP(B460,Baza[[№]:[Profit]],17,0)),"")</f>
        <v/>
      </c>
      <c r="T460" s="43" t="str">
        <f>IFERROR(IF(VLOOKUP(B460,Baza[[№]:[Profit]],18,0)=0,"-",VLOOKUP(B460,Baza[[№]:[Profit]],18,0)),"")</f>
        <v/>
      </c>
      <c r="U460" s="41" t="str">
        <f>IFERROR(IF(VLOOKUP(B460,Baza[[№]:[Profit]],19,0)=0,"-",VLOOKUP(B460,Baza[[№]:[Profit]],19,0)),"")</f>
        <v/>
      </c>
      <c r="V460" s="41" t="str">
        <f>IFERROR(VLOOKUP(B460,Baza[[№]:[Profit]],20,0),"")</f>
        <v/>
      </c>
      <c r="W460" s="41" t="str">
        <f>IFERROR(IF(VLOOKUP(B460,Baza[[№]:[Profit]],21,0)=0,"-",VLOOKUP(B460,Baza[[№]:[Profit]],21,0)),"")</f>
        <v/>
      </c>
      <c r="X460" s="45" t="str">
        <f>IFERROR(IF(VLOOKUP(B460,Baza[[№]:[Profit]],22,0)=0,"-",VLOOKUP(B460,Baza[[№]:[Profit]],22,0)),"")</f>
        <v/>
      </c>
      <c r="Y460" s="45" t="str">
        <f>IFERROR(VLOOKUP(B460,Baza[[№]:[Profit]],23,0),"")</f>
        <v/>
      </c>
      <c r="Z460" s="44" t="str">
        <f>IFERROR(VLOOKUP(B460,Baza[[№]:[AFS]],24,0),"")</f>
        <v/>
      </c>
      <c r="AA460" s="45" t="str">
        <f>IF(Таблица2[[#This Row],[Profit]]="","#Н/Д",SUM($Y$40:Y460))</f>
        <v>#Н/Д</v>
      </c>
      <c r="AB460" s="45" t="b">
        <f>IF(Таблица2[[#This Row],[Grafik]]="#Н/Д",FALSE,TRUE)</f>
        <v>0</v>
      </c>
    </row>
    <row r="461" spans="2:28" ht="11.1" hidden="1" customHeight="1" x14ac:dyDescent="0.25">
      <c r="B461"/>
      <c r="C461" s="41" t="str">
        <f>IFERROR(VLOOKUP(B461,Baza[[№]:[Profit]],2,0),"")</f>
        <v/>
      </c>
      <c r="D46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6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61" s="43" t="str">
        <f>IFERROR(VLOOKUP(B461,Baza[[№]:[Profit]],3,0),"")</f>
        <v/>
      </c>
      <c r="G461" s="43" t="str">
        <f>IFERROR(VLOOKUP(B461,Baza[[№]:[Profit]],4,0),"")</f>
        <v/>
      </c>
      <c r="H461" s="43" t="str">
        <f>IFERROR(VLOOKUP(B461,Baza[[№]:[Profit]],5,0),"")</f>
        <v/>
      </c>
      <c r="I461" s="46" t="str">
        <f>IFERROR(VLOOKUP(B461,Baza[[№]:[Profit]],6,0),"")</f>
        <v/>
      </c>
      <c r="J461" s="49" t="str">
        <f>IFERROR(VLOOKUP(B461,Baza[[№]:[Profit]],7,0),"")</f>
        <v/>
      </c>
      <c r="K461" s="43" t="str">
        <f>IFERROR(VLOOKUP(B461,Baza[[№]:[Profit]],8,0),"")</f>
        <v/>
      </c>
      <c r="L461" s="43" t="str">
        <f>IFERROR(VLOOKUP(B461,Baza[[№]:[Profit]],9,0),"")</f>
        <v/>
      </c>
      <c r="M461" s="43" t="str">
        <f>IFERROR(VLOOKUP(B461,Baza[[№]:[Profit]],10,0),"")</f>
        <v/>
      </c>
      <c r="N461" s="43" t="str">
        <f>IFERROR(IF(VLOOKUP(B461,Baza[[№]:[Profit]],11,0)=0,"-",VLOOKUP(B461,Baza[[№]:[Profit]],11,0)),"")</f>
        <v/>
      </c>
      <c r="O461" s="43" t="str">
        <f>IFERROR(IF(VLOOKUP(B461,Baza[[№]:[Profit]],12,0)=0,"-",VLOOKUP(B461,Baza[[№]:[Profit]],12,0)),"")</f>
        <v/>
      </c>
      <c r="P461" s="43" t="str">
        <f>IFERROR(IF(VLOOKUP(B461,Baza[[№]:[Profit]],13,0)=0,"-",VLOOKUP(B461,Baza[[№]:[Profit]],13,0)),"")</f>
        <v/>
      </c>
      <c r="Q461" s="43" t="str">
        <f>IFERROR(IF(VLOOKUP(B461,Baza[[№]:[Profit]],15,0)=0,"-",VLOOKUP(B461,Baza[[№]:[Profit]],15,0)),"")</f>
        <v/>
      </c>
      <c r="R461" s="43" t="str">
        <f>IFERROR(IF(VLOOKUP(B461,Baza[[№]:[Profit]],16,0)=0,"-",VLOOKUP(B461,Baza[[№]:[Profit]],16,0)),"")</f>
        <v/>
      </c>
      <c r="S461" s="43" t="str">
        <f>IFERROR(IF(VLOOKUP(B461,Baza[[№]:[Profit]],17,0)=0,"-",VLOOKUP(B461,Baza[[№]:[Profit]],17,0)),"")</f>
        <v/>
      </c>
      <c r="T461" s="43" t="str">
        <f>IFERROR(IF(VLOOKUP(B461,Baza[[№]:[Profit]],18,0)=0,"-",VLOOKUP(B461,Baza[[№]:[Profit]],18,0)),"")</f>
        <v/>
      </c>
      <c r="U461" s="41" t="str">
        <f>IFERROR(IF(VLOOKUP(B461,Baza[[№]:[Profit]],19,0)=0,"-",VLOOKUP(B461,Baza[[№]:[Profit]],19,0)),"")</f>
        <v/>
      </c>
      <c r="V461" s="41" t="str">
        <f>IFERROR(VLOOKUP(B461,Baza[[№]:[Profit]],20,0),"")</f>
        <v/>
      </c>
      <c r="W461" s="41" t="str">
        <f>IFERROR(IF(VLOOKUP(B461,Baza[[№]:[Profit]],21,0)=0,"-",VLOOKUP(B461,Baza[[№]:[Profit]],21,0)),"")</f>
        <v/>
      </c>
      <c r="X461" s="45" t="str">
        <f>IFERROR(IF(VLOOKUP(B461,Baza[[№]:[Profit]],22,0)=0,"-",VLOOKUP(B461,Baza[[№]:[Profit]],22,0)),"")</f>
        <v/>
      </c>
      <c r="Y461" s="45" t="str">
        <f>IFERROR(VLOOKUP(B461,Baza[[№]:[Profit]],23,0),"")</f>
        <v/>
      </c>
      <c r="Z461" s="44" t="str">
        <f>IFERROR(VLOOKUP(B461,Baza[[№]:[AFS]],24,0),"")</f>
        <v/>
      </c>
      <c r="AA461" s="45" t="str">
        <f>IF(Таблица2[[#This Row],[Profit]]="","#Н/Д",SUM($Y$40:Y461))</f>
        <v>#Н/Д</v>
      </c>
      <c r="AB461" s="45" t="b">
        <f>IF(Таблица2[[#This Row],[Grafik]]="#Н/Д",FALSE,TRUE)</f>
        <v>0</v>
      </c>
    </row>
    <row r="462" spans="2:28" ht="11.1" hidden="1" customHeight="1" x14ac:dyDescent="0.25">
      <c r="B462"/>
      <c r="C462" s="41" t="str">
        <f>IFERROR(VLOOKUP(B462,Baza[[№]:[Profit]],2,0),"")</f>
        <v/>
      </c>
      <c r="D46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6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62" s="43" t="str">
        <f>IFERROR(VLOOKUP(B462,Baza[[№]:[Profit]],3,0),"")</f>
        <v/>
      </c>
      <c r="G462" s="43" t="str">
        <f>IFERROR(VLOOKUP(B462,Baza[[№]:[Profit]],4,0),"")</f>
        <v/>
      </c>
      <c r="H462" s="43" t="str">
        <f>IFERROR(VLOOKUP(B462,Baza[[№]:[Profit]],5,0),"")</f>
        <v/>
      </c>
      <c r="I462" s="46" t="str">
        <f>IFERROR(VLOOKUP(B462,Baza[[№]:[Profit]],6,0),"")</f>
        <v/>
      </c>
      <c r="J462" s="49" t="str">
        <f>IFERROR(VLOOKUP(B462,Baza[[№]:[Profit]],7,0),"")</f>
        <v/>
      </c>
      <c r="K462" s="43" t="str">
        <f>IFERROR(VLOOKUP(B462,Baza[[№]:[Profit]],8,0),"")</f>
        <v/>
      </c>
      <c r="L462" s="43" t="str">
        <f>IFERROR(VLOOKUP(B462,Baza[[№]:[Profit]],9,0),"")</f>
        <v/>
      </c>
      <c r="M462" s="43" t="str">
        <f>IFERROR(VLOOKUP(B462,Baza[[№]:[Profit]],10,0),"")</f>
        <v/>
      </c>
      <c r="N462" s="43" t="str">
        <f>IFERROR(IF(VLOOKUP(B462,Baza[[№]:[Profit]],11,0)=0,"-",VLOOKUP(B462,Baza[[№]:[Profit]],11,0)),"")</f>
        <v/>
      </c>
      <c r="O462" s="43" t="str">
        <f>IFERROR(IF(VLOOKUP(B462,Baza[[№]:[Profit]],12,0)=0,"-",VLOOKUP(B462,Baza[[№]:[Profit]],12,0)),"")</f>
        <v/>
      </c>
      <c r="P462" s="43" t="str">
        <f>IFERROR(IF(VLOOKUP(B462,Baza[[№]:[Profit]],13,0)=0,"-",VLOOKUP(B462,Baza[[№]:[Profit]],13,0)),"")</f>
        <v/>
      </c>
      <c r="Q462" s="43" t="str">
        <f>IFERROR(IF(VLOOKUP(B462,Baza[[№]:[Profit]],15,0)=0,"-",VLOOKUP(B462,Baza[[№]:[Profit]],15,0)),"")</f>
        <v/>
      </c>
      <c r="R462" s="43" t="str">
        <f>IFERROR(IF(VLOOKUP(B462,Baza[[№]:[Profit]],16,0)=0,"-",VLOOKUP(B462,Baza[[№]:[Profit]],16,0)),"")</f>
        <v/>
      </c>
      <c r="S462" s="43" t="str">
        <f>IFERROR(IF(VLOOKUP(B462,Baza[[№]:[Profit]],17,0)=0,"-",VLOOKUP(B462,Baza[[№]:[Profit]],17,0)),"")</f>
        <v/>
      </c>
      <c r="T462" s="43" t="str">
        <f>IFERROR(IF(VLOOKUP(B462,Baza[[№]:[Profit]],18,0)=0,"-",VLOOKUP(B462,Baza[[№]:[Profit]],18,0)),"")</f>
        <v/>
      </c>
      <c r="U462" s="41" t="str">
        <f>IFERROR(IF(VLOOKUP(B462,Baza[[№]:[Profit]],19,0)=0,"-",VLOOKUP(B462,Baza[[№]:[Profit]],19,0)),"")</f>
        <v/>
      </c>
      <c r="V462" s="41" t="str">
        <f>IFERROR(VLOOKUP(B462,Baza[[№]:[Profit]],20,0),"")</f>
        <v/>
      </c>
      <c r="W462" s="41" t="str">
        <f>IFERROR(IF(VLOOKUP(B462,Baza[[№]:[Profit]],21,0)=0,"-",VLOOKUP(B462,Baza[[№]:[Profit]],21,0)),"")</f>
        <v/>
      </c>
      <c r="X462" s="45" t="str">
        <f>IFERROR(IF(VLOOKUP(B462,Baza[[№]:[Profit]],22,0)=0,"-",VLOOKUP(B462,Baza[[№]:[Profit]],22,0)),"")</f>
        <v/>
      </c>
      <c r="Y462" s="45" t="str">
        <f>IFERROR(VLOOKUP(B462,Baza[[№]:[Profit]],23,0),"")</f>
        <v/>
      </c>
      <c r="Z462" s="44" t="str">
        <f>IFERROR(VLOOKUP(B462,Baza[[№]:[AFS]],24,0),"")</f>
        <v/>
      </c>
      <c r="AA462" s="45" t="str">
        <f>IF(Таблица2[[#This Row],[Profit]]="","#Н/Д",SUM($Y$40:Y462))</f>
        <v>#Н/Д</v>
      </c>
      <c r="AB462" s="45" t="b">
        <f>IF(Таблица2[[#This Row],[Grafik]]="#Н/Д",FALSE,TRUE)</f>
        <v>0</v>
      </c>
    </row>
    <row r="463" spans="2:28" ht="11.1" hidden="1" customHeight="1" x14ac:dyDescent="0.25">
      <c r="B463"/>
      <c r="C463" s="41" t="str">
        <f>IFERROR(VLOOKUP(B463,Baza[[№]:[Profit]],2,0),"")</f>
        <v/>
      </c>
      <c r="D46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6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63" s="43" t="str">
        <f>IFERROR(VLOOKUP(B463,Baza[[№]:[Profit]],3,0),"")</f>
        <v/>
      </c>
      <c r="G463" s="43" t="str">
        <f>IFERROR(VLOOKUP(B463,Baza[[№]:[Profit]],4,0),"")</f>
        <v/>
      </c>
      <c r="H463" s="43" t="str">
        <f>IFERROR(VLOOKUP(B463,Baza[[№]:[Profit]],5,0),"")</f>
        <v/>
      </c>
      <c r="I463" s="46" t="str">
        <f>IFERROR(VLOOKUP(B463,Baza[[№]:[Profit]],6,0),"")</f>
        <v/>
      </c>
      <c r="J463" s="49" t="str">
        <f>IFERROR(VLOOKUP(B463,Baza[[№]:[Profit]],7,0),"")</f>
        <v/>
      </c>
      <c r="K463" s="43" t="str">
        <f>IFERROR(VLOOKUP(B463,Baza[[№]:[Profit]],8,0),"")</f>
        <v/>
      </c>
      <c r="L463" s="43" t="str">
        <f>IFERROR(VLOOKUP(B463,Baza[[№]:[Profit]],9,0),"")</f>
        <v/>
      </c>
      <c r="M463" s="43" t="str">
        <f>IFERROR(VLOOKUP(B463,Baza[[№]:[Profit]],10,0),"")</f>
        <v/>
      </c>
      <c r="N463" s="43" t="str">
        <f>IFERROR(IF(VLOOKUP(B463,Baza[[№]:[Profit]],11,0)=0,"-",VLOOKUP(B463,Baza[[№]:[Profit]],11,0)),"")</f>
        <v/>
      </c>
      <c r="O463" s="43" t="str">
        <f>IFERROR(IF(VLOOKUP(B463,Baza[[№]:[Profit]],12,0)=0,"-",VLOOKUP(B463,Baza[[№]:[Profit]],12,0)),"")</f>
        <v/>
      </c>
      <c r="P463" s="43" t="str">
        <f>IFERROR(IF(VLOOKUP(B463,Baza[[№]:[Profit]],13,0)=0,"-",VLOOKUP(B463,Baza[[№]:[Profit]],13,0)),"")</f>
        <v/>
      </c>
      <c r="Q463" s="43" t="str">
        <f>IFERROR(IF(VLOOKUP(B463,Baza[[№]:[Profit]],15,0)=0,"-",VLOOKUP(B463,Baza[[№]:[Profit]],15,0)),"")</f>
        <v/>
      </c>
      <c r="R463" s="43" t="str">
        <f>IFERROR(IF(VLOOKUP(B463,Baza[[№]:[Profit]],16,0)=0,"-",VLOOKUP(B463,Baza[[№]:[Profit]],16,0)),"")</f>
        <v/>
      </c>
      <c r="S463" s="43" t="str">
        <f>IFERROR(IF(VLOOKUP(B463,Baza[[№]:[Profit]],17,0)=0,"-",VLOOKUP(B463,Baza[[№]:[Profit]],17,0)),"")</f>
        <v/>
      </c>
      <c r="T463" s="43" t="str">
        <f>IFERROR(IF(VLOOKUP(B463,Baza[[№]:[Profit]],18,0)=0,"-",VLOOKUP(B463,Baza[[№]:[Profit]],18,0)),"")</f>
        <v/>
      </c>
      <c r="U463" s="41" t="str">
        <f>IFERROR(IF(VLOOKUP(B463,Baza[[№]:[Profit]],19,0)=0,"-",VLOOKUP(B463,Baza[[№]:[Profit]],19,0)),"")</f>
        <v/>
      </c>
      <c r="V463" s="41" t="str">
        <f>IFERROR(VLOOKUP(B463,Baza[[№]:[Profit]],20,0),"")</f>
        <v/>
      </c>
      <c r="W463" s="41" t="str">
        <f>IFERROR(IF(VLOOKUP(B463,Baza[[№]:[Profit]],21,0)=0,"-",VLOOKUP(B463,Baza[[№]:[Profit]],21,0)),"")</f>
        <v/>
      </c>
      <c r="X463" s="45" t="str">
        <f>IFERROR(IF(VLOOKUP(B463,Baza[[№]:[Profit]],22,0)=0,"-",VLOOKUP(B463,Baza[[№]:[Profit]],22,0)),"")</f>
        <v/>
      </c>
      <c r="Y463" s="45" t="str">
        <f>IFERROR(VLOOKUP(B463,Baza[[№]:[Profit]],23,0),"")</f>
        <v/>
      </c>
      <c r="Z463" s="44" t="str">
        <f>IFERROR(VLOOKUP(B463,Baza[[№]:[AFS]],24,0),"")</f>
        <v/>
      </c>
      <c r="AA463" s="45" t="str">
        <f>IF(Таблица2[[#This Row],[Profit]]="","#Н/Д",SUM($Y$40:Y463))</f>
        <v>#Н/Д</v>
      </c>
      <c r="AB463" s="45" t="b">
        <f>IF(Таблица2[[#This Row],[Grafik]]="#Н/Д",FALSE,TRUE)</f>
        <v>0</v>
      </c>
    </row>
    <row r="464" spans="2:28" ht="11.1" hidden="1" customHeight="1" x14ac:dyDescent="0.25">
      <c r="B464"/>
      <c r="C464" s="41" t="str">
        <f>IFERROR(VLOOKUP(B464,Baza[[№]:[Profit]],2,0),"")</f>
        <v/>
      </c>
      <c r="D46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6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64" s="43" t="str">
        <f>IFERROR(VLOOKUP(B464,Baza[[№]:[Profit]],3,0),"")</f>
        <v/>
      </c>
      <c r="G464" s="43" t="str">
        <f>IFERROR(VLOOKUP(B464,Baza[[№]:[Profit]],4,0),"")</f>
        <v/>
      </c>
      <c r="H464" s="43" t="str">
        <f>IFERROR(VLOOKUP(B464,Baza[[№]:[Profit]],5,0),"")</f>
        <v/>
      </c>
      <c r="I464" s="46" t="str">
        <f>IFERROR(VLOOKUP(B464,Baza[[№]:[Profit]],6,0),"")</f>
        <v/>
      </c>
      <c r="J464" s="49" t="str">
        <f>IFERROR(VLOOKUP(B464,Baza[[№]:[Profit]],7,0),"")</f>
        <v/>
      </c>
      <c r="K464" s="43" t="str">
        <f>IFERROR(VLOOKUP(B464,Baza[[№]:[Profit]],8,0),"")</f>
        <v/>
      </c>
      <c r="L464" s="43" t="str">
        <f>IFERROR(VLOOKUP(B464,Baza[[№]:[Profit]],9,0),"")</f>
        <v/>
      </c>
      <c r="M464" s="43" t="str">
        <f>IFERROR(VLOOKUP(B464,Baza[[№]:[Profit]],10,0),"")</f>
        <v/>
      </c>
      <c r="N464" s="43" t="str">
        <f>IFERROR(IF(VLOOKUP(B464,Baza[[№]:[Profit]],11,0)=0,"-",VLOOKUP(B464,Baza[[№]:[Profit]],11,0)),"")</f>
        <v/>
      </c>
      <c r="O464" s="43" t="str">
        <f>IFERROR(IF(VLOOKUP(B464,Baza[[№]:[Profit]],12,0)=0,"-",VLOOKUP(B464,Baza[[№]:[Profit]],12,0)),"")</f>
        <v/>
      </c>
      <c r="P464" s="43" t="str">
        <f>IFERROR(IF(VLOOKUP(B464,Baza[[№]:[Profit]],13,0)=0,"-",VLOOKUP(B464,Baza[[№]:[Profit]],13,0)),"")</f>
        <v/>
      </c>
      <c r="Q464" s="43" t="str">
        <f>IFERROR(IF(VLOOKUP(B464,Baza[[№]:[Profit]],15,0)=0,"-",VLOOKUP(B464,Baza[[№]:[Profit]],15,0)),"")</f>
        <v/>
      </c>
      <c r="R464" s="43" t="str">
        <f>IFERROR(IF(VLOOKUP(B464,Baza[[№]:[Profit]],16,0)=0,"-",VLOOKUP(B464,Baza[[№]:[Profit]],16,0)),"")</f>
        <v/>
      </c>
      <c r="S464" s="43" t="str">
        <f>IFERROR(IF(VLOOKUP(B464,Baza[[№]:[Profit]],17,0)=0,"-",VLOOKUP(B464,Baza[[№]:[Profit]],17,0)),"")</f>
        <v/>
      </c>
      <c r="T464" s="43" t="str">
        <f>IFERROR(IF(VLOOKUP(B464,Baza[[№]:[Profit]],18,0)=0,"-",VLOOKUP(B464,Baza[[№]:[Profit]],18,0)),"")</f>
        <v/>
      </c>
      <c r="U464" s="41" t="str">
        <f>IFERROR(IF(VLOOKUP(B464,Baza[[№]:[Profit]],19,0)=0,"-",VLOOKUP(B464,Baza[[№]:[Profit]],19,0)),"")</f>
        <v/>
      </c>
      <c r="V464" s="41" t="str">
        <f>IFERROR(VLOOKUP(B464,Baza[[№]:[Profit]],20,0),"")</f>
        <v/>
      </c>
      <c r="W464" s="41" t="str">
        <f>IFERROR(IF(VLOOKUP(B464,Baza[[№]:[Profit]],21,0)=0,"-",VLOOKUP(B464,Baza[[№]:[Profit]],21,0)),"")</f>
        <v/>
      </c>
      <c r="X464" s="45" t="str">
        <f>IFERROR(IF(VLOOKUP(B464,Baza[[№]:[Profit]],22,0)=0,"-",VLOOKUP(B464,Baza[[№]:[Profit]],22,0)),"")</f>
        <v/>
      </c>
      <c r="Y464" s="45" t="str">
        <f>IFERROR(VLOOKUP(B464,Baza[[№]:[Profit]],23,0),"")</f>
        <v/>
      </c>
      <c r="Z464" s="44" t="str">
        <f>IFERROR(VLOOKUP(B464,Baza[[№]:[AFS]],24,0),"")</f>
        <v/>
      </c>
      <c r="AA464" s="45" t="str">
        <f>IF(Таблица2[[#This Row],[Profit]]="","#Н/Д",SUM($Y$40:Y464))</f>
        <v>#Н/Д</v>
      </c>
      <c r="AB464" s="45" t="b">
        <f>IF(Таблица2[[#This Row],[Grafik]]="#Н/Д",FALSE,TRUE)</f>
        <v>0</v>
      </c>
    </row>
    <row r="465" spans="2:28" ht="11.1" hidden="1" customHeight="1" x14ac:dyDescent="0.25">
      <c r="B465"/>
      <c r="C465" s="41" t="str">
        <f>IFERROR(VLOOKUP(B465,Baza[[№]:[Profit]],2,0),"")</f>
        <v/>
      </c>
      <c r="D46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6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65" s="43" t="str">
        <f>IFERROR(VLOOKUP(B465,Baza[[№]:[Profit]],3,0),"")</f>
        <v/>
      </c>
      <c r="G465" s="43" t="str">
        <f>IFERROR(VLOOKUP(B465,Baza[[№]:[Profit]],4,0),"")</f>
        <v/>
      </c>
      <c r="H465" s="43" t="str">
        <f>IFERROR(VLOOKUP(B465,Baza[[№]:[Profit]],5,0),"")</f>
        <v/>
      </c>
      <c r="I465" s="46" t="str">
        <f>IFERROR(VLOOKUP(B465,Baza[[№]:[Profit]],6,0),"")</f>
        <v/>
      </c>
      <c r="J465" s="49" t="str">
        <f>IFERROR(VLOOKUP(B465,Baza[[№]:[Profit]],7,0),"")</f>
        <v/>
      </c>
      <c r="K465" s="43" t="str">
        <f>IFERROR(VLOOKUP(B465,Baza[[№]:[Profit]],8,0),"")</f>
        <v/>
      </c>
      <c r="L465" s="43" t="str">
        <f>IFERROR(VLOOKUP(B465,Baza[[№]:[Profit]],9,0),"")</f>
        <v/>
      </c>
      <c r="M465" s="43" t="str">
        <f>IFERROR(VLOOKUP(B465,Baza[[№]:[Profit]],10,0),"")</f>
        <v/>
      </c>
      <c r="N465" s="43" t="str">
        <f>IFERROR(IF(VLOOKUP(B465,Baza[[№]:[Profit]],11,0)=0,"-",VLOOKUP(B465,Baza[[№]:[Profit]],11,0)),"")</f>
        <v/>
      </c>
      <c r="O465" s="43" t="str">
        <f>IFERROR(IF(VLOOKUP(B465,Baza[[№]:[Profit]],12,0)=0,"-",VLOOKUP(B465,Baza[[№]:[Profit]],12,0)),"")</f>
        <v/>
      </c>
      <c r="P465" s="43" t="str">
        <f>IFERROR(IF(VLOOKUP(B465,Baza[[№]:[Profit]],13,0)=0,"-",VLOOKUP(B465,Baza[[№]:[Profit]],13,0)),"")</f>
        <v/>
      </c>
      <c r="Q465" s="43" t="str">
        <f>IFERROR(IF(VLOOKUP(B465,Baza[[№]:[Profit]],15,0)=0,"-",VLOOKUP(B465,Baza[[№]:[Profit]],15,0)),"")</f>
        <v/>
      </c>
      <c r="R465" s="43" t="str">
        <f>IFERROR(IF(VLOOKUP(B465,Baza[[№]:[Profit]],16,0)=0,"-",VLOOKUP(B465,Baza[[№]:[Profit]],16,0)),"")</f>
        <v/>
      </c>
      <c r="S465" s="43" t="str">
        <f>IFERROR(IF(VLOOKUP(B465,Baza[[№]:[Profit]],17,0)=0,"-",VLOOKUP(B465,Baza[[№]:[Profit]],17,0)),"")</f>
        <v/>
      </c>
      <c r="T465" s="43" t="str">
        <f>IFERROR(IF(VLOOKUP(B465,Baza[[№]:[Profit]],18,0)=0,"-",VLOOKUP(B465,Baza[[№]:[Profit]],18,0)),"")</f>
        <v/>
      </c>
      <c r="U465" s="41" t="str">
        <f>IFERROR(IF(VLOOKUP(B465,Baza[[№]:[Profit]],19,0)=0,"-",VLOOKUP(B465,Baza[[№]:[Profit]],19,0)),"")</f>
        <v/>
      </c>
      <c r="V465" s="41" t="str">
        <f>IFERROR(VLOOKUP(B465,Baza[[№]:[Profit]],20,0),"")</f>
        <v/>
      </c>
      <c r="W465" s="41" t="str">
        <f>IFERROR(IF(VLOOKUP(B465,Baza[[№]:[Profit]],21,0)=0,"-",VLOOKUP(B465,Baza[[№]:[Profit]],21,0)),"")</f>
        <v/>
      </c>
      <c r="X465" s="45" t="str">
        <f>IFERROR(IF(VLOOKUP(B465,Baza[[№]:[Profit]],22,0)=0,"-",VLOOKUP(B465,Baza[[№]:[Profit]],22,0)),"")</f>
        <v/>
      </c>
      <c r="Y465" s="45" t="str">
        <f>IFERROR(VLOOKUP(B465,Baza[[№]:[Profit]],23,0),"")</f>
        <v/>
      </c>
      <c r="Z465" s="44" t="str">
        <f>IFERROR(VLOOKUP(B465,Baza[[№]:[AFS]],24,0),"")</f>
        <v/>
      </c>
      <c r="AA465" s="45" t="str">
        <f>IF(Таблица2[[#This Row],[Profit]]="","#Н/Д",SUM($Y$40:Y465))</f>
        <v>#Н/Д</v>
      </c>
      <c r="AB465" s="45" t="b">
        <f>IF(Таблица2[[#This Row],[Grafik]]="#Н/Д",FALSE,TRUE)</f>
        <v>0</v>
      </c>
    </row>
    <row r="466" spans="2:28" ht="11.1" hidden="1" customHeight="1" x14ac:dyDescent="0.25">
      <c r="B466"/>
      <c r="C466" s="41" t="str">
        <f>IFERROR(VLOOKUP(B466,Baza[[№]:[Profit]],2,0),"")</f>
        <v/>
      </c>
      <c r="D46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6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66" s="43" t="str">
        <f>IFERROR(VLOOKUP(B466,Baza[[№]:[Profit]],3,0),"")</f>
        <v/>
      </c>
      <c r="G466" s="43" t="str">
        <f>IFERROR(VLOOKUP(B466,Baza[[№]:[Profit]],4,0),"")</f>
        <v/>
      </c>
      <c r="H466" s="43" t="str">
        <f>IFERROR(VLOOKUP(B466,Baza[[№]:[Profit]],5,0),"")</f>
        <v/>
      </c>
      <c r="I466" s="46" t="str">
        <f>IFERROR(VLOOKUP(B466,Baza[[№]:[Profit]],6,0),"")</f>
        <v/>
      </c>
      <c r="J466" s="49" t="str">
        <f>IFERROR(VLOOKUP(B466,Baza[[№]:[Profit]],7,0),"")</f>
        <v/>
      </c>
      <c r="K466" s="43" t="str">
        <f>IFERROR(VLOOKUP(B466,Baza[[№]:[Profit]],8,0),"")</f>
        <v/>
      </c>
      <c r="L466" s="43" t="str">
        <f>IFERROR(VLOOKUP(B466,Baza[[№]:[Profit]],9,0),"")</f>
        <v/>
      </c>
      <c r="M466" s="43" t="str">
        <f>IFERROR(VLOOKUP(B466,Baza[[№]:[Profit]],10,0),"")</f>
        <v/>
      </c>
      <c r="N466" s="43" t="str">
        <f>IFERROR(IF(VLOOKUP(B466,Baza[[№]:[Profit]],11,0)=0,"-",VLOOKUP(B466,Baza[[№]:[Profit]],11,0)),"")</f>
        <v/>
      </c>
      <c r="O466" s="43" t="str">
        <f>IFERROR(IF(VLOOKUP(B466,Baza[[№]:[Profit]],12,0)=0,"-",VLOOKUP(B466,Baza[[№]:[Profit]],12,0)),"")</f>
        <v/>
      </c>
      <c r="P466" s="43" t="str">
        <f>IFERROR(IF(VLOOKUP(B466,Baza[[№]:[Profit]],13,0)=0,"-",VLOOKUP(B466,Baza[[№]:[Profit]],13,0)),"")</f>
        <v/>
      </c>
      <c r="Q466" s="43" t="str">
        <f>IFERROR(IF(VLOOKUP(B466,Baza[[№]:[Profit]],15,0)=0,"-",VLOOKUP(B466,Baza[[№]:[Profit]],15,0)),"")</f>
        <v/>
      </c>
      <c r="R466" s="43" t="str">
        <f>IFERROR(IF(VLOOKUP(B466,Baza[[№]:[Profit]],16,0)=0,"-",VLOOKUP(B466,Baza[[№]:[Profit]],16,0)),"")</f>
        <v/>
      </c>
      <c r="S466" s="43" t="str">
        <f>IFERROR(IF(VLOOKUP(B466,Baza[[№]:[Profit]],17,0)=0,"-",VLOOKUP(B466,Baza[[№]:[Profit]],17,0)),"")</f>
        <v/>
      </c>
      <c r="T466" s="43" t="str">
        <f>IFERROR(IF(VLOOKUP(B466,Baza[[№]:[Profit]],18,0)=0,"-",VLOOKUP(B466,Baza[[№]:[Profit]],18,0)),"")</f>
        <v/>
      </c>
      <c r="U466" s="41" t="str">
        <f>IFERROR(IF(VLOOKUP(B466,Baza[[№]:[Profit]],19,0)=0,"-",VLOOKUP(B466,Baza[[№]:[Profit]],19,0)),"")</f>
        <v/>
      </c>
      <c r="V466" s="41" t="str">
        <f>IFERROR(VLOOKUP(B466,Baza[[№]:[Profit]],20,0),"")</f>
        <v/>
      </c>
      <c r="W466" s="41" t="str">
        <f>IFERROR(IF(VLOOKUP(B466,Baza[[№]:[Profit]],21,0)=0,"-",VLOOKUP(B466,Baza[[№]:[Profit]],21,0)),"")</f>
        <v/>
      </c>
      <c r="X466" s="45" t="str">
        <f>IFERROR(IF(VLOOKUP(B466,Baza[[№]:[Profit]],22,0)=0,"-",VLOOKUP(B466,Baza[[№]:[Profit]],22,0)),"")</f>
        <v/>
      </c>
      <c r="Y466" s="45" t="str">
        <f>IFERROR(VLOOKUP(B466,Baza[[№]:[Profit]],23,0),"")</f>
        <v/>
      </c>
      <c r="Z466" s="44" t="str">
        <f>IFERROR(VLOOKUP(B466,Baza[[№]:[AFS]],24,0),"")</f>
        <v/>
      </c>
      <c r="AA466" s="45" t="str">
        <f>IF(Таблица2[[#This Row],[Profit]]="","#Н/Д",SUM($Y$40:Y466))</f>
        <v>#Н/Д</v>
      </c>
      <c r="AB466" s="45" t="b">
        <f>IF(Таблица2[[#This Row],[Grafik]]="#Н/Д",FALSE,TRUE)</f>
        <v>0</v>
      </c>
    </row>
    <row r="467" spans="2:28" ht="11.1" hidden="1" customHeight="1" x14ac:dyDescent="0.25">
      <c r="B467"/>
      <c r="C467" s="41" t="str">
        <f>IFERROR(VLOOKUP(B467,Baza[[№]:[Profit]],2,0),"")</f>
        <v/>
      </c>
      <c r="D46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6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67" s="43" t="str">
        <f>IFERROR(VLOOKUP(B467,Baza[[№]:[Profit]],3,0),"")</f>
        <v/>
      </c>
      <c r="G467" s="43" t="str">
        <f>IFERROR(VLOOKUP(B467,Baza[[№]:[Profit]],4,0),"")</f>
        <v/>
      </c>
      <c r="H467" s="43" t="str">
        <f>IFERROR(VLOOKUP(B467,Baza[[№]:[Profit]],5,0),"")</f>
        <v/>
      </c>
      <c r="I467" s="46" t="str">
        <f>IFERROR(VLOOKUP(B467,Baza[[№]:[Profit]],6,0),"")</f>
        <v/>
      </c>
      <c r="J467" s="49" t="str">
        <f>IFERROR(VLOOKUP(B467,Baza[[№]:[Profit]],7,0),"")</f>
        <v/>
      </c>
      <c r="K467" s="43" t="str">
        <f>IFERROR(VLOOKUP(B467,Baza[[№]:[Profit]],8,0),"")</f>
        <v/>
      </c>
      <c r="L467" s="43" t="str">
        <f>IFERROR(VLOOKUP(B467,Baza[[№]:[Profit]],9,0),"")</f>
        <v/>
      </c>
      <c r="M467" s="43" t="str">
        <f>IFERROR(VLOOKUP(B467,Baza[[№]:[Profit]],10,0),"")</f>
        <v/>
      </c>
      <c r="N467" s="43" t="str">
        <f>IFERROR(IF(VLOOKUP(B467,Baza[[№]:[Profit]],11,0)=0,"-",VLOOKUP(B467,Baza[[№]:[Profit]],11,0)),"")</f>
        <v/>
      </c>
      <c r="O467" s="43" t="str">
        <f>IFERROR(IF(VLOOKUP(B467,Baza[[№]:[Profit]],12,0)=0,"-",VLOOKUP(B467,Baza[[№]:[Profit]],12,0)),"")</f>
        <v/>
      </c>
      <c r="P467" s="43" t="str">
        <f>IFERROR(IF(VLOOKUP(B467,Baza[[№]:[Profit]],13,0)=0,"-",VLOOKUP(B467,Baza[[№]:[Profit]],13,0)),"")</f>
        <v/>
      </c>
      <c r="Q467" s="43" t="str">
        <f>IFERROR(IF(VLOOKUP(B467,Baza[[№]:[Profit]],15,0)=0,"-",VLOOKUP(B467,Baza[[№]:[Profit]],15,0)),"")</f>
        <v/>
      </c>
      <c r="R467" s="43" t="str">
        <f>IFERROR(IF(VLOOKUP(B467,Baza[[№]:[Profit]],16,0)=0,"-",VLOOKUP(B467,Baza[[№]:[Profit]],16,0)),"")</f>
        <v/>
      </c>
      <c r="S467" s="43" t="str">
        <f>IFERROR(IF(VLOOKUP(B467,Baza[[№]:[Profit]],17,0)=0,"-",VLOOKUP(B467,Baza[[№]:[Profit]],17,0)),"")</f>
        <v/>
      </c>
      <c r="T467" s="43" t="str">
        <f>IFERROR(IF(VLOOKUP(B467,Baza[[№]:[Profit]],18,0)=0,"-",VLOOKUP(B467,Baza[[№]:[Profit]],18,0)),"")</f>
        <v/>
      </c>
      <c r="U467" s="41" t="str">
        <f>IFERROR(IF(VLOOKUP(B467,Baza[[№]:[Profit]],19,0)=0,"-",VLOOKUP(B467,Baza[[№]:[Profit]],19,0)),"")</f>
        <v/>
      </c>
      <c r="V467" s="41" t="str">
        <f>IFERROR(VLOOKUP(B467,Baza[[№]:[Profit]],20,0),"")</f>
        <v/>
      </c>
      <c r="W467" s="41" t="str">
        <f>IFERROR(IF(VLOOKUP(B467,Baza[[№]:[Profit]],21,0)=0,"-",VLOOKUP(B467,Baza[[№]:[Profit]],21,0)),"")</f>
        <v/>
      </c>
      <c r="X467" s="45" t="str">
        <f>IFERROR(IF(VLOOKUP(B467,Baza[[№]:[Profit]],22,0)=0,"-",VLOOKUP(B467,Baza[[№]:[Profit]],22,0)),"")</f>
        <v/>
      </c>
      <c r="Y467" s="45" t="str">
        <f>IFERROR(VLOOKUP(B467,Baza[[№]:[Profit]],23,0),"")</f>
        <v/>
      </c>
      <c r="Z467" s="44" t="str">
        <f>IFERROR(VLOOKUP(B467,Baza[[№]:[AFS]],24,0),"")</f>
        <v/>
      </c>
      <c r="AA467" s="45" t="str">
        <f>IF(Таблица2[[#This Row],[Profit]]="","#Н/Д",SUM($Y$40:Y467))</f>
        <v>#Н/Д</v>
      </c>
      <c r="AB467" s="45" t="b">
        <f>IF(Таблица2[[#This Row],[Grafik]]="#Н/Д",FALSE,TRUE)</f>
        <v>0</v>
      </c>
    </row>
    <row r="468" spans="2:28" ht="11.1" hidden="1" customHeight="1" x14ac:dyDescent="0.25">
      <c r="B468"/>
      <c r="C468" s="41" t="str">
        <f>IFERROR(VLOOKUP(B468,Baza[[№]:[Profit]],2,0),"")</f>
        <v/>
      </c>
      <c r="D46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6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68" s="43" t="str">
        <f>IFERROR(VLOOKUP(B468,Baza[[№]:[Profit]],3,0),"")</f>
        <v/>
      </c>
      <c r="G468" s="43" t="str">
        <f>IFERROR(VLOOKUP(B468,Baza[[№]:[Profit]],4,0),"")</f>
        <v/>
      </c>
      <c r="H468" s="43" t="str">
        <f>IFERROR(VLOOKUP(B468,Baza[[№]:[Profit]],5,0),"")</f>
        <v/>
      </c>
      <c r="I468" s="46" t="str">
        <f>IFERROR(VLOOKUP(B468,Baza[[№]:[Profit]],6,0),"")</f>
        <v/>
      </c>
      <c r="J468" s="49" t="str">
        <f>IFERROR(VLOOKUP(B468,Baza[[№]:[Profit]],7,0),"")</f>
        <v/>
      </c>
      <c r="K468" s="43" t="str">
        <f>IFERROR(VLOOKUP(B468,Baza[[№]:[Profit]],8,0),"")</f>
        <v/>
      </c>
      <c r="L468" s="43" t="str">
        <f>IFERROR(VLOOKUP(B468,Baza[[№]:[Profit]],9,0),"")</f>
        <v/>
      </c>
      <c r="M468" s="43" t="str">
        <f>IFERROR(VLOOKUP(B468,Baza[[№]:[Profit]],10,0),"")</f>
        <v/>
      </c>
      <c r="N468" s="43" t="str">
        <f>IFERROR(IF(VLOOKUP(B468,Baza[[№]:[Profit]],11,0)=0,"-",VLOOKUP(B468,Baza[[№]:[Profit]],11,0)),"")</f>
        <v/>
      </c>
      <c r="O468" s="43" t="str">
        <f>IFERROR(IF(VLOOKUP(B468,Baza[[№]:[Profit]],12,0)=0,"-",VLOOKUP(B468,Baza[[№]:[Profit]],12,0)),"")</f>
        <v/>
      </c>
      <c r="P468" s="43" t="str">
        <f>IFERROR(IF(VLOOKUP(B468,Baza[[№]:[Profit]],13,0)=0,"-",VLOOKUP(B468,Baza[[№]:[Profit]],13,0)),"")</f>
        <v/>
      </c>
      <c r="Q468" s="43" t="str">
        <f>IFERROR(IF(VLOOKUP(B468,Baza[[№]:[Profit]],15,0)=0,"-",VLOOKUP(B468,Baza[[№]:[Profit]],15,0)),"")</f>
        <v/>
      </c>
      <c r="R468" s="43" t="str">
        <f>IFERROR(IF(VLOOKUP(B468,Baza[[№]:[Profit]],16,0)=0,"-",VLOOKUP(B468,Baza[[№]:[Profit]],16,0)),"")</f>
        <v/>
      </c>
      <c r="S468" s="43" t="str">
        <f>IFERROR(IF(VLOOKUP(B468,Baza[[№]:[Profit]],17,0)=0,"-",VLOOKUP(B468,Baza[[№]:[Profit]],17,0)),"")</f>
        <v/>
      </c>
      <c r="T468" s="43" t="str">
        <f>IFERROR(IF(VLOOKUP(B468,Baza[[№]:[Profit]],18,0)=0,"-",VLOOKUP(B468,Baza[[№]:[Profit]],18,0)),"")</f>
        <v/>
      </c>
      <c r="U468" s="41" t="str">
        <f>IFERROR(IF(VLOOKUP(B468,Baza[[№]:[Profit]],19,0)=0,"-",VLOOKUP(B468,Baza[[№]:[Profit]],19,0)),"")</f>
        <v/>
      </c>
      <c r="V468" s="41" t="str">
        <f>IFERROR(VLOOKUP(B468,Baza[[№]:[Profit]],20,0),"")</f>
        <v/>
      </c>
      <c r="W468" s="41" t="str">
        <f>IFERROR(IF(VLOOKUP(B468,Baza[[№]:[Profit]],21,0)=0,"-",VLOOKUP(B468,Baza[[№]:[Profit]],21,0)),"")</f>
        <v/>
      </c>
      <c r="X468" s="45" t="str">
        <f>IFERROR(IF(VLOOKUP(B468,Baza[[№]:[Profit]],22,0)=0,"-",VLOOKUP(B468,Baza[[№]:[Profit]],22,0)),"")</f>
        <v/>
      </c>
      <c r="Y468" s="45" t="str">
        <f>IFERROR(VLOOKUP(B468,Baza[[№]:[Profit]],23,0),"")</f>
        <v/>
      </c>
      <c r="Z468" s="44" t="str">
        <f>IFERROR(VLOOKUP(B468,Baza[[№]:[AFS]],24,0),"")</f>
        <v/>
      </c>
      <c r="AA468" s="45" t="str">
        <f>IF(Таблица2[[#This Row],[Profit]]="","#Н/Д",SUM($Y$40:Y468))</f>
        <v>#Н/Д</v>
      </c>
      <c r="AB468" s="45" t="b">
        <f>IF(Таблица2[[#This Row],[Grafik]]="#Н/Д",FALSE,TRUE)</f>
        <v>0</v>
      </c>
    </row>
    <row r="469" spans="2:28" ht="11.1" hidden="1" customHeight="1" x14ac:dyDescent="0.25">
      <c r="B469"/>
      <c r="C469" s="41" t="str">
        <f>IFERROR(VLOOKUP(B469,Baza[[№]:[Profit]],2,0),"")</f>
        <v/>
      </c>
      <c r="D46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6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69" s="43" t="str">
        <f>IFERROR(VLOOKUP(B469,Baza[[№]:[Profit]],3,0),"")</f>
        <v/>
      </c>
      <c r="G469" s="43" t="str">
        <f>IFERROR(VLOOKUP(B469,Baza[[№]:[Profit]],4,0),"")</f>
        <v/>
      </c>
      <c r="H469" s="43" t="str">
        <f>IFERROR(VLOOKUP(B469,Baza[[№]:[Profit]],5,0),"")</f>
        <v/>
      </c>
      <c r="I469" s="46" t="str">
        <f>IFERROR(VLOOKUP(B469,Baza[[№]:[Profit]],6,0),"")</f>
        <v/>
      </c>
      <c r="J469" s="49" t="str">
        <f>IFERROR(VLOOKUP(B469,Baza[[№]:[Profit]],7,0),"")</f>
        <v/>
      </c>
      <c r="K469" s="43" t="str">
        <f>IFERROR(VLOOKUP(B469,Baza[[№]:[Profit]],8,0),"")</f>
        <v/>
      </c>
      <c r="L469" s="43" t="str">
        <f>IFERROR(VLOOKUP(B469,Baza[[№]:[Profit]],9,0),"")</f>
        <v/>
      </c>
      <c r="M469" s="43" t="str">
        <f>IFERROR(VLOOKUP(B469,Baza[[№]:[Profit]],10,0),"")</f>
        <v/>
      </c>
      <c r="N469" s="43" t="str">
        <f>IFERROR(IF(VLOOKUP(B469,Baza[[№]:[Profit]],11,0)=0,"-",VLOOKUP(B469,Baza[[№]:[Profit]],11,0)),"")</f>
        <v/>
      </c>
      <c r="O469" s="43" t="str">
        <f>IFERROR(IF(VLOOKUP(B469,Baza[[№]:[Profit]],12,0)=0,"-",VLOOKUP(B469,Baza[[№]:[Profit]],12,0)),"")</f>
        <v/>
      </c>
      <c r="P469" s="43" t="str">
        <f>IFERROR(IF(VLOOKUP(B469,Baza[[№]:[Profit]],13,0)=0,"-",VLOOKUP(B469,Baza[[№]:[Profit]],13,0)),"")</f>
        <v/>
      </c>
      <c r="Q469" s="43" t="str">
        <f>IFERROR(IF(VLOOKUP(B469,Baza[[№]:[Profit]],15,0)=0,"-",VLOOKUP(B469,Baza[[№]:[Profit]],15,0)),"")</f>
        <v/>
      </c>
      <c r="R469" s="43" t="str">
        <f>IFERROR(IF(VLOOKUP(B469,Baza[[№]:[Profit]],16,0)=0,"-",VLOOKUP(B469,Baza[[№]:[Profit]],16,0)),"")</f>
        <v/>
      </c>
      <c r="S469" s="43" t="str">
        <f>IFERROR(IF(VLOOKUP(B469,Baza[[№]:[Profit]],17,0)=0,"-",VLOOKUP(B469,Baza[[№]:[Profit]],17,0)),"")</f>
        <v/>
      </c>
      <c r="T469" s="43" t="str">
        <f>IFERROR(IF(VLOOKUP(B469,Baza[[№]:[Profit]],18,0)=0,"-",VLOOKUP(B469,Baza[[№]:[Profit]],18,0)),"")</f>
        <v/>
      </c>
      <c r="U469" s="41" t="str">
        <f>IFERROR(IF(VLOOKUP(B469,Baza[[№]:[Profit]],19,0)=0,"-",VLOOKUP(B469,Baza[[№]:[Profit]],19,0)),"")</f>
        <v/>
      </c>
      <c r="V469" s="41" t="str">
        <f>IFERROR(VLOOKUP(B469,Baza[[№]:[Profit]],20,0),"")</f>
        <v/>
      </c>
      <c r="W469" s="41" t="str">
        <f>IFERROR(IF(VLOOKUP(B469,Baza[[№]:[Profit]],21,0)=0,"-",VLOOKUP(B469,Baza[[№]:[Profit]],21,0)),"")</f>
        <v/>
      </c>
      <c r="X469" s="45" t="str">
        <f>IFERROR(IF(VLOOKUP(B469,Baza[[№]:[Profit]],22,0)=0,"-",VLOOKUP(B469,Baza[[№]:[Profit]],22,0)),"")</f>
        <v/>
      </c>
      <c r="Y469" s="45" t="str">
        <f>IFERROR(VLOOKUP(B469,Baza[[№]:[Profit]],23,0),"")</f>
        <v/>
      </c>
      <c r="Z469" s="44" t="str">
        <f>IFERROR(VLOOKUP(B469,Baza[[№]:[AFS]],24,0),"")</f>
        <v/>
      </c>
      <c r="AA469" s="45" t="str">
        <f>IF(Таблица2[[#This Row],[Profit]]="","#Н/Д",SUM($Y$40:Y469))</f>
        <v>#Н/Д</v>
      </c>
      <c r="AB469" s="45" t="b">
        <f>IF(Таблица2[[#This Row],[Grafik]]="#Н/Д",FALSE,TRUE)</f>
        <v>0</v>
      </c>
    </row>
    <row r="470" spans="2:28" ht="11.1" hidden="1" customHeight="1" x14ac:dyDescent="0.25">
      <c r="B470"/>
      <c r="C470" s="41" t="str">
        <f>IFERROR(VLOOKUP(B470,Baza[[№]:[Profit]],2,0),"")</f>
        <v/>
      </c>
      <c r="D47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7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70" s="43" t="str">
        <f>IFERROR(VLOOKUP(B470,Baza[[№]:[Profit]],3,0),"")</f>
        <v/>
      </c>
      <c r="G470" s="43" t="str">
        <f>IFERROR(VLOOKUP(B470,Baza[[№]:[Profit]],4,0),"")</f>
        <v/>
      </c>
      <c r="H470" s="43" t="str">
        <f>IFERROR(VLOOKUP(B470,Baza[[№]:[Profit]],5,0),"")</f>
        <v/>
      </c>
      <c r="I470" s="46" t="str">
        <f>IFERROR(VLOOKUP(B470,Baza[[№]:[Profit]],6,0),"")</f>
        <v/>
      </c>
      <c r="J470" s="49" t="str">
        <f>IFERROR(VLOOKUP(B470,Baza[[№]:[Profit]],7,0),"")</f>
        <v/>
      </c>
      <c r="K470" s="43" t="str">
        <f>IFERROR(VLOOKUP(B470,Baza[[№]:[Profit]],8,0),"")</f>
        <v/>
      </c>
      <c r="L470" s="43" t="str">
        <f>IFERROR(VLOOKUP(B470,Baza[[№]:[Profit]],9,0),"")</f>
        <v/>
      </c>
      <c r="M470" s="43" t="str">
        <f>IFERROR(VLOOKUP(B470,Baza[[№]:[Profit]],10,0),"")</f>
        <v/>
      </c>
      <c r="N470" s="43" t="str">
        <f>IFERROR(IF(VLOOKUP(B470,Baza[[№]:[Profit]],11,0)=0,"-",VLOOKUP(B470,Baza[[№]:[Profit]],11,0)),"")</f>
        <v/>
      </c>
      <c r="O470" s="43" t="str">
        <f>IFERROR(IF(VLOOKUP(B470,Baza[[№]:[Profit]],12,0)=0,"-",VLOOKUP(B470,Baza[[№]:[Profit]],12,0)),"")</f>
        <v/>
      </c>
      <c r="P470" s="43" t="str">
        <f>IFERROR(IF(VLOOKUP(B470,Baza[[№]:[Profit]],13,0)=0,"-",VLOOKUP(B470,Baza[[№]:[Profit]],13,0)),"")</f>
        <v/>
      </c>
      <c r="Q470" s="43" t="str">
        <f>IFERROR(IF(VLOOKUP(B470,Baza[[№]:[Profit]],15,0)=0,"-",VLOOKUP(B470,Baza[[№]:[Profit]],15,0)),"")</f>
        <v/>
      </c>
      <c r="R470" s="43" t="str">
        <f>IFERROR(IF(VLOOKUP(B470,Baza[[№]:[Profit]],16,0)=0,"-",VLOOKUP(B470,Baza[[№]:[Profit]],16,0)),"")</f>
        <v/>
      </c>
      <c r="S470" s="43" t="str">
        <f>IFERROR(IF(VLOOKUP(B470,Baza[[№]:[Profit]],17,0)=0,"-",VLOOKUP(B470,Baza[[№]:[Profit]],17,0)),"")</f>
        <v/>
      </c>
      <c r="T470" s="43" t="str">
        <f>IFERROR(IF(VLOOKUP(B470,Baza[[№]:[Profit]],18,0)=0,"-",VLOOKUP(B470,Baza[[№]:[Profit]],18,0)),"")</f>
        <v/>
      </c>
      <c r="U470" s="41" t="str">
        <f>IFERROR(IF(VLOOKUP(B470,Baza[[№]:[Profit]],19,0)=0,"-",VLOOKUP(B470,Baza[[№]:[Profit]],19,0)),"")</f>
        <v/>
      </c>
      <c r="V470" s="41" t="str">
        <f>IFERROR(VLOOKUP(B470,Baza[[№]:[Profit]],20,0),"")</f>
        <v/>
      </c>
      <c r="W470" s="41" t="str">
        <f>IFERROR(IF(VLOOKUP(B470,Baza[[№]:[Profit]],21,0)=0,"-",VLOOKUP(B470,Baza[[№]:[Profit]],21,0)),"")</f>
        <v/>
      </c>
      <c r="X470" s="45" t="str">
        <f>IFERROR(IF(VLOOKUP(B470,Baza[[№]:[Profit]],22,0)=0,"-",VLOOKUP(B470,Baza[[№]:[Profit]],22,0)),"")</f>
        <v/>
      </c>
      <c r="Y470" s="45" t="str">
        <f>IFERROR(VLOOKUP(B470,Baza[[№]:[Profit]],23,0),"")</f>
        <v/>
      </c>
      <c r="Z470" s="44" t="str">
        <f>IFERROR(VLOOKUP(B470,Baza[[№]:[AFS]],24,0),"")</f>
        <v/>
      </c>
      <c r="AA470" s="45" t="str">
        <f>IF(Таблица2[[#This Row],[Profit]]="","#Н/Д",SUM($Y$40:Y470))</f>
        <v>#Н/Д</v>
      </c>
      <c r="AB470" s="45" t="b">
        <f>IF(Таблица2[[#This Row],[Grafik]]="#Н/Д",FALSE,TRUE)</f>
        <v>0</v>
      </c>
    </row>
    <row r="471" spans="2:28" ht="11.1" hidden="1" customHeight="1" x14ac:dyDescent="0.25">
      <c r="B471"/>
      <c r="C471" s="41" t="str">
        <f>IFERROR(VLOOKUP(B471,Baza[[№]:[Profit]],2,0),"")</f>
        <v/>
      </c>
      <c r="D47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7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71" s="43" t="str">
        <f>IFERROR(VLOOKUP(B471,Baza[[№]:[Profit]],3,0),"")</f>
        <v/>
      </c>
      <c r="G471" s="43" t="str">
        <f>IFERROR(VLOOKUP(B471,Baza[[№]:[Profit]],4,0),"")</f>
        <v/>
      </c>
      <c r="H471" s="43" t="str">
        <f>IFERROR(VLOOKUP(B471,Baza[[№]:[Profit]],5,0),"")</f>
        <v/>
      </c>
      <c r="I471" s="46" t="str">
        <f>IFERROR(VLOOKUP(B471,Baza[[№]:[Profit]],6,0),"")</f>
        <v/>
      </c>
      <c r="J471" s="49" t="str">
        <f>IFERROR(VLOOKUP(B471,Baza[[№]:[Profit]],7,0),"")</f>
        <v/>
      </c>
      <c r="K471" s="43" t="str">
        <f>IFERROR(VLOOKUP(B471,Baza[[№]:[Profit]],8,0),"")</f>
        <v/>
      </c>
      <c r="L471" s="43" t="str">
        <f>IFERROR(VLOOKUP(B471,Baza[[№]:[Profit]],9,0),"")</f>
        <v/>
      </c>
      <c r="M471" s="43" t="str">
        <f>IFERROR(VLOOKUP(B471,Baza[[№]:[Profit]],10,0),"")</f>
        <v/>
      </c>
      <c r="N471" s="43" t="str">
        <f>IFERROR(IF(VLOOKUP(B471,Baza[[№]:[Profit]],11,0)=0,"-",VLOOKUP(B471,Baza[[№]:[Profit]],11,0)),"")</f>
        <v/>
      </c>
      <c r="O471" s="43" t="str">
        <f>IFERROR(IF(VLOOKUP(B471,Baza[[№]:[Profit]],12,0)=0,"-",VLOOKUP(B471,Baza[[№]:[Profit]],12,0)),"")</f>
        <v/>
      </c>
      <c r="P471" s="43" t="str">
        <f>IFERROR(IF(VLOOKUP(B471,Baza[[№]:[Profit]],13,0)=0,"-",VLOOKUP(B471,Baza[[№]:[Profit]],13,0)),"")</f>
        <v/>
      </c>
      <c r="Q471" s="43" t="str">
        <f>IFERROR(IF(VLOOKUP(B471,Baza[[№]:[Profit]],15,0)=0,"-",VLOOKUP(B471,Baza[[№]:[Profit]],15,0)),"")</f>
        <v/>
      </c>
      <c r="R471" s="43" t="str">
        <f>IFERROR(IF(VLOOKUP(B471,Baza[[№]:[Profit]],16,0)=0,"-",VLOOKUP(B471,Baza[[№]:[Profit]],16,0)),"")</f>
        <v/>
      </c>
      <c r="S471" s="43" t="str">
        <f>IFERROR(IF(VLOOKUP(B471,Baza[[№]:[Profit]],17,0)=0,"-",VLOOKUP(B471,Baza[[№]:[Profit]],17,0)),"")</f>
        <v/>
      </c>
      <c r="T471" s="43" t="str">
        <f>IFERROR(IF(VLOOKUP(B471,Baza[[№]:[Profit]],18,0)=0,"-",VLOOKUP(B471,Baza[[№]:[Profit]],18,0)),"")</f>
        <v/>
      </c>
      <c r="U471" s="41" t="str">
        <f>IFERROR(IF(VLOOKUP(B471,Baza[[№]:[Profit]],19,0)=0,"-",VLOOKUP(B471,Baza[[№]:[Profit]],19,0)),"")</f>
        <v/>
      </c>
      <c r="V471" s="41" t="str">
        <f>IFERROR(VLOOKUP(B471,Baza[[№]:[Profit]],20,0),"")</f>
        <v/>
      </c>
      <c r="W471" s="41" t="str">
        <f>IFERROR(IF(VLOOKUP(B471,Baza[[№]:[Profit]],21,0)=0,"-",VLOOKUP(B471,Baza[[№]:[Profit]],21,0)),"")</f>
        <v/>
      </c>
      <c r="X471" s="45" t="str">
        <f>IFERROR(IF(VLOOKUP(B471,Baza[[№]:[Profit]],22,0)=0,"-",VLOOKUP(B471,Baza[[№]:[Profit]],22,0)),"")</f>
        <v/>
      </c>
      <c r="Y471" s="45" t="str">
        <f>IFERROR(VLOOKUP(B471,Baza[[№]:[Profit]],23,0),"")</f>
        <v/>
      </c>
      <c r="Z471" s="44" t="str">
        <f>IFERROR(VLOOKUP(B471,Baza[[№]:[AFS]],24,0),"")</f>
        <v/>
      </c>
      <c r="AA471" s="45" t="str">
        <f>IF(Таблица2[[#This Row],[Profit]]="","#Н/Д",SUM($Y$40:Y471))</f>
        <v>#Н/Д</v>
      </c>
      <c r="AB471" s="45" t="b">
        <f>IF(Таблица2[[#This Row],[Grafik]]="#Н/Д",FALSE,TRUE)</f>
        <v>0</v>
      </c>
    </row>
    <row r="472" spans="2:28" ht="11.1" hidden="1" customHeight="1" x14ac:dyDescent="0.25">
      <c r="B472"/>
      <c r="C472" s="41" t="str">
        <f>IFERROR(VLOOKUP(B472,Baza[[№]:[Profit]],2,0),"")</f>
        <v/>
      </c>
      <c r="D47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7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72" s="43" t="str">
        <f>IFERROR(VLOOKUP(B472,Baza[[№]:[Profit]],3,0),"")</f>
        <v/>
      </c>
      <c r="G472" s="43" t="str">
        <f>IFERROR(VLOOKUP(B472,Baza[[№]:[Profit]],4,0),"")</f>
        <v/>
      </c>
      <c r="H472" s="43" t="str">
        <f>IFERROR(VLOOKUP(B472,Baza[[№]:[Profit]],5,0),"")</f>
        <v/>
      </c>
      <c r="I472" s="46" t="str">
        <f>IFERROR(VLOOKUP(B472,Baza[[№]:[Profit]],6,0),"")</f>
        <v/>
      </c>
      <c r="J472" s="49" t="str">
        <f>IFERROR(VLOOKUP(B472,Baza[[№]:[Profit]],7,0),"")</f>
        <v/>
      </c>
      <c r="K472" s="43" t="str">
        <f>IFERROR(VLOOKUP(B472,Baza[[№]:[Profit]],8,0),"")</f>
        <v/>
      </c>
      <c r="L472" s="43" t="str">
        <f>IFERROR(VLOOKUP(B472,Baza[[№]:[Profit]],9,0),"")</f>
        <v/>
      </c>
      <c r="M472" s="43" t="str">
        <f>IFERROR(VLOOKUP(B472,Baza[[№]:[Profit]],10,0),"")</f>
        <v/>
      </c>
      <c r="N472" s="43" t="str">
        <f>IFERROR(IF(VLOOKUP(B472,Baza[[№]:[Profit]],11,0)=0,"-",VLOOKUP(B472,Baza[[№]:[Profit]],11,0)),"")</f>
        <v/>
      </c>
      <c r="O472" s="43" t="str">
        <f>IFERROR(IF(VLOOKUP(B472,Baza[[№]:[Profit]],12,0)=0,"-",VLOOKUP(B472,Baza[[№]:[Profit]],12,0)),"")</f>
        <v/>
      </c>
      <c r="P472" s="43" t="str">
        <f>IFERROR(IF(VLOOKUP(B472,Baza[[№]:[Profit]],13,0)=0,"-",VLOOKUP(B472,Baza[[№]:[Profit]],13,0)),"")</f>
        <v/>
      </c>
      <c r="Q472" s="43" t="str">
        <f>IFERROR(IF(VLOOKUP(B472,Baza[[№]:[Profit]],15,0)=0,"-",VLOOKUP(B472,Baza[[№]:[Profit]],15,0)),"")</f>
        <v/>
      </c>
      <c r="R472" s="43" t="str">
        <f>IFERROR(IF(VLOOKUP(B472,Baza[[№]:[Profit]],16,0)=0,"-",VLOOKUP(B472,Baza[[№]:[Profit]],16,0)),"")</f>
        <v/>
      </c>
      <c r="S472" s="43" t="str">
        <f>IFERROR(IF(VLOOKUP(B472,Baza[[№]:[Profit]],17,0)=0,"-",VLOOKUP(B472,Baza[[№]:[Profit]],17,0)),"")</f>
        <v/>
      </c>
      <c r="T472" s="43" t="str">
        <f>IFERROR(IF(VLOOKUP(B472,Baza[[№]:[Profit]],18,0)=0,"-",VLOOKUP(B472,Baza[[№]:[Profit]],18,0)),"")</f>
        <v/>
      </c>
      <c r="U472" s="41" t="str">
        <f>IFERROR(IF(VLOOKUP(B472,Baza[[№]:[Profit]],19,0)=0,"-",VLOOKUP(B472,Baza[[№]:[Profit]],19,0)),"")</f>
        <v/>
      </c>
      <c r="V472" s="41" t="str">
        <f>IFERROR(VLOOKUP(B472,Baza[[№]:[Profit]],20,0),"")</f>
        <v/>
      </c>
      <c r="W472" s="41" t="str">
        <f>IFERROR(IF(VLOOKUP(B472,Baza[[№]:[Profit]],21,0)=0,"-",VLOOKUP(B472,Baza[[№]:[Profit]],21,0)),"")</f>
        <v/>
      </c>
      <c r="X472" s="45" t="str">
        <f>IFERROR(IF(VLOOKUP(B472,Baza[[№]:[Profit]],22,0)=0,"-",VLOOKUP(B472,Baza[[№]:[Profit]],22,0)),"")</f>
        <v/>
      </c>
      <c r="Y472" s="45" t="str">
        <f>IFERROR(VLOOKUP(B472,Baza[[№]:[Profit]],23,0),"")</f>
        <v/>
      </c>
      <c r="Z472" s="44" t="str">
        <f>IFERROR(VLOOKUP(B472,Baza[[№]:[AFS]],24,0),"")</f>
        <v/>
      </c>
      <c r="AA472" s="45" t="str">
        <f>IF(Таблица2[[#This Row],[Profit]]="","#Н/Д",SUM($Y$40:Y472))</f>
        <v>#Н/Д</v>
      </c>
      <c r="AB472" s="45" t="b">
        <f>IF(Таблица2[[#This Row],[Grafik]]="#Н/Д",FALSE,TRUE)</f>
        <v>0</v>
      </c>
    </row>
    <row r="473" spans="2:28" ht="11.1" hidden="1" customHeight="1" x14ac:dyDescent="0.25">
      <c r="B473"/>
      <c r="C473" s="41" t="str">
        <f>IFERROR(VLOOKUP(B473,Baza[[№]:[Profit]],2,0),"")</f>
        <v/>
      </c>
      <c r="D47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7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73" s="43" t="str">
        <f>IFERROR(VLOOKUP(B473,Baza[[№]:[Profit]],3,0),"")</f>
        <v/>
      </c>
      <c r="G473" s="43" t="str">
        <f>IFERROR(VLOOKUP(B473,Baza[[№]:[Profit]],4,0),"")</f>
        <v/>
      </c>
      <c r="H473" s="43" t="str">
        <f>IFERROR(VLOOKUP(B473,Baza[[№]:[Profit]],5,0),"")</f>
        <v/>
      </c>
      <c r="I473" s="46" t="str">
        <f>IFERROR(VLOOKUP(B473,Baza[[№]:[Profit]],6,0),"")</f>
        <v/>
      </c>
      <c r="J473" s="49" t="str">
        <f>IFERROR(VLOOKUP(B473,Baza[[№]:[Profit]],7,0),"")</f>
        <v/>
      </c>
      <c r="K473" s="43" t="str">
        <f>IFERROR(VLOOKUP(B473,Baza[[№]:[Profit]],8,0),"")</f>
        <v/>
      </c>
      <c r="L473" s="43" t="str">
        <f>IFERROR(VLOOKUP(B473,Baza[[№]:[Profit]],9,0),"")</f>
        <v/>
      </c>
      <c r="M473" s="43" t="str">
        <f>IFERROR(VLOOKUP(B473,Baza[[№]:[Profit]],10,0),"")</f>
        <v/>
      </c>
      <c r="N473" s="43" t="str">
        <f>IFERROR(IF(VLOOKUP(B473,Baza[[№]:[Profit]],11,0)=0,"-",VLOOKUP(B473,Baza[[№]:[Profit]],11,0)),"")</f>
        <v/>
      </c>
      <c r="O473" s="43" t="str">
        <f>IFERROR(IF(VLOOKUP(B473,Baza[[№]:[Profit]],12,0)=0,"-",VLOOKUP(B473,Baza[[№]:[Profit]],12,0)),"")</f>
        <v/>
      </c>
      <c r="P473" s="43" t="str">
        <f>IFERROR(IF(VLOOKUP(B473,Baza[[№]:[Profit]],13,0)=0,"-",VLOOKUP(B473,Baza[[№]:[Profit]],13,0)),"")</f>
        <v/>
      </c>
      <c r="Q473" s="43" t="str">
        <f>IFERROR(IF(VLOOKUP(B473,Baza[[№]:[Profit]],15,0)=0,"-",VLOOKUP(B473,Baza[[№]:[Profit]],15,0)),"")</f>
        <v/>
      </c>
      <c r="R473" s="43" t="str">
        <f>IFERROR(IF(VLOOKUP(B473,Baza[[№]:[Profit]],16,0)=0,"-",VLOOKUP(B473,Baza[[№]:[Profit]],16,0)),"")</f>
        <v/>
      </c>
      <c r="S473" s="43" t="str">
        <f>IFERROR(IF(VLOOKUP(B473,Baza[[№]:[Profit]],17,0)=0,"-",VLOOKUP(B473,Baza[[№]:[Profit]],17,0)),"")</f>
        <v/>
      </c>
      <c r="T473" s="43" t="str">
        <f>IFERROR(IF(VLOOKUP(B473,Baza[[№]:[Profit]],18,0)=0,"-",VLOOKUP(B473,Baza[[№]:[Profit]],18,0)),"")</f>
        <v/>
      </c>
      <c r="U473" s="41" t="str">
        <f>IFERROR(IF(VLOOKUP(B473,Baza[[№]:[Profit]],19,0)=0,"-",VLOOKUP(B473,Baza[[№]:[Profit]],19,0)),"")</f>
        <v/>
      </c>
      <c r="V473" s="41" t="str">
        <f>IFERROR(VLOOKUP(B473,Baza[[№]:[Profit]],20,0),"")</f>
        <v/>
      </c>
      <c r="W473" s="41" t="str">
        <f>IFERROR(IF(VLOOKUP(B473,Baza[[№]:[Profit]],21,0)=0,"-",VLOOKUP(B473,Baza[[№]:[Profit]],21,0)),"")</f>
        <v/>
      </c>
      <c r="X473" s="45" t="str">
        <f>IFERROR(IF(VLOOKUP(B473,Baza[[№]:[Profit]],22,0)=0,"-",VLOOKUP(B473,Baza[[№]:[Profit]],22,0)),"")</f>
        <v/>
      </c>
      <c r="Y473" s="45" t="str">
        <f>IFERROR(VLOOKUP(B473,Baza[[№]:[Profit]],23,0),"")</f>
        <v/>
      </c>
      <c r="Z473" s="44" t="str">
        <f>IFERROR(VLOOKUP(B473,Baza[[№]:[AFS]],24,0),"")</f>
        <v/>
      </c>
      <c r="AA473" s="45" t="str">
        <f>IF(Таблица2[[#This Row],[Profit]]="","#Н/Д",SUM($Y$40:Y473))</f>
        <v>#Н/Д</v>
      </c>
      <c r="AB473" s="45" t="b">
        <f>IF(Таблица2[[#This Row],[Grafik]]="#Н/Д",FALSE,TRUE)</f>
        <v>0</v>
      </c>
    </row>
    <row r="474" spans="2:28" ht="11.1" hidden="1" customHeight="1" x14ac:dyDescent="0.25">
      <c r="B474"/>
      <c r="C474" s="41" t="str">
        <f>IFERROR(VLOOKUP(B474,Baza[[№]:[Profit]],2,0),"")</f>
        <v/>
      </c>
      <c r="D47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7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74" s="43" t="str">
        <f>IFERROR(VLOOKUP(B474,Baza[[№]:[Profit]],3,0),"")</f>
        <v/>
      </c>
      <c r="G474" s="43" t="str">
        <f>IFERROR(VLOOKUP(B474,Baza[[№]:[Profit]],4,0),"")</f>
        <v/>
      </c>
      <c r="H474" s="43" t="str">
        <f>IFERROR(VLOOKUP(B474,Baza[[№]:[Profit]],5,0),"")</f>
        <v/>
      </c>
      <c r="I474" s="46" t="str">
        <f>IFERROR(VLOOKUP(B474,Baza[[№]:[Profit]],6,0),"")</f>
        <v/>
      </c>
      <c r="J474" s="49" t="str">
        <f>IFERROR(VLOOKUP(B474,Baza[[№]:[Profit]],7,0),"")</f>
        <v/>
      </c>
      <c r="K474" s="43" t="str">
        <f>IFERROR(VLOOKUP(B474,Baza[[№]:[Profit]],8,0),"")</f>
        <v/>
      </c>
      <c r="L474" s="43" t="str">
        <f>IFERROR(VLOOKUP(B474,Baza[[№]:[Profit]],9,0),"")</f>
        <v/>
      </c>
      <c r="M474" s="43" t="str">
        <f>IFERROR(VLOOKUP(B474,Baza[[№]:[Profit]],10,0),"")</f>
        <v/>
      </c>
      <c r="N474" s="43" t="str">
        <f>IFERROR(IF(VLOOKUP(B474,Baza[[№]:[Profit]],11,0)=0,"-",VLOOKUP(B474,Baza[[№]:[Profit]],11,0)),"")</f>
        <v/>
      </c>
      <c r="O474" s="43" t="str">
        <f>IFERROR(IF(VLOOKUP(B474,Baza[[№]:[Profit]],12,0)=0,"-",VLOOKUP(B474,Baza[[№]:[Profit]],12,0)),"")</f>
        <v/>
      </c>
      <c r="P474" s="43" t="str">
        <f>IFERROR(IF(VLOOKUP(B474,Baza[[№]:[Profit]],13,0)=0,"-",VLOOKUP(B474,Baza[[№]:[Profit]],13,0)),"")</f>
        <v/>
      </c>
      <c r="Q474" s="43" t="str">
        <f>IFERROR(IF(VLOOKUP(B474,Baza[[№]:[Profit]],15,0)=0,"-",VLOOKUP(B474,Baza[[№]:[Profit]],15,0)),"")</f>
        <v/>
      </c>
      <c r="R474" s="43" t="str">
        <f>IFERROR(IF(VLOOKUP(B474,Baza[[№]:[Profit]],16,0)=0,"-",VLOOKUP(B474,Baza[[№]:[Profit]],16,0)),"")</f>
        <v/>
      </c>
      <c r="S474" s="43" t="str">
        <f>IFERROR(IF(VLOOKUP(B474,Baza[[№]:[Profit]],17,0)=0,"-",VLOOKUP(B474,Baza[[№]:[Profit]],17,0)),"")</f>
        <v/>
      </c>
      <c r="T474" s="43" t="str">
        <f>IFERROR(IF(VLOOKUP(B474,Baza[[№]:[Profit]],18,0)=0,"-",VLOOKUP(B474,Baza[[№]:[Profit]],18,0)),"")</f>
        <v/>
      </c>
      <c r="U474" s="41" t="str">
        <f>IFERROR(IF(VLOOKUP(B474,Baza[[№]:[Profit]],19,0)=0,"-",VLOOKUP(B474,Baza[[№]:[Profit]],19,0)),"")</f>
        <v/>
      </c>
      <c r="V474" s="41" t="str">
        <f>IFERROR(VLOOKUP(B474,Baza[[№]:[Profit]],20,0),"")</f>
        <v/>
      </c>
      <c r="W474" s="41" t="str">
        <f>IFERROR(IF(VLOOKUP(B474,Baza[[№]:[Profit]],21,0)=0,"-",VLOOKUP(B474,Baza[[№]:[Profit]],21,0)),"")</f>
        <v/>
      </c>
      <c r="X474" s="45" t="str">
        <f>IFERROR(IF(VLOOKUP(B474,Baza[[№]:[Profit]],22,0)=0,"-",VLOOKUP(B474,Baza[[№]:[Profit]],22,0)),"")</f>
        <v/>
      </c>
      <c r="Y474" s="45" t="str">
        <f>IFERROR(VLOOKUP(B474,Baza[[№]:[Profit]],23,0),"")</f>
        <v/>
      </c>
      <c r="Z474" s="44" t="str">
        <f>IFERROR(VLOOKUP(B474,Baza[[№]:[AFS]],24,0),"")</f>
        <v/>
      </c>
      <c r="AA474" s="45" t="str">
        <f>IF(Таблица2[[#This Row],[Profit]]="","#Н/Д",SUM($Y$40:Y474))</f>
        <v>#Н/Д</v>
      </c>
      <c r="AB474" s="45" t="b">
        <f>IF(Таблица2[[#This Row],[Grafik]]="#Н/Д",FALSE,TRUE)</f>
        <v>0</v>
      </c>
    </row>
    <row r="475" spans="2:28" ht="11.1" hidden="1" customHeight="1" x14ac:dyDescent="0.25">
      <c r="B475"/>
      <c r="C475" s="41" t="str">
        <f>IFERROR(VLOOKUP(B475,Baza[[№]:[Profit]],2,0),"")</f>
        <v/>
      </c>
      <c r="D47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7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75" s="43" t="str">
        <f>IFERROR(VLOOKUP(B475,Baza[[№]:[Profit]],3,0),"")</f>
        <v/>
      </c>
      <c r="G475" s="43" t="str">
        <f>IFERROR(VLOOKUP(B475,Baza[[№]:[Profit]],4,0),"")</f>
        <v/>
      </c>
      <c r="H475" s="43" t="str">
        <f>IFERROR(VLOOKUP(B475,Baza[[№]:[Profit]],5,0),"")</f>
        <v/>
      </c>
      <c r="I475" s="46" t="str">
        <f>IFERROR(VLOOKUP(B475,Baza[[№]:[Profit]],6,0),"")</f>
        <v/>
      </c>
      <c r="J475" s="49" t="str">
        <f>IFERROR(VLOOKUP(B475,Baza[[№]:[Profit]],7,0),"")</f>
        <v/>
      </c>
      <c r="K475" s="43" t="str">
        <f>IFERROR(VLOOKUP(B475,Baza[[№]:[Profit]],8,0),"")</f>
        <v/>
      </c>
      <c r="L475" s="43" t="str">
        <f>IFERROR(VLOOKUP(B475,Baza[[№]:[Profit]],9,0),"")</f>
        <v/>
      </c>
      <c r="M475" s="43" t="str">
        <f>IFERROR(VLOOKUP(B475,Baza[[№]:[Profit]],10,0),"")</f>
        <v/>
      </c>
      <c r="N475" s="43" t="str">
        <f>IFERROR(IF(VLOOKUP(B475,Baza[[№]:[Profit]],11,0)=0,"-",VLOOKUP(B475,Baza[[№]:[Profit]],11,0)),"")</f>
        <v/>
      </c>
      <c r="O475" s="43" t="str">
        <f>IFERROR(IF(VLOOKUP(B475,Baza[[№]:[Profit]],12,0)=0,"-",VLOOKUP(B475,Baza[[№]:[Profit]],12,0)),"")</f>
        <v/>
      </c>
      <c r="P475" s="43" t="str">
        <f>IFERROR(IF(VLOOKUP(B475,Baza[[№]:[Profit]],13,0)=0,"-",VLOOKUP(B475,Baza[[№]:[Profit]],13,0)),"")</f>
        <v/>
      </c>
      <c r="Q475" s="43" t="str">
        <f>IFERROR(IF(VLOOKUP(B475,Baza[[№]:[Profit]],15,0)=0,"-",VLOOKUP(B475,Baza[[№]:[Profit]],15,0)),"")</f>
        <v/>
      </c>
      <c r="R475" s="43" t="str">
        <f>IFERROR(IF(VLOOKUP(B475,Baza[[№]:[Profit]],16,0)=0,"-",VLOOKUP(B475,Baza[[№]:[Profit]],16,0)),"")</f>
        <v/>
      </c>
      <c r="S475" s="43" t="str">
        <f>IFERROR(IF(VLOOKUP(B475,Baza[[№]:[Profit]],17,0)=0,"-",VLOOKUP(B475,Baza[[№]:[Profit]],17,0)),"")</f>
        <v/>
      </c>
      <c r="T475" s="43" t="str">
        <f>IFERROR(IF(VLOOKUP(B475,Baza[[№]:[Profit]],18,0)=0,"-",VLOOKUP(B475,Baza[[№]:[Profit]],18,0)),"")</f>
        <v/>
      </c>
      <c r="U475" s="41" t="str">
        <f>IFERROR(IF(VLOOKUP(B475,Baza[[№]:[Profit]],19,0)=0,"-",VLOOKUP(B475,Baza[[№]:[Profit]],19,0)),"")</f>
        <v/>
      </c>
      <c r="V475" s="41" t="str">
        <f>IFERROR(VLOOKUP(B475,Baza[[№]:[Profit]],20,0),"")</f>
        <v/>
      </c>
      <c r="W475" s="41" t="str">
        <f>IFERROR(IF(VLOOKUP(B475,Baza[[№]:[Profit]],21,0)=0,"-",VLOOKUP(B475,Baza[[№]:[Profit]],21,0)),"")</f>
        <v/>
      </c>
      <c r="X475" s="45" t="str">
        <f>IFERROR(IF(VLOOKUP(B475,Baza[[№]:[Profit]],22,0)=0,"-",VLOOKUP(B475,Baza[[№]:[Profit]],22,0)),"")</f>
        <v/>
      </c>
      <c r="Y475" s="45" t="str">
        <f>IFERROR(VLOOKUP(B475,Baza[[№]:[Profit]],23,0),"")</f>
        <v/>
      </c>
      <c r="Z475" s="44" t="str">
        <f>IFERROR(VLOOKUP(B475,Baza[[№]:[AFS]],24,0),"")</f>
        <v/>
      </c>
      <c r="AA475" s="45" t="str">
        <f>IF(Таблица2[[#This Row],[Profit]]="","#Н/Д",SUM($Y$40:Y475))</f>
        <v>#Н/Д</v>
      </c>
      <c r="AB475" s="45" t="b">
        <f>IF(Таблица2[[#This Row],[Grafik]]="#Н/Д",FALSE,TRUE)</f>
        <v>0</v>
      </c>
    </row>
    <row r="476" spans="2:28" ht="11.1" hidden="1" customHeight="1" x14ac:dyDescent="0.25">
      <c r="B476"/>
      <c r="C476" s="41" t="str">
        <f>IFERROR(VLOOKUP(B476,Baza[[№]:[Profit]],2,0),"")</f>
        <v/>
      </c>
      <c r="D47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7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76" s="43" t="str">
        <f>IFERROR(VLOOKUP(B476,Baza[[№]:[Profit]],3,0),"")</f>
        <v/>
      </c>
      <c r="G476" s="43" t="str">
        <f>IFERROR(VLOOKUP(B476,Baza[[№]:[Profit]],4,0),"")</f>
        <v/>
      </c>
      <c r="H476" s="43" t="str">
        <f>IFERROR(VLOOKUP(B476,Baza[[№]:[Profit]],5,0),"")</f>
        <v/>
      </c>
      <c r="I476" s="46" t="str">
        <f>IFERROR(VLOOKUP(B476,Baza[[№]:[Profit]],6,0),"")</f>
        <v/>
      </c>
      <c r="J476" s="49" t="str">
        <f>IFERROR(VLOOKUP(B476,Baza[[№]:[Profit]],7,0),"")</f>
        <v/>
      </c>
      <c r="K476" s="43" t="str">
        <f>IFERROR(VLOOKUP(B476,Baza[[№]:[Profit]],8,0),"")</f>
        <v/>
      </c>
      <c r="L476" s="43" t="str">
        <f>IFERROR(VLOOKUP(B476,Baza[[№]:[Profit]],9,0),"")</f>
        <v/>
      </c>
      <c r="M476" s="43" t="str">
        <f>IFERROR(VLOOKUP(B476,Baza[[№]:[Profit]],10,0),"")</f>
        <v/>
      </c>
      <c r="N476" s="43" t="str">
        <f>IFERROR(IF(VLOOKUP(B476,Baza[[№]:[Profit]],11,0)=0,"-",VLOOKUP(B476,Baza[[№]:[Profit]],11,0)),"")</f>
        <v/>
      </c>
      <c r="O476" s="43" t="str">
        <f>IFERROR(IF(VLOOKUP(B476,Baza[[№]:[Profit]],12,0)=0,"-",VLOOKUP(B476,Baza[[№]:[Profit]],12,0)),"")</f>
        <v/>
      </c>
      <c r="P476" s="43" t="str">
        <f>IFERROR(IF(VLOOKUP(B476,Baza[[№]:[Profit]],13,0)=0,"-",VLOOKUP(B476,Baza[[№]:[Profit]],13,0)),"")</f>
        <v/>
      </c>
      <c r="Q476" s="43" t="str">
        <f>IFERROR(IF(VLOOKUP(B476,Baza[[№]:[Profit]],15,0)=0,"-",VLOOKUP(B476,Baza[[№]:[Profit]],15,0)),"")</f>
        <v/>
      </c>
      <c r="R476" s="43" t="str">
        <f>IFERROR(IF(VLOOKUP(B476,Baza[[№]:[Profit]],16,0)=0,"-",VLOOKUP(B476,Baza[[№]:[Profit]],16,0)),"")</f>
        <v/>
      </c>
      <c r="S476" s="43" t="str">
        <f>IFERROR(IF(VLOOKUP(B476,Baza[[№]:[Profit]],17,0)=0,"-",VLOOKUP(B476,Baza[[№]:[Profit]],17,0)),"")</f>
        <v/>
      </c>
      <c r="T476" s="43" t="str">
        <f>IFERROR(IF(VLOOKUP(B476,Baza[[№]:[Profit]],18,0)=0,"-",VLOOKUP(B476,Baza[[№]:[Profit]],18,0)),"")</f>
        <v/>
      </c>
      <c r="U476" s="41" t="str">
        <f>IFERROR(IF(VLOOKUP(B476,Baza[[№]:[Profit]],19,0)=0,"-",VLOOKUP(B476,Baza[[№]:[Profit]],19,0)),"")</f>
        <v/>
      </c>
      <c r="V476" s="41" t="str">
        <f>IFERROR(VLOOKUP(B476,Baza[[№]:[Profit]],20,0),"")</f>
        <v/>
      </c>
      <c r="W476" s="41" t="str">
        <f>IFERROR(IF(VLOOKUP(B476,Baza[[№]:[Profit]],21,0)=0,"-",VLOOKUP(B476,Baza[[№]:[Profit]],21,0)),"")</f>
        <v/>
      </c>
      <c r="X476" s="45" t="str">
        <f>IFERROR(IF(VLOOKUP(B476,Baza[[№]:[Profit]],22,0)=0,"-",VLOOKUP(B476,Baza[[№]:[Profit]],22,0)),"")</f>
        <v/>
      </c>
      <c r="Y476" s="45" t="str">
        <f>IFERROR(VLOOKUP(B476,Baza[[№]:[Profit]],23,0),"")</f>
        <v/>
      </c>
      <c r="Z476" s="44" t="str">
        <f>IFERROR(VLOOKUP(B476,Baza[[№]:[AFS]],24,0),"")</f>
        <v/>
      </c>
      <c r="AA476" s="45" t="str">
        <f>IF(Таблица2[[#This Row],[Profit]]="","#Н/Д",SUM($Y$40:Y476))</f>
        <v>#Н/Д</v>
      </c>
      <c r="AB476" s="45" t="b">
        <f>IF(Таблица2[[#This Row],[Grafik]]="#Н/Д",FALSE,TRUE)</f>
        <v>0</v>
      </c>
    </row>
    <row r="477" spans="2:28" ht="11.1" hidden="1" customHeight="1" x14ac:dyDescent="0.25">
      <c r="B477"/>
      <c r="C477" s="41" t="str">
        <f>IFERROR(VLOOKUP(B477,Baza[[№]:[Profit]],2,0),"")</f>
        <v/>
      </c>
      <c r="D47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7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77" s="43" t="str">
        <f>IFERROR(VLOOKUP(B477,Baza[[№]:[Profit]],3,0),"")</f>
        <v/>
      </c>
      <c r="G477" s="43" t="str">
        <f>IFERROR(VLOOKUP(B477,Baza[[№]:[Profit]],4,0),"")</f>
        <v/>
      </c>
      <c r="H477" s="43" t="str">
        <f>IFERROR(VLOOKUP(B477,Baza[[№]:[Profit]],5,0),"")</f>
        <v/>
      </c>
      <c r="I477" s="46" t="str">
        <f>IFERROR(VLOOKUP(B477,Baza[[№]:[Profit]],6,0),"")</f>
        <v/>
      </c>
      <c r="J477" s="49" t="str">
        <f>IFERROR(VLOOKUP(B477,Baza[[№]:[Profit]],7,0),"")</f>
        <v/>
      </c>
      <c r="K477" s="43" t="str">
        <f>IFERROR(VLOOKUP(B477,Baza[[№]:[Profit]],8,0),"")</f>
        <v/>
      </c>
      <c r="L477" s="43" t="str">
        <f>IFERROR(VLOOKUP(B477,Baza[[№]:[Profit]],9,0),"")</f>
        <v/>
      </c>
      <c r="M477" s="43" t="str">
        <f>IFERROR(VLOOKUP(B477,Baza[[№]:[Profit]],10,0),"")</f>
        <v/>
      </c>
      <c r="N477" s="43" t="str">
        <f>IFERROR(IF(VLOOKUP(B477,Baza[[№]:[Profit]],11,0)=0,"-",VLOOKUP(B477,Baza[[№]:[Profit]],11,0)),"")</f>
        <v/>
      </c>
      <c r="O477" s="43" t="str">
        <f>IFERROR(IF(VLOOKUP(B477,Baza[[№]:[Profit]],12,0)=0,"-",VLOOKUP(B477,Baza[[№]:[Profit]],12,0)),"")</f>
        <v/>
      </c>
      <c r="P477" s="43" t="str">
        <f>IFERROR(IF(VLOOKUP(B477,Baza[[№]:[Profit]],13,0)=0,"-",VLOOKUP(B477,Baza[[№]:[Profit]],13,0)),"")</f>
        <v/>
      </c>
      <c r="Q477" s="43" t="str">
        <f>IFERROR(IF(VLOOKUP(B477,Baza[[№]:[Profit]],15,0)=0,"-",VLOOKUP(B477,Baza[[№]:[Profit]],15,0)),"")</f>
        <v/>
      </c>
      <c r="R477" s="43" t="str">
        <f>IFERROR(IF(VLOOKUP(B477,Baza[[№]:[Profit]],16,0)=0,"-",VLOOKUP(B477,Baza[[№]:[Profit]],16,0)),"")</f>
        <v/>
      </c>
      <c r="S477" s="43" t="str">
        <f>IFERROR(IF(VLOOKUP(B477,Baza[[№]:[Profit]],17,0)=0,"-",VLOOKUP(B477,Baza[[№]:[Profit]],17,0)),"")</f>
        <v/>
      </c>
      <c r="T477" s="43" t="str">
        <f>IFERROR(IF(VLOOKUP(B477,Baza[[№]:[Profit]],18,0)=0,"-",VLOOKUP(B477,Baza[[№]:[Profit]],18,0)),"")</f>
        <v/>
      </c>
      <c r="U477" s="41" t="str">
        <f>IFERROR(IF(VLOOKUP(B477,Baza[[№]:[Profit]],19,0)=0,"-",VLOOKUP(B477,Baza[[№]:[Profit]],19,0)),"")</f>
        <v/>
      </c>
      <c r="V477" s="41" t="str">
        <f>IFERROR(VLOOKUP(B477,Baza[[№]:[Profit]],20,0),"")</f>
        <v/>
      </c>
      <c r="W477" s="41" t="str">
        <f>IFERROR(IF(VLOOKUP(B477,Baza[[№]:[Profit]],21,0)=0,"-",VLOOKUP(B477,Baza[[№]:[Profit]],21,0)),"")</f>
        <v/>
      </c>
      <c r="X477" s="45" t="str">
        <f>IFERROR(IF(VLOOKUP(B477,Baza[[№]:[Profit]],22,0)=0,"-",VLOOKUP(B477,Baza[[№]:[Profit]],22,0)),"")</f>
        <v/>
      </c>
      <c r="Y477" s="45" t="str">
        <f>IFERROR(VLOOKUP(B477,Baza[[№]:[Profit]],23,0),"")</f>
        <v/>
      </c>
      <c r="Z477" s="44" t="str">
        <f>IFERROR(VLOOKUP(B477,Baza[[№]:[AFS]],24,0),"")</f>
        <v/>
      </c>
      <c r="AA477" s="45" t="str">
        <f>IF(Таблица2[[#This Row],[Profit]]="","#Н/Д",SUM($Y$40:Y477))</f>
        <v>#Н/Д</v>
      </c>
      <c r="AB477" s="45" t="b">
        <f>IF(Таблица2[[#This Row],[Grafik]]="#Н/Д",FALSE,TRUE)</f>
        <v>0</v>
      </c>
    </row>
    <row r="478" spans="2:28" ht="11.1" hidden="1" customHeight="1" x14ac:dyDescent="0.25">
      <c r="B478"/>
      <c r="C478" s="41" t="str">
        <f>IFERROR(VLOOKUP(B478,Baza[[№]:[Profit]],2,0),"")</f>
        <v/>
      </c>
      <c r="D47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7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78" s="43" t="str">
        <f>IFERROR(VLOOKUP(B478,Baza[[№]:[Profit]],3,0),"")</f>
        <v/>
      </c>
      <c r="G478" s="43" t="str">
        <f>IFERROR(VLOOKUP(B478,Baza[[№]:[Profit]],4,0),"")</f>
        <v/>
      </c>
      <c r="H478" s="43" t="str">
        <f>IFERROR(VLOOKUP(B478,Baza[[№]:[Profit]],5,0),"")</f>
        <v/>
      </c>
      <c r="I478" s="46" t="str">
        <f>IFERROR(VLOOKUP(B478,Baza[[№]:[Profit]],6,0),"")</f>
        <v/>
      </c>
      <c r="J478" s="49" t="str">
        <f>IFERROR(VLOOKUP(B478,Baza[[№]:[Profit]],7,0),"")</f>
        <v/>
      </c>
      <c r="K478" s="43" t="str">
        <f>IFERROR(VLOOKUP(B478,Baza[[№]:[Profit]],8,0),"")</f>
        <v/>
      </c>
      <c r="L478" s="43" t="str">
        <f>IFERROR(VLOOKUP(B478,Baza[[№]:[Profit]],9,0),"")</f>
        <v/>
      </c>
      <c r="M478" s="43" t="str">
        <f>IFERROR(VLOOKUP(B478,Baza[[№]:[Profit]],10,0),"")</f>
        <v/>
      </c>
      <c r="N478" s="43" t="str">
        <f>IFERROR(IF(VLOOKUP(B478,Baza[[№]:[Profit]],11,0)=0,"-",VLOOKUP(B478,Baza[[№]:[Profit]],11,0)),"")</f>
        <v/>
      </c>
      <c r="O478" s="43" t="str">
        <f>IFERROR(IF(VLOOKUP(B478,Baza[[№]:[Profit]],12,0)=0,"-",VLOOKUP(B478,Baza[[№]:[Profit]],12,0)),"")</f>
        <v/>
      </c>
      <c r="P478" s="43" t="str">
        <f>IFERROR(IF(VLOOKUP(B478,Baza[[№]:[Profit]],13,0)=0,"-",VLOOKUP(B478,Baza[[№]:[Profit]],13,0)),"")</f>
        <v/>
      </c>
      <c r="Q478" s="43" t="str">
        <f>IFERROR(IF(VLOOKUP(B478,Baza[[№]:[Profit]],15,0)=0,"-",VLOOKUP(B478,Baza[[№]:[Profit]],15,0)),"")</f>
        <v/>
      </c>
      <c r="R478" s="43" t="str">
        <f>IFERROR(IF(VLOOKUP(B478,Baza[[№]:[Profit]],16,0)=0,"-",VLOOKUP(B478,Baza[[№]:[Profit]],16,0)),"")</f>
        <v/>
      </c>
      <c r="S478" s="43" t="str">
        <f>IFERROR(IF(VLOOKUP(B478,Baza[[№]:[Profit]],17,0)=0,"-",VLOOKUP(B478,Baza[[№]:[Profit]],17,0)),"")</f>
        <v/>
      </c>
      <c r="T478" s="43" t="str">
        <f>IFERROR(IF(VLOOKUP(B478,Baza[[№]:[Profit]],18,0)=0,"-",VLOOKUP(B478,Baza[[№]:[Profit]],18,0)),"")</f>
        <v/>
      </c>
      <c r="U478" s="41" t="str">
        <f>IFERROR(IF(VLOOKUP(B478,Baza[[№]:[Profit]],19,0)=0,"-",VLOOKUP(B478,Baza[[№]:[Profit]],19,0)),"")</f>
        <v/>
      </c>
      <c r="V478" s="41" t="str">
        <f>IFERROR(VLOOKUP(B478,Baza[[№]:[Profit]],20,0),"")</f>
        <v/>
      </c>
      <c r="W478" s="41" t="str">
        <f>IFERROR(IF(VLOOKUP(B478,Baza[[№]:[Profit]],21,0)=0,"-",VLOOKUP(B478,Baza[[№]:[Profit]],21,0)),"")</f>
        <v/>
      </c>
      <c r="X478" s="45" t="str">
        <f>IFERROR(IF(VLOOKUP(B478,Baza[[№]:[Profit]],22,0)=0,"-",VLOOKUP(B478,Baza[[№]:[Profit]],22,0)),"")</f>
        <v/>
      </c>
      <c r="Y478" s="45" t="str">
        <f>IFERROR(VLOOKUP(B478,Baza[[№]:[Profit]],23,0),"")</f>
        <v/>
      </c>
      <c r="Z478" s="44" t="str">
        <f>IFERROR(VLOOKUP(B478,Baza[[№]:[AFS]],24,0),"")</f>
        <v/>
      </c>
      <c r="AA478" s="45" t="str">
        <f>IF(Таблица2[[#This Row],[Profit]]="","#Н/Д",SUM($Y$40:Y478))</f>
        <v>#Н/Д</v>
      </c>
      <c r="AB478" s="45" t="b">
        <f>IF(Таблица2[[#This Row],[Grafik]]="#Н/Д",FALSE,TRUE)</f>
        <v>0</v>
      </c>
    </row>
    <row r="479" spans="2:28" ht="11.1" hidden="1" customHeight="1" x14ac:dyDescent="0.25">
      <c r="B479"/>
      <c r="C479" s="41" t="str">
        <f>IFERROR(VLOOKUP(B479,Baza[[№]:[Profit]],2,0),"")</f>
        <v/>
      </c>
      <c r="D47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7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79" s="43" t="str">
        <f>IFERROR(VLOOKUP(B479,Baza[[№]:[Profit]],3,0),"")</f>
        <v/>
      </c>
      <c r="G479" s="43" t="str">
        <f>IFERROR(VLOOKUP(B479,Baza[[№]:[Profit]],4,0),"")</f>
        <v/>
      </c>
      <c r="H479" s="43" t="str">
        <f>IFERROR(VLOOKUP(B479,Baza[[№]:[Profit]],5,0),"")</f>
        <v/>
      </c>
      <c r="I479" s="46" t="str">
        <f>IFERROR(VLOOKUP(B479,Baza[[№]:[Profit]],6,0),"")</f>
        <v/>
      </c>
      <c r="J479" s="49" t="str">
        <f>IFERROR(VLOOKUP(B479,Baza[[№]:[Profit]],7,0),"")</f>
        <v/>
      </c>
      <c r="K479" s="43" t="str">
        <f>IFERROR(VLOOKUP(B479,Baza[[№]:[Profit]],8,0),"")</f>
        <v/>
      </c>
      <c r="L479" s="43" t="str">
        <f>IFERROR(VLOOKUP(B479,Baza[[№]:[Profit]],9,0),"")</f>
        <v/>
      </c>
      <c r="M479" s="43" t="str">
        <f>IFERROR(VLOOKUP(B479,Baza[[№]:[Profit]],10,0),"")</f>
        <v/>
      </c>
      <c r="N479" s="43" t="str">
        <f>IFERROR(IF(VLOOKUP(B479,Baza[[№]:[Profit]],11,0)=0,"-",VLOOKUP(B479,Baza[[№]:[Profit]],11,0)),"")</f>
        <v/>
      </c>
      <c r="O479" s="43" t="str">
        <f>IFERROR(IF(VLOOKUP(B479,Baza[[№]:[Profit]],12,0)=0,"-",VLOOKUP(B479,Baza[[№]:[Profit]],12,0)),"")</f>
        <v/>
      </c>
      <c r="P479" s="43" t="str">
        <f>IFERROR(IF(VLOOKUP(B479,Baza[[№]:[Profit]],13,0)=0,"-",VLOOKUP(B479,Baza[[№]:[Profit]],13,0)),"")</f>
        <v/>
      </c>
      <c r="Q479" s="43" t="str">
        <f>IFERROR(IF(VLOOKUP(B479,Baza[[№]:[Profit]],15,0)=0,"-",VLOOKUP(B479,Baza[[№]:[Profit]],15,0)),"")</f>
        <v/>
      </c>
      <c r="R479" s="43" t="str">
        <f>IFERROR(IF(VLOOKUP(B479,Baza[[№]:[Profit]],16,0)=0,"-",VLOOKUP(B479,Baza[[№]:[Profit]],16,0)),"")</f>
        <v/>
      </c>
      <c r="S479" s="43" t="str">
        <f>IFERROR(IF(VLOOKUP(B479,Baza[[№]:[Profit]],17,0)=0,"-",VLOOKUP(B479,Baza[[№]:[Profit]],17,0)),"")</f>
        <v/>
      </c>
      <c r="T479" s="43" t="str">
        <f>IFERROR(IF(VLOOKUP(B479,Baza[[№]:[Profit]],18,0)=0,"-",VLOOKUP(B479,Baza[[№]:[Profit]],18,0)),"")</f>
        <v/>
      </c>
      <c r="U479" s="41" t="str">
        <f>IFERROR(IF(VLOOKUP(B479,Baza[[№]:[Profit]],19,0)=0,"-",VLOOKUP(B479,Baza[[№]:[Profit]],19,0)),"")</f>
        <v/>
      </c>
      <c r="V479" s="41" t="str">
        <f>IFERROR(VLOOKUP(B479,Baza[[№]:[Profit]],20,0),"")</f>
        <v/>
      </c>
      <c r="W479" s="41" t="str">
        <f>IFERROR(IF(VLOOKUP(B479,Baza[[№]:[Profit]],21,0)=0,"-",VLOOKUP(B479,Baza[[№]:[Profit]],21,0)),"")</f>
        <v/>
      </c>
      <c r="X479" s="45" t="str">
        <f>IFERROR(IF(VLOOKUP(B479,Baza[[№]:[Profit]],22,0)=0,"-",VLOOKUP(B479,Baza[[№]:[Profit]],22,0)),"")</f>
        <v/>
      </c>
      <c r="Y479" s="45" t="str">
        <f>IFERROR(VLOOKUP(B479,Baza[[№]:[Profit]],23,0),"")</f>
        <v/>
      </c>
      <c r="Z479" s="44" t="str">
        <f>IFERROR(VLOOKUP(B479,Baza[[№]:[AFS]],24,0),"")</f>
        <v/>
      </c>
      <c r="AA479" s="45" t="str">
        <f>IF(Таблица2[[#This Row],[Profit]]="","#Н/Д",SUM($Y$40:Y479))</f>
        <v>#Н/Д</v>
      </c>
      <c r="AB479" s="45" t="b">
        <f>IF(Таблица2[[#This Row],[Grafik]]="#Н/Д",FALSE,TRUE)</f>
        <v>0</v>
      </c>
    </row>
    <row r="480" spans="2:28" ht="11.1" hidden="1" customHeight="1" x14ac:dyDescent="0.25">
      <c r="B480"/>
      <c r="C480" s="41" t="str">
        <f>IFERROR(VLOOKUP(B480,Baza[[№]:[Profit]],2,0),"")</f>
        <v/>
      </c>
      <c r="D48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8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80" s="43" t="str">
        <f>IFERROR(VLOOKUP(B480,Baza[[№]:[Profit]],3,0),"")</f>
        <v/>
      </c>
      <c r="G480" s="43" t="str">
        <f>IFERROR(VLOOKUP(B480,Baza[[№]:[Profit]],4,0),"")</f>
        <v/>
      </c>
      <c r="H480" s="43" t="str">
        <f>IFERROR(VLOOKUP(B480,Baza[[№]:[Profit]],5,0),"")</f>
        <v/>
      </c>
      <c r="I480" s="46" t="str">
        <f>IFERROR(VLOOKUP(B480,Baza[[№]:[Profit]],6,0),"")</f>
        <v/>
      </c>
      <c r="J480" s="49" t="str">
        <f>IFERROR(VLOOKUP(B480,Baza[[№]:[Profit]],7,0),"")</f>
        <v/>
      </c>
      <c r="K480" s="43" t="str">
        <f>IFERROR(VLOOKUP(B480,Baza[[№]:[Profit]],8,0),"")</f>
        <v/>
      </c>
      <c r="L480" s="43" t="str">
        <f>IFERROR(VLOOKUP(B480,Baza[[№]:[Profit]],9,0),"")</f>
        <v/>
      </c>
      <c r="M480" s="43" t="str">
        <f>IFERROR(VLOOKUP(B480,Baza[[№]:[Profit]],10,0),"")</f>
        <v/>
      </c>
      <c r="N480" s="43" t="str">
        <f>IFERROR(IF(VLOOKUP(B480,Baza[[№]:[Profit]],11,0)=0,"-",VLOOKUP(B480,Baza[[№]:[Profit]],11,0)),"")</f>
        <v/>
      </c>
      <c r="O480" s="43" t="str">
        <f>IFERROR(IF(VLOOKUP(B480,Baza[[№]:[Profit]],12,0)=0,"-",VLOOKUP(B480,Baza[[№]:[Profit]],12,0)),"")</f>
        <v/>
      </c>
      <c r="P480" s="43" t="str">
        <f>IFERROR(IF(VLOOKUP(B480,Baza[[№]:[Profit]],13,0)=0,"-",VLOOKUP(B480,Baza[[№]:[Profit]],13,0)),"")</f>
        <v/>
      </c>
      <c r="Q480" s="43" t="str">
        <f>IFERROR(IF(VLOOKUP(B480,Baza[[№]:[Profit]],15,0)=0,"-",VLOOKUP(B480,Baza[[№]:[Profit]],15,0)),"")</f>
        <v/>
      </c>
      <c r="R480" s="43" t="str">
        <f>IFERROR(IF(VLOOKUP(B480,Baza[[№]:[Profit]],16,0)=0,"-",VLOOKUP(B480,Baza[[№]:[Profit]],16,0)),"")</f>
        <v/>
      </c>
      <c r="S480" s="43" t="str">
        <f>IFERROR(IF(VLOOKUP(B480,Baza[[№]:[Profit]],17,0)=0,"-",VLOOKUP(B480,Baza[[№]:[Profit]],17,0)),"")</f>
        <v/>
      </c>
      <c r="T480" s="43" t="str">
        <f>IFERROR(IF(VLOOKUP(B480,Baza[[№]:[Profit]],18,0)=0,"-",VLOOKUP(B480,Baza[[№]:[Profit]],18,0)),"")</f>
        <v/>
      </c>
      <c r="U480" s="41" t="str">
        <f>IFERROR(IF(VLOOKUP(B480,Baza[[№]:[Profit]],19,0)=0,"-",VLOOKUP(B480,Baza[[№]:[Profit]],19,0)),"")</f>
        <v/>
      </c>
      <c r="V480" s="41" t="str">
        <f>IFERROR(VLOOKUP(B480,Baza[[№]:[Profit]],20,0),"")</f>
        <v/>
      </c>
      <c r="W480" s="41" t="str">
        <f>IFERROR(IF(VLOOKUP(B480,Baza[[№]:[Profit]],21,0)=0,"-",VLOOKUP(B480,Baza[[№]:[Profit]],21,0)),"")</f>
        <v/>
      </c>
      <c r="X480" s="45" t="str">
        <f>IFERROR(IF(VLOOKUP(B480,Baza[[№]:[Profit]],22,0)=0,"-",VLOOKUP(B480,Baza[[№]:[Profit]],22,0)),"")</f>
        <v/>
      </c>
      <c r="Y480" s="45" t="str">
        <f>IFERROR(VLOOKUP(B480,Baza[[№]:[Profit]],23,0),"")</f>
        <v/>
      </c>
      <c r="Z480" s="44" t="str">
        <f>IFERROR(VLOOKUP(B480,Baza[[№]:[AFS]],24,0),"")</f>
        <v/>
      </c>
      <c r="AA480" s="45" t="str">
        <f>IF(Таблица2[[#This Row],[Profit]]="","#Н/Д",SUM($Y$40:Y480))</f>
        <v>#Н/Д</v>
      </c>
      <c r="AB480" s="45" t="b">
        <f>IF(Таблица2[[#This Row],[Grafik]]="#Н/Д",FALSE,TRUE)</f>
        <v>0</v>
      </c>
    </row>
    <row r="481" spans="2:28" ht="11.1" hidden="1" customHeight="1" x14ac:dyDescent="0.25">
      <c r="B481"/>
      <c r="C481" s="41" t="str">
        <f>IFERROR(VLOOKUP(B481,Baza[[№]:[Profit]],2,0),"")</f>
        <v/>
      </c>
      <c r="D48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8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81" s="43" t="str">
        <f>IFERROR(VLOOKUP(B481,Baza[[№]:[Profit]],3,0),"")</f>
        <v/>
      </c>
      <c r="G481" s="43" t="str">
        <f>IFERROR(VLOOKUP(B481,Baza[[№]:[Profit]],4,0),"")</f>
        <v/>
      </c>
      <c r="H481" s="43" t="str">
        <f>IFERROR(VLOOKUP(B481,Baza[[№]:[Profit]],5,0),"")</f>
        <v/>
      </c>
      <c r="I481" s="46" t="str">
        <f>IFERROR(VLOOKUP(B481,Baza[[№]:[Profit]],6,0),"")</f>
        <v/>
      </c>
      <c r="J481" s="49" t="str">
        <f>IFERROR(VLOOKUP(B481,Baza[[№]:[Profit]],7,0),"")</f>
        <v/>
      </c>
      <c r="K481" s="43" t="str">
        <f>IFERROR(VLOOKUP(B481,Baza[[№]:[Profit]],8,0),"")</f>
        <v/>
      </c>
      <c r="L481" s="43" t="str">
        <f>IFERROR(VLOOKUP(B481,Baza[[№]:[Profit]],9,0),"")</f>
        <v/>
      </c>
      <c r="M481" s="43" t="str">
        <f>IFERROR(VLOOKUP(B481,Baza[[№]:[Profit]],10,0),"")</f>
        <v/>
      </c>
      <c r="N481" s="43" t="str">
        <f>IFERROR(IF(VLOOKUP(B481,Baza[[№]:[Profit]],11,0)=0,"-",VLOOKUP(B481,Baza[[№]:[Profit]],11,0)),"")</f>
        <v/>
      </c>
      <c r="O481" s="43" t="str">
        <f>IFERROR(IF(VLOOKUP(B481,Baza[[№]:[Profit]],12,0)=0,"-",VLOOKUP(B481,Baza[[№]:[Profit]],12,0)),"")</f>
        <v/>
      </c>
      <c r="P481" s="43" t="str">
        <f>IFERROR(IF(VLOOKUP(B481,Baza[[№]:[Profit]],13,0)=0,"-",VLOOKUP(B481,Baza[[№]:[Profit]],13,0)),"")</f>
        <v/>
      </c>
      <c r="Q481" s="43" t="str">
        <f>IFERROR(IF(VLOOKUP(B481,Baza[[№]:[Profit]],15,0)=0,"-",VLOOKUP(B481,Baza[[№]:[Profit]],15,0)),"")</f>
        <v/>
      </c>
      <c r="R481" s="43" t="str">
        <f>IFERROR(IF(VLOOKUP(B481,Baza[[№]:[Profit]],16,0)=0,"-",VLOOKUP(B481,Baza[[№]:[Profit]],16,0)),"")</f>
        <v/>
      </c>
      <c r="S481" s="43" t="str">
        <f>IFERROR(IF(VLOOKUP(B481,Baza[[№]:[Profit]],17,0)=0,"-",VLOOKUP(B481,Baza[[№]:[Profit]],17,0)),"")</f>
        <v/>
      </c>
      <c r="T481" s="43" t="str">
        <f>IFERROR(IF(VLOOKUP(B481,Baza[[№]:[Profit]],18,0)=0,"-",VLOOKUP(B481,Baza[[№]:[Profit]],18,0)),"")</f>
        <v/>
      </c>
      <c r="U481" s="41" t="str">
        <f>IFERROR(IF(VLOOKUP(B481,Baza[[№]:[Profit]],19,0)=0,"-",VLOOKUP(B481,Baza[[№]:[Profit]],19,0)),"")</f>
        <v/>
      </c>
      <c r="V481" s="41" t="str">
        <f>IFERROR(VLOOKUP(B481,Baza[[№]:[Profit]],20,0),"")</f>
        <v/>
      </c>
      <c r="W481" s="41" t="str">
        <f>IFERROR(IF(VLOOKUP(B481,Baza[[№]:[Profit]],21,0)=0,"-",VLOOKUP(B481,Baza[[№]:[Profit]],21,0)),"")</f>
        <v/>
      </c>
      <c r="X481" s="45" t="str">
        <f>IFERROR(IF(VLOOKUP(B481,Baza[[№]:[Profit]],22,0)=0,"-",VLOOKUP(B481,Baza[[№]:[Profit]],22,0)),"")</f>
        <v/>
      </c>
      <c r="Y481" s="45" t="str">
        <f>IFERROR(VLOOKUP(B481,Baza[[№]:[Profit]],23,0),"")</f>
        <v/>
      </c>
      <c r="Z481" s="44" t="str">
        <f>IFERROR(VLOOKUP(B481,Baza[[№]:[AFS]],24,0),"")</f>
        <v/>
      </c>
      <c r="AA481" s="45" t="str">
        <f>IF(Таблица2[[#This Row],[Profit]]="","#Н/Д",SUM($Y$40:Y481))</f>
        <v>#Н/Д</v>
      </c>
      <c r="AB481" s="45" t="b">
        <f>IF(Таблица2[[#This Row],[Grafik]]="#Н/Д",FALSE,TRUE)</f>
        <v>0</v>
      </c>
    </row>
    <row r="482" spans="2:28" ht="11.1" hidden="1" customHeight="1" x14ac:dyDescent="0.25">
      <c r="B482"/>
      <c r="C482" s="41" t="str">
        <f>IFERROR(VLOOKUP(B482,Baza[[№]:[Profit]],2,0),"")</f>
        <v/>
      </c>
      <c r="D48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8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82" s="43" t="str">
        <f>IFERROR(VLOOKUP(B482,Baza[[№]:[Profit]],3,0),"")</f>
        <v/>
      </c>
      <c r="G482" s="43" t="str">
        <f>IFERROR(VLOOKUP(B482,Baza[[№]:[Profit]],4,0),"")</f>
        <v/>
      </c>
      <c r="H482" s="43" t="str">
        <f>IFERROR(VLOOKUP(B482,Baza[[№]:[Profit]],5,0),"")</f>
        <v/>
      </c>
      <c r="I482" s="46" t="str">
        <f>IFERROR(VLOOKUP(B482,Baza[[№]:[Profit]],6,0),"")</f>
        <v/>
      </c>
      <c r="J482" s="49" t="str">
        <f>IFERROR(VLOOKUP(B482,Baza[[№]:[Profit]],7,0),"")</f>
        <v/>
      </c>
      <c r="K482" s="43" t="str">
        <f>IFERROR(VLOOKUP(B482,Baza[[№]:[Profit]],8,0),"")</f>
        <v/>
      </c>
      <c r="L482" s="43" t="str">
        <f>IFERROR(VLOOKUP(B482,Baza[[№]:[Profit]],9,0),"")</f>
        <v/>
      </c>
      <c r="M482" s="43" t="str">
        <f>IFERROR(VLOOKUP(B482,Baza[[№]:[Profit]],10,0),"")</f>
        <v/>
      </c>
      <c r="N482" s="43" t="str">
        <f>IFERROR(IF(VLOOKUP(B482,Baza[[№]:[Profit]],11,0)=0,"-",VLOOKUP(B482,Baza[[№]:[Profit]],11,0)),"")</f>
        <v/>
      </c>
      <c r="O482" s="43" t="str">
        <f>IFERROR(IF(VLOOKUP(B482,Baza[[№]:[Profit]],12,0)=0,"-",VLOOKUP(B482,Baza[[№]:[Profit]],12,0)),"")</f>
        <v/>
      </c>
      <c r="P482" s="43" t="str">
        <f>IFERROR(IF(VLOOKUP(B482,Baza[[№]:[Profit]],13,0)=0,"-",VLOOKUP(B482,Baza[[№]:[Profit]],13,0)),"")</f>
        <v/>
      </c>
      <c r="Q482" s="43" t="str">
        <f>IFERROR(IF(VLOOKUP(B482,Baza[[№]:[Profit]],15,0)=0,"-",VLOOKUP(B482,Baza[[№]:[Profit]],15,0)),"")</f>
        <v/>
      </c>
      <c r="R482" s="43" t="str">
        <f>IFERROR(IF(VLOOKUP(B482,Baza[[№]:[Profit]],16,0)=0,"-",VLOOKUP(B482,Baza[[№]:[Profit]],16,0)),"")</f>
        <v/>
      </c>
      <c r="S482" s="43" t="str">
        <f>IFERROR(IF(VLOOKUP(B482,Baza[[№]:[Profit]],17,0)=0,"-",VLOOKUP(B482,Baza[[№]:[Profit]],17,0)),"")</f>
        <v/>
      </c>
      <c r="T482" s="43" t="str">
        <f>IFERROR(IF(VLOOKUP(B482,Baza[[№]:[Profit]],18,0)=0,"-",VLOOKUP(B482,Baza[[№]:[Profit]],18,0)),"")</f>
        <v/>
      </c>
      <c r="U482" s="41" t="str">
        <f>IFERROR(IF(VLOOKUP(B482,Baza[[№]:[Profit]],19,0)=0,"-",VLOOKUP(B482,Baza[[№]:[Profit]],19,0)),"")</f>
        <v/>
      </c>
      <c r="V482" s="41" t="str">
        <f>IFERROR(VLOOKUP(B482,Baza[[№]:[Profit]],20,0),"")</f>
        <v/>
      </c>
      <c r="W482" s="41" t="str">
        <f>IFERROR(IF(VLOOKUP(B482,Baza[[№]:[Profit]],21,0)=0,"-",VLOOKUP(B482,Baza[[№]:[Profit]],21,0)),"")</f>
        <v/>
      </c>
      <c r="X482" s="45" t="str">
        <f>IFERROR(IF(VLOOKUP(B482,Baza[[№]:[Profit]],22,0)=0,"-",VLOOKUP(B482,Baza[[№]:[Profit]],22,0)),"")</f>
        <v/>
      </c>
      <c r="Y482" s="45" t="str">
        <f>IFERROR(VLOOKUP(B482,Baza[[№]:[Profit]],23,0),"")</f>
        <v/>
      </c>
      <c r="Z482" s="44" t="str">
        <f>IFERROR(VLOOKUP(B482,Baza[[№]:[AFS]],24,0),"")</f>
        <v/>
      </c>
      <c r="AA482" s="45" t="str">
        <f>IF(Таблица2[[#This Row],[Profit]]="","#Н/Д",SUM($Y$40:Y482))</f>
        <v>#Н/Д</v>
      </c>
      <c r="AB482" s="45" t="b">
        <f>IF(Таблица2[[#This Row],[Grafik]]="#Н/Д",FALSE,TRUE)</f>
        <v>0</v>
      </c>
    </row>
    <row r="483" spans="2:28" ht="11.1" hidden="1" customHeight="1" x14ac:dyDescent="0.25">
      <c r="B483"/>
      <c r="C483" s="41" t="str">
        <f>IFERROR(VLOOKUP(B483,Baza[[№]:[Profit]],2,0),"")</f>
        <v/>
      </c>
      <c r="D48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8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83" s="43" t="str">
        <f>IFERROR(VLOOKUP(B483,Baza[[№]:[Profit]],3,0),"")</f>
        <v/>
      </c>
      <c r="G483" s="43" t="str">
        <f>IFERROR(VLOOKUP(B483,Baza[[№]:[Profit]],4,0),"")</f>
        <v/>
      </c>
      <c r="H483" s="43" t="str">
        <f>IFERROR(VLOOKUP(B483,Baza[[№]:[Profit]],5,0),"")</f>
        <v/>
      </c>
      <c r="I483" s="46" t="str">
        <f>IFERROR(VLOOKUP(B483,Baza[[№]:[Profit]],6,0),"")</f>
        <v/>
      </c>
      <c r="J483" s="49" t="str">
        <f>IFERROR(VLOOKUP(B483,Baza[[№]:[Profit]],7,0),"")</f>
        <v/>
      </c>
      <c r="K483" s="43" t="str">
        <f>IFERROR(VLOOKUP(B483,Baza[[№]:[Profit]],8,0),"")</f>
        <v/>
      </c>
      <c r="L483" s="43" t="str">
        <f>IFERROR(VLOOKUP(B483,Baza[[№]:[Profit]],9,0),"")</f>
        <v/>
      </c>
      <c r="M483" s="43" t="str">
        <f>IFERROR(VLOOKUP(B483,Baza[[№]:[Profit]],10,0),"")</f>
        <v/>
      </c>
      <c r="N483" s="43" t="str">
        <f>IFERROR(IF(VLOOKUP(B483,Baza[[№]:[Profit]],11,0)=0,"-",VLOOKUP(B483,Baza[[№]:[Profit]],11,0)),"")</f>
        <v/>
      </c>
      <c r="O483" s="43" t="str">
        <f>IFERROR(IF(VLOOKUP(B483,Baza[[№]:[Profit]],12,0)=0,"-",VLOOKUP(B483,Baza[[№]:[Profit]],12,0)),"")</f>
        <v/>
      </c>
      <c r="P483" s="43" t="str">
        <f>IFERROR(IF(VLOOKUP(B483,Baza[[№]:[Profit]],13,0)=0,"-",VLOOKUP(B483,Baza[[№]:[Profit]],13,0)),"")</f>
        <v/>
      </c>
      <c r="Q483" s="43" t="str">
        <f>IFERROR(IF(VLOOKUP(B483,Baza[[№]:[Profit]],15,0)=0,"-",VLOOKUP(B483,Baza[[№]:[Profit]],15,0)),"")</f>
        <v/>
      </c>
      <c r="R483" s="43" t="str">
        <f>IFERROR(IF(VLOOKUP(B483,Baza[[№]:[Profit]],16,0)=0,"-",VLOOKUP(B483,Baza[[№]:[Profit]],16,0)),"")</f>
        <v/>
      </c>
      <c r="S483" s="43" t="str">
        <f>IFERROR(IF(VLOOKUP(B483,Baza[[№]:[Profit]],17,0)=0,"-",VLOOKUP(B483,Baza[[№]:[Profit]],17,0)),"")</f>
        <v/>
      </c>
      <c r="T483" s="43" t="str">
        <f>IFERROR(IF(VLOOKUP(B483,Baza[[№]:[Profit]],18,0)=0,"-",VLOOKUP(B483,Baza[[№]:[Profit]],18,0)),"")</f>
        <v/>
      </c>
      <c r="U483" s="41" t="str">
        <f>IFERROR(IF(VLOOKUP(B483,Baza[[№]:[Profit]],19,0)=0,"-",VLOOKUP(B483,Baza[[№]:[Profit]],19,0)),"")</f>
        <v/>
      </c>
      <c r="V483" s="41" t="str">
        <f>IFERROR(VLOOKUP(B483,Baza[[№]:[Profit]],20,0),"")</f>
        <v/>
      </c>
      <c r="W483" s="41" t="str">
        <f>IFERROR(IF(VLOOKUP(B483,Baza[[№]:[Profit]],21,0)=0,"-",VLOOKUP(B483,Baza[[№]:[Profit]],21,0)),"")</f>
        <v/>
      </c>
      <c r="X483" s="45" t="str">
        <f>IFERROR(IF(VLOOKUP(B483,Baza[[№]:[Profit]],22,0)=0,"-",VLOOKUP(B483,Baza[[№]:[Profit]],22,0)),"")</f>
        <v/>
      </c>
      <c r="Y483" s="45" t="str">
        <f>IFERROR(VLOOKUP(B483,Baza[[№]:[Profit]],23,0),"")</f>
        <v/>
      </c>
      <c r="Z483" s="44" t="str">
        <f>IFERROR(VLOOKUP(B483,Baza[[№]:[AFS]],24,0),"")</f>
        <v/>
      </c>
      <c r="AA483" s="45" t="str">
        <f>IF(Таблица2[[#This Row],[Profit]]="","#Н/Д",SUM($Y$40:Y483))</f>
        <v>#Н/Д</v>
      </c>
      <c r="AB483" s="45" t="b">
        <f>IF(Таблица2[[#This Row],[Grafik]]="#Н/Д",FALSE,TRUE)</f>
        <v>0</v>
      </c>
    </row>
    <row r="484" spans="2:28" ht="11.1" hidden="1" customHeight="1" x14ac:dyDescent="0.25">
      <c r="B484"/>
      <c r="C484" s="41" t="str">
        <f>IFERROR(VLOOKUP(B484,Baza[[№]:[Profit]],2,0),"")</f>
        <v/>
      </c>
      <c r="D48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8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84" s="43" t="str">
        <f>IFERROR(VLOOKUP(B484,Baza[[№]:[Profit]],3,0),"")</f>
        <v/>
      </c>
      <c r="G484" s="43" t="str">
        <f>IFERROR(VLOOKUP(B484,Baza[[№]:[Profit]],4,0),"")</f>
        <v/>
      </c>
      <c r="H484" s="43" t="str">
        <f>IFERROR(VLOOKUP(B484,Baza[[№]:[Profit]],5,0),"")</f>
        <v/>
      </c>
      <c r="I484" s="46" t="str">
        <f>IFERROR(VLOOKUP(B484,Baza[[№]:[Profit]],6,0),"")</f>
        <v/>
      </c>
      <c r="J484" s="49" t="str">
        <f>IFERROR(VLOOKUP(B484,Baza[[№]:[Profit]],7,0),"")</f>
        <v/>
      </c>
      <c r="K484" s="43" t="str">
        <f>IFERROR(VLOOKUP(B484,Baza[[№]:[Profit]],8,0),"")</f>
        <v/>
      </c>
      <c r="L484" s="43" t="str">
        <f>IFERROR(VLOOKUP(B484,Baza[[№]:[Profit]],9,0),"")</f>
        <v/>
      </c>
      <c r="M484" s="43" t="str">
        <f>IFERROR(VLOOKUP(B484,Baza[[№]:[Profit]],10,0),"")</f>
        <v/>
      </c>
      <c r="N484" s="43" t="str">
        <f>IFERROR(IF(VLOOKUP(B484,Baza[[№]:[Profit]],11,0)=0,"-",VLOOKUP(B484,Baza[[№]:[Profit]],11,0)),"")</f>
        <v/>
      </c>
      <c r="O484" s="43" t="str">
        <f>IFERROR(IF(VLOOKUP(B484,Baza[[№]:[Profit]],12,0)=0,"-",VLOOKUP(B484,Baza[[№]:[Profit]],12,0)),"")</f>
        <v/>
      </c>
      <c r="P484" s="43" t="str">
        <f>IFERROR(IF(VLOOKUP(B484,Baza[[№]:[Profit]],13,0)=0,"-",VLOOKUP(B484,Baza[[№]:[Profit]],13,0)),"")</f>
        <v/>
      </c>
      <c r="Q484" s="43" t="str">
        <f>IFERROR(IF(VLOOKUP(B484,Baza[[№]:[Profit]],15,0)=0,"-",VLOOKUP(B484,Baza[[№]:[Profit]],15,0)),"")</f>
        <v/>
      </c>
      <c r="R484" s="43" t="str">
        <f>IFERROR(IF(VLOOKUP(B484,Baza[[№]:[Profit]],16,0)=0,"-",VLOOKUP(B484,Baza[[№]:[Profit]],16,0)),"")</f>
        <v/>
      </c>
      <c r="S484" s="43" t="str">
        <f>IFERROR(IF(VLOOKUP(B484,Baza[[№]:[Profit]],17,0)=0,"-",VLOOKUP(B484,Baza[[№]:[Profit]],17,0)),"")</f>
        <v/>
      </c>
      <c r="T484" s="43" t="str">
        <f>IFERROR(IF(VLOOKUP(B484,Baza[[№]:[Profit]],18,0)=0,"-",VLOOKUP(B484,Baza[[№]:[Profit]],18,0)),"")</f>
        <v/>
      </c>
      <c r="U484" s="41" t="str">
        <f>IFERROR(IF(VLOOKUP(B484,Baza[[№]:[Profit]],19,0)=0,"-",VLOOKUP(B484,Baza[[№]:[Profit]],19,0)),"")</f>
        <v/>
      </c>
      <c r="V484" s="41" t="str">
        <f>IFERROR(VLOOKUP(B484,Baza[[№]:[Profit]],20,0),"")</f>
        <v/>
      </c>
      <c r="W484" s="41" t="str">
        <f>IFERROR(IF(VLOOKUP(B484,Baza[[№]:[Profit]],21,0)=0,"-",VLOOKUP(B484,Baza[[№]:[Profit]],21,0)),"")</f>
        <v/>
      </c>
      <c r="X484" s="45" t="str">
        <f>IFERROR(IF(VLOOKUP(B484,Baza[[№]:[Profit]],22,0)=0,"-",VLOOKUP(B484,Baza[[№]:[Profit]],22,0)),"")</f>
        <v/>
      </c>
      <c r="Y484" s="45" t="str">
        <f>IFERROR(VLOOKUP(B484,Baza[[№]:[Profit]],23,0),"")</f>
        <v/>
      </c>
      <c r="Z484" s="44" t="str">
        <f>IFERROR(VLOOKUP(B484,Baza[[№]:[AFS]],24,0),"")</f>
        <v/>
      </c>
      <c r="AA484" s="45" t="str">
        <f>IF(Таблица2[[#This Row],[Profit]]="","#Н/Д",SUM($Y$40:Y484))</f>
        <v>#Н/Д</v>
      </c>
      <c r="AB484" s="45" t="b">
        <f>IF(Таблица2[[#This Row],[Grafik]]="#Н/Д",FALSE,TRUE)</f>
        <v>0</v>
      </c>
    </row>
    <row r="485" spans="2:28" ht="11.1" hidden="1" customHeight="1" x14ac:dyDescent="0.25">
      <c r="B485"/>
      <c r="C485" s="41" t="str">
        <f>IFERROR(VLOOKUP(B485,Baza[[№]:[Profit]],2,0),"")</f>
        <v/>
      </c>
      <c r="D48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8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85" s="43" t="str">
        <f>IFERROR(VLOOKUP(B485,Baza[[№]:[Profit]],3,0),"")</f>
        <v/>
      </c>
      <c r="G485" s="43" t="str">
        <f>IFERROR(VLOOKUP(B485,Baza[[№]:[Profit]],4,0),"")</f>
        <v/>
      </c>
      <c r="H485" s="43" t="str">
        <f>IFERROR(VLOOKUP(B485,Baza[[№]:[Profit]],5,0),"")</f>
        <v/>
      </c>
      <c r="I485" s="46" t="str">
        <f>IFERROR(VLOOKUP(B485,Baza[[№]:[Profit]],6,0),"")</f>
        <v/>
      </c>
      <c r="J485" s="49" t="str">
        <f>IFERROR(VLOOKUP(B485,Baza[[№]:[Profit]],7,0),"")</f>
        <v/>
      </c>
      <c r="K485" s="43" t="str">
        <f>IFERROR(VLOOKUP(B485,Baza[[№]:[Profit]],8,0),"")</f>
        <v/>
      </c>
      <c r="L485" s="43" t="str">
        <f>IFERROR(VLOOKUP(B485,Baza[[№]:[Profit]],9,0),"")</f>
        <v/>
      </c>
      <c r="M485" s="43" t="str">
        <f>IFERROR(VLOOKUP(B485,Baza[[№]:[Profit]],10,0),"")</f>
        <v/>
      </c>
      <c r="N485" s="43" t="str">
        <f>IFERROR(IF(VLOOKUP(B485,Baza[[№]:[Profit]],11,0)=0,"-",VLOOKUP(B485,Baza[[№]:[Profit]],11,0)),"")</f>
        <v/>
      </c>
      <c r="O485" s="43" t="str">
        <f>IFERROR(IF(VLOOKUP(B485,Baza[[№]:[Profit]],12,0)=0,"-",VLOOKUP(B485,Baza[[№]:[Profit]],12,0)),"")</f>
        <v/>
      </c>
      <c r="P485" s="43" t="str">
        <f>IFERROR(IF(VLOOKUP(B485,Baza[[№]:[Profit]],13,0)=0,"-",VLOOKUP(B485,Baza[[№]:[Profit]],13,0)),"")</f>
        <v/>
      </c>
      <c r="Q485" s="43" t="str">
        <f>IFERROR(IF(VLOOKUP(B485,Baza[[№]:[Profit]],15,0)=0,"-",VLOOKUP(B485,Baza[[№]:[Profit]],15,0)),"")</f>
        <v/>
      </c>
      <c r="R485" s="43" t="str">
        <f>IFERROR(IF(VLOOKUP(B485,Baza[[№]:[Profit]],16,0)=0,"-",VLOOKUP(B485,Baza[[№]:[Profit]],16,0)),"")</f>
        <v/>
      </c>
      <c r="S485" s="43" t="str">
        <f>IFERROR(IF(VLOOKUP(B485,Baza[[№]:[Profit]],17,0)=0,"-",VLOOKUP(B485,Baza[[№]:[Profit]],17,0)),"")</f>
        <v/>
      </c>
      <c r="T485" s="43" t="str">
        <f>IFERROR(IF(VLOOKUP(B485,Baza[[№]:[Profit]],18,0)=0,"-",VLOOKUP(B485,Baza[[№]:[Profit]],18,0)),"")</f>
        <v/>
      </c>
      <c r="U485" s="41" t="str">
        <f>IFERROR(IF(VLOOKUP(B485,Baza[[№]:[Profit]],19,0)=0,"-",VLOOKUP(B485,Baza[[№]:[Profit]],19,0)),"")</f>
        <v/>
      </c>
      <c r="V485" s="41" t="str">
        <f>IFERROR(VLOOKUP(B485,Baza[[№]:[Profit]],20,0),"")</f>
        <v/>
      </c>
      <c r="W485" s="41" t="str">
        <f>IFERROR(IF(VLOOKUP(B485,Baza[[№]:[Profit]],21,0)=0,"-",VLOOKUP(B485,Baza[[№]:[Profit]],21,0)),"")</f>
        <v/>
      </c>
      <c r="X485" s="45" t="str">
        <f>IFERROR(IF(VLOOKUP(B485,Baza[[№]:[Profit]],22,0)=0,"-",VLOOKUP(B485,Baza[[№]:[Profit]],22,0)),"")</f>
        <v/>
      </c>
      <c r="Y485" s="45" t="str">
        <f>IFERROR(VLOOKUP(B485,Baza[[№]:[Profit]],23,0),"")</f>
        <v/>
      </c>
      <c r="Z485" s="44" t="str">
        <f>IFERROR(VLOOKUP(B485,Baza[[№]:[AFS]],24,0),"")</f>
        <v/>
      </c>
      <c r="AA485" s="45" t="str">
        <f>IF(Таблица2[[#This Row],[Profit]]="","#Н/Д",SUM($Y$40:Y485))</f>
        <v>#Н/Д</v>
      </c>
      <c r="AB485" s="45" t="b">
        <f>IF(Таблица2[[#This Row],[Grafik]]="#Н/Д",FALSE,TRUE)</f>
        <v>0</v>
      </c>
    </row>
    <row r="486" spans="2:28" ht="11.1" hidden="1" customHeight="1" x14ac:dyDescent="0.25">
      <c r="B486"/>
      <c r="C486" s="41" t="str">
        <f>IFERROR(VLOOKUP(B486,Baza[[№]:[Profit]],2,0),"")</f>
        <v/>
      </c>
      <c r="D48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8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86" s="43" t="str">
        <f>IFERROR(VLOOKUP(B486,Baza[[№]:[Profit]],3,0),"")</f>
        <v/>
      </c>
      <c r="G486" s="43" t="str">
        <f>IFERROR(VLOOKUP(B486,Baza[[№]:[Profit]],4,0),"")</f>
        <v/>
      </c>
      <c r="H486" s="43" t="str">
        <f>IFERROR(VLOOKUP(B486,Baza[[№]:[Profit]],5,0),"")</f>
        <v/>
      </c>
      <c r="I486" s="46" t="str">
        <f>IFERROR(VLOOKUP(B486,Baza[[№]:[Profit]],6,0),"")</f>
        <v/>
      </c>
      <c r="J486" s="49" t="str">
        <f>IFERROR(VLOOKUP(B486,Baza[[№]:[Profit]],7,0),"")</f>
        <v/>
      </c>
      <c r="K486" s="43" t="str">
        <f>IFERROR(VLOOKUP(B486,Baza[[№]:[Profit]],8,0),"")</f>
        <v/>
      </c>
      <c r="L486" s="43" t="str">
        <f>IFERROR(VLOOKUP(B486,Baza[[№]:[Profit]],9,0),"")</f>
        <v/>
      </c>
      <c r="M486" s="43" t="str">
        <f>IFERROR(VLOOKUP(B486,Baza[[№]:[Profit]],10,0),"")</f>
        <v/>
      </c>
      <c r="N486" s="43" t="str">
        <f>IFERROR(IF(VLOOKUP(B486,Baza[[№]:[Profit]],11,0)=0,"-",VLOOKUP(B486,Baza[[№]:[Profit]],11,0)),"")</f>
        <v/>
      </c>
      <c r="O486" s="43" t="str">
        <f>IFERROR(IF(VLOOKUP(B486,Baza[[№]:[Profit]],12,0)=0,"-",VLOOKUP(B486,Baza[[№]:[Profit]],12,0)),"")</f>
        <v/>
      </c>
      <c r="P486" s="43" t="str">
        <f>IFERROR(IF(VLOOKUP(B486,Baza[[№]:[Profit]],13,0)=0,"-",VLOOKUP(B486,Baza[[№]:[Profit]],13,0)),"")</f>
        <v/>
      </c>
      <c r="Q486" s="43" t="str">
        <f>IFERROR(IF(VLOOKUP(B486,Baza[[№]:[Profit]],15,0)=0,"-",VLOOKUP(B486,Baza[[№]:[Profit]],15,0)),"")</f>
        <v/>
      </c>
      <c r="R486" s="43" t="str">
        <f>IFERROR(IF(VLOOKUP(B486,Baza[[№]:[Profit]],16,0)=0,"-",VLOOKUP(B486,Baza[[№]:[Profit]],16,0)),"")</f>
        <v/>
      </c>
      <c r="S486" s="43" t="str">
        <f>IFERROR(IF(VLOOKUP(B486,Baza[[№]:[Profit]],17,0)=0,"-",VLOOKUP(B486,Baza[[№]:[Profit]],17,0)),"")</f>
        <v/>
      </c>
      <c r="T486" s="43" t="str">
        <f>IFERROR(IF(VLOOKUP(B486,Baza[[№]:[Profit]],18,0)=0,"-",VLOOKUP(B486,Baza[[№]:[Profit]],18,0)),"")</f>
        <v/>
      </c>
      <c r="U486" s="41" t="str">
        <f>IFERROR(IF(VLOOKUP(B486,Baza[[№]:[Profit]],19,0)=0,"-",VLOOKUP(B486,Baza[[№]:[Profit]],19,0)),"")</f>
        <v/>
      </c>
      <c r="V486" s="41" t="str">
        <f>IFERROR(VLOOKUP(B486,Baza[[№]:[Profit]],20,0),"")</f>
        <v/>
      </c>
      <c r="W486" s="41" t="str">
        <f>IFERROR(IF(VLOOKUP(B486,Baza[[№]:[Profit]],21,0)=0,"-",VLOOKUP(B486,Baza[[№]:[Profit]],21,0)),"")</f>
        <v/>
      </c>
      <c r="X486" s="45" t="str">
        <f>IFERROR(IF(VLOOKUP(B486,Baza[[№]:[Profit]],22,0)=0,"-",VLOOKUP(B486,Baza[[№]:[Profit]],22,0)),"")</f>
        <v/>
      </c>
      <c r="Y486" s="45" t="str">
        <f>IFERROR(VLOOKUP(B486,Baza[[№]:[Profit]],23,0),"")</f>
        <v/>
      </c>
      <c r="Z486" s="44" t="str">
        <f>IFERROR(VLOOKUP(B486,Baza[[№]:[AFS]],24,0),"")</f>
        <v/>
      </c>
      <c r="AA486" s="45" t="str">
        <f>IF(Таблица2[[#This Row],[Profit]]="","#Н/Д",SUM($Y$40:Y486))</f>
        <v>#Н/Д</v>
      </c>
      <c r="AB486" s="45" t="b">
        <f>IF(Таблица2[[#This Row],[Grafik]]="#Н/Д",FALSE,TRUE)</f>
        <v>0</v>
      </c>
    </row>
    <row r="487" spans="2:28" ht="11.1" hidden="1" customHeight="1" x14ac:dyDescent="0.25">
      <c r="B487"/>
      <c r="C487" s="41" t="str">
        <f>IFERROR(VLOOKUP(B487,Baza[[№]:[Profit]],2,0),"")</f>
        <v/>
      </c>
      <c r="D48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8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87" s="43" t="str">
        <f>IFERROR(VLOOKUP(B487,Baza[[№]:[Profit]],3,0),"")</f>
        <v/>
      </c>
      <c r="G487" s="43" t="str">
        <f>IFERROR(VLOOKUP(B487,Baza[[№]:[Profit]],4,0),"")</f>
        <v/>
      </c>
      <c r="H487" s="43" t="str">
        <f>IFERROR(VLOOKUP(B487,Baza[[№]:[Profit]],5,0),"")</f>
        <v/>
      </c>
      <c r="I487" s="46" t="str">
        <f>IFERROR(VLOOKUP(B487,Baza[[№]:[Profit]],6,0),"")</f>
        <v/>
      </c>
      <c r="J487" s="49" t="str">
        <f>IFERROR(VLOOKUP(B487,Baza[[№]:[Profit]],7,0),"")</f>
        <v/>
      </c>
      <c r="K487" s="43" t="str">
        <f>IFERROR(VLOOKUP(B487,Baza[[№]:[Profit]],8,0),"")</f>
        <v/>
      </c>
      <c r="L487" s="43" t="str">
        <f>IFERROR(VLOOKUP(B487,Baza[[№]:[Profit]],9,0),"")</f>
        <v/>
      </c>
      <c r="M487" s="43" t="str">
        <f>IFERROR(VLOOKUP(B487,Baza[[№]:[Profit]],10,0),"")</f>
        <v/>
      </c>
      <c r="N487" s="43" t="str">
        <f>IFERROR(IF(VLOOKUP(B487,Baza[[№]:[Profit]],11,0)=0,"-",VLOOKUP(B487,Baza[[№]:[Profit]],11,0)),"")</f>
        <v/>
      </c>
      <c r="O487" s="43" t="str">
        <f>IFERROR(IF(VLOOKUP(B487,Baza[[№]:[Profit]],12,0)=0,"-",VLOOKUP(B487,Baza[[№]:[Profit]],12,0)),"")</f>
        <v/>
      </c>
      <c r="P487" s="43" t="str">
        <f>IFERROR(IF(VLOOKUP(B487,Baza[[№]:[Profit]],13,0)=0,"-",VLOOKUP(B487,Baza[[№]:[Profit]],13,0)),"")</f>
        <v/>
      </c>
      <c r="Q487" s="43" t="str">
        <f>IFERROR(IF(VLOOKUP(B487,Baza[[№]:[Profit]],15,0)=0,"-",VLOOKUP(B487,Baza[[№]:[Profit]],15,0)),"")</f>
        <v/>
      </c>
      <c r="R487" s="43" t="str">
        <f>IFERROR(IF(VLOOKUP(B487,Baza[[№]:[Profit]],16,0)=0,"-",VLOOKUP(B487,Baza[[№]:[Profit]],16,0)),"")</f>
        <v/>
      </c>
      <c r="S487" s="43" t="str">
        <f>IFERROR(IF(VLOOKUP(B487,Baza[[№]:[Profit]],17,0)=0,"-",VLOOKUP(B487,Baza[[№]:[Profit]],17,0)),"")</f>
        <v/>
      </c>
      <c r="T487" s="43" t="str">
        <f>IFERROR(IF(VLOOKUP(B487,Baza[[№]:[Profit]],18,0)=0,"-",VLOOKUP(B487,Baza[[№]:[Profit]],18,0)),"")</f>
        <v/>
      </c>
      <c r="U487" s="41" t="str">
        <f>IFERROR(IF(VLOOKUP(B487,Baza[[№]:[Profit]],19,0)=0,"-",VLOOKUP(B487,Baza[[№]:[Profit]],19,0)),"")</f>
        <v/>
      </c>
      <c r="V487" s="41" t="str">
        <f>IFERROR(VLOOKUP(B487,Baza[[№]:[Profit]],20,0),"")</f>
        <v/>
      </c>
      <c r="W487" s="41" t="str">
        <f>IFERROR(IF(VLOOKUP(B487,Baza[[№]:[Profit]],21,0)=0,"-",VLOOKUP(B487,Baza[[№]:[Profit]],21,0)),"")</f>
        <v/>
      </c>
      <c r="X487" s="45" t="str">
        <f>IFERROR(IF(VLOOKUP(B487,Baza[[№]:[Profit]],22,0)=0,"-",VLOOKUP(B487,Baza[[№]:[Profit]],22,0)),"")</f>
        <v/>
      </c>
      <c r="Y487" s="45" t="str">
        <f>IFERROR(VLOOKUP(B487,Baza[[№]:[Profit]],23,0),"")</f>
        <v/>
      </c>
      <c r="Z487" s="44" t="str">
        <f>IFERROR(VLOOKUP(B487,Baza[[№]:[AFS]],24,0),"")</f>
        <v/>
      </c>
      <c r="AA487" s="45" t="str">
        <f>IF(Таблица2[[#This Row],[Profit]]="","#Н/Д",SUM($Y$40:Y487))</f>
        <v>#Н/Д</v>
      </c>
      <c r="AB487" s="45" t="b">
        <f>IF(Таблица2[[#This Row],[Grafik]]="#Н/Д",FALSE,TRUE)</f>
        <v>0</v>
      </c>
    </row>
    <row r="488" spans="2:28" ht="11.1" hidden="1" customHeight="1" x14ac:dyDescent="0.25">
      <c r="B488"/>
      <c r="C488" s="41" t="str">
        <f>IFERROR(VLOOKUP(B488,Baza[[№]:[Profit]],2,0),"")</f>
        <v/>
      </c>
      <c r="D48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8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88" s="43" t="str">
        <f>IFERROR(VLOOKUP(B488,Baza[[№]:[Profit]],3,0),"")</f>
        <v/>
      </c>
      <c r="G488" s="43" t="str">
        <f>IFERROR(VLOOKUP(B488,Baza[[№]:[Profit]],4,0),"")</f>
        <v/>
      </c>
      <c r="H488" s="43" t="str">
        <f>IFERROR(VLOOKUP(B488,Baza[[№]:[Profit]],5,0),"")</f>
        <v/>
      </c>
      <c r="I488" s="46" t="str">
        <f>IFERROR(VLOOKUP(B488,Baza[[№]:[Profit]],6,0),"")</f>
        <v/>
      </c>
      <c r="J488" s="49" t="str">
        <f>IFERROR(VLOOKUP(B488,Baza[[№]:[Profit]],7,0),"")</f>
        <v/>
      </c>
      <c r="K488" s="43" t="str">
        <f>IFERROR(VLOOKUP(B488,Baza[[№]:[Profit]],8,0),"")</f>
        <v/>
      </c>
      <c r="L488" s="43" t="str">
        <f>IFERROR(VLOOKUP(B488,Baza[[№]:[Profit]],9,0),"")</f>
        <v/>
      </c>
      <c r="M488" s="43" t="str">
        <f>IFERROR(VLOOKUP(B488,Baza[[№]:[Profit]],10,0),"")</f>
        <v/>
      </c>
      <c r="N488" s="43" t="str">
        <f>IFERROR(IF(VLOOKUP(B488,Baza[[№]:[Profit]],11,0)=0,"-",VLOOKUP(B488,Baza[[№]:[Profit]],11,0)),"")</f>
        <v/>
      </c>
      <c r="O488" s="43" t="str">
        <f>IFERROR(IF(VLOOKUP(B488,Baza[[№]:[Profit]],12,0)=0,"-",VLOOKUP(B488,Baza[[№]:[Profit]],12,0)),"")</f>
        <v/>
      </c>
      <c r="P488" s="43" t="str">
        <f>IFERROR(IF(VLOOKUP(B488,Baza[[№]:[Profit]],13,0)=0,"-",VLOOKUP(B488,Baza[[№]:[Profit]],13,0)),"")</f>
        <v/>
      </c>
      <c r="Q488" s="43" t="str">
        <f>IFERROR(IF(VLOOKUP(B488,Baza[[№]:[Profit]],15,0)=0,"-",VLOOKUP(B488,Baza[[№]:[Profit]],15,0)),"")</f>
        <v/>
      </c>
      <c r="R488" s="43" t="str">
        <f>IFERROR(IF(VLOOKUP(B488,Baza[[№]:[Profit]],16,0)=0,"-",VLOOKUP(B488,Baza[[№]:[Profit]],16,0)),"")</f>
        <v/>
      </c>
      <c r="S488" s="43" t="str">
        <f>IFERROR(IF(VLOOKUP(B488,Baza[[№]:[Profit]],17,0)=0,"-",VLOOKUP(B488,Baza[[№]:[Profit]],17,0)),"")</f>
        <v/>
      </c>
      <c r="T488" s="43" t="str">
        <f>IFERROR(IF(VLOOKUP(B488,Baza[[№]:[Profit]],18,0)=0,"-",VLOOKUP(B488,Baza[[№]:[Profit]],18,0)),"")</f>
        <v/>
      </c>
      <c r="U488" s="41" t="str">
        <f>IFERROR(IF(VLOOKUP(B488,Baza[[№]:[Profit]],19,0)=0,"-",VLOOKUP(B488,Baza[[№]:[Profit]],19,0)),"")</f>
        <v/>
      </c>
      <c r="V488" s="41" t="str">
        <f>IFERROR(VLOOKUP(B488,Baza[[№]:[Profit]],20,0),"")</f>
        <v/>
      </c>
      <c r="W488" s="41" t="str">
        <f>IFERROR(IF(VLOOKUP(B488,Baza[[№]:[Profit]],21,0)=0,"-",VLOOKUP(B488,Baza[[№]:[Profit]],21,0)),"")</f>
        <v/>
      </c>
      <c r="X488" s="45" t="str">
        <f>IFERROR(IF(VLOOKUP(B488,Baza[[№]:[Profit]],22,0)=0,"-",VLOOKUP(B488,Baza[[№]:[Profit]],22,0)),"")</f>
        <v/>
      </c>
      <c r="Y488" s="45" t="str">
        <f>IFERROR(VLOOKUP(B488,Baza[[№]:[Profit]],23,0),"")</f>
        <v/>
      </c>
      <c r="Z488" s="44" t="str">
        <f>IFERROR(VLOOKUP(B488,Baza[[№]:[AFS]],24,0),"")</f>
        <v/>
      </c>
      <c r="AA488" s="45" t="str">
        <f>IF(Таблица2[[#This Row],[Profit]]="","#Н/Д",SUM($Y$40:Y488))</f>
        <v>#Н/Д</v>
      </c>
      <c r="AB488" s="45" t="b">
        <f>IF(Таблица2[[#This Row],[Grafik]]="#Н/Д",FALSE,TRUE)</f>
        <v>0</v>
      </c>
    </row>
    <row r="489" spans="2:28" ht="11.1" hidden="1" customHeight="1" x14ac:dyDescent="0.25">
      <c r="B489"/>
      <c r="C489" s="41" t="str">
        <f>IFERROR(VLOOKUP(B489,Baza[[№]:[Profit]],2,0),"")</f>
        <v/>
      </c>
      <c r="D48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8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89" s="43" t="str">
        <f>IFERROR(VLOOKUP(B489,Baza[[№]:[Profit]],3,0),"")</f>
        <v/>
      </c>
      <c r="G489" s="43" t="str">
        <f>IFERROR(VLOOKUP(B489,Baza[[№]:[Profit]],4,0),"")</f>
        <v/>
      </c>
      <c r="H489" s="43" t="str">
        <f>IFERROR(VLOOKUP(B489,Baza[[№]:[Profit]],5,0),"")</f>
        <v/>
      </c>
      <c r="I489" s="46" t="str">
        <f>IFERROR(VLOOKUP(B489,Baza[[№]:[Profit]],6,0),"")</f>
        <v/>
      </c>
      <c r="J489" s="49" t="str">
        <f>IFERROR(VLOOKUP(B489,Baza[[№]:[Profit]],7,0),"")</f>
        <v/>
      </c>
      <c r="K489" s="43" t="str">
        <f>IFERROR(VLOOKUP(B489,Baza[[№]:[Profit]],8,0),"")</f>
        <v/>
      </c>
      <c r="L489" s="43" t="str">
        <f>IFERROR(VLOOKUP(B489,Baza[[№]:[Profit]],9,0),"")</f>
        <v/>
      </c>
      <c r="M489" s="43" t="str">
        <f>IFERROR(VLOOKUP(B489,Baza[[№]:[Profit]],10,0),"")</f>
        <v/>
      </c>
      <c r="N489" s="43" t="str">
        <f>IFERROR(IF(VLOOKUP(B489,Baza[[№]:[Profit]],11,0)=0,"-",VLOOKUP(B489,Baza[[№]:[Profit]],11,0)),"")</f>
        <v/>
      </c>
      <c r="O489" s="43" t="str">
        <f>IFERROR(IF(VLOOKUP(B489,Baza[[№]:[Profit]],12,0)=0,"-",VLOOKUP(B489,Baza[[№]:[Profit]],12,0)),"")</f>
        <v/>
      </c>
      <c r="P489" s="43" t="str">
        <f>IFERROR(IF(VLOOKUP(B489,Baza[[№]:[Profit]],13,0)=0,"-",VLOOKUP(B489,Baza[[№]:[Profit]],13,0)),"")</f>
        <v/>
      </c>
      <c r="Q489" s="43" t="str">
        <f>IFERROR(IF(VLOOKUP(B489,Baza[[№]:[Profit]],15,0)=0,"-",VLOOKUP(B489,Baza[[№]:[Profit]],15,0)),"")</f>
        <v/>
      </c>
      <c r="R489" s="43" t="str">
        <f>IFERROR(IF(VLOOKUP(B489,Baza[[№]:[Profit]],16,0)=0,"-",VLOOKUP(B489,Baza[[№]:[Profit]],16,0)),"")</f>
        <v/>
      </c>
      <c r="S489" s="43" t="str">
        <f>IFERROR(IF(VLOOKUP(B489,Baza[[№]:[Profit]],17,0)=0,"-",VLOOKUP(B489,Baza[[№]:[Profit]],17,0)),"")</f>
        <v/>
      </c>
      <c r="T489" s="43" t="str">
        <f>IFERROR(IF(VLOOKUP(B489,Baza[[№]:[Profit]],18,0)=0,"-",VLOOKUP(B489,Baza[[№]:[Profit]],18,0)),"")</f>
        <v/>
      </c>
      <c r="U489" s="41" t="str">
        <f>IFERROR(IF(VLOOKUP(B489,Baza[[№]:[Profit]],19,0)=0,"-",VLOOKUP(B489,Baza[[№]:[Profit]],19,0)),"")</f>
        <v/>
      </c>
      <c r="V489" s="41" t="str">
        <f>IFERROR(VLOOKUP(B489,Baza[[№]:[Profit]],20,0),"")</f>
        <v/>
      </c>
      <c r="W489" s="41" t="str">
        <f>IFERROR(IF(VLOOKUP(B489,Baza[[№]:[Profit]],21,0)=0,"-",VLOOKUP(B489,Baza[[№]:[Profit]],21,0)),"")</f>
        <v/>
      </c>
      <c r="X489" s="45" t="str">
        <f>IFERROR(IF(VLOOKUP(B489,Baza[[№]:[Profit]],22,0)=0,"-",VLOOKUP(B489,Baza[[№]:[Profit]],22,0)),"")</f>
        <v/>
      </c>
      <c r="Y489" s="45" t="str">
        <f>IFERROR(VLOOKUP(B489,Baza[[№]:[Profit]],23,0),"")</f>
        <v/>
      </c>
      <c r="Z489" s="44" t="str">
        <f>IFERROR(VLOOKUP(B489,Baza[[№]:[AFS]],24,0),"")</f>
        <v/>
      </c>
      <c r="AA489" s="45" t="str">
        <f>IF(Таблица2[[#This Row],[Profit]]="","#Н/Д",SUM($Y$40:Y489))</f>
        <v>#Н/Д</v>
      </c>
      <c r="AB489" s="45" t="b">
        <f>IF(Таблица2[[#This Row],[Grafik]]="#Н/Д",FALSE,TRUE)</f>
        <v>0</v>
      </c>
    </row>
    <row r="490" spans="2:28" ht="11.1" hidden="1" customHeight="1" x14ac:dyDescent="0.25">
      <c r="B490"/>
      <c r="C490" s="41" t="str">
        <f>IFERROR(VLOOKUP(B490,Baza[[№]:[Profit]],2,0),"")</f>
        <v/>
      </c>
      <c r="D49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9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90" s="43" t="str">
        <f>IFERROR(VLOOKUP(B490,Baza[[№]:[Profit]],3,0),"")</f>
        <v/>
      </c>
      <c r="G490" s="43" t="str">
        <f>IFERROR(VLOOKUP(B490,Baza[[№]:[Profit]],4,0),"")</f>
        <v/>
      </c>
      <c r="H490" s="43" t="str">
        <f>IFERROR(VLOOKUP(B490,Baza[[№]:[Profit]],5,0),"")</f>
        <v/>
      </c>
      <c r="I490" s="46" t="str">
        <f>IFERROR(VLOOKUP(B490,Baza[[№]:[Profit]],6,0),"")</f>
        <v/>
      </c>
      <c r="J490" s="49" t="str">
        <f>IFERROR(VLOOKUP(B490,Baza[[№]:[Profit]],7,0),"")</f>
        <v/>
      </c>
      <c r="K490" s="43" t="str">
        <f>IFERROR(VLOOKUP(B490,Baza[[№]:[Profit]],8,0),"")</f>
        <v/>
      </c>
      <c r="L490" s="43" t="str">
        <f>IFERROR(VLOOKUP(B490,Baza[[№]:[Profit]],9,0),"")</f>
        <v/>
      </c>
      <c r="M490" s="43" t="str">
        <f>IFERROR(VLOOKUP(B490,Baza[[№]:[Profit]],10,0),"")</f>
        <v/>
      </c>
      <c r="N490" s="43" t="str">
        <f>IFERROR(IF(VLOOKUP(B490,Baza[[№]:[Profit]],11,0)=0,"-",VLOOKUP(B490,Baza[[№]:[Profit]],11,0)),"")</f>
        <v/>
      </c>
      <c r="O490" s="43" t="str">
        <f>IFERROR(IF(VLOOKUP(B490,Baza[[№]:[Profit]],12,0)=0,"-",VLOOKUP(B490,Baza[[№]:[Profit]],12,0)),"")</f>
        <v/>
      </c>
      <c r="P490" s="43" t="str">
        <f>IFERROR(IF(VLOOKUP(B490,Baza[[№]:[Profit]],13,0)=0,"-",VLOOKUP(B490,Baza[[№]:[Profit]],13,0)),"")</f>
        <v/>
      </c>
      <c r="Q490" s="43" t="str">
        <f>IFERROR(IF(VLOOKUP(B490,Baza[[№]:[Profit]],15,0)=0,"-",VLOOKUP(B490,Baza[[№]:[Profit]],15,0)),"")</f>
        <v/>
      </c>
      <c r="R490" s="43" t="str">
        <f>IFERROR(IF(VLOOKUP(B490,Baza[[№]:[Profit]],16,0)=0,"-",VLOOKUP(B490,Baza[[№]:[Profit]],16,0)),"")</f>
        <v/>
      </c>
      <c r="S490" s="43" t="str">
        <f>IFERROR(IF(VLOOKUP(B490,Baza[[№]:[Profit]],17,0)=0,"-",VLOOKUP(B490,Baza[[№]:[Profit]],17,0)),"")</f>
        <v/>
      </c>
      <c r="T490" s="43" t="str">
        <f>IFERROR(IF(VLOOKUP(B490,Baza[[№]:[Profit]],18,0)=0,"-",VLOOKUP(B490,Baza[[№]:[Profit]],18,0)),"")</f>
        <v/>
      </c>
      <c r="U490" s="41" t="str">
        <f>IFERROR(IF(VLOOKUP(B490,Baza[[№]:[Profit]],19,0)=0,"-",VLOOKUP(B490,Baza[[№]:[Profit]],19,0)),"")</f>
        <v/>
      </c>
      <c r="V490" s="41" t="str">
        <f>IFERROR(VLOOKUP(B490,Baza[[№]:[Profit]],20,0),"")</f>
        <v/>
      </c>
      <c r="W490" s="41" t="str">
        <f>IFERROR(IF(VLOOKUP(B490,Baza[[№]:[Profit]],21,0)=0,"-",VLOOKUP(B490,Baza[[№]:[Profit]],21,0)),"")</f>
        <v/>
      </c>
      <c r="X490" s="45" t="str">
        <f>IFERROR(IF(VLOOKUP(B490,Baza[[№]:[Profit]],22,0)=0,"-",VLOOKUP(B490,Baza[[№]:[Profit]],22,0)),"")</f>
        <v/>
      </c>
      <c r="Y490" s="45" t="str">
        <f>IFERROR(VLOOKUP(B490,Baza[[№]:[Profit]],23,0),"")</f>
        <v/>
      </c>
      <c r="Z490" s="44" t="str">
        <f>IFERROR(VLOOKUP(B490,Baza[[№]:[AFS]],24,0),"")</f>
        <v/>
      </c>
      <c r="AA490" s="45" t="str">
        <f>IF(Таблица2[[#This Row],[Profit]]="","#Н/Д",SUM($Y$40:Y490))</f>
        <v>#Н/Д</v>
      </c>
      <c r="AB490" s="45" t="b">
        <f>IF(Таблица2[[#This Row],[Grafik]]="#Н/Д",FALSE,TRUE)</f>
        <v>0</v>
      </c>
    </row>
    <row r="491" spans="2:28" ht="11.1" hidden="1" customHeight="1" x14ac:dyDescent="0.25">
      <c r="B491"/>
      <c r="C491" s="41" t="str">
        <f>IFERROR(VLOOKUP(B491,Baza[[№]:[Profit]],2,0),"")</f>
        <v/>
      </c>
      <c r="D49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9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91" s="43" t="str">
        <f>IFERROR(VLOOKUP(B491,Baza[[№]:[Profit]],3,0),"")</f>
        <v/>
      </c>
      <c r="G491" s="43" t="str">
        <f>IFERROR(VLOOKUP(B491,Baza[[№]:[Profit]],4,0),"")</f>
        <v/>
      </c>
      <c r="H491" s="43" t="str">
        <f>IFERROR(VLOOKUP(B491,Baza[[№]:[Profit]],5,0),"")</f>
        <v/>
      </c>
      <c r="I491" s="46" t="str">
        <f>IFERROR(VLOOKUP(B491,Baza[[№]:[Profit]],6,0),"")</f>
        <v/>
      </c>
      <c r="J491" s="49" t="str">
        <f>IFERROR(VLOOKUP(B491,Baza[[№]:[Profit]],7,0),"")</f>
        <v/>
      </c>
      <c r="K491" s="43" t="str">
        <f>IFERROR(VLOOKUP(B491,Baza[[№]:[Profit]],8,0),"")</f>
        <v/>
      </c>
      <c r="L491" s="43" t="str">
        <f>IFERROR(VLOOKUP(B491,Baza[[№]:[Profit]],9,0),"")</f>
        <v/>
      </c>
      <c r="M491" s="43" t="str">
        <f>IFERROR(VLOOKUP(B491,Baza[[№]:[Profit]],10,0),"")</f>
        <v/>
      </c>
      <c r="N491" s="43" t="str">
        <f>IFERROR(IF(VLOOKUP(B491,Baza[[№]:[Profit]],11,0)=0,"-",VLOOKUP(B491,Baza[[№]:[Profit]],11,0)),"")</f>
        <v/>
      </c>
      <c r="O491" s="43" t="str">
        <f>IFERROR(IF(VLOOKUP(B491,Baza[[№]:[Profit]],12,0)=0,"-",VLOOKUP(B491,Baza[[№]:[Profit]],12,0)),"")</f>
        <v/>
      </c>
      <c r="P491" s="43" t="str">
        <f>IFERROR(IF(VLOOKUP(B491,Baza[[№]:[Profit]],13,0)=0,"-",VLOOKUP(B491,Baza[[№]:[Profit]],13,0)),"")</f>
        <v/>
      </c>
      <c r="Q491" s="43" t="str">
        <f>IFERROR(IF(VLOOKUP(B491,Baza[[№]:[Profit]],15,0)=0,"-",VLOOKUP(B491,Baza[[№]:[Profit]],15,0)),"")</f>
        <v/>
      </c>
      <c r="R491" s="43" t="str">
        <f>IFERROR(IF(VLOOKUP(B491,Baza[[№]:[Profit]],16,0)=0,"-",VLOOKUP(B491,Baza[[№]:[Profit]],16,0)),"")</f>
        <v/>
      </c>
      <c r="S491" s="43" t="str">
        <f>IFERROR(IF(VLOOKUP(B491,Baza[[№]:[Profit]],17,0)=0,"-",VLOOKUP(B491,Baza[[№]:[Profit]],17,0)),"")</f>
        <v/>
      </c>
      <c r="T491" s="43" t="str">
        <f>IFERROR(IF(VLOOKUP(B491,Baza[[№]:[Profit]],18,0)=0,"-",VLOOKUP(B491,Baza[[№]:[Profit]],18,0)),"")</f>
        <v/>
      </c>
      <c r="U491" s="41" t="str">
        <f>IFERROR(IF(VLOOKUP(B491,Baza[[№]:[Profit]],19,0)=0,"-",VLOOKUP(B491,Baza[[№]:[Profit]],19,0)),"")</f>
        <v/>
      </c>
      <c r="V491" s="41" t="str">
        <f>IFERROR(VLOOKUP(B491,Baza[[№]:[Profit]],20,0),"")</f>
        <v/>
      </c>
      <c r="W491" s="41" t="str">
        <f>IFERROR(IF(VLOOKUP(B491,Baza[[№]:[Profit]],21,0)=0,"-",VLOOKUP(B491,Baza[[№]:[Profit]],21,0)),"")</f>
        <v/>
      </c>
      <c r="X491" s="45" t="str">
        <f>IFERROR(IF(VLOOKUP(B491,Baza[[№]:[Profit]],22,0)=0,"-",VLOOKUP(B491,Baza[[№]:[Profit]],22,0)),"")</f>
        <v/>
      </c>
      <c r="Y491" s="45" t="str">
        <f>IFERROR(VLOOKUP(B491,Baza[[№]:[Profit]],23,0),"")</f>
        <v/>
      </c>
      <c r="Z491" s="44" t="str">
        <f>IFERROR(VLOOKUP(B491,Baza[[№]:[AFS]],24,0),"")</f>
        <v/>
      </c>
      <c r="AA491" s="45" t="str">
        <f>IF(Таблица2[[#This Row],[Profit]]="","#Н/Д",SUM($Y$40:Y491))</f>
        <v>#Н/Д</v>
      </c>
      <c r="AB491" s="45" t="b">
        <f>IF(Таблица2[[#This Row],[Grafik]]="#Н/Д",FALSE,TRUE)</f>
        <v>0</v>
      </c>
    </row>
    <row r="492" spans="2:28" ht="11.1" hidden="1" customHeight="1" x14ac:dyDescent="0.25">
      <c r="B492"/>
      <c r="C492" s="41" t="str">
        <f>IFERROR(VLOOKUP(B492,Baza[[№]:[Profit]],2,0),"")</f>
        <v/>
      </c>
      <c r="D49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9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92" s="43" t="str">
        <f>IFERROR(VLOOKUP(B492,Baza[[№]:[Profit]],3,0),"")</f>
        <v/>
      </c>
      <c r="G492" s="43" t="str">
        <f>IFERROR(VLOOKUP(B492,Baza[[№]:[Profit]],4,0),"")</f>
        <v/>
      </c>
      <c r="H492" s="43" t="str">
        <f>IFERROR(VLOOKUP(B492,Baza[[№]:[Profit]],5,0),"")</f>
        <v/>
      </c>
      <c r="I492" s="46" t="str">
        <f>IFERROR(VLOOKUP(B492,Baza[[№]:[Profit]],6,0),"")</f>
        <v/>
      </c>
      <c r="J492" s="49" t="str">
        <f>IFERROR(VLOOKUP(B492,Baza[[№]:[Profit]],7,0),"")</f>
        <v/>
      </c>
      <c r="K492" s="43" t="str">
        <f>IFERROR(VLOOKUP(B492,Baza[[№]:[Profit]],8,0),"")</f>
        <v/>
      </c>
      <c r="L492" s="43" t="str">
        <f>IFERROR(VLOOKUP(B492,Baza[[№]:[Profit]],9,0),"")</f>
        <v/>
      </c>
      <c r="M492" s="43" t="str">
        <f>IFERROR(VLOOKUP(B492,Baza[[№]:[Profit]],10,0),"")</f>
        <v/>
      </c>
      <c r="N492" s="43" t="str">
        <f>IFERROR(IF(VLOOKUP(B492,Baza[[№]:[Profit]],11,0)=0,"-",VLOOKUP(B492,Baza[[№]:[Profit]],11,0)),"")</f>
        <v/>
      </c>
      <c r="O492" s="43" t="str">
        <f>IFERROR(IF(VLOOKUP(B492,Baza[[№]:[Profit]],12,0)=0,"-",VLOOKUP(B492,Baza[[№]:[Profit]],12,0)),"")</f>
        <v/>
      </c>
      <c r="P492" s="43" t="str">
        <f>IFERROR(IF(VLOOKUP(B492,Baza[[№]:[Profit]],13,0)=0,"-",VLOOKUP(B492,Baza[[№]:[Profit]],13,0)),"")</f>
        <v/>
      </c>
      <c r="Q492" s="43" t="str">
        <f>IFERROR(IF(VLOOKUP(B492,Baza[[№]:[Profit]],15,0)=0,"-",VLOOKUP(B492,Baza[[№]:[Profit]],15,0)),"")</f>
        <v/>
      </c>
      <c r="R492" s="43" t="str">
        <f>IFERROR(IF(VLOOKUP(B492,Baza[[№]:[Profit]],16,0)=0,"-",VLOOKUP(B492,Baza[[№]:[Profit]],16,0)),"")</f>
        <v/>
      </c>
      <c r="S492" s="43" t="str">
        <f>IFERROR(IF(VLOOKUP(B492,Baza[[№]:[Profit]],17,0)=0,"-",VLOOKUP(B492,Baza[[№]:[Profit]],17,0)),"")</f>
        <v/>
      </c>
      <c r="T492" s="43" t="str">
        <f>IFERROR(IF(VLOOKUP(B492,Baza[[№]:[Profit]],18,0)=0,"-",VLOOKUP(B492,Baza[[№]:[Profit]],18,0)),"")</f>
        <v/>
      </c>
      <c r="U492" s="41" t="str">
        <f>IFERROR(IF(VLOOKUP(B492,Baza[[№]:[Profit]],19,0)=0,"-",VLOOKUP(B492,Baza[[№]:[Profit]],19,0)),"")</f>
        <v/>
      </c>
      <c r="V492" s="41" t="str">
        <f>IFERROR(VLOOKUP(B492,Baza[[№]:[Profit]],20,0),"")</f>
        <v/>
      </c>
      <c r="W492" s="41" t="str">
        <f>IFERROR(IF(VLOOKUP(B492,Baza[[№]:[Profit]],21,0)=0,"-",VLOOKUP(B492,Baza[[№]:[Profit]],21,0)),"")</f>
        <v/>
      </c>
      <c r="X492" s="45" t="str">
        <f>IFERROR(IF(VLOOKUP(B492,Baza[[№]:[Profit]],22,0)=0,"-",VLOOKUP(B492,Baza[[№]:[Profit]],22,0)),"")</f>
        <v/>
      </c>
      <c r="Y492" s="45" t="str">
        <f>IFERROR(VLOOKUP(B492,Baza[[№]:[Profit]],23,0),"")</f>
        <v/>
      </c>
      <c r="Z492" s="44" t="str">
        <f>IFERROR(VLOOKUP(B492,Baza[[№]:[AFS]],24,0),"")</f>
        <v/>
      </c>
      <c r="AA492" s="45" t="str">
        <f>IF(Таблица2[[#This Row],[Profit]]="","#Н/Д",SUM($Y$40:Y492))</f>
        <v>#Н/Д</v>
      </c>
      <c r="AB492" s="45" t="b">
        <f>IF(Таблица2[[#This Row],[Grafik]]="#Н/Д",FALSE,TRUE)</f>
        <v>0</v>
      </c>
    </row>
    <row r="493" spans="2:28" ht="11.1" hidden="1" customHeight="1" x14ac:dyDescent="0.25">
      <c r="B493"/>
      <c r="C493" s="41" t="str">
        <f>IFERROR(VLOOKUP(B493,Baza[[№]:[Profit]],2,0),"")</f>
        <v/>
      </c>
      <c r="D49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9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93" s="43" t="str">
        <f>IFERROR(VLOOKUP(B493,Baza[[№]:[Profit]],3,0),"")</f>
        <v/>
      </c>
      <c r="G493" s="43" t="str">
        <f>IFERROR(VLOOKUP(B493,Baza[[№]:[Profit]],4,0),"")</f>
        <v/>
      </c>
      <c r="H493" s="43" t="str">
        <f>IFERROR(VLOOKUP(B493,Baza[[№]:[Profit]],5,0),"")</f>
        <v/>
      </c>
      <c r="I493" s="46" t="str">
        <f>IFERROR(VLOOKUP(B493,Baza[[№]:[Profit]],6,0),"")</f>
        <v/>
      </c>
      <c r="J493" s="49" t="str">
        <f>IFERROR(VLOOKUP(B493,Baza[[№]:[Profit]],7,0),"")</f>
        <v/>
      </c>
      <c r="K493" s="43" t="str">
        <f>IFERROR(VLOOKUP(B493,Baza[[№]:[Profit]],8,0),"")</f>
        <v/>
      </c>
      <c r="L493" s="43" t="str">
        <f>IFERROR(VLOOKUP(B493,Baza[[№]:[Profit]],9,0),"")</f>
        <v/>
      </c>
      <c r="M493" s="43" t="str">
        <f>IFERROR(VLOOKUP(B493,Baza[[№]:[Profit]],10,0),"")</f>
        <v/>
      </c>
      <c r="N493" s="43" t="str">
        <f>IFERROR(IF(VLOOKUP(B493,Baza[[№]:[Profit]],11,0)=0,"-",VLOOKUP(B493,Baza[[№]:[Profit]],11,0)),"")</f>
        <v/>
      </c>
      <c r="O493" s="43" t="str">
        <f>IFERROR(IF(VLOOKUP(B493,Baza[[№]:[Profit]],12,0)=0,"-",VLOOKUP(B493,Baza[[№]:[Profit]],12,0)),"")</f>
        <v/>
      </c>
      <c r="P493" s="43" t="str">
        <f>IFERROR(IF(VLOOKUP(B493,Baza[[№]:[Profit]],13,0)=0,"-",VLOOKUP(B493,Baza[[№]:[Profit]],13,0)),"")</f>
        <v/>
      </c>
      <c r="Q493" s="43" t="str">
        <f>IFERROR(IF(VLOOKUP(B493,Baza[[№]:[Profit]],15,0)=0,"-",VLOOKUP(B493,Baza[[№]:[Profit]],15,0)),"")</f>
        <v/>
      </c>
      <c r="R493" s="43" t="str">
        <f>IFERROR(IF(VLOOKUP(B493,Baza[[№]:[Profit]],16,0)=0,"-",VLOOKUP(B493,Baza[[№]:[Profit]],16,0)),"")</f>
        <v/>
      </c>
      <c r="S493" s="43" t="str">
        <f>IFERROR(IF(VLOOKUP(B493,Baza[[№]:[Profit]],17,0)=0,"-",VLOOKUP(B493,Baza[[№]:[Profit]],17,0)),"")</f>
        <v/>
      </c>
      <c r="T493" s="43" t="str">
        <f>IFERROR(IF(VLOOKUP(B493,Baza[[№]:[Profit]],18,0)=0,"-",VLOOKUP(B493,Baza[[№]:[Profit]],18,0)),"")</f>
        <v/>
      </c>
      <c r="U493" s="41" t="str">
        <f>IFERROR(IF(VLOOKUP(B493,Baza[[№]:[Profit]],19,0)=0,"-",VLOOKUP(B493,Baza[[№]:[Profit]],19,0)),"")</f>
        <v/>
      </c>
      <c r="V493" s="41" t="str">
        <f>IFERROR(VLOOKUP(B493,Baza[[№]:[Profit]],20,0),"")</f>
        <v/>
      </c>
      <c r="W493" s="41" t="str">
        <f>IFERROR(IF(VLOOKUP(B493,Baza[[№]:[Profit]],21,0)=0,"-",VLOOKUP(B493,Baza[[№]:[Profit]],21,0)),"")</f>
        <v/>
      </c>
      <c r="X493" s="45" t="str">
        <f>IFERROR(IF(VLOOKUP(B493,Baza[[№]:[Profit]],22,0)=0,"-",VLOOKUP(B493,Baza[[№]:[Profit]],22,0)),"")</f>
        <v/>
      </c>
      <c r="Y493" s="45" t="str">
        <f>IFERROR(VLOOKUP(B493,Baza[[№]:[Profit]],23,0),"")</f>
        <v/>
      </c>
      <c r="Z493" s="44" t="str">
        <f>IFERROR(VLOOKUP(B493,Baza[[№]:[AFS]],24,0),"")</f>
        <v/>
      </c>
      <c r="AA493" s="45" t="str">
        <f>IF(Таблица2[[#This Row],[Profit]]="","#Н/Д",SUM($Y$40:Y493))</f>
        <v>#Н/Д</v>
      </c>
      <c r="AB493" s="45" t="b">
        <f>IF(Таблица2[[#This Row],[Grafik]]="#Н/Д",FALSE,TRUE)</f>
        <v>0</v>
      </c>
    </row>
    <row r="494" spans="2:28" ht="11.1" hidden="1" customHeight="1" x14ac:dyDescent="0.25">
      <c r="B494"/>
      <c r="C494" s="41" t="str">
        <f>IFERROR(VLOOKUP(B494,Baza[[№]:[Profit]],2,0),"")</f>
        <v/>
      </c>
      <c r="D49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9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94" s="43" t="str">
        <f>IFERROR(VLOOKUP(B494,Baza[[№]:[Profit]],3,0),"")</f>
        <v/>
      </c>
      <c r="G494" s="43" t="str">
        <f>IFERROR(VLOOKUP(B494,Baza[[№]:[Profit]],4,0),"")</f>
        <v/>
      </c>
      <c r="H494" s="43" t="str">
        <f>IFERROR(VLOOKUP(B494,Baza[[№]:[Profit]],5,0),"")</f>
        <v/>
      </c>
      <c r="I494" s="46" t="str">
        <f>IFERROR(VLOOKUP(B494,Baza[[№]:[Profit]],6,0),"")</f>
        <v/>
      </c>
      <c r="J494" s="49" t="str">
        <f>IFERROR(VLOOKUP(B494,Baza[[№]:[Profit]],7,0),"")</f>
        <v/>
      </c>
      <c r="K494" s="43" t="str">
        <f>IFERROR(VLOOKUP(B494,Baza[[№]:[Profit]],8,0),"")</f>
        <v/>
      </c>
      <c r="L494" s="43" t="str">
        <f>IFERROR(VLOOKUP(B494,Baza[[№]:[Profit]],9,0),"")</f>
        <v/>
      </c>
      <c r="M494" s="43" t="str">
        <f>IFERROR(VLOOKUP(B494,Baza[[№]:[Profit]],10,0),"")</f>
        <v/>
      </c>
      <c r="N494" s="43" t="str">
        <f>IFERROR(IF(VLOOKUP(B494,Baza[[№]:[Profit]],11,0)=0,"-",VLOOKUP(B494,Baza[[№]:[Profit]],11,0)),"")</f>
        <v/>
      </c>
      <c r="O494" s="43" t="str">
        <f>IFERROR(IF(VLOOKUP(B494,Baza[[№]:[Profit]],12,0)=0,"-",VLOOKUP(B494,Baza[[№]:[Profit]],12,0)),"")</f>
        <v/>
      </c>
      <c r="P494" s="43" t="str">
        <f>IFERROR(IF(VLOOKUP(B494,Baza[[№]:[Profit]],13,0)=0,"-",VLOOKUP(B494,Baza[[№]:[Profit]],13,0)),"")</f>
        <v/>
      </c>
      <c r="Q494" s="43" t="str">
        <f>IFERROR(IF(VLOOKUP(B494,Baza[[№]:[Profit]],15,0)=0,"-",VLOOKUP(B494,Baza[[№]:[Profit]],15,0)),"")</f>
        <v/>
      </c>
      <c r="R494" s="43" t="str">
        <f>IFERROR(IF(VLOOKUP(B494,Baza[[№]:[Profit]],16,0)=0,"-",VLOOKUP(B494,Baza[[№]:[Profit]],16,0)),"")</f>
        <v/>
      </c>
      <c r="S494" s="43" t="str">
        <f>IFERROR(IF(VLOOKUP(B494,Baza[[№]:[Profit]],17,0)=0,"-",VLOOKUP(B494,Baza[[№]:[Profit]],17,0)),"")</f>
        <v/>
      </c>
      <c r="T494" s="43" t="str">
        <f>IFERROR(IF(VLOOKUP(B494,Baza[[№]:[Profit]],18,0)=0,"-",VLOOKUP(B494,Baza[[№]:[Profit]],18,0)),"")</f>
        <v/>
      </c>
      <c r="U494" s="41" t="str">
        <f>IFERROR(IF(VLOOKUP(B494,Baza[[№]:[Profit]],19,0)=0,"-",VLOOKUP(B494,Baza[[№]:[Profit]],19,0)),"")</f>
        <v/>
      </c>
      <c r="V494" s="41" t="str">
        <f>IFERROR(VLOOKUP(B494,Baza[[№]:[Profit]],20,0),"")</f>
        <v/>
      </c>
      <c r="W494" s="41" t="str">
        <f>IFERROR(IF(VLOOKUP(B494,Baza[[№]:[Profit]],21,0)=0,"-",VLOOKUP(B494,Baza[[№]:[Profit]],21,0)),"")</f>
        <v/>
      </c>
      <c r="X494" s="45" t="str">
        <f>IFERROR(IF(VLOOKUP(B494,Baza[[№]:[Profit]],22,0)=0,"-",VLOOKUP(B494,Baza[[№]:[Profit]],22,0)),"")</f>
        <v/>
      </c>
      <c r="Y494" s="45" t="str">
        <f>IFERROR(VLOOKUP(B494,Baza[[№]:[Profit]],23,0),"")</f>
        <v/>
      </c>
      <c r="Z494" s="44" t="str">
        <f>IFERROR(VLOOKUP(B494,Baza[[№]:[AFS]],24,0),"")</f>
        <v/>
      </c>
      <c r="AA494" s="45" t="str">
        <f>IF(Таблица2[[#This Row],[Profit]]="","#Н/Д",SUM($Y$40:Y494))</f>
        <v>#Н/Д</v>
      </c>
      <c r="AB494" s="45" t="b">
        <f>IF(Таблица2[[#This Row],[Grafik]]="#Н/Д",FALSE,TRUE)</f>
        <v>0</v>
      </c>
    </row>
    <row r="495" spans="2:28" ht="11.1" hidden="1" customHeight="1" x14ac:dyDescent="0.25">
      <c r="B495"/>
      <c r="C495" s="41" t="str">
        <f>IFERROR(VLOOKUP(B495,Baza[[№]:[Profit]],2,0),"")</f>
        <v/>
      </c>
      <c r="D49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9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95" s="43" t="str">
        <f>IFERROR(VLOOKUP(B495,Baza[[№]:[Profit]],3,0),"")</f>
        <v/>
      </c>
      <c r="G495" s="43" t="str">
        <f>IFERROR(VLOOKUP(B495,Baza[[№]:[Profit]],4,0),"")</f>
        <v/>
      </c>
      <c r="H495" s="43" t="str">
        <f>IFERROR(VLOOKUP(B495,Baza[[№]:[Profit]],5,0),"")</f>
        <v/>
      </c>
      <c r="I495" s="46" t="str">
        <f>IFERROR(VLOOKUP(B495,Baza[[№]:[Profit]],6,0),"")</f>
        <v/>
      </c>
      <c r="J495" s="49" t="str">
        <f>IFERROR(VLOOKUP(B495,Baza[[№]:[Profit]],7,0),"")</f>
        <v/>
      </c>
      <c r="K495" s="43" t="str">
        <f>IFERROR(VLOOKUP(B495,Baza[[№]:[Profit]],8,0),"")</f>
        <v/>
      </c>
      <c r="L495" s="43" t="str">
        <f>IFERROR(VLOOKUP(B495,Baza[[№]:[Profit]],9,0),"")</f>
        <v/>
      </c>
      <c r="M495" s="43" t="str">
        <f>IFERROR(VLOOKUP(B495,Baza[[№]:[Profit]],10,0),"")</f>
        <v/>
      </c>
      <c r="N495" s="43" t="str">
        <f>IFERROR(IF(VLOOKUP(B495,Baza[[№]:[Profit]],11,0)=0,"-",VLOOKUP(B495,Baza[[№]:[Profit]],11,0)),"")</f>
        <v/>
      </c>
      <c r="O495" s="43" t="str">
        <f>IFERROR(IF(VLOOKUP(B495,Baza[[№]:[Profit]],12,0)=0,"-",VLOOKUP(B495,Baza[[№]:[Profit]],12,0)),"")</f>
        <v/>
      </c>
      <c r="P495" s="43" t="str">
        <f>IFERROR(IF(VLOOKUP(B495,Baza[[№]:[Profit]],13,0)=0,"-",VLOOKUP(B495,Baza[[№]:[Profit]],13,0)),"")</f>
        <v/>
      </c>
      <c r="Q495" s="43" t="str">
        <f>IFERROR(IF(VLOOKUP(B495,Baza[[№]:[Profit]],15,0)=0,"-",VLOOKUP(B495,Baza[[№]:[Profit]],15,0)),"")</f>
        <v/>
      </c>
      <c r="R495" s="43" t="str">
        <f>IFERROR(IF(VLOOKUP(B495,Baza[[№]:[Profit]],16,0)=0,"-",VLOOKUP(B495,Baza[[№]:[Profit]],16,0)),"")</f>
        <v/>
      </c>
      <c r="S495" s="43" t="str">
        <f>IFERROR(IF(VLOOKUP(B495,Baza[[№]:[Profit]],17,0)=0,"-",VLOOKUP(B495,Baza[[№]:[Profit]],17,0)),"")</f>
        <v/>
      </c>
      <c r="T495" s="43" t="str">
        <f>IFERROR(IF(VLOOKUP(B495,Baza[[№]:[Profit]],18,0)=0,"-",VLOOKUP(B495,Baza[[№]:[Profit]],18,0)),"")</f>
        <v/>
      </c>
      <c r="U495" s="41" t="str">
        <f>IFERROR(IF(VLOOKUP(B495,Baza[[№]:[Profit]],19,0)=0,"-",VLOOKUP(B495,Baza[[№]:[Profit]],19,0)),"")</f>
        <v/>
      </c>
      <c r="V495" s="41" t="str">
        <f>IFERROR(VLOOKUP(B495,Baza[[№]:[Profit]],20,0),"")</f>
        <v/>
      </c>
      <c r="W495" s="41" t="str">
        <f>IFERROR(IF(VLOOKUP(B495,Baza[[№]:[Profit]],21,0)=0,"-",VLOOKUP(B495,Baza[[№]:[Profit]],21,0)),"")</f>
        <v/>
      </c>
      <c r="X495" s="45" t="str">
        <f>IFERROR(IF(VLOOKUP(B495,Baza[[№]:[Profit]],22,0)=0,"-",VLOOKUP(B495,Baza[[№]:[Profit]],22,0)),"")</f>
        <v/>
      </c>
      <c r="Y495" s="45" t="str">
        <f>IFERROR(VLOOKUP(B495,Baza[[№]:[Profit]],23,0),"")</f>
        <v/>
      </c>
      <c r="Z495" s="44" t="str">
        <f>IFERROR(VLOOKUP(B495,Baza[[№]:[AFS]],24,0),"")</f>
        <v/>
      </c>
      <c r="AA495" s="45" t="str">
        <f>IF(Таблица2[[#This Row],[Profit]]="","#Н/Д",SUM($Y$40:Y495))</f>
        <v>#Н/Д</v>
      </c>
      <c r="AB495" s="45" t="b">
        <f>IF(Таблица2[[#This Row],[Grafik]]="#Н/Д",FALSE,TRUE)</f>
        <v>0</v>
      </c>
    </row>
    <row r="496" spans="2:28" ht="11.1" hidden="1" customHeight="1" x14ac:dyDescent="0.25">
      <c r="B496"/>
      <c r="C496" s="41" t="str">
        <f>IFERROR(VLOOKUP(B496,Baza[[№]:[Profit]],2,0),"")</f>
        <v/>
      </c>
      <c r="D49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9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96" s="43" t="str">
        <f>IFERROR(VLOOKUP(B496,Baza[[№]:[Profit]],3,0),"")</f>
        <v/>
      </c>
      <c r="G496" s="43" t="str">
        <f>IFERROR(VLOOKUP(B496,Baza[[№]:[Profit]],4,0),"")</f>
        <v/>
      </c>
      <c r="H496" s="43" t="str">
        <f>IFERROR(VLOOKUP(B496,Baza[[№]:[Profit]],5,0),"")</f>
        <v/>
      </c>
      <c r="I496" s="46" t="str">
        <f>IFERROR(VLOOKUP(B496,Baza[[№]:[Profit]],6,0),"")</f>
        <v/>
      </c>
      <c r="J496" s="49" t="str">
        <f>IFERROR(VLOOKUP(B496,Baza[[№]:[Profit]],7,0),"")</f>
        <v/>
      </c>
      <c r="K496" s="43" t="str">
        <f>IFERROR(VLOOKUP(B496,Baza[[№]:[Profit]],8,0),"")</f>
        <v/>
      </c>
      <c r="L496" s="43" t="str">
        <f>IFERROR(VLOOKUP(B496,Baza[[№]:[Profit]],9,0),"")</f>
        <v/>
      </c>
      <c r="M496" s="43" t="str">
        <f>IFERROR(VLOOKUP(B496,Baza[[№]:[Profit]],10,0),"")</f>
        <v/>
      </c>
      <c r="N496" s="43" t="str">
        <f>IFERROR(IF(VLOOKUP(B496,Baza[[№]:[Profit]],11,0)=0,"-",VLOOKUP(B496,Baza[[№]:[Profit]],11,0)),"")</f>
        <v/>
      </c>
      <c r="O496" s="43" t="str">
        <f>IFERROR(IF(VLOOKUP(B496,Baza[[№]:[Profit]],12,0)=0,"-",VLOOKUP(B496,Baza[[№]:[Profit]],12,0)),"")</f>
        <v/>
      </c>
      <c r="P496" s="43" t="str">
        <f>IFERROR(IF(VLOOKUP(B496,Baza[[№]:[Profit]],13,0)=0,"-",VLOOKUP(B496,Baza[[№]:[Profit]],13,0)),"")</f>
        <v/>
      </c>
      <c r="Q496" s="43" t="str">
        <f>IFERROR(IF(VLOOKUP(B496,Baza[[№]:[Profit]],15,0)=0,"-",VLOOKUP(B496,Baza[[№]:[Profit]],15,0)),"")</f>
        <v/>
      </c>
      <c r="R496" s="43" t="str">
        <f>IFERROR(IF(VLOOKUP(B496,Baza[[№]:[Profit]],16,0)=0,"-",VLOOKUP(B496,Baza[[№]:[Profit]],16,0)),"")</f>
        <v/>
      </c>
      <c r="S496" s="43" t="str">
        <f>IFERROR(IF(VLOOKUP(B496,Baza[[№]:[Profit]],17,0)=0,"-",VLOOKUP(B496,Baza[[№]:[Profit]],17,0)),"")</f>
        <v/>
      </c>
      <c r="T496" s="43" t="str">
        <f>IFERROR(IF(VLOOKUP(B496,Baza[[№]:[Profit]],18,0)=0,"-",VLOOKUP(B496,Baza[[№]:[Profit]],18,0)),"")</f>
        <v/>
      </c>
      <c r="U496" s="41" t="str">
        <f>IFERROR(IF(VLOOKUP(B496,Baza[[№]:[Profit]],19,0)=0,"-",VLOOKUP(B496,Baza[[№]:[Profit]],19,0)),"")</f>
        <v/>
      </c>
      <c r="V496" s="41" t="str">
        <f>IFERROR(VLOOKUP(B496,Baza[[№]:[Profit]],20,0),"")</f>
        <v/>
      </c>
      <c r="W496" s="41" t="str">
        <f>IFERROR(IF(VLOOKUP(B496,Baza[[№]:[Profit]],21,0)=0,"-",VLOOKUP(B496,Baza[[№]:[Profit]],21,0)),"")</f>
        <v/>
      </c>
      <c r="X496" s="45" t="str">
        <f>IFERROR(IF(VLOOKUP(B496,Baza[[№]:[Profit]],22,0)=0,"-",VLOOKUP(B496,Baza[[№]:[Profit]],22,0)),"")</f>
        <v/>
      </c>
      <c r="Y496" s="45" t="str">
        <f>IFERROR(VLOOKUP(B496,Baza[[№]:[Profit]],23,0),"")</f>
        <v/>
      </c>
      <c r="Z496" s="44" t="str">
        <f>IFERROR(VLOOKUP(B496,Baza[[№]:[AFS]],24,0),"")</f>
        <v/>
      </c>
      <c r="AA496" s="45" t="str">
        <f>IF(Таблица2[[#This Row],[Profit]]="","#Н/Д",SUM($Y$40:Y496))</f>
        <v>#Н/Д</v>
      </c>
      <c r="AB496" s="45" t="b">
        <f>IF(Таблица2[[#This Row],[Grafik]]="#Н/Д",FALSE,TRUE)</f>
        <v>0</v>
      </c>
    </row>
    <row r="497" spans="2:28" ht="11.1" hidden="1" customHeight="1" x14ac:dyDescent="0.25">
      <c r="B497"/>
      <c r="C497" s="41" t="str">
        <f>IFERROR(VLOOKUP(B497,Baza[[№]:[Profit]],2,0),"")</f>
        <v/>
      </c>
      <c r="D49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9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97" s="43" t="str">
        <f>IFERROR(VLOOKUP(B497,Baza[[№]:[Profit]],3,0),"")</f>
        <v/>
      </c>
      <c r="G497" s="43" t="str">
        <f>IFERROR(VLOOKUP(B497,Baza[[№]:[Profit]],4,0),"")</f>
        <v/>
      </c>
      <c r="H497" s="43" t="str">
        <f>IFERROR(VLOOKUP(B497,Baza[[№]:[Profit]],5,0),"")</f>
        <v/>
      </c>
      <c r="I497" s="46" t="str">
        <f>IFERROR(VLOOKUP(B497,Baza[[№]:[Profit]],6,0),"")</f>
        <v/>
      </c>
      <c r="J497" s="49" t="str">
        <f>IFERROR(VLOOKUP(B497,Baza[[№]:[Profit]],7,0),"")</f>
        <v/>
      </c>
      <c r="K497" s="43" t="str">
        <f>IFERROR(VLOOKUP(B497,Baza[[№]:[Profit]],8,0),"")</f>
        <v/>
      </c>
      <c r="L497" s="43" t="str">
        <f>IFERROR(VLOOKUP(B497,Baza[[№]:[Profit]],9,0),"")</f>
        <v/>
      </c>
      <c r="M497" s="43" t="str">
        <f>IFERROR(VLOOKUP(B497,Baza[[№]:[Profit]],10,0),"")</f>
        <v/>
      </c>
      <c r="N497" s="43" t="str">
        <f>IFERROR(IF(VLOOKUP(B497,Baza[[№]:[Profit]],11,0)=0,"-",VLOOKUP(B497,Baza[[№]:[Profit]],11,0)),"")</f>
        <v/>
      </c>
      <c r="O497" s="43" t="str">
        <f>IFERROR(IF(VLOOKUP(B497,Baza[[№]:[Profit]],12,0)=0,"-",VLOOKUP(B497,Baza[[№]:[Profit]],12,0)),"")</f>
        <v/>
      </c>
      <c r="P497" s="43" t="str">
        <f>IFERROR(IF(VLOOKUP(B497,Baza[[№]:[Profit]],13,0)=0,"-",VLOOKUP(B497,Baza[[№]:[Profit]],13,0)),"")</f>
        <v/>
      </c>
      <c r="Q497" s="43" t="str">
        <f>IFERROR(IF(VLOOKUP(B497,Baza[[№]:[Profit]],15,0)=0,"-",VLOOKUP(B497,Baza[[№]:[Profit]],15,0)),"")</f>
        <v/>
      </c>
      <c r="R497" s="43" t="str">
        <f>IFERROR(IF(VLOOKUP(B497,Baza[[№]:[Profit]],16,0)=0,"-",VLOOKUP(B497,Baza[[№]:[Profit]],16,0)),"")</f>
        <v/>
      </c>
      <c r="S497" s="43" t="str">
        <f>IFERROR(IF(VLOOKUP(B497,Baza[[№]:[Profit]],17,0)=0,"-",VLOOKUP(B497,Baza[[№]:[Profit]],17,0)),"")</f>
        <v/>
      </c>
      <c r="T497" s="43" t="str">
        <f>IFERROR(IF(VLOOKUP(B497,Baza[[№]:[Profit]],18,0)=0,"-",VLOOKUP(B497,Baza[[№]:[Profit]],18,0)),"")</f>
        <v/>
      </c>
      <c r="U497" s="41" t="str">
        <f>IFERROR(IF(VLOOKUP(B497,Baza[[№]:[Profit]],19,0)=0,"-",VLOOKUP(B497,Baza[[№]:[Profit]],19,0)),"")</f>
        <v/>
      </c>
      <c r="V497" s="41" t="str">
        <f>IFERROR(VLOOKUP(B497,Baza[[№]:[Profit]],20,0),"")</f>
        <v/>
      </c>
      <c r="W497" s="41" t="str">
        <f>IFERROR(IF(VLOOKUP(B497,Baza[[№]:[Profit]],21,0)=0,"-",VLOOKUP(B497,Baza[[№]:[Profit]],21,0)),"")</f>
        <v/>
      </c>
      <c r="X497" s="45" t="str">
        <f>IFERROR(IF(VLOOKUP(B497,Baza[[№]:[Profit]],22,0)=0,"-",VLOOKUP(B497,Baza[[№]:[Profit]],22,0)),"")</f>
        <v/>
      </c>
      <c r="Y497" s="45" t="str">
        <f>IFERROR(VLOOKUP(B497,Baza[[№]:[Profit]],23,0),"")</f>
        <v/>
      </c>
      <c r="Z497" s="44" t="str">
        <f>IFERROR(VLOOKUP(B497,Baza[[№]:[AFS]],24,0),"")</f>
        <v/>
      </c>
      <c r="AA497" s="45" t="str">
        <f>IF(Таблица2[[#This Row],[Profit]]="","#Н/Д",SUM($Y$40:Y497))</f>
        <v>#Н/Д</v>
      </c>
      <c r="AB497" s="45" t="b">
        <f>IF(Таблица2[[#This Row],[Grafik]]="#Н/Д",FALSE,TRUE)</f>
        <v>0</v>
      </c>
    </row>
    <row r="498" spans="2:28" ht="11.1" hidden="1" customHeight="1" x14ac:dyDescent="0.25">
      <c r="B498"/>
      <c r="C498" s="41" t="str">
        <f>IFERROR(VLOOKUP(B498,Baza[[№]:[Profit]],2,0),"")</f>
        <v/>
      </c>
      <c r="D49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9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98" s="43" t="str">
        <f>IFERROR(VLOOKUP(B498,Baza[[№]:[Profit]],3,0),"")</f>
        <v/>
      </c>
      <c r="G498" s="43" t="str">
        <f>IFERROR(VLOOKUP(B498,Baza[[№]:[Profit]],4,0),"")</f>
        <v/>
      </c>
      <c r="H498" s="43" t="str">
        <f>IFERROR(VLOOKUP(B498,Baza[[№]:[Profit]],5,0),"")</f>
        <v/>
      </c>
      <c r="I498" s="46" t="str">
        <f>IFERROR(VLOOKUP(B498,Baza[[№]:[Profit]],6,0),"")</f>
        <v/>
      </c>
      <c r="J498" s="49" t="str">
        <f>IFERROR(VLOOKUP(B498,Baza[[№]:[Profit]],7,0),"")</f>
        <v/>
      </c>
      <c r="K498" s="43" t="str">
        <f>IFERROR(VLOOKUP(B498,Baza[[№]:[Profit]],8,0),"")</f>
        <v/>
      </c>
      <c r="L498" s="43" t="str">
        <f>IFERROR(VLOOKUP(B498,Baza[[№]:[Profit]],9,0),"")</f>
        <v/>
      </c>
      <c r="M498" s="43" t="str">
        <f>IFERROR(VLOOKUP(B498,Baza[[№]:[Profit]],10,0),"")</f>
        <v/>
      </c>
      <c r="N498" s="43" t="str">
        <f>IFERROR(IF(VLOOKUP(B498,Baza[[№]:[Profit]],11,0)=0,"-",VLOOKUP(B498,Baza[[№]:[Profit]],11,0)),"")</f>
        <v/>
      </c>
      <c r="O498" s="43" t="str">
        <f>IFERROR(IF(VLOOKUP(B498,Baza[[№]:[Profit]],12,0)=0,"-",VLOOKUP(B498,Baza[[№]:[Profit]],12,0)),"")</f>
        <v/>
      </c>
      <c r="P498" s="43" t="str">
        <f>IFERROR(IF(VLOOKUP(B498,Baza[[№]:[Profit]],13,0)=0,"-",VLOOKUP(B498,Baza[[№]:[Profit]],13,0)),"")</f>
        <v/>
      </c>
      <c r="Q498" s="43" t="str">
        <f>IFERROR(IF(VLOOKUP(B498,Baza[[№]:[Profit]],15,0)=0,"-",VLOOKUP(B498,Baza[[№]:[Profit]],15,0)),"")</f>
        <v/>
      </c>
      <c r="R498" s="43" t="str">
        <f>IFERROR(IF(VLOOKUP(B498,Baza[[№]:[Profit]],16,0)=0,"-",VLOOKUP(B498,Baza[[№]:[Profit]],16,0)),"")</f>
        <v/>
      </c>
      <c r="S498" s="43" t="str">
        <f>IFERROR(IF(VLOOKUP(B498,Baza[[№]:[Profit]],17,0)=0,"-",VLOOKUP(B498,Baza[[№]:[Profit]],17,0)),"")</f>
        <v/>
      </c>
      <c r="T498" s="43" t="str">
        <f>IFERROR(IF(VLOOKUP(B498,Baza[[№]:[Profit]],18,0)=0,"-",VLOOKUP(B498,Baza[[№]:[Profit]],18,0)),"")</f>
        <v/>
      </c>
      <c r="U498" s="41" t="str">
        <f>IFERROR(IF(VLOOKUP(B498,Baza[[№]:[Profit]],19,0)=0,"-",VLOOKUP(B498,Baza[[№]:[Profit]],19,0)),"")</f>
        <v/>
      </c>
      <c r="V498" s="41" t="str">
        <f>IFERROR(VLOOKUP(B498,Baza[[№]:[Profit]],20,0),"")</f>
        <v/>
      </c>
      <c r="W498" s="41" t="str">
        <f>IFERROR(IF(VLOOKUP(B498,Baza[[№]:[Profit]],21,0)=0,"-",VLOOKUP(B498,Baza[[№]:[Profit]],21,0)),"")</f>
        <v/>
      </c>
      <c r="X498" s="45" t="str">
        <f>IFERROR(IF(VLOOKUP(B498,Baza[[№]:[Profit]],22,0)=0,"-",VLOOKUP(B498,Baza[[№]:[Profit]],22,0)),"")</f>
        <v/>
      </c>
      <c r="Y498" s="45" t="str">
        <f>IFERROR(VLOOKUP(B498,Baza[[№]:[Profit]],23,0),"")</f>
        <v/>
      </c>
      <c r="Z498" s="44" t="str">
        <f>IFERROR(VLOOKUP(B498,Baza[[№]:[AFS]],24,0),"")</f>
        <v/>
      </c>
      <c r="AA498" s="45" t="str">
        <f>IF(Таблица2[[#This Row],[Profit]]="","#Н/Д",SUM($Y$40:Y498))</f>
        <v>#Н/Д</v>
      </c>
      <c r="AB498" s="45" t="b">
        <f>IF(Таблица2[[#This Row],[Grafik]]="#Н/Д",FALSE,TRUE)</f>
        <v>0</v>
      </c>
    </row>
    <row r="499" spans="2:28" ht="11.1" hidden="1" customHeight="1" x14ac:dyDescent="0.25">
      <c r="B499"/>
      <c r="C499" s="41" t="str">
        <f>IFERROR(VLOOKUP(B499,Baza[[№]:[Profit]],2,0),"")</f>
        <v/>
      </c>
      <c r="D49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9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99" s="43" t="str">
        <f>IFERROR(VLOOKUP(B499,Baza[[№]:[Profit]],3,0),"")</f>
        <v/>
      </c>
      <c r="G499" s="43" t="str">
        <f>IFERROR(VLOOKUP(B499,Baza[[№]:[Profit]],4,0),"")</f>
        <v/>
      </c>
      <c r="H499" s="43" t="str">
        <f>IFERROR(VLOOKUP(B499,Baza[[№]:[Profit]],5,0),"")</f>
        <v/>
      </c>
      <c r="I499" s="46" t="str">
        <f>IFERROR(VLOOKUP(B499,Baza[[№]:[Profit]],6,0),"")</f>
        <v/>
      </c>
      <c r="J499" s="49" t="str">
        <f>IFERROR(VLOOKUP(B499,Baza[[№]:[Profit]],7,0),"")</f>
        <v/>
      </c>
      <c r="K499" s="43" t="str">
        <f>IFERROR(VLOOKUP(B499,Baza[[№]:[Profit]],8,0),"")</f>
        <v/>
      </c>
      <c r="L499" s="43" t="str">
        <f>IFERROR(VLOOKUP(B499,Baza[[№]:[Profit]],9,0),"")</f>
        <v/>
      </c>
      <c r="M499" s="43" t="str">
        <f>IFERROR(VLOOKUP(B499,Baza[[№]:[Profit]],10,0),"")</f>
        <v/>
      </c>
      <c r="N499" s="43" t="str">
        <f>IFERROR(IF(VLOOKUP(B499,Baza[[№]:[Profit]],11,0)=0,"-",VLOOKUP(B499,Baza[[№]:[Profit]],11,0)),"")</f>
        <v/>
      </c>
      <c r="O499" s="43" t="str">
        <f>IFERROR(IF(VLOOKUP(B499,Baza[[№]:[Profit]],12,0)=0,"-",VLOOKUP(B499,Baza[[№]:[Profit]],12,0)),"")</f>
        <v/>
      </c>
      <c r="P499" s="43" t="str">
        <f>IFERROR(IF(VLOOKUP(B499,Baza[[№]:[Profit]],13,0)=0,"-",VLOOKUP(B499,Baza[[№]:[Profit]],13,0)),"")</f>
        <v/>
      </c>
      <c r="Q499" s="43" t="str">
        <f>IFERROR(IF(VLOOKUP(B499,Baza[[№]:[Profit]],15,0)=0,"-",VLOOKUP(B499,Baza[[№]:[Profit]],15,0)),"")</f>
        <v/>
      </c>
      <c r="R499" s="43" t="str">
        <f>IFERROR(IF(VLOOKUP(B499,Baza[[№]:[Profit]],16,0)=0,"-",VLOOKUP(B499,Baza[[№]:[Profit]],16,0)),"")</f>
        <v/>
      </c>
      <c r="S499" s="43" t="str">
        <f>IFERROR(IF(VLOOKUP(B499,Baza[[№]:[Profit]],17,0)=0,"-",VLOOKUP(B499,Baza[[№]:[Profit]],17,0)),"")</f>
        <v/>
      </c>
      <c r="T499" s="43" t="str">
        <f>IFERROR(IF(VLOOKUP(B499,Baza[[№]:[Profit]],18,0)=0,"-",VLOOKUP(B499,Baza[[№]:[Profit]],18,0)),"")</f>
        <v/>
      </c>
      <c r="U499" s="41" t="str">
        <f>IFERROR(IF(VLOOKUP(B499,Baza[[№]:[Profit]],19,0)=0,"-",VLOOKUP(B499,Baza[[№]:[Profit]],19,0)),"")</f>
        <v/>
      </c>
      <c r="V499" s="41" t="str">
        <f>IFERROR(VLOOKUP(B499,Baza[[№]:[Profit]],20,0),"")</f>
        <v/>
      </c>
      <c r="W499" s="41" t="str">
        <f>IFERROR(IF(VLOOKUP(B499,Baza[[№]:[Profit]],21,0)=0,"-",VLOOKUP(B499,Baza[[№]:[Profit]],21,0)),"")</f>
        <v/>
      </c>
      <c r="X499" s="45" t="str">
        <f>IFERROR(IF(VLOOKUP(B499,Baza[[№]:[Profit]],22,0)=0,"-",VLOOKUP(B499,Baza[[№]:[Profit]],22,0)),"")</f>
        <v/>
      </c>
      <c r="Y499" s="45" t="str">
        <f>IFERROR(VLOOKUP(B499,Baza[[№]:[Profit]],23,0),"")</f>
        <v/>
      </c>
      <c r="Z499" s="44" t="str">
        <f>IFERROR(VLOOKUP(B499,Baza[[№]:[AFS]],24,0),"")</f>
        <v/>
      </c>
      <c r="AA499" s="45" t="str">
        <f>IF(Таблица2[[#This Row],[Profit]]="","#Н/Д",SUM($Y$40:Y499))</f>
        <v>#Н/Д</v>
      </c>
      <c r="AB499" s="45" t="b">
        <f>IF(Таблица2[[#This Row],[Grafik]]="#Н/Д",FALSE,TRUE)</f>
        <v>0</v>
      </c>
    </row>
    <row r="500" spans="2:28" ht="11.1" hidden="1" customHeight="1" x14ac:dyDescent="0.25">
      <c r="B500"/>
      <c r="C500" s="41" t="str">
        <f>IFERROR(VLOOKUP(B500,Baza[[№]:[Profit]],2,0),"")</f>
        <v/>
      </c>
      <c r="D50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0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00" s="43" t="str">
        <f>IFERROR(VLOOKUP(B500,Baza[[№]:[Profit]],3,0),"")</f>
        <v/>
      </c>
      <c r="G500" s="43" t="str">
        <f>IFERROR(VLOOKUP(B500,Baza[[№]:[Profit]],4,0),"")</f>
        <v/>
      </c>
      <c r="H500" s="43" t="str">
        <f>IFERROR(VLOOKUP(B500,Baza[[№]:[Profit]],5,0),"")</f>
        <v/>
      </c>
      <c r="I500" s="46" t="str">
        <f>IFERROR(VLOOKUP(B500,Baza[[№]:[Profit]],6,0),"")</f>
        <v/>
      </c>
      <c r="J500" s="49" t="str">
        <f>IFERROR(VLOOKUP(B500,Baza[[№]:[Profit]],7,0),"")</f>
        <v/>
      </c>
      <c r="K500" s="43" t="str">
        <f>IFERROR(VLOOKUP(B500,Baza[[№]:[Profit]],8,0),"")</f>
        <v/>
      </c>
      <c r="L500" s="43" t="str">
        <f>IFERROR(VLOOKUP(B500,Baza[[№]:[Profit]],9,0),"")</f>
        <v/>
      </c>
      <c r="M500" s="43" t="str">
        <f>IFERROR(VLOOKUP(B500,Baza[[№]:[Profit]],10,0),"")</f>
        <v/>
      </c>
      <c r="N500" s="43" t="str">
        <f>IFERROR(IF(VLOOKUP(B500,Baza[[№]:[Profit]],11,0)=0,"-",VLOOKUP(B500,Baza[[№]:[Profit]],11,0)),"")</f>
        <v/>
      </c>
      <c r="O500" s="43" t="str">
        <f>IFERROR(IF(VLOOKUP(B500,Baza[[№]:[Profit]],12,0)=0,"-",VLOOKUP(B500,Baza[[№]:[Profit]],12,0)),"")</f>
        <v/>
      </c>
      <c r="P500" s="43" t="str">
        <f>IFERROR(IF(VLOOKUP(B500,Baza[[№]:[Profit]],13,0)=0,"-",VLOOKUP(B500,Baza[[№]:[Profit]],13,0)),"")</f>
        <v/>
      </c>
      <c r="Q500" s="43" t="str">
        <f>IFERROR(IF(VLOOKUP(B500,Baza[[№]:[Profit]],15,0)=0,"-",VLOOKUP(B500,Baza[[№]:[Profit]],15,0)),"")</f>
        <v/>
      </c>
      <c r="R500" s="43" t="str">
        <f>IFERROR(IF(VLOOKUP(B500,Baza[[№]:[Profit]],16,0)=0,"-",VLOOKUP(B500,Baza[[№]:[Profit]],16,0)),"")</f>
        <v/>
      </c>
      <c r="S500" s="43" t="str">
        <f>IFERROR(IF(VLOOKUP(B500,Baza[[№]:[Profit]],17,0)=0,"-",VLOOKUP(B500,Baza[[№]:[Profit]],17,0)),"")</f>
        <v/>
      </c>
      <c r="T500" s="43" t="str">
        <f>IFERROR(IF(VLOOKUP(B500,Baza[[№]:[Profit]],18,0)=0,"-",VLOOKUP(B500,Baza[[№]:[Profit]],18,0)),"")</f>
        <v/>
      </c>
      <c r="U500" s="41" t="str">
        <f>IFERROR(IF(VLOOKUP(B500,Baza[[№]:[Profit]],19,0)=0,"-",VLOOKUP(B500,Baza[[№]:[Profit]],19,0)),"")</f>
        <v/>
      </c>
      <c r="V500" s="41" t="str">
        <f>IFERROR(VLOOKUP(B500,Baza[[№]:[Profit]],20,0),"")</f>
        <v/>
      </c>
      <c r="W500" s="41" t="str">
        <f>IFERROR(IF(VLOOKUP(B500,Baza[[№]:[Profit]],21,0)=0,"-",VLOOKUP(B500,Baza[[№]:[Profit]],21,0)),"")</f>
        <v/>
      </c>
      <c r="X500" s="45" t="str">
        <f>IFERROR(IF(VLOOKUP(B500,Baza[[№]:[Profit]],22,0)=0,"-",VLOOKUP(B500,Baza[[№]:[Profit]],22,0)),"")</f>
        <v/>
      </c>
      <c r="Y500" s="45" t="str">
        <f>IFERROR(VLOOKUP(B500,Baza[[№]:[Profit]],23,0),"")</f>
        <v/>
      </c>
      <c r="Z500" s="44" t="str">
        <f>IFERROR(VLOOKUP(B500,Baza[[№]:[AFS]],24,0),"")</f>
        <v/>
      </c>
      <c r="AA500" s="45" t="str">
        <f>IF(Таблица2[[#This Row],[Profit]]="","#Н/Д",SUM($Y$40:Y500))</f>
        <v>#Н/Д</v>
      </c>
      <c r="AB500" s="45" t="b">
        <f>IF(Таблица2[[#This Row],[Grafik]]="#Н/Д",FALSE,TRUE)</f>
        <v>0</v>
      </c>
    </row>
    <row r="501" spans="2:28" ht="11.1" hidden="1" customHeight="1" x14ac:dyDescent="0.25">
      <c r="B501"/>
      <c r="C501" s="41" t="str">
        <f>IFERROR(VLOOKUP(B501,Baza[[№]:[Profit]],2,0),"")</f>
        <v/>
      </c>
      <c r="D50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0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01" s="43" t="str">
        <f>IFERROR(VLOOKUP(B501,Baza[[№]:[Profit]],3,0),"")</f>
        <v/>
      </c>
      <c r="G501" s="43" t="str">
        <f>IFERROR(VLOOKUP(B501,Baza[[№]:[Profit]],4,0),"")</f>
        <v/>
      </c>
      <c r="H501" s="43" t="str">
        <f>IFERROR(VLOOKUP(B501,Baza[[№]:[Profit]],5,0),"")</f>
        <v/>
      </c>
      <c r="I501" s="46" t="str">
        <f>IFERROR(VLOOKUP(B501,Baza[[№]:[Profit]],6,0),"")</f>
        <v/>
      </c>
      <c r="J501" s="49" t="str">
        <f>IFERROR(VLOOKUP(B501,Baza[[№]:[Profit]],7,0),"")</f>
        <v/>
      </c>
      <c r="K501" s="43" t="str">
        <f>IFERROR(VLOOKUP(B501,Baza[[№]:[Profit]],8,0),"")</f>
        <v/>
      </c>
      <c r="L501" s="43" t="str">
        <f>IFERROR(VLOOKUP(B501,Baza[[№]:[Profit]],9,0),"")</f>
        <v/>
      </c>
      <c r="M501" s="43" t="str">
        <f>IFERROR(VLOOKUP(B501,Baza[[№]:[Profit]],10,0),"")</f>
        <v/>
      </c>
      <c r="N501" s="43" t="str">
        <f>IFERROR(IF(VLOOKUP(B501,Baza[[№]:[Profit]],11,0)=0,"-",VLOOKUP(B501,Baza[[№]:[Profit]],11,0)),"")</f>
        <v/>
      </c>
      <c r="O501" s="43" t="str">
        <f>IFERROR(IF(VLOOKUP(B501,Baza[[№]:[Profit]],12,0)=0,"-",VLOOKUP(B501,Baza[[№]:[Profit]],12,0)),"")</f>
        <v/>
      </c>
      <c r="P501" s="43" t="str">
        <f>IFERROR(IF(VLOOKUP(B501,Baza[[№]:[Profit]],13,0)=0,"-",VLOOKUP(B501,Baza[[№]:[Profit]],13,0)),"")</f>
        <v/>
      </c>
      <c r="Q501" s="43" t="str">
        <f>IFERROR(IF(VLOOKUP(B501,Baza[[№]:[Profit]],15,0)=0,"-",VLOOKUP(B501,Baza[[№]:[Profit]],15,0)),"")</f>
        <v/>
      </c>
      <c r="R501" s="43" t="str">
        <f>IFERROR(IF(VLOOKUP(B501,Baza[[№]:[Profit]],16,0)=0,"-",VLOOKUP(B501,Baza[[№]:[Profit]],16,0)),"")</f>
        <v/>
      </c>
      <c r="S501" s="43" t="str">
        <f>IFERROR(IF(VLOOKUP(B501,Baza[[№]:[Profit]],17,0)=0,"-",VLOOKUP(B501,Baza[[№]:[Profit]],17,0)),"")</f>
        <v/>
      </c>
      <c r="T501" s="43" t="str">
        <f>IFERROR(IF(VLOOKUP(B501,Baza[[№]:[Profit]],18,0)=0,"-",VLOOKUP(B501,Baza[[№]:[Profit]],18,0)),"")</f>
        <v/>
      </c>
      <c r="U501" s="41" t="str">
        <f>IFERROR(IF(VLOOKUP(B501,Baza[[№]:[Profit]],19,0)=0,"-",VLOOKUP(B501,Baza[[№]:[Profit]],19,0)),"")</f>
        <v/>
      </c>
      <c r="V501" s="41" t="str">
        <f>IFERROR(VLOOKUP(B501,Baza[[№]:[Profit]],20,0),"")</f>
        <v/>
      </c>
      <c r="W501" s="41" t="str">
        <f>IFERROR(IF(VLOOKUP(B501,Baza[[№]:[Profit]],21,0)=0,"-",VLOOKUP(B501,Baza[[№]:[Profit]],21,0)),"")</f>
        <v/>
      </c>
      <c r="X501" s="45" t="str">
        <f>IFERROR(IF(VLOOKUP(B501,Baza[[№]:[Profit]],22,0)=0,"-",VLOOKUP(B501,Baza[[№]:[Profit]],22,0)),"")</f>
        <v/>
      </c>
      <c r="Y501" s="45" t="str">
        <f>IFERROR(VLOOKUP(B501,Baza[[№]:[Profit]],23,0),"")</f>
        <v/>
      </c>
      <c r="Z501" s="44" t="str">
        <f>IFERROR(VLOOKUP(B501,Baza[[№]:[AFS]],24,0),"")</f>
        <v/>
      </c>
      <c r="AA501" s="45" t="str">
        <f>IF(Таблица2[[#This Row],[Profit]]="","#Н/Д",SUM($Y$40:Y501))</f>
        <v>#Н/Д</v>
      </c>
      <c r="AB501" s="45" t="b">
        <f>IF(Таблица2[[#This Row],[Grafik]]="#Н/Д",FALSE,TRUE)</f>
        <v>0</v>
      </c>
    </row>
    <row r="502" spans="2:28" ht="11.1" hidden="1" customHeight="1" x14ac:dyDescent="0.25">
      <c r="B502"/>
      <c r="C502" s="41" t="str">
        <f>IFERROR(VLOOKUP(B502,Baza[[№]:[Profit]],2,0),"")</f>
        <v/>
      </c>
      <c r="D50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0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02" s="43" t="str">
        <f>IFERROR(VLOOKUP(B502,Baza[[№]:[Profit]],3,0),"")</f>
        <v/>
      </c>
      <c r="G502" s="43" t="str">
        <f>IFERROR(VLOOKUP(B502,Baza[[№]:[Profit]],4,0),"")</f>
        <v/>
      </c>
      <c r="H502" s="43" t="str">
        <f>IFERROR(VLOOKUP(B502,Baza[[№]:[Profit]],5,0),"")</f>
        <v/>
      </c>
      <c r="I502" s="46" t="str">
        <f>IFERROR(VLOOKUP(B502,Baza[[№]:[Profit]],6,0),"")</f>
        <v/>
      </c>
      <c r="J502" s="49" t="str">
        <f>IFERROR(VLOOKUP(B502,Baza[[№]:[Profit]],7,0),"")</f>
        <v/>
      </c>
      <c r="K502" s="43" t="str">
        <f>IFERROR(VLOOKUP(B502,Baza[[№]:[Profit]],8,0),"")</f>
        <v/>
      </c>
      <c r="L502" s="43" t="str">
        <f>IFERROR(VLOOKUP(B502,Baza[[№]:[Profit]],9,0),"")</f>
        <v/>
      </c>
      <c r="M502" s="43" t="str">
        <f>IFERROR(VLOOKUP(B502,Baza[[№]:[Profit]],10,0),"")</f>
        <v/>
      </c>
      <c r="N502" s="43" t="str">
        <f>IFERROR(IF(VLOOKUP(B502,Baza[[№]:[Profit]],11,0)=0,"-",VLOOKUP(B502,Baza[[№]:[Profit]],11,0)),"")</f>
        <v/>
      </c>
      <c r="O502" s="43" t="str">
        <f>IFERROR(IF(VLOOKUP(B502,Baza[[№]:[Profit]],12,0)=0,"-",VLOOKUP(B502,Baza[[№]:[Profit]],12,0)),"")</f>
        <v/>
      </c>
      <c r="P502" s="43" t="str">
        <f>IFERROR(IF(VLOOKUP(B502,Baza[[№]:[Profit]],13,0)=0,"-",VLOOKUP(B502,Baza[[№]:[Profit]],13,0)),"")</f>
        <v/>
      </c>
      <c r="Q502" s="43" t="str">
        <f>IFERROR(IF(VLOOKUP(B502,Baza[[№]:[Profit]],15,0)=0,"-",VLOOKUP(B502,Baza[[№]:[Profit]],15,0)),"")</f>
        <v/>
      </c>
      <c r="R502" s="43" t="str">
        <f>IFERROR(IF(VLOOKUP(B502,Baza[[№]:[Profit]],16,0)=0,"-",VLOOKUP(B502,Baza[[№]:[Profit]],16,0)),"")</f>
        <v/>
      </c>
      <c r="S502" s="43" t="str">
        <f>IFERROR(IF(VLOOKUP(B502,Baza[[№]:[Profit]],17,0)=0,"-",VLOOKUP(B502,Baza[[№]:[Profit]],17,0)),"")</f>
        <v/>
      </c>
      <c r="T502" s="43" t="str">
        <f>IFERROR(IF(VLOOKUP(B502,Baza[[№]:[Profit]],18,0)=0,"-",VLOOKUP(B502,Baza[[№]:[Profit]],18,0)),"")</f>
        <v/>
      </c>
      <c r="U502" s="41" t="str">
        <f>IFERROR(IF(VLOOKUP(B502,Baza[[№]:[Profit]],19,0)=0,"-",VLOOKUP(B502,Baza[[№]:[Profit]],19,0)),"")</f>
        <v/>
      </c>
      <c r="V502" s="41" t="str">
        <f>IFERROR(VLOOKUP(B502,Baza[[№]:[Profit]],20,0),"")</f>
        <v/>
      </c>
      <c r="W502" s="41" t="str">
        <f>IFERROR(IF(VLOOKUP(B502,Baza[[№]:[Profit]],21,0)=0,"-",VLOOKUP(B502,Baza[[№]:[Profit]],21,0)),"")</f>
        <v/>
      </c>
      <c r="X502" s="45" t="str">
        <f>IFERROR(IF(VLOOKUP(B502,Baza[[№]:[Profit]],22,0)=0,"-",VLOOKUP(B502,Baza[[№]:[Profit]],22,0)),"")</f>
        <v/>
      </c>
      <c r="Y502" s="45" t="str">
        <f>IFERROR(VLOOKUP(B502,Baza[[№]:[Profit]],23,0),"")</f>
        <v/>
      </c>
      <c r="Z502" s="44" t="str">
        <f>IFERROR(VLOOKUP(B502,Baza[[№]:[AFS]],24,0),"")</f>
        <v/>
      </c>
      <c r="AA502" s="45" t="str">
        <f>IF(Таблица2[[#This Row],[Profit]]="","#Н/Д",SUM($Y$40:Y502))</f>
        <v>#Н/Д</v>
      </c>
      <c r="AB502" s="45" t="b">
        <f>IF(Таблица2[[#This Row],[Grafik]]="#Н/Д",FALSE,TRUE)</f>
        <v>0</v>
      </c>
    </row>
    <row r="503" spans="2:28" ht="11.1" hidden="1" customHeight="1" x14ac:dyDescent="0.25">
      <c r="B503"/>
      <c r="C503" s="41" t="str">
        <f>IFERROR(VLOOKUP(B503,Baza[[№]:[Profit]],2,0),"")</f>
        <v/>
      </c>
      <c r="D50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0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03" s="43" t="str">
        <f>IFERROR(VLOOKUP(B503,Baza[[№]:[Profit]],3,0),"")</f>
        <v/>
      </c>
      <c r="G503" s="43" t="str">
        <f>IFERROR(VLOOKUP(B503,Baza[[№]:[Profit]],4,0),"")</f>
        <v/>
      </c>
      <c r="H503" s="43" t="str">
        <f>IFERROR(VLOOKUP(B503,Baza[[№]:[Profit]],5,0),"")</f>
        <v/>
      </c>
      <c r="I503" s="46" t="str">
        <f>IFERROR(VLOOKUP(B503,Baza[[№]:[Profit]],6,0),"")</f>
        <v/>
      </c>
      <c r="J503" s="49" t="str">
        <f>IFERROR(VLOOKUP(B503,Baza[[№]:[Profit]],7,0),"")</f>
        <v/>
      </c>
      <c r="K503" s="43" t="str">
        <f>IFERROR(VLOOKUP(B503,Baza[[№]:[Profit]],8,0),"")</f>
        <v/>
      </c>
      <c r="L503" s="43" t="str">
        <f>IFERROR(VLOOKUP(B503,Baza[[№]:[Profit]],9,0),"")</f>
        <v/>
      </c>
      <c r="M503" s="43" t="str">
        <f>IFERROR(VLOOKUP(B503,Baza[[№]:[Profit]],10,0),"")</f>
        <v/>
      </c>
      <c r="N503" s="43" t="str">
        <f>IFERROR(IF(VLOOKUP(B503,Baza[[№]:[Profit]],11,0)=0,"-",VLOOKUP(B503,Baza[[№]:[Profit]],11,0)),"")</f>
        <v/>
      </c>
      <c r="O503" s="43" t="str">
        <f>IFERROR(IF(VLOOKUP(B503,Baza[[№]:[Profit]],12,0)=0,"-",VLOOKUP(B503,Baza[[№]:[Profit]],12,0)),"")</f>
        <v/>
      </c>
      <c r="P503" s="43" t="str">
        <f>IFERROR(IF(VLOOKUP(B503,Baza[[№]:[Profit]],13,0)=0,"-",VLOOKUP(B503,Baza[[№]:[Profit]],13,0)),"")</f>
        <v/>
      </c>
      <c r="Q503" s="43" t="str">
        <f>IFERROR(IF(VLOOKUP(B503,Baza[[№]:[Profit]],15,0)=0,"-",VLOOKUP(B503,Baza[[№]:[Profit]],15,0)),"")</f>
        <v/>
      </c>
      <c r="R503" s="43" t="str">
        <f>IFERROR(IF(VLOOKUP(B503,Baza[[№]:[Profit]],16,0)=0,"-",VLOOKUP(B503,Baza[[№]:[Profit]],16,0)),"")</f>
        <v/>
      </c>
      <c r="S503" s="43" t="str">
        <f>IFERROR(IF(VLOOKUP(B503,Baza[[№]:[Profit]],17,0)=0,"-",VLOOKUP(B503,Baza[[№]:[Profit]],17,0)),"")</f>
        <v/>
      </c>
      <c r="T503" s="43" t="str">
        <f>IFERROR(IF(VLOOKUP(B503,Baza[[№]:[Profit]],18,0)=0,"-",VLOOKUP(B503,Baza[[№]:[Profit]],18,0)),"")</f>
        <v/>
      </c>
      <c r="U503" s="41" t="str">
        <f>IFERROR(IF(VLOOKUP(B503,Baza[[№]:[Profit]],19,0)=0,"-",VLOOKUP(B503,Baza[[№]:[Profit]],19,0)),"")</f>
        <v/>
      </c>
      <c r="V503" s="41" t="str">
        <f>IFERROR(VLOOKUP(B503,Baza[[№]:[Profit]],20,0),"")</f>
        <v/>
      </c>
      <c r="W503" s="41" t="str">
        <f>IFERROR(IF(VLOOKUP(B503,Baza[[№]:[Profit]],21,0)=0,"-",VLOOKUP(B503,Baza[[№]:[Profit]],21,0)),"")</f>
        <v/>
      </c>
      <c r="X503" s="45" t="str">
        <f>IFERROR(IF(VLOOKUP(B503,Baza[[№]:[Profit]],22,0)=0,"-",VLOOKUP(B503,Baza[[№]:[Profit]],22,0)),"")</f>
        <v/>
      </c>
      <c r="Y503" s="45" t="str">
        <f>IFERROR(VLOOKUP(B503,Baza[[№]:[Profit]],23,0),"")</f>
        <v/>
      </c>
      <c r="Z503" s="44" t="str">
        <f>IFERROR(VLOOKUP(B503,Baza[[№]:[AFS]],24,0),"")</f>
        <v/>
      </c>
      <c r="AA503" s="45" t="str">
        <f>IF(Таблица2[[#This Row],[Profit]]="","#Н/Д",SUM($Y$40:Y503))</f>
        <v>#Н/Д</v>
      </c>
      <c r="AB503" s="45" t="b">
        <f>IF(Таблица2[[#This Row],[Grafik]]="#Н/Д",FALSE,TRUE)</f>
        <v>0</v>
      </c>
    </row>
    <row r="504" spans="2:28" ht="11.1" hidden="1" customHeight="1" x14ac:dyDescent="0.25">
      <c r="B504"/>
      <c r="C504" s="41" t="str">
        <f>IFERROR(VLOOKUP(B504,Baza[[№]:[Profit]],2,0),"")</f>
        <v/>
      </c>
      <c r="D50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0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04" s="43" t="str">
        <f>IFERROR(VLOOKUP(B504,Baza[[№]:[Profit]],3,0),"")</f>
        <v/>
      </c>
      <c r="G504" s="43" t="str">
        <f>IFERROR(VLOOKUP(B504,Baza[[№]:[Profit]],4,0),"")</f>
        <v/>
      </c>
      <c r="H504" s="43" t="str">
        <f>IFERROR(VLOOKUP(B504,Baza[[№]:[Profit]],5,0),"")</f>
        <v/>
      </c>
      <c r="I504" s="46" t="str">
        <f>IFERROR(VLOOKUP(B504,Baza[[№]:[Profit]],6,0),"")</f>
        <v/>
      </c>
      <c r="J504" s="49" t="str">
        <f>IFERROR(VLOOKUP(B504,Baza[[№]:[Profit]],7,0),"")</f>
        <v/>
      </c>
      <c r="K504" s="43" t="str">
        <f>IFERROR(VLOOKUP(B504,Baza[[№]:[Profit]],8,0),"")</f>
        <v/>
      </c>
      <c r="L504" s="43" t="str">
        <f>IFERROR(VLOOKUP(B504,Baza[[№]:[Profit]],9,0),"")</f>
        <v/>
      </c>
      <c r="M504" s="43" t="str">
        <f>IFERROR(VLOOKUP(B504,Baza[[№]:[Profit]],10,0),"")</f>
        <v/>
      </c>
      <c r="N504" s="43" t="str">
        <f>IFERROR(IF(VLOOKUP(B504,Baza[[№]:[Profit]],11,0)=0,"-",VLOOKUP(B504,Baza[[№]:[Profit]],11,0)),"")</f>
        <v/>
      </c>
      <c r="O504" s="43" t="str">
        <f>IFERROR(IF(VLOOKUP(B504,Baza[[№]:[Profit]],12,0)=0,"-",VLOOKUP(B504,Baza[[№]:[Profit]],12,0)),"")</f>
        <v/>
      </c>
      <c r="P504" s="43" t="str">
        <f>IFERROR(IF(VLOOKUP(B504,Baza[[№]:[Profit]],13,0)=0,"-",VLOOKUP(B504,Baza[[№]:[Profit]],13,0)),"")</f>
        <v/>
      </c>
      <c r="Q504" s="43" t="str">
        <f>IFERROR(IF(VLOOKUP(B504,Baza[[№]:[Profit]],15,0)=0,"-",VLOOKUP(B504,Baza[[№]:[Profit]],15,0)),"")</f>
        <v/>
      </c>
      <c r="R504" s="43" t="str">
        <f>IFERROR(IF(VLOOKUP(B504,Baza[[№]:[Profit]],16,0)=0,"-",VLOOKUP(B504,Baza[[№]:[Profit]],16,0)),"")</f>
        <v/>
      </c>
      <c r="S504" s="43" t="str">
        <f>IFERROR(IF(VLOOKUP(B504,Baza[[№]:[Profit]],17,0)=0,"-",VLOOKUP(B504,Baza[[№]:[Profit]],17,0)),"")</f>
        <v/>
      </c>
      <c r="T504" s="43" t="str">
        <f>IFERROR(IF(VLOOKUP(B504,Baza[[№]:[Profit]],18,0)=0,"-",VLOOKUP(B504,Baza[[№]:[Profit]],18,0)),"")</f>
        <v/>
      </c>
      <c r="U504" s="41" t="str">
        <f>IFERROR(IF(VLOOKUP(B504,Baza[[№]:[Profit]],19,0)=0,"-",VLOOKUP(B504,Baza[[№]:[Profit]],19,0)),"")</f>
        <v/>
      </c>
      <c r="V504" s="41" t="str">
        <f>IFERROR(VLOOKUP(B504,Baza[[№]:[Profit]],20,0),"")</f>
        <v/>
      </c>
      <c r="W504" s="41" t="str">
        <f>IFERROR(IF(VLOOKUP(B504,Baza[[№]:[Profit]],21,0)=0,"-",VLOOKUP(B504,Baza[[№]:[Profit]],21,0)),"")</f>
        <v/>
      </c>
      <c r="X504" s="45" t="str">
        <f>IFERROR(IF(VLOOKUP(B504,Baza[[№]:[Profit]],22,0)=0,"-",VLOOKUP(B504,Baza[[№]:[Profit]],22,0)),"")</f>
        <v/>
      </c>
      <c r="Y504" s="45" t="str">
        <f>IFERROR(VLOOKUP(B504,Baza[[№]:[Profit]],23,0),"")</f>
        <v/>
      </c>
      <c r="Z504" s="44" t="str">
        <f>IFERROR(VLOOKUP(B504,Baza[[№]:[AFS]],24,0),"")</f>
        <v/>
      </c>
      <c r="AA504" s="45" t="str">
        <f>IF(Таблица2[[#This Row],[Profit]]="","#Н/Д",SUM($Y$40:Y504))</f>
        <v>#Н/Д</v>
      </c>
      <c r="AB504" s="45" t="b">
        <f>IF(Таблица2[[#This Row],[Grafik]]="#Н/Д",FALSE,TRUE)</f>
        <v>0</v>
      </c>
    </row>
    <row r="505" spans="2:28" ht="11.1" hidden="1" customHeight="1" x14ac:dyDescent="0.25">
      <c r="B505"/>
      <c r="C505" s="41" t="str">
        <f>IFERROR(VLOOKUP(B505,Baza[[№]:[Profit]],2,0),"")</f>
        <v/>
      </c>
      <c r="D50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0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05" s="43" t="str">
        <f>IFERROR(VLOOKUP(B505,Baza[[№]:[Profit]],3,0),"")</f>
        <v/>
      </c>
      <c r="G505" s="43" t="str">
        <f>IFERROR(VLOOKUP(B505,Baza[[№]:[Profit]],4,0),"")</f>
        <v/>
      </c>
      <c r="H505" s="43" t="str">
        <f>IFERROR(VLOOKUP(B505,Baza[[№]:[Profit]],5,0),"")</f>
        <v/>
      </c>
      <c r="I505" s="46" t="str">
        <f>IFERROR(VLOOKUP(B505,Baza[[№]:[Profit]],6,0),"")</f>
        <v/>
      </c>
      <c r="J505" s="49" t="str">
        <f>IFERROR(VLOOKUP(B505,Baza[[№]:[Profit]],7,0),"")</f>
        <v/>
      </c>
      <c r="K505" s="43" t="str">
        <f>IFERROR(VLOOKUP(B505,Baza[[№]:[Profit]],8,0),"")</f>
        <v/>
      </c>
      <c r="L505" s="43" t="str">
        <f>IFERROR(VLOOKUP(B505,Baza[[№]:[Profit]],9,0),"")</f>
        <v/>
      </c>
      <c r="M505" s="43" t="str">
        <f>IFERROR(VLOOKUP(B505,Baza[[№]:[Profit]],10,0),"")</f>
        <v/>
      </c>
      <c r="N505" s="43" t="str">
        <f>IFERROR(IF(VLOOKUP(B505,Baza[[№]:[Profit]],11,0)=0,"-",VLOOKUP(B505,Baza[[№]:[Profit]],11,0)),"")</f>
        <v/>
      </c>
      <c r="O505" s="43" t="str">
        <f>IFERROR(IF(VLOOKUP(B505,Baza[[№]:[Profit]],12,0)=0,"-",VLOOKUP(B505,Baza[[№]:[Profit]],12,0)),"")</f>
        <v/>
      </c>
      <c r="P505" s="43" t="str">
        <f>IFERROR(IF(VLOOKUP(B505,Baza[[№]:[Profit]],13,0)=0,"-",VLOOKUP(B505,Baza[[№]:[Profit]],13,0)),"")</f>
        <v/>
      </c>
      <c r="Q505" s="43" t="str">
        <f>IFERROR(IF(VLOOKUP(B505,Baza[[№]:[Profit]],15,0)=0,"-",VLOOKUP(B505,Baza[[№]:[Profit]],15,0)),"")</f>
        <v/>
      </c>
      <c r="R505" s="43" t="str">
        <f>IFERROR(IF(VLOOKUP(B505,Baza[[№]:[Profit]],16,0)=0,"-",VLOOKUP(B505,Baza[[№]:[Profit]],16,0)),"")</f>
        <v/>
      </c>
      <c r="S505" s="43" t="str">
        <f>IFERROR(IF(VLOOKUP(B505,Baza[[№]:[Profit]],17,0)=0,"-",VLOOKUP(B505,Baza[[№]:[Profit]],17,0)),"")</f>
        <v/>
      </c>
      <c r="T505" s="43" t="str">
        <f>IFERROR(IF(VLOOKUP(B505,Baza[[№]:[Profit]],18,0)=0,"-",VLOOKUP(B505,Baza[[№]:[Profit]],18,0)),"")</f>
        <v/>
      </c>
      <c r="U505" s="41" t="str">
        <f>IFERROR(IF(VLOOKUP(B505,Baza[[№]:[Profit]],19,0)=0,"-",VLOOKUP(B505,Baza[[№]:[Profit]],19,0)),"")</f>
        <v/>
      </c>
      <c r="V505" s="41" t="str">
        <f>IFERROR(VLOOKUP(B505,Baza[[№]:[Profit]],20,0),"")</f>
        <v/>
      </c>
      <c r="W505" s="41" t="str">
        <f>IFERROR(IF(VLOOKUP(B505,Baza[[№]:[Profit]],21,0)=0,"-",VLOOKUP(B505,Baza[[№]:[Profit]],21,0)),"")</f>
        <v/>
      </c>
      <c r="X505" s="45" t="str">
        <f>IFERROR(IF(VLOOKUP(B505,Baza[[№]:[Profit]],22,0)=0,"-",VLOOKUP(B505,Baza[[№]:[Profit]],22,0)),"")</f>
        <v/>
      </c>
      <c r="Y505" s="45" t="str">
        <f>IFERROR(VLOOKUP(B505,Baza[[№]:[Profit]],23,0),"")</f>
        <v/>
      </c>
      <c r="Z505" s="44" t="str">
        <f>IFERROR(VLOOKUP(B505,Baza[[№]:[AFS]],24,0),"")</f>
        <v/>
      </c>
      <c r="AA505" s="45" t="str">
        <f>IF(Таблица2[[#This Row],[Profit]]="","#Н/Д",SUM($Y$40:Y505))</f>
        <v>#Н/Д</v>
      </c>
      <c r="AB505" s="45" t="b">
        <f>IF(Таблица2[[#This Row],[Grafik]]="#Н/Д",FALSE,TRUE)</f>
        <v>0</v>
      </c>
    </row>
    <row r="506" spans="2:28" ht="11.1" hidden="1" customHeight="1" x14ac:dyDescent="0.25">
      <c r="B506"/>
      <c r="C506" s="41" t="str">
        <f>IFERROR(VLOOKUP(B506,Baza[[№]:[Profit]],2,0),"")</f>
        <v/>
      </c>
      <c r="D50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0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06" s="43" t="str">
        <f>IFERROR(VLOOKUP(B506,Baza[[№]:[Profit]],3,0),"")</f>
        <v/>
      </c>
      <c r="G506" s="43" t="str">
        <f>IFERROR(VLOOKUP(B506,Baza[[№]:[Profit]],4,0),"")</f>
        <v/>
      </c>
      <c r="H506" s="43" t="str">
        <f>IFERROR(VLOOKUP(B506,Baza[[№]:[Profit]],5,0),"")</f>
        <v/>
      </c>
      <c r="I506" s="46" t="str">
        <f>IFERROR(VLOOKUP(B506,Baza[[№]:[Profit]],6,0),"")</f>
        <v/>
      </c>
      <c r="J506" s="49" t="str">
        <f>IFERROR(VLOOKUP(B506,Baza[[№]:[Profit]],7,0),"")</f>
        <v/>
      </c>
      <c r="K506" s="43" t="str">
        <f>IFERROR(VLOOKUP(B506,Baza[[№]:[Profit]],8,0),"")</f>
        <v/>
      </c>
      <c r="L506" s="43" t="str">
        <f>IFERROR(VLOOKUP(B506,Baza[[№]:[Profit]],9,0),"")</f>
        <v/>
      </c>
      <c r="M506" s="43" t="str">
        <f>IFERROR(VLOOKUP(B506,Baza[[№]:[Profit]],10,0),"")</f>
        <v/>
      </c>
      <c r="N506" s="43" t="str">
        <f>IFERROR(IF(VLOOKUP(B506,Baza[[№]:[Profit]],11,0)=0,"-",VLOOKUP(B506,Baza[[№]:[Profit]],11,0)),"")</f>
        <v/>
      </c>
      <c r="O506" s="43" t="str">
        <f>IFERROR(IF(VLOOKUP(B506,Baza[[№]:[Profit]],12,0)=0,"-",VLOOKUP(B506,Baza[[№]:[Profit]],12,0)),"")</f>
        <v/>
      </c>
      <c r="P506" s="43" t="str">
        <f>IFERROR(IF(VLOOKUP(B506,Baza[[№]:[Profit]],13,0)=0,"-",VLOOKUP(B506,Baza[[№]:[Profit]],13,0)),"")</f>
        <v/>
      </c>
      <c r="Q506" s="43" t="str">
        <f>IFERROR(IF(VLOOKUP(B506,Baza[[№]:[Profit]],15,0)=0,"-",VLOOKUP(B506,Baza[[№]:[Profit]],15,0)),"")</f>
        <v/>
      </c>
      <c r="R506" s="43" t="str">
        <f>IFERROR(IF(VLOOKUP(B506,Baza[[№]:[Profit]],16,0)=0,"-",VLOOKUP(B506,Baza[[№]:[Profit]],16,0)),"")</f>
        <v/>
      </c>
      <c r="S506" s="43" t="str">
        <f>IFERROR(IF(VLOOKUP(B506,Baza[[№]:[Profit]],17,0)=0,"-",VLOOKUP(B506,Baza[[№]:[Profit]],17,0)),"")</f>
        <v/>
      </c>
      <c r="T506" s="43" t="str">
        <f>IFERROR(IF(VLOOKUP(B506,Baza[[№]:[Profit]],18,0)=0,"-",VLOOKUP(B506,Baza[[№]:[Profit]],18,0)),"")</f>
        <v/>
      </c>
      <c r="U506" s="41" t="str">
        <f>IFERROR(IF(VLOOKUP(B506,Baza[[№]:[Profit]],19,0)=0,"-",VLOOKUP(B506,Baza[[№]:[Profit]],19,0)),"")</f>
        <v/>
      </c>
      <c r="V506" s="41" t="str">
        <f>IFERROR(VLOOKUP(B506,Baza[[№]:[Profit]],20,0),"")</f>
        <v/>
      </c>
      <c r="W506" s="41" t="str">
        <f>IFERROR(IF(VLOOKUP(B506,Baza[[№]:[Profit]],21,0)=0,"-",VLOOKUP(B506,Baza[[№]:[Profit]],21,0)),"")</f>
        <v/>
      </c>
      <c r="X506" s="45" t="str">
        <f>IFERROR(IF(VLOOKUP(B506,Baza[[№]:[Profit]],22,0)=0,"-",VLOOKUP(B506,Baza[[№]:[Profit]],22,0)),"")</f>
        <v/>
      </c>
      <c r="Y506" s="45" t="str">
        <f>IFERROR(VLOOKUP(B506,Baza[[№]:[Profit]],23,0),"")</f>
        <v/>
      </c>
      <c r="Z506" s="44" t="str">
        <f>IFERROR(VLOOKUP(B506,Baza[[№]:[AFS]],24,0),"")</f>
        <v/>
      </c>
      <c r="AA506" s="45" t="str">
        <f>IF(Таблица2[[#This Row],[Profit]]="","#Н/Д",SUM($Y$40:Y506))</f>
        <v>#Н/Д</v>
      </c>
      <c r="AB506" s="45" t="b">
        <f>IF(Таблица2[[#This Row],[Grafik]]="#Н/Д",FALSE,TRUE)</f>
        <v>0</v>
      </c>
    </row>
    <row r="507" spans="2:28" ht="11.1" hidden="1" customHeight="1" x14ac:dyDescent="0.25">
      <c r="B507"/>
      <c r="C507" s="41" t="str">
        <f>IFERROR(VLOOKUP(B507,Baza[[№]:[Profit]],2,0),"")</f>
        <v/>
      </c>
      <c r="D50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0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07" s="43" t="str">
        <f>IFERROR(VLOOKUP(B507,Baza[[№]:[Profit]],3,0),"")</f>
        <v/>
      </c>
      <c r="G507" s="43" t="str">
        <f>IFERROR(VLOOKUP(B507,Baza[[№]:[Profit]],4,0),"")</f>
        <v/>
      </c>
      <c r="H507" s="43" t="str">
        <f>IFERROR(VLOOKUP(B507,Baza[[№]:[Profit]],5,0),"")</f>
        <v/>
      </c>
      <c r="I507" s="46" t="str">
        <f>IFERROR(VLOOKUP(B507,Baza[[№]:[Profit]],6,0),"")</f>
        <v/>
      </c>
      <c r="J507" s="49" t="str">
        <f>IFERROR(VLOOKUP(B507,Baza[[№]:[Profit]],7,0),"")</f>
        <v/>
      </c>
      <c r="K507" s="43" t="str">
        <f>IFERROR(VLOOKUP(B507,Baza[[№]:[Profit]],8,0),"")</f>
        <v/>
      </c>
      <c r="L507" s="43" t="str">
        <f>IFERROR(VLOOKUP(B507,Baza[[№]:[Profit]],9,0),"")</f>
        <v/>
      </c>
      <c r="M507" s="43" t="str">
        <f>IFERROR(VLOOKUP(B507,Baza[[№]:[Profit]],10,0),"")</f>
        <v/>
      </c>
      <c r="N507" s="43" t="str">
        <f>IFERROR(IF(VLOOKUP(B507,Baza[[№]:[Profit]],11,0)=0,"-",VLOOKUP(B507,Baza[[№]:[Profit]],11,0)),"")</f>
        <v/>
      </c>
      <c r="O507" s="43" t="str">
        <f>IFERROR(IF(VLOOKUP(B507,Baza[[№]:[Profit]],12,0)=0,"-",VLOOKUP(B507,Baza[[№]:[Profit]],12,0)),"")</f>
        <v/>
      </c>
      <c r="P507" s="43" t="str">
        <f>IFERROR(IF(VLOOKUP(B507,Baza[[№]:[Profit]],13,0)=0,"-",VLOOKUP(B507,Baza[[№]:[Profit]],13,0)),"")</f>
        <v/>
      </c>
      <c r="Q507" s="43" t="str">
        <f>IFERROR(IF(VLOOKUP(B507,Baza[[№]:[Profit]],15,0)=0,"-",VLOOKUP(B507,Baza[[№]:[Profit]],15,0)),"")</f>
        <v/>
      </c>
      <c r="R507" s="43" t="str">
        <f>IFERROR(IF(VLOOKUP(B507,Baza[[№]:[Profit]],16,0)=0,"-",VLOOKUP(B507,Baza[[№]:[Profit]],16,0)),"")</f>
        <v/>
      </c>
      <c r="S507" s="43" t="str">
        <f>IFERROR(IF(VLOOKUP(B507,Baza[[№]:[Profit]],17,0)=0,"-",VLOOKUP(B507,Baza[[№]:[Profit]],17,0)),"")</f>
        <v/>
      </c>
      <c r="T507" s="43" t="str">
        <f>IFERROR(IF(VLOOKUP(B507,Baza[[№]:[Profit]],18,0)=0,"-",VLOOKUP(B507,Baza[[№]:[Profit]],18,0)),"")</f>
        <v/>
      </c>
      <c r="U507" s="41" t="str">
        <f>IFERROR(IF(VLOOKUP(B507,Baza[[№]:[Profit]],19,0)=0,"-",VLOOKUP(B507,Baza[[№]:[Profit]],19,0)),"")</f>
        <v/>
      </c>
      <c r="V507" s="41" t="str">
        <f>IFERROR(VLOOKUP(B507,Baza[[№]:[Profit]],20,0),"")</f>
        <v/>
      </c>
      <c r="W507" s="41" t="str">
        <f>IFERROR(IF(VLOOKUP(B507,Baza[[№]:[Profit]],21,0)=0,"-",VLOOKUP(B507,Baza[[№]:[Profit]],21,0)),"")</f>
        <v/>
      </c>
      <c r="X507" s="45" t="str">
        <f>IFERROR(IF(VLOOKUP(B507,Baza[[№]:[Profit]],22,0)=0,"-",VLOOKUP(B507,Baza[[№]:[Profit]],22,0)),"")</f>
        <v/>
      </c>
      <c r="Y507" s="45" t="str">
        <f>IFERROR(VLOOKUP(B507,Baza[[№]:[Profit]],23,0),"")</f>
        <v/>
      </c>
      <c r="Z507" s="44" t="str">
        <f>IFERROR(VLOOKUP(B507,Baza[[№]:[AFS]],24,0),"")</f>
        <v/>
      </c>
      <c r="AA507" s="45" t="str">
        <f>IF(Таблица2[[#This Row],[Profit]]="","#Н/Д",SUM($Y$40:Y507))</f>
        <v>#Н/Д</v>
      </c>
      <c r="AB507" s="45" t="b">
        <f>IF(Таблица2[[#This Row],[Grafik]]="#Н/Д",FALSE,TRUE)</f>
        <v>0</v>
      </c>
    </row>
    <row r="508" spans="2:28" ht="11.1" hidden="1" customHeight="1" x14ac:dyDescent="0.25">
      <c r="B508"/>
      <c r="C508" s="41" t="str">
        <f>IFERROR(VLOOKUP(B508,Baza[[№]:[Profit]],2,0),"")</f>
        <v/>
      </c>
      <c r="D50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0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08" s="43" t="str">
        <f>IFERROR(VLOOKUP(B508,Baza[[№]:[Profit]],3,0),"")</f>
        <v/>
      </c>
      <c r="G508" s="43" t="str">
        <f>IFERROR(VLOOKUP(B508,Baza[[№]:[Profit]],4,0),"")</f>
        <v/>
      </c>
      <c r="H508" s="43" t="str">
        <f>IFERROR(VLOOKUP(B508,Baza[[№]:[Profit]],5,0),"")</f>
        <v/>
      </c>
      <c r="I508" s="46" t="str">
        <f>IFERROR(VLOOKUP(B508,Baza[[№]:[Profit]],6,0),"")</f>
        <v/>
      </c>
      <c r="J508" s="49" t="str">
        <f>IFERROR(VLOOKUP(B508,Baza[[№]:[Profit]],7,0),"")</f>
        <v/>
      </c>
      <c r="K508" s="43" t="str">
        <f>IFERROR(VLOOKUP(B508,Baza[[№]:[Profit]],8,0),"")</f>
        <v/>
      </c>
      <c r="L508" s="43" t="str">
        <f>IFERROR(VLOOKUP(B508,Baza[[№]:[Profit]],9,0),"")</f>
        <v/>
      </c>
      <c r="M508" s="43" t="str">
        <f>IFERROR(VLOOKUP(B508,Baza[[№]:[Profit]],10,0),"")</f>
        <v/>
      </c>
      <c r="N508" s="43" t="str">
        <f>IFERROR(IF(VLOOKUP(B508,Baza[[№]:[Profit]],11,0)=0,"-",VLOOKUP(B508,Baza[[№]:[Profit]],11,0)),"")</f>
        <v/>
      </c>
      <c r="O508" s="43" t="str">
        <f>IFERROR(IF(VLOOKUP(B508,Baza[[№]:[Profit]],12,0)=0,"-",VLOOKUP(B508,Baza[[№]:[Profit]],12,0)),"")</f>
        <v/>
      </c>
      <c r="P508" s="43" t="str">
        <f>IFERROR(IF(VLOOKUP(B508,Baza[[№]:[Profit]],13,0)=0,"-",VLOOKUP(B508,Baza[[№]:[Profit]],13,0)),"")</f>
        <v/>
      </c>
      <c r="Q508" s="43" t="str">
        <f>IFERROR(IF(VLOOKUP(B508,Baza[[№]:[Profit]],15,0)=0,"-",VLOOKUP(B508,Baza[[№]:[Profit]],15,0)),"")</f>
        <v/>
      </c>
      <c r="R508" s="43" t="str">
        <f>IFERROR(IF(VLOOKUP(B508,Baza[[№]:[Profit]],16,0)=0,"-",VLOOKUP(B508,Baza[[№]:[Profit]],16,0)),"")</f>
        <v/>
      </c>
      <c r="S508" s="43" t="str">
        <f>IFERROR(IF(VLOOKUP(B508,Baza[[№]:[Profit]],17,0)=0,"-",VLOOKUP(B508,Baza[[№]:[Profit]],17,0)),"")</f>
        <v/>
      </c>
      <c r="T508" s="43" t="str">
        <f>IFERROR(IF(VLOOKUP(B508,Baza[[№]:[Profit]],18,0)=0,"-",VLOOKUP(B508,Baza[[№]:[Profit]],18,0)),"")</f>
        <v/>
      </c>
      <c r="U508" s="41" t="str">
        <f>IFERROR(IF(VLOOKUP(B508,Baza[[№]:[Profit]],19,0)=0,"-",VLOOKUP(B508,Baza[[№]:[Profit]],19,0)),"")</f>
        <v/>
      </c>
      <c r="V508" s="41" t="str">
        <f>IFERROR(VLOOKUP(B508,Baza[[№]:[Profit]],20,0),"")</f>
        <v/>
      </c>
      <c r="W508" s="41" t="str">
        <f>IFERROR(IF(VLOOKUP(B508,Baza[[№]:[Profit]],21,0)=0,"-",VLOOKUP(B508,Baza[[№]:[Profit]],21,0)),"")</f>
        <v/>
      </c>
      <c r="X508" s="45" t="str">
        <f>IFERROR(IF(VLOOKUP(B508,Baza[[№]:[Profit]],22,0)=0,"-",VLOOKUP(B508,Baza[[№]:[Profit]],22,0)),"")</f>
        <v/>
      </c>
      <c r="Y508" s="45" t="str">
        <f>IFERROR(VLOOKUP(B508,Baza[[№]:[Profit]],23,0),"")</f>
        <v/>
      </c>
      <c r="Z508" s="44" t="str">
        <f>IFERROR(VLOOKUP(B508,Baza[[№]:[AFS]],24,0),"")</f>
        <v/>
      </c>
      <c r="AA508" s="45" t="str">
        <f>IF(Таблица2[[#This Row],[Profit]]="","#Н/Д",SUM($Y$40:Y508))</f>
        <v>#Н/Д</v>
      </c>
      <c r="AB508" s="45" t="b">
        <f>IF(Таблица2[[#This Row],[Grafik]]="#Н/Д",FALSE,TRUE)</f>
        <v>0</v>
      </c>
    </row>
    <row r="509" spans="2:28" ht="11.1" hidden="1" customHeight="1" x14ac:dyDescent="0.25">
      <c r="B509"/>
      <c r="C509" s="41" t="str">
        <f>IFERROR(VLOOKUP(B509,Baza[[№]:[Profit]],2,0),"")</f>
        <v/>
      </c>
      <c r="D50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0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09" s="43" t="str">
        <f>IFERROR(VLOOKUP(B509,Baza[[№]:[Profit]],3,0),"")</f>
        <v/>
      </c>
      <c r="G509" s="43" t="str">
        <f>IFERROR(VLOOKUP(B509,Baza[[№]:[Profit]],4,0),"")</f>
        <v/>
      </c>
      <c r="H509" s="43" t="str">
        <f>IFERROR(VLOOKUP(B509,Baza[[№]:[Profit]],5,0),"")</f>
        <v/>
      </c>
      <c r="I509" s="46" t="str">
        <f>IFERROR(VLOOKUP(B509,Baza[[№]:[Profit]],6,0),"")</f>
        <v/>
      </c>
      <c r="J509" s="49" t="str">
        <f>IFERROR(VLOOKUP(B509,Baza[[№]:[Profit]],7,0),"")</f>
        <v/>
      </c>
      <c r="K509" s="43" t="str">
        <f>IFERROR(VLOOKUP(B509,Baza[[№]:[Profit]],8,0),"")</f>
        <v/>
      </c>
      <c r="L509" s="43" t="str">
        <f>IFERROR(VLOOKUP(B509,Baza[[№]:[Profit]],9,0),"")</f>
        <v/>
      </c>
      <c r="M509" s="43" t="str">
        <f>IFERROR(VLOOKUP(B509,Baza[[№]:[Profit]],10,0),"")</f>
        <v/>
      </c>
      <c r="N509" s="43" t="str">
        <f>IFERROR(IF(VLOOKUP(B509,Baza[[№]:[Profit]],11,0)=0,"-",VLOOKUP(B509,Baza[[№]:[Profit]],11,0)),"")</f>
        <v/>
      </c>
      <c r="O509" s="43" t="str">
        <f>IFERROR(IF(VLOOKUP(B509,Baza[[№]:[Profit]],12,0)=0,"-",VLOOKUP(B509,Baza[[№]:[Profit]],12,0)),"")</f>
        <v/>
      </c>
      <c r="P509" s="43" t="str">
        <f>IFERROR(IF(VLOOKUP(B509,Baza[[№]:[Profit]],13,0)=0,"-",VLOOKUP(B509,Baza[[№]:[Profit]],13,0)),"")</f>
        <v/>
      </c>
      <c r="Q509" s="43" t="str">
        <f>IFERROR(IF(VLOOKUP(B509,Baza[[№]:[Profit]],15,0)=0,"-",VLOOKUP(B509,Baza[[№]:[Profit]],15,0)),"")</f>
        <v/>
      </c>
      <c r="R509" s="43" t="str">
        <f>IFERROR(IF(VLOOKUP(B509,Baza[[№]:[Profit]],16,0)=0,"-",VLOOKUP(B509,Baza[[№]:[Profit]],16,0)),"")</f>
        <v/>
      </c>
      <c r="S509" s="43" t="str">
        <f>IFERROR(IF(VLOOKUP(B509,Baza[[№]:[Profit]],17,0)=0,"-",VLOOKUP(B509,Baza[[№]:[Profit]],17,0)),"")</f>
        <v/>
      </c>
      <c r="T509" s="43" t="str">
        <f>IFERROR(IF(VLOOKUP(B509,Baza[[№]:[Profit]],18,0)=0,"-",VLOOKUP(B509,Baza[[№]:[Profit]],18,0)),"")</f>
        <v/>
      </c>
      <c r="U509" s="41" t="str">
        <f>IFERROR(IF(VLOOKUP(B509,Baza[[№]:[Profit]],19,0)=0,"-",VLOOKUP(B509,Baza[[№]:[Profit]],19,0)),"")</f>
        <v/>
      </c>
      <c r="V509" s="41" t="str">
        <f>IFERROR(VLOOKUP(B509,Baza[[№]:[Profit]],20,0),"")</f>
        <v/>
      </c>
      <c r="W509" s="41" t="str">
        <f>IFERROR(IF(VLOOKUP(B509,Baza[[№]:[Profit]],21,0)=0,"-",VLOOKUP(B509,Baza[[№]:[Profit]],21,0)),"")</f>
        <v/>
      </c>
      <c r="X509" s="45" t="str">
        <f>IFERROR(IF(VLOOKUP(B509,Baza[[№]:[Profit]],22,0)=0,"-",VLOOKUP(B509,Baza[[№]:[Profit]],22,0)),"")</f>
        <v/>
      </c>
      <c r="Y509" s="45" t="str">
        <f>IFERROR(VLOOKUP(B509,Baza[[№]:[Profit]],23,0),"")</f>
        <v/>
      </c>
      <c r="Z509" s="44" t="str">
        <f>IFERROR(VLOOKUP(B509,Baza[[№]:[AFS]],24,0),"")</f>
        <v/>
      </c>
      <c r="AA509" s="45" t="str">
        <f>IF(Таблица2[[#This Row],[Profit]]="","#Н/Д",SUM($Y$40:Y509))</f>
        <v>#Н/Д</v>
      </c>
      <c r="AB509" s="45" t="b">
        <f>IF(Таблица2[[#This Row],[Grafik]]="#Н/Д",FALSE,TRUE)</f>
        <v>0</v>
      </c>
    </row>
    <row r="510" spans="2:28" ht="11.1" hidden="1" customHeight="1" x14ac:dyDescent="0.25">
      <c r="B510"/>
      <c r="C510" s="41" t="str">
        <f>IFERROR(VLOOKUP(B510,Baza[[№]:[Profit]],2,0),"")</f>
        <v/>
      </c>
      <c r="D51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1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10" s="43" t="str">
        <f>IFERROR(VLOOKUP(B510,Baza[[№]:[Profit]],3,0),"")</f>
        <v/>
      </c>
      <c r="G510" s="43" t="str">
        <f>IFERROR(VLOOKUP(B510,Baza[[№]:[Profit]],4,0),"")</f>
        <v/>
      </c>
      <c r="H510" s="43" t="str">
        <f>IFERROR(VLOOKUP(B510,Baza[[№]:[Profit]],5,0),"")</f>
        <v/>
      </c>
      <c r="I510" s="46" t="str">
        <f>IFERROR(VLOOKUP(B510,Baza[[№]:[Profit]],6,0),"")</f>
        <v/>
      </c>
      <c r="J510" s="49" t="str">
        <f>IFERROR(VLOOKUP(B510,Baza[[№]:[Profit]],7,0),"")</f>
        <v/>
      </c>
      <c r="K510" s="43" t="str">
        <f>IFERROR(VLOOKUP(B510,Baza[[№]:[Profit]],8,0),"")</f>
        <v/>
      </c>
      <c r="L510" s="43" t="str">
        <f>IFERROR(VLOOKUP(B510,Baza[[№]:[Profit]],9,0),"")</f>
        <v/>
      </c>
      <c r="M510" s="43" t="str">
        <f>IFERROR(VLOOKUP(B510,Baza[[№]:[Profit]],10,0),"")</f>
        <v/>
      </c>
      <c r="N510" s="43" t="str">
        <f>IFERROR(IF(VLOOKUP(B510,Baza[[№]:[Profit]],11,0)=0,"-",VLOOKUP(B510,Baza[[№]:[Profit]],11,0)),"")</f>
        <v/>
      </c>
      <c r="O510" s="43" t="str">
        <f>IFERROR(IF(VLOOKUP(B510,Baza[[№]:[Profit]],12,0)=0,"-",VLOOKUP(B510,Baza[[№]:[Profit]],12,0)),"")</f>
        <v/>
      </c>
      <c r="P510" s="43" t="str">
        <f>IFERROR(IF(VLOOKUP(B510,Baza[[№]:[Profit]],13,0)=0,"-",VLOOKUP(B510,Baza[[№]:[Profit]],13,0)),"")</f>
        <v/>
      </c>
      <c r="Q510" s="43" t="str">
        <f>IFERROR(IF(VLOOKUP(B510,Baza[[№]:[Profit]],15,0)=0,"-",VLOOKUP(B510,Baza[[№]:[Profit]],15,0)),"")</f>
        <v/>
      </c>
      <c r="R510" s="43" t="str">
        <f>IFERROR(IF(VLOOKUP(B510,Baza[[№]:[Profit]],16,0)=0,"-",VLOOKUP(B510,Baza[[№]:[Profit]],16,0)),"")</f>
        <v/>
      </c>
      <c r="S510" s="43" t="str">
        <f>IFERROR(IF(VLOOKUP(B510,Baza[[№]:[Profit]],17,0)=0,"-",VLOOKUP(B510,Baza[[№]:[Profit]],17,0)),"")</f>
        <v/>
      </c>
      <c r="T510" s="43" t="str">
        <f>IFERROR(IF(VLOOKUP(B510,Baza[[№]:[Profit]],18,0)=0,"-",VLOOKUP(B510,Baza[[№]:[Profit]],18,0)),"")</f>
        <v/>
      </c>
      <c r="U510" s="41" t="str">
        <f>IFERROR(IF(VLOOKUP(B510,Baza[[№]:[Profit]],19,0)=0,"-",VLOOKUP(B510,Baza[[№]:[Profit]],19,0)),"")</f>
        <v/>
      </c>
      <c r="V510" s="41" t="str">
        <f>IFERROR(VLOOKUP(B510,Baza[[№]:[Profit]],20,0),"")</f>
        <v/>
      </c>
      <c r="W510" s="41" t="str">
        <f>IFERROR(IF(VLOOKUP(B510,Baza[[№]:[Profit]],21,0)=0,"-",VLOOKUP(B510,Baza[[№]:[Profit]],21,0)),"")</f>
        <v/>
      </c>
      <c r="X510" s="45" t="str">
        <f>IFERROR(IF(VLOOKUP(B510,Baza[[№]:[Profit]],22,0)=0,"-",VLOOKUP(B510,Baza[[№]:[Profit]],22,0)),"")</f>
        <v/>
      </c>
      <c r="Y510" s="45" t="str">
        <f>IFERROR(VLOOKUP(B510,Baza[[№]:[Profit]],23,0),"")</f>
        <v/>
      </c>
      <c r="Z510" s="44" t="str">
        <f>IFERROR(VLOOKUP(B510,Baza[[№]:[AFS]],24,0),"")</f>
        <v/>
      </c>
      <c r="AA510" s="45" t="str">
        <f>IF(Таблица2[[#This Row],[Profit]]="","#Н/Д",SUM($Y$40:Y510))</f>
        <v>#Н/Д</v>
      </c>
      <c r="AB510" s="45" t="b">
        <f>IF(Таблица2[[#This Row],[Grafik]]="#Н/Д",FALSE,TRUE)</f>
        <v>0</v>
      </c>
    </row>
    <row r="511" spans="2:28" ht="11.1" hidden="1" customHeight="1" x14ac:dyDescent="0.25">
      <c r="B511"/>
      <c r="C511" s="41" t="str">
        <f>IFERROR(VLOOKUP(B511,Baza[[№]:[Profit]],2,0),"")</f>
        <v/>
      </c>
      <c r="D51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1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11" s="43" t="str">
        <f>IFERROR(VLOOKUP(B511,Baza[[№]:[Profit]],3,0),"")</f>
        <v/>
      </c>
      <c r="G511" s="43" t="str">
        <f>IFERROR(VLOOKUP(B511,Baza[[№]:[Profit]],4,0),"")</f>
        <v/>
      </c>
      <c r="H511" s="43" t="str">
        <f>IFERROR(VLOOKUP(B511,Baza[[№]:[Profit]],5,0),"")</f>
        <v/>
      </c>
      <c r="I511" s="46" t="str">
        <f>IFERROR(VLOOKUP(B511,Baza[[№]:[Profit]],6,0),"")</f>
        <v/>
      </c>
      <c r="J511" s="49" t="str">
        <f>IFERROR(VLOOKUP(B511,Baza[[№]:[Profit]],7,0),"")</f>
        <v/>
      </c>
      <c r="K511" s="43" t="str">
        <f>IFERROR(VLOOKUP(B511,Baza[[№]:[Profit]],8,0),"")</f>
        <v/>
      </c>
      <c r="L511" s="43" t="str">
        <f>IFERROR(VLOOKUP(B511,Baza[[№]:[Profit]],9,0),"")</f>
        <v/>
      </c>
      <c r="M511" s="43" t="str">
        <f>IFERROR(VLOOKUP(B511,Baza[[№]:[Profit]],10,0),"")</f>
        <v/>
      </c>
      <c r="N511" s="43" t="str">
        <f>IFERROR(IF(VLOOKUP(B511,Baza[[№]:[Profit]],11,0)=0,"-",VLOOKUP(B511,Baza[[№]:[Profit]],11,0)),"")</f>
        <v/>
      </c>
      <c r="O511" s="43" t="str">
        <f>IFERROR(IF(VLOOKUP(B511,Baza[[№]:[Profit]],12,0)=0,"-",VLOOKUP(B511,Baza[[№]:[Profit]],12,0)),"")</f>
        <v/>
      </c>
      <c r="P511" s="43" t="str">
        <f>IFERROR(IF(VLOOKUP(B511,Baza[[№]:[Profit]],13,0)=0,"-",VLOOKUP(B511,Baza[[№]:[Profit]],13,0)),"")</f>
        <v/>
      </c>
      <c r="Q511" s="43" t="str">
        <f>IFERROR(IF(VLOOKUP(B511,Baza[[№]:[Profit]],15,0)=0,"-",VLOOKUP(B511,Baza[[№]:[Profit]],15,0)),"")</f>
        <v/>
      </c>
      <c r="R511" s="43" t="str">
        <f>IFERROR(IF(VLOOKUP(B511,Baza[[№]:[Profit]],16,0)=0,"-",VLOOKUP(B511,Baza[[№]:[Profit]],16,0)),"")</f>
        <v/>
      </c>
      <c r="S511" s="43" t="str">
        <f>IFERROR(IF(VLOOKUP(B511,Baza[[№]:[Profit]],17,0)=0,"-",VLOOKUP(B511,Baza[[№]:[Profit]],17,0)),"")</f>
        <v/>
      </c>
      <c r="T511" s="43" t="str">
        <f>IFERROR(IF(VLOOKUP(B511,Baza[[№]:[Profit]],18,0)=0,"-",VLOOKUP(B511,Baza[[№]:[Profit]],18,0)),"")</f>
        <v/>
      </c>
      <c r="U511" s="41" t="str">
        <f>IFERROR(IF(VLOOKUP(B511,Baza[[№]:[Profit]],19,0)=0,"-",VLOOKUP(B511,Baza[[№]:[Profit]],19,0)),"")</f>
        <v/>
      </c>
      <c r="V511" s="41" t="str">
        <f>IFERROR(VLOOKUP(B511,Baza[[№]:[Profit]],20,0),"")</f>
        <v/>
      </c>
      <c r="W511" s="41" t="str">
        <f>IFERROR(IF(VLOOKUP(B511,Baza[[№]:[Profit]],21,0)=0,"-",VLOOKUP(B511,Baza[[№]:[Profit]],21,0)),"")</f>
        <v/>
      </c>
      <c r="X511" s="45" t="str">
        <f>IFERROR(IF(VLOOKUP(B511,Baza[[№]:[Profit]],22,0)=0,"-",VLOOKUP(B511,Baza[[№]:[Profit]],22,0)),"")</f>
        <v/>
      </c>
      <c r="Y511" s="45" t="str">
        <f>IFERROR(VLOOKUP(B511,Baza[[№]:[Profit]],23,0),"")</f>
        <v/>
      </c>
      <c r="Z511" s="44" t="str">
        <f>IFERROR(VLOOKUP(B511,Baza[[№]:[AFS]],24,0),"")</f>
        <v/>
      </c>
      <c r="AA511" s="45" t="str">
        <f>IF(Таблица2[[#This Row],[Profit]]="","#Н/Д",SUM($Y$40:Y511))</f>
        <v>#Н/Д</v>
      </c>
      <c r="AB511" s="45" t="b">
        <f>IF(Таблица2[[#This Row],[Grafik]]="#Н/Д",FALSE,TRUE)</f>
        <v>0</v>
      </c>
    </row>
    <row r="512" spans="2:28" ht="11.1" hidden="1" customHeight="1" x14ac:dyDescent="0.25">
      <c r="B512"/>
      <c r="C512" s="41" t="str">
        <f>IFERROR(VLOOKUP(B512,Baza[[№]:[Profit]],2,0),"")</f>
        <v/>
      </c>
      <c r="D51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1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12" s="43" t="str">
        <f>IFERROR(VLOOKUP(B512,Baza[[№]:[Profit]],3,0),"")</f>
        <v/>
      </c>
      <c r="G512" s="43" t="str">
        <f>IFERROR(VLOOKUP(B512,Baza[[№]:[Profit]],4,0),"")</f>
        <v/>
      </c>
      <c r="H512" s="43" t="str">
        <f>IFERROR(VLOOKUP(B512,Baza[[№]:[Profit]],5,0),"")</f>
        <v/>
      </c>
      <c r="I512" s="46" t="str">
        <f>IFERROR(VLOOKUP(B512,Baza[[№]:[Profit]],6,0),"")</f>
        <v/>
      </c>
      <c r="J512" s="49" t="str">
        <f>IFERROR(VLOOKUP(B512,Baza[[№]:[Profit]],7,0),"")</f>
        <v/>
      </c>
      <c r="K512" s="43" t="str">
        <f>IFERROR(VLOOKUP(B512,Baza[[№]:[Profit]],8,0),"")</f>
        <v/>
      </c>
      <c r="L512" s="43" t="str">
        <f>IFERROR(VLOOKUP(B512,Baza[[№]:[Profit]],9,0),"")</f>
        <v/>
      </c>
      <c r="M512" s="43" t="str">
        <f>IFERROR(VLOOKUP(B512,Baza[[№]:[Profit]],10,0),"")</f>
        <v/>
      </c>
      <c r="N512" s="43" t="str">
        <f>IFERROR(IF(VLOOKUP(B512,Baza[[№]:[Profit]],11,0)=0,"-",VLOOKUP(B512,Baza[[№]:[Profit]],11,0)),"")</f>
        <v/>
      </c>
      <c r="O512" s="43" t="str">
        <f>IFERROR(IF(VLOOKUP(B512,Baza[[№]:[Profit]],12,0)=0,"-",VLOOKUP(B512,Baza[[№]:[Profit]],12,0)),"")</f>
        <v/>
      </c>
      <c r="P512" s="43" t="str">
        <f>IFERROR(IF(VLOOKUP(B512,Baza[[№]:[Profit]],13,0)=0,"-",VLOOKUP(B512,Baza[[№]:[Profit]],13,0)),"")</f>
        <v/>
      </c>
      <c r="Q512" s="43" t="str">
        <f>IFERROR(IF(VLOOKUP(B512,Baza[[№]:[Profit]],15,0)=0,"-",VLOOKUP(B512,Baza[[№]:[Profit]],15,0)),"")</f>
        <v/>
      </c>
      <c r="R512" s="43" t="str">
        <f>IFERROR(IF(VLOOKUP(B512,Baza[[№]:[Profit]],16,0)=0,"-",VLOOKUP(B512,Baza[[№]:[Profit]],16,0)),"")</f>
        <v/>
      </c>
      <c r="S512" s="43" t="str">
        <f>IFERROR(IF(VLOOKUP(B512,Baza[[№]:[Profit]],17,0)=0,"-",VLOOKUP(B512,Baza[[№]:[Profit]],17,0)),"")</f>
        <v/>
      </c>
      <c r="T512" s="43" t="str">
        <f>IFERROR(IF(VLOOKUP(B512,Baza[[№]:[Profit]],18,0)=0,"-",VLOOKUP(B512,Baza[[№]:[Profit]],18,0)),"")</f>
        <v/>
      </c>
      <c r="U512" s="41" t="str">
        <f>IFERROR(IF(VLOOKUP(B512,Baza[[№]:[Profit]],19,0)=0,"-",VLOOKUP(B512,Baza[[№]:[Profit]],19,0)),"")</f>
        <v/>
      </c>
      <c r="V512" s="41" t="str">
        <f>IFERROR(VLOOKUP(B512,Baza[[№]:[Profit]],20,0),"")</f>
        <v/>
      </c>
      <c r="W512" s="41" t="str">
        <f>IFERROR(IF(VLOOKUP(B512,Baza[[№]:[Profit]],21,0)=0,"-",VLOOKUP(B512,Baza[[№]:[Profit]],21,0)),"")</f>
        <v/>
      </c>
      <c r="X512" s="45" t="str">
        <f>IFERROR(IF(VLOOKUP(B512,Baza[[№]:[Profit]],22,0)=0,"-",VLOOKUP(B512,Baza[[№]:[Profit]],22,0)),"")</f>
        <v/>
      </c>
      <c r="Y512" s="45" t="str">
        <f>IFERROR(VLOOKUP(B512,Baza[[№]:[Profit]],23,0),"")</f>
        <v/>
      </c>
      <c r="Z512" s="44" t="str">
        <f>IFERROR(VLOOKUP(B512,Baza[[№]:[AFS]],24,0),"")</f>
        <v/>
      </c>
      <c r="AA512" s="45" t="str">
        <f>IF(Таблица2[[#This Row],[Profit]]="","#Н/Д",SUM($Y$40:Y512))</f>
        <v>#Н/Д</v>
      </c>
      <c r="AB512" s="45" t="b">
        <f>IF(Таблица2[[#This Row],[Grafik]]="#Н/Д",FALSE,TRUE)</f>
        <v>0</v>
      </c>
    </row>
    <row r="513" spans="2:28" ht="11.1" hidden="1" customHeight="1" x14ac:dyDescent="0.25">
      <c r="B513"/>
      <c r="C513" s="41" t="str">
        <f>IFERROR(VLOOKUP(B513,Baza[[№]:[Profit]],2,0),"")</f>
        <v/>
      </c>
      <c r="D51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1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13" s="43" t="str">
        <f>IFERROR(VLOOKUP(B513,Baza[[№]:[Profit]],3,0),"")</f>
        <v/>
      </c>
      <c r="G513" s="43" t="str">
        <f>IFERROR(VLOOKUP(B513,Baza[[№]:[Profit]],4,0),"")</f>
        <v/>
      </c>
      <c r="H513" s="43" t="str">
        <f>IFERROR(VLOOKUP(B513,Baza[[№]:[Profit]],5,0),"")</f>
        <v/>
      </c>
      <c r="I513" s="46" t="str">
        <f>IFERROR(VLOOKUP(B513,Baza[[№]:[Profit]],6,0),"")</f>
        <v/>
      </c>
      <c r="J513" s="49" t="str">
        <f>IFERROR(VLOOKUP(B513,Baza[[№]:[Profit]],7,0),"")</f>
        <v/>
      </c>
      <c r="K513" s="43" t="str">
        <f>IFERROR(VLOOKUP(B513,Baza[[№]:[Profit]],8,0),"")</f>
        <v/>
      </c>
      <c r="L513" s="43" t="str">
        <f>IFERROR(VLOOKUP(B513,Baza[[№]:[Profit]],9,0),"")</f>
        <v/>
      </c>
      <c r="M513" s="43" t="str">
        <f>IFERROR(VLOOKUP(B513,Baza[[№]:[Profit]],10,0),"")</f>
        <v/>
      </c>
      <c r="N513" s="43" t="str">
        <f>IFERROR(IF(VLOOKUP(B513,Baza[[№]:[Profit]],11,0)=0,"-",VLOOKUP(B513,Baza[[№]:[Profit]],11,0)),"")</f>
        <v/>
      </c>
      <c r="O513" s="43" t="str">
        <f>IFERROR(IF(VLOOKUP(B513,Baza[[№]:[Profit]],12,0)=0,"-",VLOOKUP(B513,Baza[[№]:[Profit]],12,0)),"")</f>
        <v/>
      </c>
      <c r="P513" s="43" t="str">
        <f>IFERROR(IF(VLOOKUP(B513,Baza[[№]:[Profit]],13,0)=0,"-",VLOOKUP(B513,Baza[[№]:[Profit]],13,0)),"")</f>
        <v/>
      </c>
      <c r="Q513" s="43" t="str">
        <f>IFERROR(IF(VLOOKUP(B513,Baza[[№]:[Profit]],15,0)=0,"-",VLOOKUP(B513,Baza[[№]:[Profit]],15,0)),"")</f>
        <v/>
      </c>
      <c r="R513" s="43" t="str">
        <f>IFERROR(IF(VLOOKUP(B513,Baza[[№]:[Profit]],16,0)=0,"-",VLOOKUP(B513,Baza[[№]:[Profit]],16,0)),"")</f>
        <v/>
      </c>
      <c r="S513" s="43" t="str">
        <f>IFERROR(IF(VLOOKUP(B513,Baza[[№]:[Profit]],17,0)=0,"-",VLOOKUP(B513,Baza[[№]:[Profit]],17,0)),"")</f>
        <v/>
      </c>
      <c r="T513" s="43" t="str">
        <f>IFERROR(IF(VLOOKUP(B513,Baza[[№]:[Profit]],18,0)=0,"-",VLOOKUP(B513,Baza[[№]:[Profit]],18,0)),"")</f>
        <v/>
      </c>
      <c r="U513" s="41" t="str">
        <f>IFERROR(IF(VLOOKUP(B513,Baza[[№]:[Profit]],19,0)=0,"-",VLOOKUP(B513,Baza[[№]:[Profit]],19,0)),"")</f>
        <v/>
      </c>
      <c r="V513" s="41" t="str">
        <f>IFERROR(VLOOKUP(B513,Baza[[№]:[Profit]],20,0),"")</f>
        <v/>
      </c>
      <c r="W513" s="41" t="str">
        <f>IFERROR(IF(VLOOKUP(B513,Baza[[№]:[Profit]],21,0)=0,"-",VLOOKUP(B513,Baza[[№]:[Profit]],21,0)),"")</f>
        <v/>
      </c>
      <c r="X513" s="45" t="str">
        <f>IFERROR(IF(VLOOKUP(B513,Baza[[№]:[Profit]],22,0)=0,"-",VLOOKUP(B513,Baza[[№]:[Profit]],22,0)),"")</f>
        <v/>
      </c>
      <c r="Y513" s="45" t="str">
        <f>IFERROR(VLOOKUP(B513,Baza[[№]:[Profit]],23,0),"")</f>
        <v/>
      </c>
      <c r="Z513" s="44" t="str">
        <f>IFERROR(VLOOKUP(B513,Baza[[№]:[AFS]],24,0),"")</f>
        <v/>
      </c>
      <c r="AA513" s="45" t="str">
        <f>IF(Таблица2[[#This Row],[Profit]]="","#Н/Д",SUM($Y$40:Y513))</f>
        <v>#Н/Д</v>
      </c>
      <c r="AB513" s="45" t="b">
        <f>IF(Таблица2[[#This Row],[Grafik]]="#Н/Д",FALSE,TRUE)</f>
        <v>0</v>
      </c>
    </row>
    <row r="514" spans="2:28" ht="11.1" hidden="1" customHeight="1" x14ac:dyDescent="0.25">
      <c r="B514"/>
      <c r="C514" s="41" t="str">
        <f>IFERROR(VLOOKUP(B514,Baza[[№]:[Profit]],2,0),"")</f>
        <v/>
      </c>
      <c r="D51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1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14" s="43" t="str">
        <f>IFERROR(VLOOKUP(B514,Baza[[№]:[Profit]],3,0),"")</f>
        <v/>
      </c>
      <c r="G514" s="43" t="str">
        <f>IFERROR(VLOOKUP(B514,Baza[[№]:[Profit]],4,0),"")</f>
        <v/>
      </c>
      <c r="H514" s="43" t="str">
        <f>IFERROR(VLOOKUP(B514,Baza[[№]:[Profit]],5,0),"")</f>
        <v/>
      </c>
      <c r="I514" s="46" t="str">
        <f>IFERROR(VLOOKUP(B514,Baza[[№]:[Profit]],6,0),"")</f>
        <v/>
      </c>
      <c r="J514" s="49" t="str">
        <f>IFERROR(VLOOKUP(B514,Baza[[№]:[Profit]],7,0),"")</f>
        <v/>
      </c>
      <c r="K514" s="43" t="str">
        <f>IFERROR(VLOOKUP(B514,Baza[[№]:[Profit]],8,0),"")</f>
        <v/>
      </c>
      <c r="L514" s="43" t="str">
        <f>IFERROR(VLOOKUP(B514,Baza[[№]:[Profit]],9,0),"")</f>
        <v/>
      </c>
      <c r="M514" s="43" t="str">
        <f>IFERROR(VLOOKUP(B514,Baza[[№]:[Profit]],10,0),"")</f>
        <v/>
      </c>
      <c r="N514" s="43" t="str">
        <f>IFERROR(IF(VLOOKUP(B514,Baza[[№]:[Profit]],11,0)=0,"-",VLOOKUP(B514,Baza[[№]:[Profit]],11,0)),"")</f>
        <v/>
      </c>
      <c r="O514" s="43" t="str">
        <f>IFERROR(IF(VLOOKUP(B514,Baza[[№]:[Profit]],12,0)=0,"-",VLOOKUP(B514,Baza[[№]:[Profit]],12,0)),"")</f>
        <v/>
      </c>
      <c r="P514" s="43" t="str">
        <f>IFERROR(IF(VLOOKUP(B514,Baza[[№]:[Profit]],13,0)=0,"-",VLOOKUP(B514,Baza[[№]:[Profit]],13,0)),"")</f>
        <v/>
      </c>
      <c r="Q514" s="43" t="str">
        <f>IFERROR(IF(VLOOKUP(B514,Baza[[№]:[Profit]],15,0)=0,"-",VLOOKUP(B514,Baza[[№]:[Profit]],15,0)),"")</f>
        <v/>
      </c>
      <c r="R514" s="43" t="str">
        <f>IFERROR(IF(VLOOKUP(B514,Baza[[№]:[Profit]],16,0)=0,"-",VLOOKUP(B514,Baza[[№]:[Profit]],16,0)),"")</f>
        <v/>
      </c>
      <c r="S514" s="43" t="str">
        <f>IFERROR(IF(VLOOKUP(B514,Baza[[№]:[Profit]],17,0)=0,"-",VLOOKUP(B514,Baza[[№]:[Profit]],17,0)),"")</f>
        <v/>
      </c>
      <c r="T514" s="43" t="str">
        <f>IFERROR(IF(VLOOKUP(B514,Baza[[№]:[Profit]],18,0)=0,"-",VLOOKUP(B514,Baza[[№]:[Profit]],18,0)),"")</f>
        <v/>
      </c>
      <c r="U514" s="41" t="str">
        <f>IFERROR(IF(VLOOKUP(B514,Baza[[№]:[Profit]],19,0)=0,"-",VLOOKUP(B514,Baza[[№]:[Profit]],19,0)),"")</f>
        <v/>
      </c>
      <c r="V514" s="41" t="str">
        <f>IFERROR(VLOOKUP(B514,Baza[[№]:[Profit]],20,0),"")</f>
        <v/>
      </c>
      <c r="W514" s="41" t="str">
        <f>IFERROR(IF(VLOOKUP(B514,Baza[[№]:[Profit]],21,0)=0,"-",VLOOKUP(B514,Baza[[№]:[Profit]],21,0)),"")</f>
        <v/>
      </c>
      <c r="X514" s="45" t="str">
        <f>IFERROR(IF(VLOOKUP(B514,Baza[[№]:[Profit]],22,0)=0,"-",VLOOKUP(B514,Baza[[№]:[Profit]],22,0)),"")</f>
        <v/>
      </c>
      <c r="Y514" s="45" t="str">
        <f>IFERROR(VLOOKUP(B514,Baza[[№]:[Profit]],23,0),"")</f>
        <v/>
      </c>
      <c r="Z514" s="44" t="str">
        <f>IFERROR(VLOOKUP(B514,Baza[[№]:[AFS]],24,0),"")</f>
        <v/>
      </c>
      <c r="AA514" s="45" t="str">
        <f>IF(Таблица2[[#This Row],[Profit]]="","#Н/Д",SUM($Y$40:Y514))</f>
        <v>#Н/Д</v>
      </c>
      <c r="AB514" s="45" t="b">
        <f>IF(Таблица2[[#This Row],[Grafik]]="#Н/Д",FALSE,TRUE)</f>
        <v>0</v>
      </c>
    </row>
    <row r="515" spans="2:28" ht="11.1" hidden="1" customHeight="1" x14ac:dyDescent="0.25">
      <c r="B515"/>
      <c r="C515" s="41" t="str">
        <f>IFERROR(VLOOKUP(B515,Baza[[№]:[Profit]],2,0),"")</f>
        <v/>
      </c>
      <c r="D51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1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15" s="43" t="str">
        <f>IFERROR(VLOOKUP(B515,Baza[[№]:[Profit]],3,0),"")</f>
        <v/>
      </c>
      <c r="G515" s="43" t="str">
        <f>IFERROR(VLOOKUP(B515,Baza[[№]:[Profit]],4,0),"")</f>
        <v/>
      </c>
      <c r="H515" s="43" t="str">
        <f>IFERROR(VLOOKUP(B515,Baza[[№]:[Profit]],5,0),"")</f>
        <v/>
      </c>
      <c r="I515" s="46" t="str">
        <f>IFERROR(VLOOKUP(B515,Baza[[№]:[Profit]],6,0),"")</f>
        <v/>
      </c>
      <c r="J515" s="49" t="str">
        <f>IFERROR(VLOOKUP(B515,Baza[[№]:[Profit]],7,0),"")</f>
        <v/>
      </c>
      <c r="K515" s="43" t="str">
        <f>IFERROR(VLOOKUP(B515,Baza[[№]:[Profit]],8,0),"")</f>
        <v/>
      </c>
      <c r="L515" s="43" t="str">
        <f>IFERROR(VLOOKUP(B515,Baza[[№]:[Profit]],9,0),"")</f>
        <v/>
      </c>
      <c r="M515" s="43" t="str">
        <f>IFERROR(VLOOKUP(B515,Baza[[№]:[Profit]],10,0),"")</f>
        <v/>
      </c>
      <c r="N515" s="43" t="str">
        <f>IFERROR(IF(VLOOKUP(B515,Baza[[№]:[Profit]],11,0)=0,"-",VLOOKUP(B515,Baza[[№]:[Profit]],11,0)),"")</f>
        <v/>
      </c>
      <c r="O515" s="43" t="str">
        <f>IFERROR(IF(VLOOKUP(B515,Baza[[№]:[Profit]],12,0)=0,"-",VLOOKUP(B515,Baza[[№]:[Profit]],12,0)),"")</f>
        <v/>
      </c>
      <c r="P515" s="43" t="str">
        <f>IFERROR(IF(VLOOKUP(B515,Baza[[№]:[Profit]],13,0)=0,"-",VLOOKUP(B515,Baza[[№]:[Profit]],13,0)),"")</f>
        <v/>
      </c>
      <c r="Q515" s="43" t="str">
        <f>IFERROR(IF(VLOOKUP(B515,Baza[[№]:[Profit]],15,0)=0,"-",VLOOKUP(B515,Baza[[№]:[Profit]],15,0)),"")</f>
        <v/>
      </c>
      <c r="R515" s="43" t="str">
        <f>IFERROR(IF(VLOOKUP(B515,Baza[[№]:[Profit]],16,0)=0,"-",VLOOKUP(B515,Baza[[№]:[Profit]],16,0)),"")</f>
        <v/>
      </c>
      <c r="S515" s="43" t="str">
        <f>IFERROR(IF(VLOOKUP(B515,Baza[[№]:[Profit]],17,0)=0,"-",VLOOKUP(B515,Baza[[№]:[Profit]],17,0)),"")</f>
        <v/>
      </c>
      <c r="T515" s="43" t="str">
        <f>IFERROR(IF(VLOOKUP(B515,Baza[[№]:[Profit]],18,0)=0,"-",VLOOKUP(B515,Baza[[№]:[Profit]],18,0)),"")</f>
        <v/>
      </c>
      <c r="U515" s="41" t="str">
        <f>IFERROR(IF(VLOOKUP(B515,Baza[[№]:[Profit]],19,0)=0,"-",VLOOKUP(B515,Baza[[№]:[Profit]],19,0)),"")</f>
        <v/>
      </c>
      <c r="V515" s="41" t="str">
        <f>IFERROR(VLOOKUP(B515,Baza[[№]:[Profit]],20,0),"")</f>
        <v/>
      </c>
      <c r="W515" s="41" t="str">
        <f>IFERROR(IF(VLOOKUP(B515,Baza[[№]:[Profit]],21,0)=0,"-",VLOOKUP(B515,Baza[[№]:[Profit]],21,0)),"")</f>
        <v/>
      </c>
      <c r="X515" s="45" t="str">
        <f>IFERROR(IF(VLOOKUP(B515,Baza[[№]:[Profit]],22,0)=0,"-",VLOOKUP(B515,Baza[[№]:[Profit]],22,0)),"")</f>
        <v/>
      </c>
      <c r="Y515" s="45" t="str">
        <f>IFERROR(VLOOKUP(B515,Baza[[№]:[Profit]],23,0),"")</f>
        <v/>
      </c>
      <c r="Z515" s="44" t="str">
        <f>IFERROR(VLOOKUP(B515,Baza[[№]:[AFS]],24,0),"")</f>
        <v/>
      </c>
      <c r="AA515" s="45" t="str">
        <f>IF(Таблица2[[#This Row],[Profit]]="","#Н/Д",SUM($Y$40:Y515))</f>
        <v>#Н/Д</v>
      </c>
      <c r="AB515" s="45" t="b">
        <f>IF(Таблица2[[#This Row],[Grafik]]="#Н/Д",FALSE,TRUE)</f>
        <v>0</v>
      </c>
    </row>
    <row r="516" spans="2:28" ht="11.1" hidden="1" customHeight="1" x14ac:dyDescent="0.25">
      <c r="B516"/>
      <c r="C516" s="41" t="str">
        <f>IFERROR(VLOOKUP(B516,Baza[[№]:[Profit]],2,0),"")</f>
        <v/>
      </c>
      <c r="D51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1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16" s="43" t="str">
        <f>IFERROR(VLOOKUP(B516,Baza[[№]:[Profit]],3,0),"")</f>
        <v/>
      </c>
      <c r="G516" s="43" t="str">
        <f>IFERROR(VLOOKUP(B516,Baza[[№]:[Profit]],4,0),"")</f>
        <v/>
      </c>
      <c r="H516" s="43" t="str">
        <f>IFERROR(VLOOKUP(B516,Baza[[№]:[Profit]],5,0),"")</f>
        <v/>
      </c>
      <c r="I516" s="46" t="str">
        <f>IFERROR(VLOOKUP(B516,Baza[[№]:[Profit]],6,0),"")</f>
        <v/>
      </c>
      <c r="J516" s="49" t="str">
        <f>IFERROR(VLOOKUP(B516,Baza[[№]:[Profit]],7,0),"")</f>
        <v/>
      </c>
      <c r="K516" s="43" t="str">
        <f>IFERROR(VLOOKUP(B516,Baza[[№]:[Profit]],8,0),"")</f>
        <v/>
      </c>
      <c r="L516" s="43" t="str">
        <f>IFERROR(VLOOKUP(B516,Baza[[№]:[Profit]],9,0),"")</f>
        <v/>
      </c>
      <c r="M516" s="43" t="str">
        <f>IFERROR(VLOOKUP(B516,Baza[[№]:[Profit]],10,0),"")</f>
        <v/>
      </c>
      <c r="N516" s="43" t="str">
        <f>IFERROR(IF(VLOOKUP(B516,Baza[[№]:[Profit]],11,0)=0,"-",VLOOKUP(B516,Baza[[№]:[Profit]],11,0)),"")</f>
        <v/>
      </c>
      <c r="O516" s="43" t="str">
        <f>IFERROR(IF(VLOOKUP(B516,Baza[[№]:[Profit]],12,0)=0,"-",VLOOKUP(B516,Baza[[№]:[Profit]],12,0)),"")</f>
        <v/>
      </c>
      <c r="P516" s="43" t="str">
        <f>IFERROR(IF(VLOOKUP(B516,Baza[[№]:[Profit]],13,0)=0,"-",VLOOKUP(B516,Baza[[№]:[Profit]],13,0)),"")</f>
        <v/>
      </c>
      <c r="Q516" s="43" t="str">
        <f>IFERROR(IF(VLOOKUP(B516,Baza[[№]:[Profit]],15,0)=0,"-",VLOOKUP(B516,Baza[[№]:[Profit]],15,0)),"")</f>
        <v/>
      </c>
      <c r="R516" s="43" t="str">
        <f>IFERROR(IF(VLOOKUP(B516,Baza[[№]:[Profit]],16,0)=0,"-",VLOOKUP(B516,Baza[[№]:[Profit]],16,0)),"")</f>
        <v/>
      </c>
      <c r="S516" s="43" t="str">
        <f>IFERROR(IF(VLOOKUP(B516,Baza[[№]:[Profit]],17,0)=0,"-",VLOOKUP(B516,Baza[[№]:[Profit]],17,0)),"")</f>
        <v/>
      </c>
      <c r="T516" s="43" t="str">
        <f>IFERROR(IF(VLOOKUP(B516,Baza[[№]:[Profit]],18,0)=0,"-",VLOOKUP(B516,Baza[[№]:[Profit]],18,0)),"")</f>
        <v/>
      </c>
      <c r="U516" s="41" t="str">
        <f>IFERROR(IF(VLOOKUP(B516,Baza[[№]:[Profit]],19,0)=0,"-",VLOOKUP(B516,Baza[[№]:[Profit]],19,0)),"")</f>
        <v/>
      </c>
      <c r="V516" s="41" t="str">
        <f>IFERROR(VLOOKUP(B516,Baza[[№]:[Profit]],20,0),"")</f>
        <v/>
      </c>
      <c r="W516" s="41" t="str">
        <f>IFERROR(IF(VLOOKUP(B516,Baza[[№]:[Profit]],21,0)=0,"-",VLOOKUP(B516,Baza[[№]:[Profit]],21,0)),"")</f>
        <v/>
      </c>
      <c r="X516" s="45" t="str">
        <f>IFERROR(IF(VLOOKUP(B516,Baza[[№]:[Profit]],22,0)=0,"-",VLOOKUP(B516,Baza[[№]:[Profit]],22,0)),"")</f>
        <v/>
      </c>
      <c r="Y516" s="45" t="str">
        <f>IFERROR(VLOOKUP(B516,Baza[[№]:[Profit]],23,0),"")</f>
        <v/>
      </c>
      <c r="Z516" s="44" t="str">
        <f>IFERROR(VLOOKUP(B516,Baza[[№]:[AFS]],24,0),"")</f>
        <v/>
      </c>
      <c r="AA516" s="45" t="str">
        <f>IF(Таблица2[[#This Row],[Profit]]="","#Н/Д",SUM($Y$40:Y516))</f>
        <v>#Н/Д</v>
      </c>
      <c r="AB516" s="45" t="b">
        <f>IF(Таблица2[[#This Row],[Grafik]]="#Н/Д",FALSE,TRUE)</f>
        <v>0</v>
      </c>
    </row>
    <row r="517" spans="2:28" ht="11.1" hidden="1" customHeight="1" x14ac:dyDescent="0.25">
      <c r="B517"/>
      <c r="C517" s="41" t="str">
        <f>IFERROR(VLOOKUP(B517,Baza[[№]:[Profit]],2,0),"")</f>
        <v/>
      </c>
      <c r="D51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1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17" s="43" t="str">
        <f>IFERROR(VLOOKUP(B517,Baza[[№]:[Profit]],3,0),"")</f>
        <v/>
      </c>
      <c r="G517" s="43" t="str">
        <f>IFERROR(VLOOKUP(B517,Baza[[№]:[Profit]],4,0),"")</f>
        <v/>
      </c>
      <c r="H517" s="43" t="str">
        <f>IFERROR(VLOOKUP(B517,Baza[[№]:[Profit]],5,0),"")</f>
        <v/>
      </c>
      <c r="I517" s="46" t="str">
        <f>IFERROR(VLOOKUP(B517,Baza[[№]:[Profit]],6,0),"")</f>
        <v/>
      </c>
      <c r="J517" s="49" t="str">
        <f>IFERROR(VLOOKUP(B517,Baza[[№]:[Profit]],7,0),"")</f>
        <v/>
      </c>
      <c r="K517" s="43" t="str">
        <f>IFERROR(VLOOKUP(B517,Baza[[№]:[Profit]],8,0),"")</f>
        <v/>
      </c>
      <c r="L517" s="43" t="str">
        <f>IFERROR(VLOOKUP(B517,Baza[[№]:[Profit]],9,0),"")</f>
        <v/>
      </c>
      <c r="M517" s="43" t="str">
        <f>IFERROR(VLOOKUP(B517,Baza[[№]:[Profit]],10,0),"")</f>
        <v/>
      </c>
      <c r="N517" s="43" t="str">
        <f>IFERROR(IF(VLOOKUP(B517,Baza[[№]:[Profit]],11,0)=0,"-",VLOOKUP(B517,Baza[[№]:[Profit]],11,0)),"")</f>
        <v/>
      </c>
      <c r="O517" s="43" t="str">
        <f>IFERROR(IF(VLOOKUP(B517,Baza[[№]:[Profit]],12,0)=0,"-",VLOOKUP(B517,Baza[[№]:[Profit]],12,0)),"")</f>
        <v/>
      </c>
      <c r="P517" s="43" t="str">
        <f>IFERROR(IF(VLOOKUP(B517,Baza[[№]:[Profit]],13,0)=0,"-",VLOOKUP(B517,Baza[[№]:[Profit]],13,0)),"")</f>
        <v/>
      </c>
      <c r="Q517" s="43" t="str">
        <f>IFERROR(IF(VLOOKUP(B517,Baza[[№]:[Profit]],15,0)=0,"-",VLOOKUP(B517,Baza[[№]:[Profit]],15,0)),"")</f>
        <v/>
      </c>
      <c r="R517" s="43" t="str">
        <f>IFERROR(IF(VLOOKUP(B517,Baza[[№]:[Profit]],16,0)=0,"-",VLOOKUP(B517,Baza[[№]:[Profit]],16,0)),"")</f>
        <v/>
      </c>
      <c r="S517" s="43" t="str">
        <f>IFERROR(IF(VLOOKUP(B517,Baza[[№]:[Profit]],17,0)=0,"-",VLOOKUP(B517,Baza[[№]:[Profit]],17,0)),"")</f>
        <v/>
      </c>
      <c r="T517" s="43" t="str">
        <f>IFERROR(IF(VLOOKUP(B517,Baza[[№]:[Profit]],18,0)=0,"-",VLOOKUP(B517,Baza[[№]:[Profit]],18,0)),"")</f>
        <v/>
      </c>
      <c r="U517" s="41" t="str">
        <f>IFERROR(IF(VLOOKUP(B517,Baza[[№]:[Profit]],19,0)=0,"-",VLOOKUP(B517,Baza[[№]:[Profit]],19,0)),"")</f>
        <v/>
      </c>
      <c r="V517" s="41" t="str">
        <f>IFERROR(VLOOKUP(B517,Baza[[№]:[Profit]],20,0),"")</f>
        <v/>
      </c>
      <c r="W517" s="41" t="str">
        <f>IFERROR(IF(VLOOKUP(B517,Baza[[№]:[Profit]],21,0)=0,"-",VLOOKUP(B517,Baza[[№]:[Profit]],21,0)),"")</f>
        <v/>
      </c>
      <c r="X517" s="45" t="str">
        <f>IFERROR(IF(VLOOKUP(B517,Baza[[№]:[Profit]],22,0)=0,"-",VLOOKUP(B517,Baza[[№]:[Profit]],22,0)),"")</f>
        <v/>
      </c>
      <c r="Y517" s="45" t="str">
        <f>IFERROR(VLOOKUP(B517,Baza[[№]:[Profit]],23,0),"")</f>
        <v/>
      </c>
      <c r="Z517" s="44" t="str">
        <f>IFERROR(VLOOKUP(B517,Baza[[№]:[AFS]],24,0),"")</f>
        <v/>
      </c>
      <c r="AA517" s="45" t="str">
        <f>IF(Таблица2[[#This Row],[Profit]]="","#Н/Д",SUM($Y$40:Y517))</f>
        <v>#Н/Д</v>
      </c>
      <c r="AB517" s="45" t="b">
        <f>IF(Таблица2[[#This Row],[Grafik]]="#Н/Д",FALSE,TRUE)</f>
        <v>0</v>
      </c>
    </row>
    <row r="518" spans="2:28" ht="11.1" hidden="1" customHeight="1" x14ac:dyDescent="0.25">
      <c r="B518"/>
      <c r="C518" s="41" t="str">
        <f>IFERROR(VLOOKUP(B518,Baza[[№]:[Profit]],2,0),"")</f>
        <v/>
      </c>
      <c r="D51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1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18" s="43" t="str">
        <f>IFERROR(VLOOKUP(B518,Baza[[№]:[Profit]],3,0),"")</f>
        <v/>
      </c>
      <c r="G518" s="43" t="str">
        <f>IFERROR(VLOOKUP(B518,Baza[[№]:[Profit]],4,0),"")</f>
        <v/>
      </c>
      <c r="H518" s="43" t="str">
        <f>IFERROR(VLOOKUP(B518,Baza[[№]:[Profit]],5,0),"")</f>
        <v/>
      </c>
      <c r="I518" s="46" t="str">
        <f>IFERROR(VLOOKUP(B518,Baza[[№]:[Profit]],6,0),"")</f>
        <v/>
      </c>
      <c r="J518" s="49" t="str">
        <f>IFERROR(VLOOKUP(B518,Baza[[№]:[Profit]],7,0),"")</f>
        <v/>
      </c>
      <c r="K518" s="43" t="str">
        <f>IFERROR(VLOOKUP(B518,Baza[[№]:[Profit]],8,0),"")</f>
        <v/>
      </c>
      <c r="L518" s="43" t="str">
        <f>IFERROR(VLOOKUP(B518,Baza[[№]:[Profit]],9,0),"")</f>
        <v/>
      </c>
      <c r="M518" s="43" t="str">
        <f>IFERROR(VLOOKUP(B518,Baza[[№]:[Profit]],10,0),"")</f>
        <v/>
      </c>
      <c r="N518" s="43" t="str">
        <f>IFERROR(IF(VLOOKUP(B518,Baza[[№]:[Profit]],11,0)=0,"-",VLOOKUP(B518,Baza[[№]:[Profit]],11,0)),"")</f>
        <v/>
      </c>
      <c r="O518" s="43" t="str">
        <f>IFERROR(IF(VLOOKUP(B518,Baza[[№]:[Profit]],12,0)=0,"-",VLOOKUP(B518,Baza[[№]:[Profit]],12,0)),"")</f>
        <v/>
      </c>
      <c r="P518" s="43" t="str">
        <f>IFERROR(IF(VLOOKUP(B518,Baza[[№]:[Profit]],13,0)=0,"-",VLOOKUP(B518,Baza[[№]:[Profit]],13,0)),"")</f>
        <v/>
      </c>
      <c r="Q518" s="43" t="str">
        <f>IFERROR(IF(VLOOKUP(B518,Baza[[№]:[Profit]],15,0)=0,"-",VLOOKUP(B518,Baza[[№]:[Profit]],15,0)),"")</f>
        <v/>
      </c>
      <c r="R518" s="43" t="str">
        <f>IFERROR(IF(VLOOKUP(B518,Baza[[№]:[Profit]],16,0)=0,"-",VLOOKUP(B518,Baza[[№]:[Profit]],16,0)),"")</f>
        <v/>
      </c>
      <c r="S518" s="43" t="str">
        <f>IFERROR(IF(VLOOKUP(B518,Baza[[№]:[Profit]],17,0)=0,"-",VLOOKUP(B518,Baza[[№]:[Profit]],17,0)),"")</f>
        <v/>
      </c>
      <c r="T518" s="43" t="str">
        <f>IFERROR(IF(VLOOKUP(B518,Baza[[№]:[Profit]],18,0)=0,"-",VLOOKUP(B518,Baza[[№]:[Profit]],18,0)),"")</f>
        <v/>
      </c>
      <c r="U518" s="41" t="str">
        <f>IFERROR(IF(VLOOKUP(B518,Baza[[№]:[Profit]],19,0)=0,"-",VLOOKUP(B518,Baza[[№]:[Profit]],19,0)),"")</f>
        <v/>
      </c>
      <c r="V518" s="41" t="str">
        <f>IFERROR(VLOOKUP(B518,Baza[[№]:[Profit]],20,0),"")</f>
        <v/>
      </c>
      <c r="W518" s="41" t="str">
        <f>IFERROR(IF(VLOOKUP(B518,Baza[[№]:[Profit]],21,0)=0,"-",VLOOKUP(B518,Baza[[№]:[Profit]],21,0)),"")</f>
        <v/>
      </c>
      <c r="X518" s="45" t="str">
        <f>IFERROR(IF(VLOOKUP(B518,Baza[[№]:[Profit]],22,0)=0,"-",VLOOKUP(B518,Baza[[№]:[Profit]],22,0)),"")</f>
        <v/>
      </c>
      <c r="Y518" s="45" t="str">
        <f>IFERROR(VLOOKUP(B518,Baza[[№]:[Profit]],23,0),"")</f>
        <v/>
      </c>
      <c r="Z518" s="44" t="str">
        <f>IFERROR(VLOOKUP(B518,Baza[[№]:[AFS]],24,0),"")</f>
        <v/>
      </c>
      <c r="AA518" s="45" t="str">
        <f>IF(Таблица2[[#This Row],[Profit]]="","#Н/Д",SUM($Y$40:Y518))</f>
        <v>#Н/Д</v>
      </c>
      <c r="AB518" s="45" t="b">
        <f>IF(Таблица2[[#This Row],[Grafik]]="#Н/Д",FALSE,TRUE)</f>
        <v>0</v>
      </c>
    </row>
    <row r="519" spans="2:28" ht="11.1" hidden="1" customHeight="1" x14ac:dyDescent="0.25">
      <c r="B519"/>
      <c r="C519" s="41" t="str">
        <f>IFERROR(VLOOKUP(B519,Baza[[№]:[Profit]],2,0),"")</f>
        <v/>
      </c>
      <c r="D51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1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19" s="43" t="str">
        <f>IFERROR(VLOOKUP(B519,Baza[[№]:[Profit]],3,0),"")</f>
        <v/>
      </c>
      <c r="G519" s="43" t="str">
        <f>IFERROR(VLOOKUP(B519,Baza[[№]:[Profit]],4,0),"")</f>
        <v/>
      </c>
      <c r="H519" s="43" t="str">
        <f>IFERROR(VLOOKUP(B519,Baza[[№]:[Profit]],5,0),"")</f>
        <v/>
      </c>
      <c r="I519" s="46" t="str">
        <f>IFERROR(VLOOKUP(B519,Baza[[№]:[Profit]],6,0),"")</f>
        <v/>
      </c>
      <c r="J519" s="49" t="str">
        <f>IFERROR(VLOOKUP(B519,Baza[[№]:[Profit]],7,0),"")</f>
        <v/>
      </c>
      <c r="K519" s="43" t="str">
        <f>IFERROR(VLOOKUP(B519,Baza[[№]:[Profit]],8,0),"")</f>
        <v/>
      </c>
      <c r="L519" s="43" t="str">
        <f>IFERROR(VLOOKUP(B519,Baza[[№]:[Profit]],9,0),"")</f>
        <v/>
      </c>
      <c r="M519" s="43" t="str">
        <f>IFERROR(VLOOKUP(B519,Baza[[№]:[Profit]],10,0),"")</f>
        <v/>
      </c>
      <c r="N519" s="43" t="str">
        <f>IFERROR(IF(VLOOKUP(B519,Baza[[№]:[Profit]],11,0)=0,"-",VLOOKUP(B519,Baza[[№]:[Profit]],11,0)),"")</f>
        <v/>
      </c>
      <c r="O519" s="43" t="str">
        <f>IFERROR(IF(VLOOKUP(B519,Baza[[№]:[Profit]],12,0)=0,"-",VLOOKUP(B519,Baza[[№]:[Profit]],12,0)),"")</f>
        <v/>
      </c>
      <c r="P519" s="43" t="str">
        <f>IFERROR(IF(VLOOKUP(B519,Baza[[№]:[Profit]],13,0)=0,"-",VLOOKUP(B519,Baza[[№]:[Profit]],13,0)),"")</f>
        <v/>
      </c>
      <c r="Q519" s="43" t="str">
        <f>IFERROR(IF(VLOOKUP(B519,Baza[[№]:[Profit]],15,0)=0,"-",VLOOKUP(B519,Baza[[№]:[Profit]],15,0)),"")</f>
        <v/>
      </c>
      <c r="R519" s="43" t="str">
        <f>IFERROR(IF(VLOOKUP(B519,Baza[[№]:[Profit]],16,0)=0,"-",VLOOKUP(B519,Baza[[№]:[Profit]],16,0)),"")</f>
        <v/>
      </c>
      <c r="S519" s="43" t="str">
        <f>IFERROR(IF(VLOOKUP(B519,Baza[[№]:[Profit]],17,0)=0,"-",VLOOKUP(B519,Baza[[№]:[Profit]],17,0)),"")</f>
        <v/>
      </c>
      <c r="T519" s="43" t="str">
        <f>IFERROR(IF(VLOOKUP(B519,Baza[[№]:[Profit]],18,0)=0,"-",VLOOKUP(B519,Baza[[№]:[Profit]],18,0)),"")</f>
        <v/>
      </c>
      <c r="U519" s="41" t="str">
        <f>IFERROR(IF(VLOOKUP(B519,Baza[[№]:[Profit]],19,0)=0,"-",VLOOKUP(B519,Baza[[№]:[Profit]],19,0)),"")</f>
        <v/>
      </c>
      <c r="V519" s="41" t="str">
        <f>IFERROR(VLOOKUP(B519,Baza[[№]:[Profit]],20,0),"")</f>
        <v/>
      </c>
      <c r="W519" s="41" t="str">
        <f>IFERROR(IF(VLOOKUP(B519,Baza[[№]:[Profit]],21,0)=0,"-",VLOOKUP(B519,Baza[[№]:[Profit]],21,0)),"")</f>
        <v/>
      </c>
      <c r="X519" s="45" t="str">
        <f>IFERROR(IF(VLOOKUP(B519,Baza[[№]:[Profit]],22,0)=0,"-",VLOOKUP(B519,Baza[[№]:[Profit]],22,0)),"")</f>
        <v/>
      </c>
      <c r="Y519" s="45" t="str">
        <f>IFERROR(VLOOKUP(B519,Baza[[№]:[Profit]],23,0),"")</f>
        <v/>
      </c>
      <c r="Z519" s="44" t="str">
        <f>IFERROR(VLOOKUP(B519,Baza[[№]:[AFS]],24,0),"")</f>
        <v/>
      </c>
      <c r="AA519" s="45" t="str">
        <f>IF(Таблица2[[#This Row],[Profit]]="","#Н/Д",SUM($Y$40:Y519))</f>
        <v>#Н/Д</v>
      </c>
      <c r="AB519" s="45" t="b">
        <f>IF(Таблица2[[#This Row],[Grafik]]="#Н/Д",FALSE,TRUE)</f>
        <v>0</v>
      </c>
    </row>
    <row r="520" spans="2:28" ht="11.1" hidden="1" customHeight="1" x14ac:dyDescent="0.25">
      <c r="B520"/>
      <c r="C520" s="41" t="str">
        <f>IFERROR(VLOOKUP(B520,Baza[[№]:[Profit]],2,0),"")</f>
        <v/>
      </c>
      <c r="D52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2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20" s="43" t="str">
        <f>IFERROR(VLOOKUP(B520,Baza[[№]:[Profit]],3,0),"")</f>
        <v/>
      </c>
      <c r="G520" s="43" t="str">
        <f>IFERROR(VLOOKUP(B520,Baza[[№]:[Profit]],4,0),"")</f>
        <v/>
      </c>
      <c r="H520" s="43" t="str">
        <f>IFERROR(VLOOKUP(B520,Baza[[№]:[Profit]],5,0),"")</f>
        <v/>
      </c>
      <c r="I520" s="46" t="str">
        <f>IFERROR(VLOOKUP(B520,Baza[[№]:[Profit]],6,0),"")</f>
        <v/>
      </c>
      <c r="J520" s="49" t="str">
        <f>IFERROR(VLOOKUP(B520,Baza[[№]:[Profit]],7,0),"")</f>
        <v/>
      </c>
      <c r="K520" s="43" t="str">
        <f>IFERROR(VLOOKUP(B520,Baza[[№]:[Profit]],8,0),"")</f>
        <v/>
      </c>
      <c r="L520" s="43" t="str">
        <f>IFERROR(VLOOKUP(B520,Baza[[№]:[Profit]],9,0),"")</f>
        <v/>
      </c>
      <c r="M520" s="43" t="str">
        <f>IFERROR(VLOOKUP(B520,Baza[[№]:[Profit]],10,0),"")</f>
        <v/>
      </c>
      <c r="N520" s="43" t="str">
        <f>IFERROR(IF(VLOOKUP(B520,Baza[[№]:[Profit]],11,0)=0,"-",VLOOKUP(B520,Baza[[№]:[Profit]],11,0)),"")</f>
        <v/>
      </c>
      <c r="O520" s="43" t="str">
        <f>IFERROR(IF(VLOOKUP(B520,Baza[[№]:[Profit]],12,0)=0,"-",VLOOKUP(B520,Baza[[№]:[Profit]],12,0)),"")</f>
        <v/>
      </c>
      <c r="P520" s="43" t="str">
        <f>IFERROR(IF(VLOOKUP(B520,Baza[[№]:[Profit]],13,0)=0,"-",VLOOKUP(B520,Baza[[№]:[Profit]],13,0)),"")</f>
        <v/>
      </c>
      <c r="Q520" s="43" t="str">
        <f>IFERROR(IF(VLOOKUP(B520,Baza[[№]:[Profit]],15,0)=0,"-",VLOOKUP(B520,Baza[[№]:[Profit]],15,0)),"")</f>
        <v/>
      </c>
      <c r="R520" s="43" t="str">
        <f>IFERROR(IF(VLOOKUP(B520,Baza[[№]:[Profit]],16,0)=0,"-",VLOOKUP(B520,Baza[[№]:[Profit]],16,0)),"")</f>
        <v/>
      </c>
      <c r="S520" s="43" t="str">
        <f>IFERROR(IF(VLOOKUP(B520,Baza[[№]:[Profit]],17,0)=0,"-",VLOOKUP(B520,Baza[[№]:[Profit]],17,0)),"")</f>
        <v/>
      </c>
      <c r="T520" s="43" t="str">
        <f>IFERROR(IF(VLOOKUP(B520,Baza[[№]:[Profit]],18,0)=0,"-",VLOOKUP(B520,Baza[[№]:[Profit]],18,0)),"")</f>
        <v/>
      </c>
      <c r="U520" s="41" t="str">
        <f>IFERROR(IF(VLOOKUP(B520,Baza[[№]:[Profit]],19,0)=0,"-",VLOOKUP(B520,Baza[[№]:[Profit]],19,0)),"")</f>
        <v/>
      </c>
      <c r="V520" s="41" t="str">
        <f>IFERROR(VLOOKUP(B520,Baza[[№]:[Profit]],20,0),"")</f>
        <v/>
      </c>
      <c r="W520" s="41" t="str">
        <f>IFERROR(IF(VLOOKUP(B520,Baza[[№]:[Profit]],21,0)=0,"-",VLOOKUP(B520,Baza[[№]:[Profit]],21,0)),"")</f>
        <v/>
      </c>
      <c r="X520" s="45" t="str">
        <f>IFERROR(IF(VLOOKUP(B520,Baza[[№]:[Profit]],22,0)=0,"-",VLOOKUP(B520,Baza[[№]:[Profit]],22,0)),"")</f>
        <v/>
      </c>
      <c r="Y520" s="45" t="str">
        <f>IFERROR(VLOOKUP(B520,Baza[[№]:[Profit]],23,0),"")</f>
        <v/>
      </c>
      <c r="Z520" s="44" t="str">
        <f>IFERROR(VLOOKUP(B520,Baza[[№]:[AFS]],24,0),"")</f>
        <v/>
      </c>
      <c r="AA520" s="45" t="str">
        <f>IF(Таблица2[[#This Row],[Profit]]="","#Н/Д",SUM($Y$40:Y520))</f>
        <v>#Н/Д</v>
      </c>
      <c r="AB520" s="45" t="b">
        <f>IF(Таблица2[[#This Row],[Grafik]]="#Н/Д",FALSE,TRUE)</f>
        <v>0</v>
      </c>
    </row>
    <row r="521" spans="2:28" ht="11.1" hidden="1" customHeight="1" x14ac:dyDescent="0.25">
      <c r="B521"/>
      <c r="C521" s="41" t="str">
        <f>IFERROR(VLOOKUP(B521,Baza[[№]:[Profit]],2,0),"")</f>
        <v/>
      </c>
      <c r="D52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2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21" s="43" t="str">
        <f>IFERROR(VLOOKUP(B521,Baza[[№]:[Profit]],3,0),"")</f>
        <v/>
      </c>
      <c r="G521" s="43" t="str">
        <f>IFERROR(VLOOKUP(B521,Baza[[№]:[Profit]],4,0),"")</f>
        <v/>
      </c>
      <c r="H521" s="43" t="str">
        <f>IFERROR(VLOOKUP(B521,Baza[[№]:[Profit]],5,0),"")</f>
        <v/>
      </c>
      <c r="I521" s="46" t="str">
        <f>IFERROR(VLOOKUP(B521,Baza[[№]:[Profit]],6,0),"")</f>
        <v/>
      </c>
      <c r="J521" s="49" t="str">
        <f>IFERROR(VLOOKUP(B521,Baza[[№]:[Profit]],7,0),"")</f>
        <v/>
      </c>
      <c r="K521" s="43" t="str">
        <f>IFERROR(VLOOKUP(B521,Baza[[№]:[Profit]],8,0),"")</f>
        <v/>
      </c>
      <c r="L521" s="43" t="str">
        <f>IFERROR(VLOOKUP(B521,Baza[[№]:[Profit]],9,0),"")</f>
        <v/>
      </c>
      <c r="M521" s="43" t="str">
        <f>IFERROR(VLOOKUP(B521,Baza[[№]:[Profit]],10,0),"")</f>
        <v/>
      </c>
      <c r="N521" s="43" t="str">
        <f>IFERROR(IF(VLOOKUP(B521,Baza[[№]:[Profit]],11,0)=0,"-",VLOOKUP(B521,Baza[[№]:[Profit]],11,0)),"")</f>
        <v/>
      </c>
      <c r="O521" s="43" t="str">
        <f>IFERROR(IF(VLOOKUP(B521,Baza[[№]:[Profit]],12,0)=0,"-",VLOOKUP(B521,Baza[[№]:[Profit]],12,0)),"")</f>
        <v/>
      </c>
      <c r="P521" s="43" t="str">
        <f>IFERROR(IF(VLOOKUP(B521,Baza[[№]:[Profit]],13,0)=0,"-",VLOOKUP(B521,Baza[[№]:[Profit]],13,0)),"")</f>
        <v/>
      </c>
      <c r="Q521" s="43" t="str">
        <f>IFERROR(IF(VLOOKUP(B521,Baza[[№]:[Profit]],15,0)=0,"-",VLOOKUP(B521,Baza[[№]:[Profit]],15,0)),"")</f>
        <v/>
      </c>
      <c r="R521" s="43" t="str">
        <f>IFERROR(IF(VLOOKUP(B521,Baza[[№]:[Profit]],16,0)=0,"-",VLOOKUP(B521,Baza[[№]:[Profit]],16,0)),"")</f>
        <v/>
      </c>
      <c r="S521" s="43" t="str">
        <f>IFERROR(IF(VLOOKUP(B521,Baza[[№]:[Profit]],17,0)=0,"-",VLOOKUP(B521,Baza[[№]:[Profit]],17,0)),"")</f>
        <v/>
      </c>
      <c r="T521" s="43" t="str">
        <f>IFERROR(IF(VLOOKUP(B521,Baza[[№]:[Profit]],18,0)=0,"-",VLOOKUP(B521,Baza[[№]:[Profit]],18,0)),"")</f>
        <v/>
      </c>
      <c r="U521" s="41" t="str">
        <f>IFERROR(IF(VLOOKUP(B521,Baza[[№]:[Profit]],19,0)=0,"-",VLOOKUP(B521,Baza[[№]:[Profit]],19,0)),"")</f>
        <v/>
      </c>
      <c r="V521" s="41" t="str">
        <f>IFERROR(VLOOKUP(B521,Baza[[№]:[Profit]],20,0),"")</f>
        <v/>
      </c>
      <c r="W521" s="41" t="str">
        <f>IFERROR(IF(VLOOKUP(B521,Baza[[№]:[Profit]],21,0)=0,"-",VLOOKUP(B521,Baza[[№]:[Profit]],21,0)),"")</f>
        <v/>
      </c>
      <c r="X521" s="45" t="str">
        <f>IFERROR(IF(VLOOKUP(B521,Baza[[№]:[Profit]],22,0)=0,"-",VLOOKUP(B521,Baza[[№]:[Profit]],22,0)),"")</f>
        <v/>
      </c>
      <c r="Y521" s="45" t="str">
        <f>IFERROR(VLOOKUP(B521,Baza[[№]:[Profit]],23,0),"")</f>
        <v/>
      </c>
      <c r="Z521" s="44" t="str">
        <f>IFERROR(VLOOKUP(B521,Baza[[№]:[AFS]],24,0),"")</f>
        <v/>
      </c>
      <c r="AA521" s="45" t="str">
        <f>IF(Таблица2[[#This Row],[Profit]]="","#Н/Д",SUM($Y$40:Y521))</f>
        <v>#Н/Д</v>
      </c>
      <c r="AB521" s="45" t="b">
        <f>IF(Таблица2[[#This Row],[Grafik]]="#Н/Д",FALSE,TRUE)</f>
        <v>0</v>
      </c>
    </row>
    <row r="522" spans="2:28" ht="11.1" hidden="1" customHeight="1" x14ac:dyDescent="0.25">
      <c r="B522"/>
      <c r="C522" s="41" t="str">
        <f>IFERROR(VLOOKUP(B522,Baza[[№]:[Profit]],2,0),"")</f>
        <v/>
      </c>
      <c r="D52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2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22" s="43" t="str">
        <f>IFERROR(VLOOKUP(B522,Baza[[№]:[Profit]],3,0),"")</f>
        <v/>
      </c>
      <c r="G522" s="43" t="str">
        <f>IFERROR(VLOOKUP(B522,Baza[[№]:[Profit]],4,0),"")</f>
        <v/>
      </c>
      <c r="H522" s="43" t="str">
        <f>IFERROR(VLOOKUP(B522,Baza[[№]:[Profit]],5,0),"")</f>
        <v/>
      </c>
      <c r="I522" s="46" t="str">
        <f>IFERROR(VLOOKUP(B522,Baza[[№]:[Profit]],6,0),"")</f>
        <v/>
      </c>
      <c r="J522" s="49" t="str">
        <f>IFERROR(VLOOKUP(B522,Baza[[№]:[Profit]],7,0),"")</f>
        <v/>
      </c>
      <c r="K522" s="43" t="str">
        <f>IFERROR(VLOOKUP(B522,Baza[[№]:[Profit]],8,0),"")</f>
        <v/>
      </c>
      <c r="L522" s="43" t="str">
        <f>IFERROR(VLOOKUP(B522,Baza[[№]:[Profit]],9,0),"")</f>
        <v/>
      </c>
      <c r="M522" s="43" t="str">
        <f>IFERROR(VLOOKUP(B522,Baza[[№]:[Profit]],10,0),"")</f>
        <v/>
      </c>
      <c r="N522" s="43" t="str">
        <f>IFERROR(IF(VLOOKUP(B522,Baza[[№]:[Profit]],11,0)=0,"-",VLOOKUP(B522,Baza[[№]:[Profit]],11,0)),"")</f>
        <v/>
      </c>
      <c r="O522" s="43" t="str">
        <f>IFERROR(IF(VLOOKUP(B522,Baza[[№]:[Profit]],12,0)=0,"-",VLOOKUP(B522,Baza[[№]:[Profit]],12,0)),"")</f>
        <v/>
      </c>
      <c r="P522" s="43" t="str">
        <f>IFERROR(IF(VLOOKUP(B522,Baza[[№]:[Profit]],13,0)=0,"-",VLOOKUP(B522,Baza[[№]:[Profit]],13,0)),"")</f>
        <v/>
      </c>
      <c r="Q522" s="43" t="str">
        <f>IFERROR(IF(VLOOKUP(B522,Baza[[№]:[Profit]],15,0)=0,"-",VLOOKUP(B522,Baza[[№]:[Profit]],15,0)),"")</f>
        <v/>
      </c>
      <c r="R522" s="43" t="str">
        <f>IFERROR(IF(VLOOKUP(B522,Baza[[№]:[Profit]],16,0)=0,"-",VLOOKUP(B522,Baza[[№]:[Profit]],16,0)),"")</f>
        <v/>
      </c>
      <c r="S522" s="43" t="str">
        <f>IFERROR(IF(VLOOKUP(B522,Baza[[№]:[Profit]],17,0)=0,"-",VLOOKUP(B522,Baza[[№]:[Profit]],17,0)),"")</f>
        <v/>
      </c>
      <c r="T522" s="43" t="str">
        <f>IFERROR(IF(VLOOKUP(B522,Baza[[№]:[Profit]],18,0)=0,"-",VLOOKUP(B522,Baza[[№]:[Profit]],18,0)),"")</f>
        <v/>
      </c>
      <c r="U522" s="41" t="str">
        <f>IFERROR(IF(VLOOKUP(B522,Baza[[№]:[Profit]],19,0)=0,"-",VLOOKUP(B522,Baza[[№]:[Profit]],19,0)),"")</f>
        <v/>
      </c>
      <c r="V522" s="41" t="str">
        <f>IFERROR(VLOOKUP(B522,Baza[[№]:[Profit]],20,0),"")</f>
        <v/>
      </c>
      <c r="W522" s="41" t="str">
        <f>IFERROR(IF(VLOOKUP(B522,Baza[[№]:[Profit]],21,0)=0,"-",VLOOKUP(B522,Baza[[№]:[Profit]],21,0)),"")</f>
        <v/>
      </c>
      <c r="X522" s="45" t="str">
        <f>IFERROR(IF(VLOOKUP(B522,Baza[[№]:[Profit]],22,0)=0,"-",VLOOKUP(B522,Baza[[№]:[Profit]],22,0)),"")</f>
        <v/>
      </c>
      <c r="Y522" s="45" t="str">
        <f>IFERROR(VLOOKUP(B522,Baza[[№]:[Profit]],23,0),"")</f>
        <v/>
      </c>
      <c r="Z522" s="44" t="str">
        <f>IFERROR(VLOOKUP(B522,Baza[[№]:[AFS]],24,0),"")</f>
        <v/>
      </c>
      <c r="AA522" s="45" t="str">
        <f>IF(Таблица2[[#This Row],[Profit]]="","#Н/Д",SUM($Y$40:Y522))</f>
        <v>#Н/Д</v>
      </c>
      <c r="AB522" s="45" t="b">
        <f>IF(Таблица2[[#This Row],[Grafik]]="#Н/Д",FALSE,TRUE)</f>
        <v>0</v>
      </c>
    </row>
    <row r="523" spans="2:28" ht="11.1" hidden="1" customHeight="1" x14ac:dyDescent="0.25">
      <c r="B523"/>
      <c r="C523" s="41" t="str">
        <f>IFERROR(VLOOKUP(B523,Baza[[№]:[Profit]],2,0),"")</f>
        <v/>
      </c>
      <c r="D52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2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23" s="43" t="str">
        <f>IFERROR(VLOOKUP(B523,Baza[[№]:[Profit]],3,0),"")</f>
        <v/>
      </c>
      <c r="G523" s="43" t="str">
        <f>IFERROR(VLOOKUP(B523,Baza[[№]:[Profit]],4,0),"")</f>
        <v/>
      </c>
      <c r="H523" s="43" t="str">
        <f>IFERROR(VLOOKUP(B523,Baza[[№]:[Profit]],5,0),"")</f>
        <v/>
      </c>
      <c r="I523" s="46" t="str">
        <f>IFERROR(VLOOKUP(B523,Baza[[№]:[Profit]],6,0),"")</f>
        <v/>
      </c>
      <c r="J523" s="49" t="str">
        <f>IFERROR(VLOOKUP(B523,Baza[[№]:[Profit]],7,0),"")</f>
        <v/>
      </c>
      <c r="K523" s="43" t="str">
        <f>IFERROR(VLOOKUP(B523,Baza[[№]:[Profit]],8,0),"")</f>
        <v/>
      </c>
      <c r="L523" s="43" t="str">
        <f>IFERROR(VLOOKUP(B523,Baza[[№]:[Profit]],9,0),"")</f>
        <v/>
      </c>
      <c r="M523" s="43" t="str">
        <f>IFERROR(VLOOKUP(B523,Baza[[№]:[Profit]],10,0),"")</f>
        <v/>
      </c>
      <c r="N523" s="43" t="str">
        <f>IFERROR(IF(VLOOKUP(B523,Baza[[№]:[Profit]],11,0)=0,"-",VLOOKUP(B523,Baza[[№]:[Profit]],11,0)),"")</f>
        <v/>
      </c>
      <c r="O523" s="43" t="str">
        <f>IFERROR(IF(VLOOKUP(B523,Baza[[№]:[Profit]],12,0)=0,"-",VLOOKUP(B523,Baza[[№]:[Profit]],12,0)),"")</f>
        <v/>
      </c>
      <c r="P523" s="43" t="str">
        <f>IFERROR(IF(VLOOKUP(B523,Baza[[№]:[Profit]],13,0)=0,"-",VLOOKUP(B523,Baza[[№]:[Profit]],13,0)),"")</f>
        <v/>
      </c>
      <c r="Q523" s="43" t="str">
        <f>IFERROR(IF(VLOOKUP(B523,Baza[[№]:[Profit]],15,0)=0,"-",VLOOKUP(B523,Baza[[№]:[Profit]],15,0)),"")</f>
        <v/>
      </c>
      <c r="R523" s="43" t="str">
        <f>IFERROR(IF(VLOOKUP(B523,Baza[[№]:[Profit]],16,0)=0,"-",VLOOKUP(B523,Baza[[№]:[Profit]],16,0)),"")</f>
        <v/>
      </c>
      <c r="S523" s="43" t="str">
        <f>IFERROR(IF(VLOOKUP(B523,Baza[[№]:[Profit]],17,0)=0,"-",VLOOKUP(B523,Baza[[№]:[Profit]],17,0)),"")</f>
        <v/>
      </c>
      <c r="T523" s="43" t="str">
        <f>IFERROR(IF(VLOOKUP(B523,Baza[[№]:[Profit]],18,0)=0,"-",VLOOKUP(B523,Baza[[№]:[Profit]],18,0)),"")</f>
        <v/>
      </c>
      <c r="U523" s="41" t="str">
        <f>IFERROR(IF(VLOOKUP(B523,Baza[[№]:[Profit]],19,0)=0,"-",VLOOKUP(B523,Baza[[№]:[Profit]],19,0)),"")</f>
        <v/>
      </c>
      <c r="V523" s="41" t="str">
        <f>IFERROR(VLOOKUP(B523,Baza[[№]:[Profit]],20,0),"")</f>
        <v/>
      </c>
      <c r="W523" s="41" t="str">
        <f>IFERROR(IF(VLOOKUP(B523,Baza[[№]:[Profit]],21,0)=0,"-",VLOOKUP(B523,Baza[[№]:[Profit]],21,0)),"")</f>
        <v/>
      </c>
      <c r="X523" s="45" t="str">
        <f>IFERROR(IF(VLOOKUP(B523,Baza[[№]:[Profit]],22,0)=0,"-",VLOOKUP(B523,Baza[[№]:[Profit]],22,0)),"")</f>
        <v/>
      </c>
      <c r="Y523" s="45" t="str">
        <f>IFERROR(VLOOKUP(B523,Baza[[№]:[Profit]],23,0),"")</f>
        <v/>
      </c>
      <c r="Z523" s="44" t="str">
        <f>IFERROR(VLOOKUP(B523,Baza[[№]:[AFS]],24,0),"")</f>
        <v/>
      </c>
      <c r="AA523" s="45" t="str">
        <f>IF(Таблица2[[#This Row],[Profit]]="","#Н/Д",SUM($Y$40:Y523))</f>
        <v>#Н/Д</v>
      </c>
      <c r="AB523" s="45" t="b">
        <f>IF(Таблица2[[#This Row],[Grafik]]="#Н/Д",FALSE,TRUE)</f>
        <v>0</v>
      </c>
    </row>
    <row r="524" spans="2:28" ht="11.1" hidden="1" customHeight="1" x14ac:dyDescent="0.25">
      <c r="B524"/>
      <c r="C524" s="41" t="str">
        <f>IFERROR(VLOOKUP(B524,Baza[[№]:[Profit]],2,0),"")</f>
        <v/>
      </c>
      <c r="D52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2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24" s="43" t="str">
        <f>IFERROR(VLOOKUP(B524,Baza[[№]:[Profit]],3,0),"")</f>
        <v/>
      </c>
      <c r="G524" s="43" t="str">
        <f>IFERROR(VLOOKUP(B524,Baza[[№]:[Profit]],4,0),"")</f>
        <v/>
      </c>
      <c r="H524" s="43" t="str">
        <f>IFERROR(VLOOKUP(B524,Baza[[№]:[Profit]],5,0),"")</f>
        <v/>
      </c>
      <c r="I524" s="46" t="str">
        <f>IFERROR(VLOOKUP(B524,Baza[[№]:[Profit]],6,0),"")</f>
        <v/>
      </c>
      <c r="J524" s="49" t="str">
        <f>IFERROR(VLOOKUP(B524,Baza[[№]:[Profit]],7,0),"")</f>
        <v/>
      </c>
      <c r="K524" s="43" t="str">
        <f>IFERROR(VLOOKUP(B524,Baza[[№]:[Profit]],8,0),"")</f>
        <v/>
      </c>
      <c r="L524" s="43" t="str">
        <f>IFERROR(VLOOKUP(B524,Baza[[№]:[Profit]],9,0),"")</f>
        <v/>
      </c>
      <c r="M524" s="43" t="str">
        <f>IFERROR(VLOOKUP(B524,Baza[[№]:[Profit]],10,0),"")</f>
        <v/>
      </c>
      <c r="N524" s="43" t="str">
        <f>IFERROR(IF(VLOOKUP(B524,Baza[[№]:[Profit]],11,0)=0,"-",VLOOKUP(B524,Baza[[№]:[Profit]],11,0)),"")</f>
        <v/>
      </c>
      <c r="O524" s="43" t="str">
        <f>IFERROR(IF(VLOOKUP(B524,Baza[[№]:[Profit]],12,0)=0,"-",VLOOKUP(B524,Baza[[№]:[Profit]],12,0)),"")</f>
        <v/>
      </c>
      <c r="P524" s="43" t="str">
        <f>IFERROR(IF(VLOOKUP(B524,Baza[[№]:[Profit]],13,0)=0,"-",VLOOKUP(B524,Baza[[№]:[Profit]],13,0)),"")</f>
        <v/>
      </c>
      <c r="Q524" s="43" t="str">
        <f>IFERROR(IF(VLOOKUP(B524,Baza[[№]:[Profit]],15,0)=0,"-",VLOOKUP(B524,Baza[[№]:[Profit]],15,0)),"")</f>
        <v/>
      </c>
      <c r="R524" s="43" t="str">
        <f>IFERROR(IF(VLOOKUP(B524,Baza[[№]:[Profit]],16,0)=0,"-",VLOOKUP(B524,Baza[[№]:[Profit]],16,0)),"")</f>
        <v/>
      </c>
      <c r="S524" s="43" t="str">
        <f>IFERROR(IF(VLOOKUP(B524,Baza[[№]:[Profit]],17,0)=0,"-",VLOOKUP(B524,Baza[[№]:[Profit]],17,0)),"")</f>
        <v/>
      </c>
      <c r="T524" s="43" t="str">
        <f>IFERROR(IF(VLOOKUP(B524,Baza[[№]:[Profit]],18,0)=0,"-",VLOOKUP(B524,Baza[[№]:[Profit]],18,0)),"")</f>
        <v/>
      </c>
      <c r="U524" s="41" t="str">
        <f>IFERROR(IF(VLOOKUP(B524,Baza[[№]:[Profit]],19,0)=0,"-",VLOOKUP(B524,Baza[[№]:[Profit]],19,0)),"")</f>
        <v/>
      </c>
      <c r="V524" s="41" t="str">
        <f>IFERROR(VLOOKUP(B524,Baza[[№]:[Profit]],20,0),"")</f>
        <v/>
      </c>
      <c r="W524" s="41" t="str">
        <f>IFERROR(IF(VLOOKUP(B524,Baza[[№]:[Profit]],21,0)=0,"-",VLOOKUP(B524,Baza[[№]:[Profit]],21,0)),"")</f>
        <v/>
      </c>
      <c r="X524" s="45" t="str">
        <f>IFERROR(IF(VLOOKUP(B524,Baza[[№]:[Profit]],22,0)=0,"-",VLOOKUP(B524,Baza[[№]:[Profit]],22,0)),"")</f>
        <v/>
      </c>
      <c r="Y524" s="45" t="str">
        <f>IFERROR(VLOOKUP(B524,Baza[[№]:[Profit]],23,0),"")</f>
        <v/>
      </c>
      <c r="Z524" s="44" t="str">
        <f>IFERROR(VLOOKUP(B524,Baza[[№]:[AFS]],24,0),"")</f>
        <v/>
      </c>
      <c r="AA524" s="45" t="str">
        <f>IF(Таблица2[[#This Row],[Profit]]="","#Н/Д",SUM($Y$40:Y524))</f>
        <v>#Н/Д</v>
      </c>
      <c r="AB524" s="45" t="b">
        <f>IF(Таблица2[[#This Row],[Grafik]]="#Н/Д",FALSE,TRUE)</f>
        <v>0</v>
      </c>
    </row>
    <row r="525" spans="2:28" ht="11.1" hidden="1" customHeight="1" x14ac:dyDescent="0.25">
      <c r="B525"/>
      <c r="C525" s="41" t="str">
        <f>IFERROR(VLOOKUP(B525,Baza[[№]:[Profit]],2,0),"")</f>
        <v/>
      </c>
      <c r="D52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2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25" s="43" t="str">
        <f>IFERROR(VLOOKUP(B525,Baza[[№]:[Profit]],3,0),"")</f>
        <v/>
      </c>
      <c r="G525" s="43" t="str">
        <f>IFERROR(VLOOKUP(B525,Baza[[№]:[Profit]],4,0),"")</f>
        <v/>
      </c>
      <c r="H525" s="43" t="str">
        <f>IFERROR(VLOOKUP(B525,Baza[[№]:[Profit]],5,0),"")</f>
        <v/>
      </c>
      <c r="I525" s="46" t="str">
        <f>IFERROR(VLOOKUP(B525,Baza[[№]:[Profit]],6,0),"")</f>
        <v/>
      </c>
      <c r="J525" s="49" t="str">
        <f>IFERROR(VLOOKUP(B525,Baza[[№]:[Profit]],7,0),"")</f>
        <v/>
      </c>
      <c r="K525" s="43" t="str">
        <f>IFERROR(VLOOKUP(B525,Baza[[№]:[Profit]],8,0),"")</f>
        <v/>
      </c>
      <c r="L525" s="43" t="str">
        <f>IFERROR(VLOOKUP(B525,Baza[[№]:[Profit]],9,0),"")</f>
        <v/>
      </c>
      <c r="M525" s="43" t="str">
        <f>IFERROR(VLOOKUP(B525,Baza[[№]:[Profit]],10,0),"")</f>
        <v/>
      </c>
      <c r="N525" s="43" t="str">
        <f>IFERROR(IF(VLOOKUP(B525,Baza[[№]:[Profit]],11,0)=0,"-",VLOOKUP(B525,Baza[[№]:[Profit]],11,0)),"")</f>
        <v/>
      </c>
      <c r="O525" s="43" t="str">
        <f>IFERROR(IF(VLOOKUP(B525,Baza[[№]:[Profit]],12,0)=0,"-",VLOOKUP(B525,Baza[[№]:[Profit]],12,0)),"")</f>
        <v/>
      </c>
      <c r="P525" s="43" t="str">
        <f>IFERROR(IF(VLOOKUP(B525,Baza[[№]:[Profit]],13,0)=0,"-",VLOOKUP(B525,Baza[[№]:[Profit]],13,0)),"")</f>
        <v/>
      </c>
      <c r="Q525" s="43" t="str">
        <f>IFERROR(IF(VLOOKUP(B525,Baza[[№]:[Profit]],15,0)=0,"-",VLOOKUP(B525,Baza[[№]:[Profit]],15,0)),"")</f>
        <v/>
      </c>
      <c r="R525" s="43" t="str">
        <f>IFERROR(IF(VLOOKUP(B525,Baza[[№]:[Profit]],16,0)=0,"-",VLOOKUP(B525,Baza[[№]:[Profit]],16,0)),"")</f>
        <v/>
      </c>
      <c r="S525" s="43" t="str">
        <f>IFERROR(IF(VLOOKUP(B525,Baza[[№]:[Profit]],17,0)=0,"-",VLOOKUP(B525,Baza[[№]:[Profit]],17,0)),"")</f>
        <v/>
      </c>
      <c r="T525" s="43" t="str">
        <f>IFERROR(IF(VLOOKUP(B525,Baza[[№]:[Profit]],18,0)=0,"-",VLOOKUP(B525,Baza[[№]:[Profit]],18,0)),"")</f>
        <v/>
      </c>
      <c r="U525" s="41" t="str">
        <f>IFERROR(IF(VLOOKUP(B525,Baza[[№]:[Profit]],19,0)=0,"-",VLOOKUP(B525,Baza[[№]:[Profit]],19,0)),"")</f>
        <v/>
      </c>
      <c r="V525" s="41" t="str">
        <f>IFERROR(VLOOKUP(B525,Baza[[№]:[Profit]],20,0),"")</f>
        <v/>
      </c>
      <c r="W525" s="41" t="str">
        <f>IFERROR(IF(VLOOKUP(B525,Baza[[№]:[Profit]],21,0)=0,"-",VLOOKUP(B525,Baza[[№]:[Profit]],21,0)),"")</f>
        <v/>
      </c>
      <c r="X525" s="45" t="str">
        <f>IFERROR(IF(VLOOKUP(B525,Baza[[№]:[Profit]],22,0)=0,"-",VLOOKUP(B525,Baza[[№]:[Profit]],22,0)),"")</f>
        <v/>
      </c>
      <c r="Y525" s="45" t="str">
        <f>IFERROR(VLOOKUP(B525,Baza[[№]:[Profit]],23,0),"")</f>
        <v/>
      </c>
      <c r="Z525" s="44" t="str">
        <f>IFERROR(VLOOKUP(B525,Baza[[№]:[AFS]],24,0),"")</f>
        <v/>
      </c>
      <c r="AA525" s="45" t="str">
        <f>IF(Таблица2[[#This Row],[Profit]]="","#Н/Д",SUM($Y$40:Y525))</f>
        <v>#Н/Д</v>
      </c>
      <c r="AB525" s="45" t="b">
        <f>IF(Таблица2[[#This Row],[Grafik]]="#Н/Д",FALSE,TRUE)</f>
        <v>0</v>
      </c>
    </row>
    <row r="526" spans="2:28" ht="11.1" hidden="1" customHeight="1" x14ac:dyDescent="0.25">
      <c r="B526"/>
      <c r="C526" s="41" t="str">
        <f>IFERROR(VLOOKUP(B526,Baza[[№]:[Profit]],2,0),"")</f>
        <v/>
      </c>
      <c r="D52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2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26" s="43" t="str">
        <f>IFERROR(VLOOKUP(B526,Baza[[№]:[Profit]],3,0),"")</f>
        <v/>
      </c>
      <c r="G526" s="43" t="str">
        <f>IFERROR(VLOOKUP(B526,Baza[[№]:[Profit]],4,0),"")</f>
        <v/>
      </c>
      <c r="H526" s="43" t="str">
        <f>IFERROR(VLOOKUP(B526,Baza[[№]:[Profit]],5,0),"")</f>
        <v/>
      </c>
      <c r="I526" s="46" t="str">
        <f>IFERROR(VLOOKUP(B526,Baza[[№]:[Profit]],6,0),"")</f>
        <v/>
      </c>
      <c r="J526" s="49" t="str">
        <f>IFERROR(VLOOKUP(B526,Baza[[№]:[Profit]],7,0),"")</f>
        <v/>
      </c>
      <c r="K526" s="43" t="str">
        <f>IFERROR(VLOOKUP(B526,Baza[[№]:[Profit]],8,0),"")</f>
        <v/>
      </c>
      <c r="L526" s="43" t="str">
        <f>IFERROR(VLOOKUP(B526,Baza[[№]:[Profit]],9,0),"")</f>
        <v/>
      </c>
      <c r="M526" s="43" t="str">
        <f>IFERROR(VLOOKUP(B526,Baza[[№]:[Profit]],10,0),"")</f>
        <v/>
      </c>
      <c r="N526" s="43" t="str">
        <f>IFERROR(IF(VLOOKUP(B526,Baza[[№]:[Profit]],11,0)=0,"-",VLOOKUP(B526,Baza[[№]:[Profit]],11,0)),"")</f>
        <v/>
      </c>
      <c r="O526" s="43" t="str">
        <f>IFERROR(IF(VLOOKUP(B526,Baza[[№]:[Profit]],12,0)=0,"-",VLOOKUP(B526,Baza[[№]:[Profit]],12,0)),"")</f>
        <v/>
      </c>
      <c r="P526" s="43" t="str">
        <f>IFERROR(IF(VLOOKUP(B526,Baza[[№]:[Profit]],13,0)=0,"-",VLOOKUP(B526,Baza[[№]:[Profit]],13,0)),"")</f>
        <v/>
      </c>
      <c r="Q526" s="43" t="str">
        <f>IFERROR(IF(VLOOKUP(B526,Baza[[№]:[Profit]],15,0)=0,"-",VLOOKUP(B526,Baza[[№]:[Profit]],15,0)),"")</f>
        <v/>
      </c>
      <c r="R526" s="43" t="str">
        <f>IFERROR(IF(VLOOKUP(B526,Baza[[№]:[Profit]],16,0)=0,"-",VLOOKUP(B526,Baza[[№]:[Profit]],16,0)),"")</f>
        <v/>
      </c>
      <c r="S526" s="43" t="str">
        <f>IFERROR(IF(VLOOKUP(B526,Baza[[№]:[Profit]],17,0)=0,"-",VLOOKUP(B526,Baza[[№]:[Profit]],17,0)),"")</f>
        <v/>
      </c>
      <c r="T526" s="43" t="str">
        <f>IFERROR(IF(VLOOKUP(B526,Baza[[№]:[Profit]],18,0)=0,"-",VLOOKUP(B526,Baza[[№]:[Profit]],18,0)),"")</f>
        <v/>
      </c>
      <c r="U526" s="41" t="str">
        <f>IFERROR(IF(VLOOKUP(B526,Baza[[№]:[Profit]],19,0)=0,"-",VLOOKUP(B526,Baza[[№]:[Profit]],19,0)),"")</f>
        <v/>
      </c>
      <c r="V526" s="41" t="str">
        <f>IFERROR(VLOOKUP(B526,Baza[[№]:[Profit]],20,0),"")</f>
        <v/>
      </c>
      <c r="W526" s="41" t="str">
        <f>IFERROR(IF(VLOOKUP(B526,Baza[[№]:[Profit]],21,0)=0,"-",VLOOKUP(B526,Baza[[№]:[Profit]],21,0)),"")</f>
        <v/>
      </c>
      <c r="X526" s="45" t="str">
        <f>IFERROR(IF(VLOOKUP(B526,Baza[[№]:[Profit]],22,0)=0,"-",VLOOKUP(B526,Baza[[№]:[Profit]],22,0)),"")</f>
        <v/>
      </c>
      <c r="Y526" s="45" t="str">
        <f>IFERROR(VLOOKUP(B526,Baza[[№]:[Profit]],23,0),"")</f>
        <v/>
      </c>
      <c r="Z526" s="44" t="str">
        <f>IFERROR(VLOOKUP(B526,Baza[[№]:[AFS]],24,0),"")</f>
        <v/>
      </c>
      <c r="AA526" s="45" t="str">
        <f>IF(Таблица2[[#This Row],[Profit]]="","#Н/Д",SUM($Y$40:Y526))</f>
        <v>#Н/Д</v>
      </c>
      <c r="AB526" s="45" t="b">
        <f>IF(Таблица2[[#This Row],[Grafik]]="#Н/Д",FALSE,TRUE)</f>
        <v>0</v>
      </c>
    </row>
    <row r="527" spans="2:28" ht="11.1" hidden="1" customHeight="1" x14ac:dyDescent="0.25">
      <c r="B527"/>
      <c r="C527" s="41" t="str">
        <f>IFERROR(VLOOKUP(B527,Baza[[№]:[Profit]],2,0),"")</f>
        <v/>
      </c>
      <c r="D52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2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27" s="43" t="str">
        <f>IFERROR(VLOOKUP(B527,Baza[[№]:[Profit]],3,0),"")</f>
        <v/>
      </c>
      <c r="G527" s="43" t="str">
        <f>IFERROR(VLOOKUP(B527,Baza[[№]:[Profit]],4,0),"")</f>
        <v/>
      </c>
      <c r="H527" s="43" t="str">
        <f>IFERROR(VLOOKUP(B527,Baza[[№]:[Profit]],5,0),"")</f>
        <v/>
      </c>
      <c r="I527" s="46" t="str">
        <f>IFERROR(VLOOKUP(B527,Baza[[№]:[Profit]],6,0),"")</f>
        <v/>
      </c>
      <c r="J527" s="49" t="str">
        <f>IFERROR(VLOOKUP(B527,Baza[[№]:[Profit]],7,0),"")</f>
        <v/>
      </c>
      <c r="K527" s="43" t="str">
        <f>IFERROR(VLOOKUP(B527,Baza[[№]:[Profit]],8,0),"")</f>
        <v/>
      </c>
      <c r="L527" s="43" t="str">
        <f>IFERROR(VLOOKUP(B527,Baza[[№]:[Profit]],9,0),"")</f>
        <v/>
      </c>
      <c r="M527" s="43" t="str">
        <f>IFERROR(VLOOKUP(B527,Baza[[№]:[Profit]],10,0),"")</f>
        <v/>
      </c>
      <c r="N527" s="43" t="str">
        <f>IFERROR(IF(VLOOKUP(B527,Baza[[№]:[Profit]],11,0)=0,"-",VLOOKUP(B527,Baza[[№]:[Profit]],11,0)),"")</f>
        <v/>
      </c>
      <c r="O527" s="43" t="str">
        <f>IFERROR(IF(VLOOKUP(B527,Baza[[№]:[Profit]],12,0)=0,"-",VLOOKUP(B527,Baza[[№]:[Profit]],12,0)),"")</f>
        <v/>
      </c>
      <c r="P527" s="43" t="str">
        <f>IFERROR(IF(VLOOKUP(B527,Baza[[№]:[Profit]],13,0)=0,"-",VLOOKUP(B527,Baza[[№]:[Profit]],13,0)),"")</f>
        <v/>
      </c>
      <c r="Q527" s="43" t="str">
        <f>IFERROR(IF(VLOOKUP(B527,Baza[[№]:[Profit]],15,0)=0,"-",VLOOKUP(B527,Baza[[№]:[Profit]],15,0)),"")</f>
        <v/>
      </c>
      <c r="R527" s="43" t="str">
        <f>IFERROR(IF(VLOOKUP(B527,Baza[[№]:[Profit]],16,0)=0,"-",VLOOKUP(B527,Baza[[№]:[Profit]],16,0)),"")</f>
        <v/>
      </c>
      <c r="S527" s="43" t="str">
        <f>IFERROR(IF(VLOOKUP(B527,Baza[[№]:[Profit]],17,0)=0,"-",VLOOKUP(B527,Baza[[№]:[Profit]],17,0)),"")</f>
        <v/>
      </c>
      <c r="T527" s="43" t="str">
        <f>IFERROR(IF(VLOOKUP(B527,Baza[[№]:[Profit]],18,0)=0,"-",VLOOKUP(B527,Baza[[№]:[Profit]],18,0)),"")</f>
        <v/>
      </c>
      <c r="U527" s="41" t="str">
        <f>IFERROR(IF(VLOOKUP(B527,Baza[[№]:[Profit]],19,0)=0,"-",VLOOKUP(B527,Baza[[№]:[Profit]],19,0)),"")</f>
        <v/>
      </c>
      <c r="V527" s="41" t="str">
        <f>IFERROR(VLOOKUP(B527,Baza[[№]:[Profit]],20,0),"")</f>
        <v/>
      </c>
      <c r="W527" s="41" t="str">
        <f>IFERROR(IF(VLOOKUP(B527,Baza[[№]:[Profit]],21,0)=0,"-",VLOOKUP(B527,Baza[[№]:[Profit]],21,0)),"")</f>
        <v/>
      </c>
      <c r="X527" s="45" t="str">
        <f>IFERROR(IF(VLOOKUP(B527,Baza[[№]:[Profit]],22,0)=0,"-",VLOOKUP(B527,Baza[[№]:[Profit]],22,0)),"")</f>
        <v/>
      </c>
      <c r="Y527" s="45" t="str">
        <f>IFERROR(VLOOKUP(B527,Baza[[№]:[Profit]],23,0),"")</f>
        <v/>
      </c>
      <c r="Z527" s="44" t="str">
        <f>IFERROR(VLOOKUP(B527,Baza[[№]:[AFS]],24,0),"")</f>
        <v/>
      </c>
      <c r="AA527" s="45" t="str">
        <f>IF(Таблица2[[#This Row],[Profit]]="","#Н/Д",SUM($Y$40:Y527))</f>
        <v>#Н/Д</v>
      </c>
      <c r="AB527" s="45" t="b">
        <f>IF(Таблица2[[#This Row],[Grafik]]="#Н/Д",FALSE,TRUE)</f>
        <v>0</v>
      </c>
    </row>
    <row r="528" spans="2:28" ht="11.1" hidden="1" customHeight="1" x14ac:dyDescent="0.25">
      <c r="B528"/>
      <c r="C528" s="41" t="str">
        <f>IFERROR(VLOOKUP(B528,Baza[[№]:[Profit]],2,0),"")</f>
        <v/>
      </c>
      <c r="D52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2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28" s="43" t="str">
        <f>IFERROR(VLOOKUP(B528,Baza[[№]:[Profit]],3,0),"")</f>
        <v/>
      </c>
      <c r="G528" s="43" t="str">
        <f>IFERROR(VLOOKUP(B528,Baza[[№]:[Profit]],4,0),"")</f>
        <v/>
      </c>
      <c r="H528" s="43" t="str">
        <f>IFERROR(VLOOKUP(B528,Baza[[№]:[Profit]],5,0),"")</f>
        <v/>
      </c>
      <c r="I528" s="46" t="str">
        <f>IFERROR(VLOOKUP(B528,Baza[[№]:[Profit]],6,0),"")</f>
        <v/>
      </c>
      <c r="J528" s="49" t="str">
        <f>IFERROR(VLOOKUP(B528,Baza[[№]:[Profit]],7,0),"")</f>
        <v/>
      </c>
      <c r="K528" s="43" t="str">
        <f>IFERROR(VLOOKUP(B528,Baza[[№]:[Profit]],8,0),"")</f>
        <v/>
      </c>
      <c r="L528" s="43" t="str">
        <f>IFERROR(VLOOKUP(B528,Baza[[№]:[Profit]],9,0),"")</f>
        <v/>
      </c>
      <c r="M528" s="43" t="str">
        <f>IFERROR(VLOOKUP(B528,Baza[[№]:[Profit]],10,0),"")</f>
        <v/>
      </c>
      <c r="N528" s="43" t="str">
        <f>IFERROR(IF(VLOOKUP(B528,Baza[[№]:[Profit]],11,0)=0,"-",VLOOKUP(B528,Baza[[№]:[Profit]],11,0)),"")</f>
        <v/>
      </c>
      <c r="O528" s="43" t="str">
        <f>IFERROR(IF(VLOOKUP(B528,Baza[[№]:[Profit]],12,0)=0,"-",VLOOKUP(B528,Baza[[№]:[Profit]],12,0)),"")</f>
        <v/>
      </c>
      <c r="P528" s="43" t="str">
        <f>IFERROR(IF(VLOOKUP(B528,Baza[[№]:[Profit]],13,0)=0,"-",VLOOKUP(B528,Baza[[№]:[Profit]],13,0)),"")</f>
        <v/>
      </c>
      <c r="Q528" s="43" t="str">
        <f>IFERROR(IF(VLOOKUP(B528,Baza[[№]:[Profit]],15,0)=0,"-",VLOOKUP(B528,Baza[[№]:[Profit]],15,0)),"")</f>
        <v/>
      </c>
      <c r="R528" s="43" t="str">
        <f>IFERROR(IF(VLOOKUP(B528,Baza[[№]:[Profit]],16,0)=0,"-",VLOOKUP(B528,Baza[[№]:[Profit]],16,0)),"")</f>
        <v/>
      </c>
      <c r="S528" s="43" t="str">
        <f>IFERROR(IF(VLOOKUP(B528,Baza[[№]:[Profit]],17,0)=0,"-",VLOOKUP(B528,Baza[[№]:[Profit]],17,0)),"")</f>
        <v/>
      </c>
      <c r="T528" s="43" t="str">
        <f>IFERROR(IF(VLOOKUP(B528,Baza[[№]:[Profit]],18,0)=0,"-",VLOOKUP(B528,Baza[[№]:[Profit]],18,0)),"")</f>
        <v/>
      </c>
      <c r="U528" s="41" t="str">
        <f>IFERROR(IF(VLOOKUP(B528,Baza[[№]:[Profit]],19,0)=0,"-",VLOOKUP(B528,Baza[[№]:[Profit]],19,0)),"")</f>
        <v/>
      </c>
      <c r="V528" s="41" t="str">
        <f>IFERROR(VLOOKUP(B528,Baza[[№]:[Profit]],20,0),"")</f>
        <v/>
      </c>
      <c r="W528" s="41" t="str">
        <f>IFERROR(IF(VLOOKUP(B528,Baza[[№]:[Profit]],21,0)=0,"-",VLOOKUP(B528,Baza[[№]:[Profit]],21,0)),"")</f>
        <v/>
      </c>
      <c r="X528" s="45" t="str">
        <f>IFERROR(IF(VLOOKUP(B528,Baza[[№]:[Profit]],22,0)=0,"-",VLOOKUP(B528,Baza[[№]:[Profit]],22,0)),"")</f>
        <v/>
      </c>
      <c r="Y528" s="45" t="str">
        <f>IFERROR(VLOOKUP(B528,Baza[[№]:[Profit]],23,0),"")</f>
        <v/>
      </c>
      <c r="Z528" s="44" t="str">
        <f>IFERROR(VLOOKUP(B528,Baza[[№]:[AFS]],24,0),"")</f>
        <v/>
      </c>
      <c r="AA528" s="45" t="str">
        <f>IF(Таблица2[[#This Row],[Profit]]="","#Н/Д",SUM($Y$40:Y528))</f>
        <v>#Н/Д</v>
      </c>
      <c r="AB528" s="45" t="b">
        <f>IF(Таблица2[[#This Row],[Grafik]]="#Н/Д",FALSE,TRUE)</f>
        <v>0</v>
      </c>
    </row>
    <row r="529" spans="2:28" ht="11.1" hidden="1" customHeight="1" x14ac:dyDescent="0.25">
      <c r="B529"/>
      <c r="C529" s="41" t="str">
        <f>IFERROR(VLOOKUP(B529,Baza[[№]:[Profit]],2,0),"")</f>
        <v/>
      </c>
      <c r="D52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2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29" s="43" t="str">
        <f>IFERROR(VLOOKUP(B529,Baza[[№]:[Profit]],3,0),"")</f>
        <v/>
      </c>
      <c r="G529" s="43" t="str">
        <f>IFERROR(VLOOKUP(B529,Baza[[№]:[Profit]],4,0),"")</f>
        <v/>
      </c>
      <c r="H529" s="43" t="str">
        <f>IFERROR(VLOOKUP(B529,Baza[[№]:[Profit]],5,0),"")</f>
        <v/>
      </c>
      <c r="I529" s="46" t="str">
        <f>IFERROR(VLOOKUP(B529,Baza[[№]:[Profit]],6,0),"")</f>
        <v/>
      </c>
      <c r="J529" s="49" t="str">
        <f>IFERROR(VLOOKUP(B529,Baza[[№]:[Profit]],7,0),"")</f>
        <v/>
      </c>
      <c r="K529" s="43" t="str">
        <f>IFERROR(VLOOKUP(B529,Baza[[№]:[Profit]],8,0),"")</f>
        <v/>
      </c>
      <c r="L529" s="43" t="str">
        <f>IFERROR(VLOOKUP(B529,Baza[[№]:[Profit]],9,0),"")</f>
        <v/>
      </c>
      <c r="M529" s="43" t="str">
        <f>IFERROR(VLOOKUP(B529,Baza[[№]:[Profit]],10,0),"")</f>
        <v/>
      </c>
      <c r="N529" s="43" t="str">
        <f>IFERROR(IF(VLOOKUP(B529,Baza[[№]:[Profit]],11,0)=0,"-",VLOOKUP(B529,Baza[[№]:[Profit]],11,0)),"")</f>
        <v/>
      </c>
      <c r="O529" s="43" t="str">
        <f>IFERROR(IF(VLOOKUP(B529,Baza[[№]:[Profit]],12,0)=0,"-",VLOOKUP(B529,Baza[[№]:[Profit]],12,0)),"")</f>
        <v/>
      </c>
      <c r="P529" s="43" t="str">
        <f>IFERROR(IF(VLOOKUP(B529,Baza[[№]:[Profit]],13,0)=0,"-",VLOOKUP(B529,Baza[[№]:[Profit]],13,0)),"")</f>
        <v/>
      </c>
      <c r="Q529" s="43" t="str">
        <f>IFERROR(IF(VLOOKUP(B529,Baza[[№]:[Profit]],15,0)=0,"-",VLOOKUP(B529,Baza[[№]:[Profit]],15,0)),"")</f>
        <v/>
      </c>
      <c r="R529" s="43" t="str">
        <f>IFERROR(IF(VLOOKUP(B529,Baza[[№]:[Profit]],16,0)=0,"-",VLOOKUP(B529,Baza[[№]:[Profit]],16,0)),"")</f>
        <v/>
      </c>
      <c r="S529" s="43" t="str">
        <f>IFERROR(IF(VLOOKUP(B529,Baza[[№]:[Profit]],17,0)=0,"-",VLOOKUP(B529,Baza[[№]:[Profit]],17,0)),"")</f>
        <v/>
      </c>
      <c r="T529" s="43" t="str">
        <f>IFERROR(IF(VLOOKUP(B529,Baza[[№]:[Profit]],18,0)=0,"-",VLOOKUP(B529,Baza[[№]:[Profit]],18,0)),"")</f>
        <v/>
      </c>
      <c r="U529" s="41" t="str">
        <f>IFERROR(IF(VLOOKUP(B529,Baza[[№]:[Profit]],19,0)=0,"-",VLOOKUP(B529,Baza[[№]:[Profit]],19,0)),"")</f>
        <v/>
      </c>
      <c r="V529" s="41" t="str">
        <f>IFERROR(VLOOKUP(B529,Baza[[№]:[Profit]],20,0),"")</f>
        <v/>
      </c>
      <c r="W529" s="41" t="str">
        <f>IFERROR(IF(VLOOKUP(B529,Baza[[№]:[Profit]],21,0)=0,"-",VLOOKUP(B529,Baza[[№]:[Profit]],21,0)),"")</f>
        <v/>
      </c>
      <c r="X529" s="45" t="str">
        <f>IFERROR(IF(VLOOKUP(B529,Baza[[№]:[Profit]],22,0)=0,"-",VLOOKUP(B529,Baza[[№]:[Profit]],22,0)),"")</f>
        <v/>
      </c>
      <c r="Y529" s="45" t="str">
        <f>IFERROR(VLOOKUP(B529,Baza[[№]:[Profit]],23,0),"")</f>
        <v/>
      </c>
      <c r="Z529" s="44" t="str">
        <f>IFERROR(VLOOKUP(B529,Baza[[№]:[AFS]],24,0),"")</f>
        <v/>
      </c>
      <c r="AA529" s="45" t="str">
        <f>IF(Таблица2[[#This Row],[Profit]]="","#Н/Д",SUM($Y$40:Y529))</f>
        <v>#Н/Д</v>
      </c>
      <c r="AB529" s="45" t="b">
        <f>IF(Таблица2[[#This Row],[Grafik]]="#Н/Д",FALSE,TRUE)</f>
        <v>0</v>
      </c>
    </row>
    <row r="530" spans="2:28" ht="11.1" hidden="1" customHeight="1" x14ac:dyDescent="0.25">
      <c r="B530"/>
      <c r="C530" s="41" t="str">
        <f>IFERROR(VLOOKUP(B530,Baza[[№]:[Profit]],2,0),"")</f>
        <v/>
      </c>
      <c r="D53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3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30" s="43" t="str">
        <f>IFERROR(VLOOKUP(B530,Baza[[№]:[Profit]],3,0),"")</f>
        <v/>
      </c>
      <c r="G530" s="43" t="str">
        <f>IFERROR(VLOOKUP(B530,Baza[[№]:[Profit]],4,0),"")</f>
        <v/>
      </c>
      <c r="H530" s="43" t="str">
        <f>IFERROR(VLOOKUP(B530,Baza[[№]:[Profit]],5,0),"")</f>
        <v/>
      </c>
      <c r="I530" s="46" t="str">
        <f>IFERROR(VLOOKUP(B530,Baza[[№]:[Profit]],6,0),"")</f>
        <v/>
      </c>
      <c r="J530" s="49" t="str">
        <f>IFERROR(VLOOKUP(B530,Baza[[№]:[Profit]],7,0),"")</f>
        <v/>
      </c>
      <c r="K530" s="43" t="str">
        <f>IFERROR(VLOOKUP(B530,Baza[[№]:[Profit]],8,0),"")</f>
        <v/>
      </c>
      <c r="L530" s="43" t="str">
        <f>IFERROR(VLOOKUP(B530,Baza[[№]:[Profit]],9,0),"")</f>
        <v/>
      </c>
      <c r="M530" s="43" t="str">
        <f>IFERROR(VLOOKUP(B530,Baza[[№]:[Profit]],10,0),"")</f>
        <v/>
      </c>
      <c r="N530" s="43" t="str">
        <f>IFERROR(IF(VLOOKUP(B530,Baza[[№]:[Profit]],11,0)=0,"-",VLOOKUP(B530,Baza[[№]:[Profit]],11,0)),"")</f>
        <v/>
      </c>
      <c r="O530" s="43" t="str">
        <f>IFERROR(IF(VLOOKUP(B530,Baza[[№]:[Profit]],12,0)=0,"-",VLOOKUP(B530,Baza[[№]:[Profit]],12,0)),"")</f>
        <v/>
      </c>
      <c r="P530" s="43" t="str">
        <f>IFERROR(IF(VLOOKUP(B530,Baza[[№]:[Profit]],13,0)=0,"-",VLOOKUP(B530,Baza[[№]:[Profit]],13,0)),"")</f>
        <v/>
      </c>
      <c r="Q530" s="43" t="str">
        <f>IFERROR(IF(VLOOKUP(B530,Baza[[№]:[Profit]],15,0)=0,"-",VLOOKUP(B530,Baza[[№]:[Profit]],15,0)),"")</f>
        <v/>
      </c>
      <c r="R530" s="43" t="str">
        <f>IFERROR(IF(VLOOKUP(B530,Baza[[№]:[Profit]],16,0)=0,"-",VLOOKUP(B530,Baza[[№]:[Profit]],16,0)),"")</f>
        <v/>
      </c>
      <c r="S530" s="43" t="str">
        <f>IFERROR(IF(VLOOKUP(B530,Baza[[№]:[Profit]],17,0)=0,"-",VLOOKUP(B530,Baza[[№]:[Profit]],17,0)),"")</f>
        <v/>
      </c>
      <c r="T530" s="43" t="str">
        <f>IFERROR(IF(VLOOKUP(B530,Baza[[№]:[Profit]],18,0)=0,"-",VLOOKUP(B530,Baza[[№]:[Profit]],18,0)),"")</f>
        <v/>
      </c>
      <c r="U530" s="41" t="str">
        <f>IFERROR(IF(VLOOKUP(B530,Baza[[№]:[Profit]],19,0)=0,"-",VLOOKUP(B530,Baza[[№]:[Profit]],19,0)),"")</f>
        <v/>
      </c>
      <c r="V530" s="41" t="str">
        <f>IFERROR(VLOOKUP(B530,Baza[[№]:[Profit]],20,0),"")</f>
        <v/>
      </c>
      <c r="W530" s="41" t="str">
        <f>IFERROR(IF(VLOOKUP(B530,Baza[[№]:[Profit]],21,0)=0,"-",VLOOKUP(B530,Baza[[№]:[Profit]],21,0)),"")</f>
        <v/>
      </c>
      <c r="X530" s="45" t="str">
        <f>IFERROR(IF(VLOOKUP(B530,Baza[[№]:[Profit]],22,0)=0,"-",VLOOKUP(B530,Baza[[№]:[Profit]],22,0)),"")</f>
        <v/>
      </c>
      <c r="Y530" s="45" t="str">
        <f>IFERROR(VLOOKUP(B530,Baza[[№]:[Profit]],23,0),"")</f>
        <v/>
      </c>
      <c r="Z530" s="44" t="str">
        <f>IFERROR(VLOOKUP(B530,Baza[[№]:[AFS]],24,0),"")</f>
        <v/>
      </c>
      <c r="AA530" s="45" t="str">
        <f>IF(Таблица2[[#This Row],[Profit]]="","#Н/Д",SUM($Y$40:Y530))</f>
        <v>#Н/Д</v>
      </c>
      <c r="AB530" s="45" t="b">
        <f>IF(Таблица2[[#This Row],[Grafik]]="#Н/Д",FALSE,TRUE)</f>
        <v>0</v>
      </c>
    </row>
    <row r="531" spans="2:28" ht="11.1" hidden="1" customHeight="1" x14ac:dyDescent="0.25">
      <c r="B531"/>
      <c r="C531" s="41" t="str">
        <f>IFERROR(VLOOKUP(B531,Baza[[№]:[Profit]],2,0),"")</f>
        <v/>
      </c>
      <c r="D53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3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31" s="43" t="str">
        <f>IFERROR(VLOOKUP(B531,Baza[[№]:[Profit]],3,0),"")</f>
        <v/>
      </c>
      <c r="G531" s="43" t="str">
        <f>IFERROR(VLOOKUP(B531,Baza[[№]:[Profit]],4,0),"")</f>
        <v/>
      </c>
      <c r="H531" s="43" t="str">
        <f>IFERROR(VLOOKUP(B531,Baza[[№]:[Profit]],5,0),"")</f>
        <v/>
      </c>
      <c r="I531" s="46" t="str">
        <f>IFERROR(VLOOKUP(B531,Baza[[№]:[Profit]],6,0),"")</f>
        <v/>
      </c>
      <c r="J531" s="49" t="str">
        <f>IFERROR(VLOOKUP(B531,Baza[[№]:[Profit]],7,0),"")</f>
        <v/>
      </c>
      <c r="K531" s="43" t="str">
        <f>IFERROR(VLOOKUP(B531,Baza[[№]:[Profit]],8,0),"")</f>
        <v/>
      </c>
      <c r="L531" s="43" t="str">
        <f>IFERROR(VLOOKUP(B531,Baza[[№]:[Profit]],9,0),"")</f>
        <v/>
      </c>
      <c r="M531" s="43" t="str">
        <f>IFERROR(VLOOKUP(B531,Baza[[№]:[Profit]],10,0),"")</f>
        <v/>
      </c>
      <c r="N531" s="43" t="str">
        <f>IFERROR(IF(VLOOKUP(B531,Baza[[№]:[Profit]],11,0)=0,"-",VLOOKUP(B531,Baza[[№]:[Profit]],11,0)),"")</f>
        <v/>
      </c>
      <c r="O531" s="43" t="str">
        <f>IFERROR(IF(VLOOKUP(B531,Baza[[№]:[Profit]],12,0)=0,"-",VLOOKUP(B531,Baza[[№]:[Profit]],12,0)),"")</f>
        <v/>
      </c>
      <c r="P531" s="43" t="str">
        <f>IFERROR(IF(VLOOKUP(B531,Baza[[№]:[Profit]],13,0)=0,"-",VLOOKUP(B531,Baza[[№]:[Profit]],13,0)),"")</f>
        <v/>
      </c>
      <c r="Q531" s="43" t="str">
        <f>IFERROR(IF(VLOOKUP(B531,Baza[[№]:[Profit]],15,0)=0,"-",VLOOKUP(B531,Baza[[№]:[Profit]],15,0)),"")</f>
        <v/>
      </c>
      <c r="R531" s="43" t="str">
        <f>IFERROR(IF(VLOOKUP(B531,Baza[[№]:[Profit]],16,0)=0,"-",VLOOKUP(B531,Baza[[№]:[Profit]],16,0)),"")</f>
        <v/>
      </c>
      <c r="S531" s="43" t="str">
        <f>IFERROR(IF(VLOOKUP(B531,Baza[[№]:[Profit]],17,0)=0,"-",VLOOKUP(B531,Baza[[№]:[Profit]],17,0)),"")</f>
        <v/>
      </c>
      <c r="T531" s="43" t="str">
        <f>IFERROR(IF(VLOOKUP(B531,Baza[[№]:[Profit]],18,0)=0,"-",VLOOKUP(B531,Baza[[№]:[Profit]],18,0)),"")</f>
        <v/>
      </c>
      <c r="U531" s="41" t="str">
        <f>IFERROR(IF(VLOOKUP(B531,Baza[[№]:[Profit]],19,0)=0,"-",VLOOKUP(B531,Baza[[№]:[Profit]],19,0)),"")</f>
        <v/>
      </c>
      <c r="V531" s="41" t="str">
        <f>IFERROR(VLOOKUP(B531,Baza[[№]:[Profit]],20,0),"")</f>
        <v/>
      </c>
      <c r="W531" s="41" t="str">
        <f>IFERROR(IF(VLOOKUP(B531,Baza[[№]:[Profit]],21,0)=0,"-",VLOOKUP(B531,Baza[[№]:[Profit]],21,0)),"")</f>
        <v/>
      </c>
      <c r="X531" s="45" t="str">
        <f>IFERROR(IF(VLOOKUP(B531,Baza[[№]:[Profit]],22,0)=0,"-",VLOOKUP(B531,Baza[[№]:[Profit]],22,0)),"")</f>
        <v/>
      </c>
      <c r="Y531" s="45" t="str">
        <f>IFERROR(VLOOKUP(B531,Baza[[№]:[Profit]],23,0),"")</f>
        <v/>
      </c>
      <c r="Z531" s="44" t="str">
        <f>IFERROR(VLOOKUP(B531,Baza[[№]:[AFS]],24,0),"")</f>
        <v/>
      </c>
      <c r="AA531" s="45" t="str">
        <f>IF(Таблица2[[#This Row],[Profit]]="","#Н/Д",SUM($Y$40:Y531))</f>
        <v>#Н/Д</v>
      </c>
      <c r="AB531" s="45" t="b">
        <f>IF(Таблица2[[#This Row],[Grafik]]="#Н/Д",FALSE,TRUE)</f>
        <v>0</v>
      </c>
    </row>
    <row r="532" spans="2:28" ht="11.1" hidden="1" customHeight="1" x14ac:dyDescent="0.25">
      <c r="B532"/>
      <c r="C532" s="41" t="str">
        <f>IFERROR(VLOOKUP(B532,Baza[[№]:[Profit]],2,0),"")</f>
        <v/>
      </c>
      <c r="D53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3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32" s="43" t="str">
        <f>IFERROR(VLOOKUP(B532,Baza[[№]:[Profit]],3,0),"")</f>
        <v/>
      </c>
      <c r="G532" s="43" t="str">
        <f>IFERROR(VLOOKUP(B532,Baza[[№]:[Profit]],4,0),"")</f>
        <v/>
      </c>
      <c r="H532" s="43" t="str">
        <f>IFERROR(VLOOKUP(B532,Baza[[№]:[Profit]],5,0),"")</f>
        <v/>
      </c>
      <c r="I532" s="46" t="str">
        <f>IFERROR(VLOOKUP(B532,Baza[[№]:[Profit]],6,0),"")</f>
        <v/>
      </c>
      <c r="J532" s="49" t="str">
        <f>IFERROR(VLOOKUP(B532,Baza[[№]:[Profit]],7,0),"")</f>
        <v/>
      </c>
      <c r="K532" s="43" t="str">
        <f>IFERROR(VLOOKUP(B532,Baza[[№]:[Profit]],8,0),"")</f>
        <v/>
      </c>
      <c r="L532" s="43" t="str">
        <f>IFERROR(VLOOKUP(B532,Baza[[№]:[Profit]],9,0),"")</f>
        <v/>
      </c>
      <c r="M532" s="43" t="str">
        <f>IFERROR(VLOOKUP(B532,Baza[[№]:[Profit]],10,0),"")</f>
        <v/>
      </c>
      <c r="N532" s="43" t="str">
        <f>IFERROR(IF(VLOOKUP(B532,Baza[[№]:[Profit]],11,0)=0,"-",VLOOKUP(B532,Baza[[№]:[Profit]],11,0)),"")</f>
        <v/>
      </c>
      <c r="O532" s="43" t="str">
        <f>IFERROR(IF(VLOOKUP(B532,Baza[[№]:[Profit]],12,0)=0,"-",VLOOKUP(B532,Baza[[№]:[Profit]],12,0)),"")</f>
        <v/>
      </c>
      <c r="P532" s="43" t="str">
        <f>IFERROR(IF(VLOOKUP(B532,Baza[[№]:[Profit]],13,0)=0,"-",VLOOKUP(B532,Baza[[№]:[Profit]],13,0)),"")</f>
        <v/>
      </c>
      <c r="Q532" s="43" t="str">
        <f>IFERROR(IF(VLOOKUP(B532,Baza[[№]:[Profit]],15,0)=0,"-",VLOOKUP(B532,Baza[[№]:[Profit]],15,0)),"")</f>
        <v/>
      </c>
      <c r="R532" s="43" t="str">
        <f>IFERROR(IF(VLOOKUP(B532,Baza[[№]:[Profit]],16,0)=0,"-",VLOOKUP(B532,Baza[[№]:[Profit]],16,0)),"")</f>
        <v/>
      </c>
      <c r="S532" s="43" t="str">
        <f>IFERROR(IF(VLOOKUP(B532,Baza[[№]:[Profit]],17,0)=0,"-",VLOOKUP(B532,Baza[[№]:[Profit]],17,0)),"")</f>
        <v/>
      </c>
      <c r="T532" s="43" t="str">
        <f>IFERROR(IF(VLOOKUP(B532,Baza[[№]:[Profit]],18,0)=0,"-",VLOOKUP(B532,Baza[[№]:[Profit]],18,0)),"")</f>
        <v/>
      </c>
      <c r="U532" s="41" t="str">
        <f>IFERROR(IF(VLOOKUP(B532,Baza[[№]:[Profit]],19,0)=0,"-",VLOOKUP(B532,Baza[[№]:[Profit]],19,0)),"")</f>
        <v/>
      </c>
      <c r="V532" s="41" t="str">
        <f>IFERROR(VLOOKUP(B532,Baza[[№]:[Profit]],20,0),"")</f>
        <v/>
      </c>
      <c r="W532" s="41" t="str">
        <f>IFERROR(IF(VLOOKUP(B532,Baza[[№]:[Profit]],21,0)=0,"-",VLOOKUP(B532,Baza[[№]:[Profit]],21,0)),"")</f>
        <v/>
      </c>
      <c r="X532" s="45" t="str">
        <f>IFERROR(IF(VLOOKUP(B532,Baza[[№]:[Profit]],22,0)=0,"-",VLOOKUP(B532,Baza[[№]:[Profit]],22,0)),"")</f>
        <v/>
      </c>
      <c r="Y532" s="45" t="str">
        <f>IFERROR(VLOOKUP(B532,Baza[[№]:[Profit]],23,0),"")</f>
        <v/>
      </c>
      <c r="Z532" s="44" t="str">
        <f>IFERROR(VLOOKUP(B532,Baza[[№]:[AFS]],24,0),"")</f>
        <v/>
      </c>
      <c r="AA532" s="45" t="str">
        <f>IF(Таблица2[[#This Row],[Profit]]="","#Н/Д",SUM($Y$40:Y532))</f>
        <v>#Н/Д</v>
      </c>
      <c r="AB532" s="45" t="b">
        <f>IF(Таблица2[[#This Row],[Grafik]]="#Н/Д",FALSE,TRUE)</f>
        <v>0</v>
      </c>
    </row>
    <row r="533" spans="2:28" ht="11.1" hidden="1" customHeight="1" x14ac:dyDescent="0.25">
      <c r="B533"/>
      <c r="C533" s="41" t="str">
        <f>IFERROR(VLOOKUP(B533,Baza[[№]:[Profit]],2,0),"")</f>
        <v/>
      </c>
      <c r="D53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3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33" s="43" t="str">
        <f>IFERROR(VLOOKUP(B533,Baza[[№]:[Profit]],3,0),"")</f>
        <v/>
      </c>
      <c r="G533" s="43" t="str">
        <f>IFERROR(VLOOKUP(B533,Baza[[№]:[Profit]],4,0),"")</f>
        <v/>
      </c>
      <c r="H533" s="43" t="str">
        <f>IFERROR(VLOOKUP(B533,Baza[[№]:[Profit]],5,0),"")</f>
        <v/>
      </c>
      <c r="I533" s="46" t="str">
        <f>IFERROR(VLOOKUP(B533,Baza[[№]:[Profit]],6,0),"")</f>
        <v/>
      </c>
      <c r="J533" s="49" t="str">
        <f>IFERROR(VLOOKUP(B533,Baza[[№]:[Profit]],7,0),"")</f>
        <v/>
      </c>
      <c r="K533" s="43" t="str">
        <f>IFERROR(VLOOKUP(B533,Baza[[№]:[Profit]],8,0),"")</f>
        <v/>
      </c>
      <c r="L533" s="43" t="str">
        <f>IFERROR(VLOOKUP(B533,Baza[[№]:[Profit]],9,0),"")</f>
        <v/>
      </c>
      <c r="M533" s="43" t="str">
        <f>IFERROR(VLOOKUP(B533,Baza[[№]:[Profit]],10,0),"")</f>
        <v/>
      </c>
      <c r="N533" s="43" t="str">
        <f>IFERROR(IF(VLOOKUP(B533,Baza[[№]:[Profit]],11,0)=0,"-",VLOOKUP(B533,Baza[[№]:[Profit]],11,0)),"")</f>
        <v/>
      </c>
      <c r="O533" s="43" t="str">
        <f>IFERROR(IF(VLOOKUP(B533,Baza[[№]:[Profit]],12,0)=0,"-",VLOOKUP(B533,Baza[[№]:[Profit]],12,0)),"")</f>
        <v/>
      </c>
      <c r="P533" s="43" t="str">
        <f>IFERROR(IF(VLOOKUP(B533,Baza[[№]:[Profit]],13,0)=0,"-",VLOOKUP(B533,Baza[[№]:[Profit]],13,0)),"")</f>
        <v/>
      </c>
      <c r="Q533" s="43" t="str">
        <f>IFERROR(IF(VLOOKUP(B533,Baza[[№]:[Profit]],15,0)=0,"-",VLOOKUP(B533,Baza[[№]:[Profit]],15,0)),"")</f>
        <v/>
      </c>
      <c r="R533" s="43" t="str">
        <f>IFERROR(IF(VLOOKUP(B533,Baza[[№]:[Profit]],16,0)=0,"-",VLOOKUP(B533,Baza[[№]:[Profit]],16,0)),"")</f>
        <v/>
      </c>
      <c r="S533" s="43" t="str">
        <f>IFERROR(IF(VLOOKUP(B533,Baza[[№]:[Profit]],17,0)=0,"-",VLOOKUP(B533,Baza[[№]:[Profit]],17,0)),"")</f>
        <v/>
      </c>
      <c r="T533" s="43" t="str">
        <f>IFERROR(IF(VLOOKUP(B533,Baza[[№]:[Profit]],18,0)=0,"-",VLOOKUP(B533,Baza[[№]:[Profit]],18,0)),"")</f>
        <v/>
      </c>
      <c r="U533" s="41" t="str">
        <f>IFERROR(IF(VLOOKUP(B533,Baza[[№]:[Profit]],19,0)=0,"-",VLOOKUP(B533,Baza[[№]:[Profit]],19,0)),"")</f>
        <v/>
      </c>
      <c r="V533" s="41" t="str">
        <f>IFERROR(VLOOKUP(B533,Baza[[№]:[Profit]],20,0),"")</f>
        <v/>
      </c>
      <c r="W533" s="41" t="str">
        <f>IFERROR(IF(VLOOKUP(B533,Baza[[№]:[Profit]],21,0)=0,"-",VLOOKUP(B533,Baza[[№]:[Profit]],21,0)),"")</f>
        <v/>
      </c>
      <c r="X533" s="45" t="str">
        <f>IFERROR(IF(VLOOKUP(B533,Baza[[№]:[Profit]],22,0)=0,"-",VLOOKUP(B533,Baza[[№]:[Profit]],22,0)),"")</f>
        <v/>
      </c>
      <c r="Y533" s="45" t="str">
        <f>IFERROR(VLOOKUP(B533,Baza[[№]:[Profit]],23,0),"")</f>
        <v/>
      </c>
      <c r="Z533" s="44" t="str">
        <f>IFERROR(VLOOKUP(B533,Baza[[№]:[AFS]],24,0),"")</f>
        <v/>
      </c>
      <c r="AA533" s="45" t="str">
        <f>IF(Таблица2[[#This Row],[Profit]]="","#Н/Д",SUM($Y$40:Y533))</f>
        <v>#Н/Д</v>
      </c>
      <c r="AB533" s="45" t="b">
        <f>IF(Таблица2[[#This Row],[Grafik]]="#Н/Д",FALSE,TRUE)</f>
        <v>0</v>
      </c>
    </row>
    <row r="534" spans="2:28" ht="11.1" hidden="1" customHeight="1" x14ac:dyDescent="0.25">
      <c r="B534"/>
      <c r="C534" s="41" t="str">
        <f>IFERROR(VLOOKUP(B534,Baza[[№]:[Profit]],2,0),"")</f>
        <v/>
      </c>
      <c r="D53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3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34" s="43" t="str">
        <f>IFERROR(VLOOKUP(B534,Baza[[№]:[Profit]],3,0),"")</f>
        <v/>
      </c>
      <c r="G534" s="43" t="str">
        <f>IFERROR(VLOOKUP(B534,Baza[[№]:[Profit]],4,0),"")</f>
        <v/>
      </c>
      <c r="H534" s="43" t="str">
        <f>IFERROR(VLOOKUP(B534,Baza[[№]:[Profit]],5,0),"")</f>
        <v/>
      </c>
      <c r="I534" s="46" t="str">
        <f>IFERROR(VLOOKUP(B534,Baza[[№]:[Profit]],6,0),"")</f>
        <v/>
      </c>
      <c r="J534" s="49" t="str">
        <f>IFERROR(VLOOKUP(B534,Baza[[№]:[Profit]],7,0),"")</f>
        <v/>
      </c>
      <c r="K534" s="43" t="str">
        <f>IFERROR(VLOOKUP(B534,Baza[[№]:[Profit]],8,0),"")</f>
        <v/>
      </c>
      <c r="L534" s="43" t="str">
        <f>IFERROR(VLOOKUP(B534,Baza[[№]:[Profit]],9,0),"")</f>
        <v/>
      </c>
      <c r="M534" s="43" t="str">
        <f>IFERROR(VLOOKUP(B534,Baza[[№]:[Profit]],10,0),"")</f>
        <v/>
      </c>
      <c r="N534" s="43" t="str">
        <f>IFERROR(IF(VLOOKUP(B534,Baza[[№]:[Profit]],11,0)=0,"-",VLOOKUP(B534,Baza[[№]:[Profit]],11,0)),"")</f>
        <v/>
      </c>
      <c r="O534" s="43" t="str">
        <f>IFERROR(IF(VLOOKUP(B534,Baza[[№]:[Profit]],12,0)=0,"-",VLOOKUP(B534,Baza[[№]:[Profit]],12,0)),"")</f>
        <v/>
      </c>
      <c r="P534" s="43" t="str">
        <f>IFERROR(IF(VLOOKUP(B534,Baza[[№]:[Profit]],13,0)=0,"-",VLOOKUP(B534,Baza[[№]:[Profit]],13,0)),"")</f>
        <v/>
      </c>
      <c r="Q534" s="43" t="str">
        <f>IFERROR(IF(VLOOKUP(B534,Baza[[№]:[Profit]],15,0)=0,"-",VLOOKUP(B534,Baza[[№]:[Profit]],15,0)),"")</f>
        <v/>
      </c>
      <c r="R534" s="43" t="str">
        <f>IFERROR(IF(VLOOKUP(B534,Baza[[№]:[Profit]],16,0)=0,"-",VLOOKUP(B534,Baza[[№]:[Profit]],16,0)),"")</f>
        <v/>
      </c>
      <c r="S534" s="43" t="str">
        <f>IFERROR(IF(VLOOKUP(B534,Baza[[№]:[Profit]],17,0)=0,"-",VLOOKUP(B534,Baza[[№]:[Profit]],17,0)),"")</f>
        <v/>
      </c>
      <c r="T534" s="43" t="str">
        <f>IFERROR(IF(VLOOKUP(B534,Baza[[№]:[Profit]],18,0)=0,"-",VLOOKUP(B534,Baza[[№]:[Profit]],18,0)),"")</f>
        <v/>
      </c>
      <c r="U534" s="41" t="str">
        <f>IFERROR(IF(VLOOKUP(B534,Baza[[№]:[Profit]],19,0)=0,"-",VLOOKUP(B534,Baza[[№]:[Profit]],19,0)),"")</f>
        <v/>
      </c>
      <c r="V534" s="41" t="str">
        <f>IFERROR(VLOOKUP(B534,Baza[[№]:[Profit]],20,0),"")</f>
        <v/>
      </c>
      <c r="W534" s="41" t="str">
        <f>IFERROR(IF(VLOOKUP(B534,Baza[[№]:[Profit]],21,0)=0,"-",VLOOKUP(B534,Baza[[№]:[Profit]],21,0)),"")</f>
        <v/>
      </c>
      <c r="X534" s="45" t="str">
        <f>IFERROR(IF(VLOOKUP(B534,Baza[[№]:[Profit]],22,0)=0,"-",VLOOKUP(B534,Baza[[№]:[Profit]],22,0)),"")</f>
        <v/>
      </c>
      <c r="Y534" s="45" t="str">
        <f>IFERROR(VLOOKUP(B534,Baza[[№]:[Profit]],23,0),"")</f>
        <v/>
      </c>
      <c r="Z534" s="44" t="str">
        <f>IFERROR(VLOOKUP(B534,Baza[[№]:[AFS]],24,0),"")</f>
        <v/>
      </c>
      <c r="AA534" s="45" t="str">
        <f>IF(Таблица2[[#This Row],[Profit]]="","#Н/Д",SUM($Y$40:Y534))</f>
        <v>#Н/Д</v>
      </c>
      <c r="AB534" s="45" t="b">
        <f>IF(Таблица2[[#This Row],[Grafik]]="#Н/Д",FALSE,TRUE)</f>
        <v>0</v>
      </c>
    </row>
    <row r="535" spans="2:28" ht="11.1" hidden="1" customHeight="1" x14ac:dyDescent="0.25">
      <c r="B535"/>
      <c r="C535" s="41" t="str">
        <f>IFERROR(VLOOKUP(B535,Baza[[№]:[Profit]],2,0),"")</f>
        <v/>
      </c>
      <c r="D53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3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35" s="43" t="str">
        <f>IFERROR(VLOOKUP(B535,Baza[[№]:[Profit]],3,0),"")</f>
        <v/>
      </c>
      <c r="G535" s="43" t="str">
        <f>IFERROR(VLOOKUP(B535,Baza[[№]:[Profit]],4,0),"")</f>
        <v/>
      </c>
      <c r="H535" s="43" t="str">
        <f>IFERROR(VLOOKUP(B535,Baza[[№]:[Profit]],5,0),"")</f>
        <v/>
      </c>
      <c r="I535" s="46" t="str">
        <f>IFERROR(VLOOKUP(B535,Baza[[№]:[Profit]],6,0),"")</f>
        <v/>
      </c>
      <c r="J535" s="49" t="str">
        <f>IFERROR(VLOOKUP(B535,Baza[[№]:[Profit]],7,0),"")</f>
        <v/>
      </c>
      <c r="K535" s="43" t="str">
        <f>IFERROR(VLOOKUP(B535,Baza[[№]:[Profit]],8,0),"")</f>
        <v/>
      </c>
      <c r="L535" s="43" t="str">
        <f>IFERROR(VLOOKUP(B535,Baza[[№]:[Profit]],9,0),"")</f>
        <v/>
      </c>
      <c r="M535" s="43" t="str">
        <f>IFERROR(VLOOKUP(B535,Baza[[№]:[Profit]],10,0),"")</f>
        <v/>
      </c>
      <c r="N535" s="43" t="str">
        <f>IFERROR(IF(VLOOKUP(B535,Baza[[№]:[Profit]],11,0)=0,"-",VLOOKUP(B535,Baza[[№]:[Profit]],11,0)),"")</f>
        <v/>
      </c>
      <c r="O535" s="43" t="str">
        <f>IFERROR(IF(VLOOKUP(B535,Baza[[№]:[Profit]],12,0)=0,"-",VLOOKUP(B535,Baza[[№]:[Profit]],12,0)),"")</f>
        <v/>
      </c>
      <c r="P535" s="43" t="str">
        <f>IFERROR(IF(VLOOKUP(B535,Baza[[№]:[Profit]],13,0)=0,"-",VLOOKUP(B535,Baza[[№]:[Profit]],13,0)),"")</f>
        <v/>
      </c>
      <c r="Q535" s="43" t="str">
        <f>IFERROR(IF(VLOOKUP(B535,Baza[[№]:[Profit]],15,0)=0,"-",VLOOKUP(B535,Baza[[№]:[Profit]],15,0)),"")</f>
        <v/>
      </c>
      <c r="R535" s="43" t="str">
        <f>IFERROR(IF(VLOOKUP(B535,Baza[[№]:[Profit]],16,0)=0,"-",VLOOKUP(B535,Baza[[№]:[Profit]],16,0)),"")</f>
        <v/>
      </c>
      <c r="S535" s="43" t="str">
        <f>IFERROR(IF(VLOOKUP(B535,Baza[[№]:[Profit]],17,0)=0,"-",VLOOKUP(B535,Baza[[№]:[Profit]],17,0)),"")</f>
        <v/>
      </c>
      <c r="T535" s="43" t="str">
        <f>IFERROR(IF(VLOOKUP(B535,Baza[[№]:[Profit]],18,0)=0,"-",VLOOKUP(B535,Baza[[№]:[Profit]],18,0)),"")</f>
        <v/>
      </c>
      <c r="U535" s="41" t="str">
        <f>IFERROR(IF(VLOOKUP(B535,Baza[[№]:[Profit]],19,0)=0,"-",VLOOKUP(B535,Baza[[№]:[Profit]],19,0)),"")</f>
        <v/>
      </c>
      <c r="V535" s="41" t="str">
        <f>IFERROR(VLOOKUP(B535,Baza[[№]:[Profit]],20,0),"")</f>
        <v/>
      </c>
      <c r="W535" s="41" t="str">
        <f>IFERROR(IF(VLOOKUP(B535,Baza[[№]:[Profit]],21,0)=0,"-",VLOOKUP(B535,Baza[[№]:[Profit]],21,0)),"")</f>
        <v/>
      </c>
      <c r="X535" s="45" t="str">
        <f>IFERROR(IF(VLOOKUP(B535,Baza[[№]:[Profit]],22,0)=0,"-",VLOOKUP(B535,Baza[[№]:[Profit]],22,0)),"")</f>
        <v/>
      </c>
      <c r="Y535" s="45" t="str">
        <f>IFERROR(VLOOKUP(B535,Baza[[№]:[Profit]],23,0),"")</f>
        <v/>
      </c>
      <c r="Z535" s="44" t="str">
        <f>IFERROR(VLOOKUP(B535,Baza[[№]:[AFS]],24,0),"")</f>
        <v/>
      </c>
      <c r="AA535" s="45" t="str">
        <f>IF(Таблица2[[#This Row],[Profit]]="","#Н/Д",SUM($Y$40:Y535))</f>
        <v>#Н/Д</v>
      </c>
      <c r="AB535" s="45" t="b">
        <f>IF(Таблица2[[#This Row],[Grafik]]="#Н/Д",FALSE,TRUE)</f>
        <v>0</v>
      </c>
    </row>
    <row r="536" spans="2:28" ht="11.1" hidden="1" customHeight="1" x14ac:dyDescent="0.25">
      <c r="B536"/>
      <c r="C536" s="41" t="str">
        <f>IFERROR(VLOOKUP(B536,Baza[[№]:[Profit]],2,0),"")</f>
        <v/>
      </c>
      <c r="D53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3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36" s="43" t="str">
        <f>IFERROR(VLOOKUP(B536,Baza[[№]:[Profit]],3,0),"")</f>
        <v/>
      </c>
      <c r="G536" s="43" t="str">
        <f>IFERROR(VLOOKUP(B536,Baza[[№]:[Profit]],4,0),"")</f>
        <v/>
      </c>
      <c r="H536" s="43" t="str">
        <f>IFERROR(VLOOKUP(B536,Baza[[№]:[Profit]],5,0),"")</f>
        <v/>
      </c>
      <c r="I536" s="46" t="str">
        <f>IFERROR(VLOOKUP(B536,Baza[[№]:[Profit]],6,0),"")</f>
        <v/>
      </c>
      <c r="J536" s="49" t="str">
        <f>IFERROR(VLOOKUP(B536,Baza[[№]:[Profit]],7,0),"")</f>
        <v/>
      </c>
      <c r="K536" s="43" t="str">
        <f>IFERROR(VLOOKUP(B536,Baza[[№]:[Profit]],8,0),"")</f>
        <v/>
      </c>
      <c r="L536" s="43" t="str">
        <f>IFERROR(VLOOKUP(B536,Baza[[№]:[Profit]],9,0),"")</f>
        <v/>
      </c>
      <c r="M536" s="43" t="str">
        <f>IFERROR(VLOOKUP(B536,Baza[[№]:[Profit]],10,0),"")</f>
        <v/>
      </c>
      <c r="N536" s="43" t="str">
        <f>IFERROR(IF(VLOOKUP(B536,Baza[[№]:[Profit]],11,0)=0,"-",VLOOKUP(B536,Baza[[№]:[Profit]],11,0)),"")</f>
        <v/>
      </c>
      <c r="O536" s="43" t="str">
        <f>IFERROR(IF(VLOOKUP(B536,Baza[[№]:[Profit]],12,0)=0,"-",VLOOKUP(B536,Baza[[№]:[Profit]],12,0)),"")</f>
        <v/>
      </c>
      <c r="P536" s="43" t="str">
        <f>IFERROR(IF(VLOOKUP(B536,Baza[[№]:[Profit]],13,0)=0,"-",VLOOKUP(B536,Baza[[№]:[Profit]],13,0)),"")</f>
        <v/>
      </c>
      <c r="Q536" s="43" t="str">
        <f>IFERROR(IF(VLOOKUP(B536,Baza[[№]:[Profit]],15,0)=0,"-",VLOOKUP(B536,Baza[[№]:[Profit]],15,0)),"")</f>
        <v/>
      </c>
      <c r="R536" s="43" t="str">
        <f>IFERROR(IF(VLOOKUP(B536,Baza[[№]:[Profit]],16,0)=0,"-",VLOOKUP(B536,Baza[[№]:[Profit]],16,0)),"")</f>
        <v/>
      </c>
      <c r="S536" s="43" t="str">
        <f>IFERROR(IF(VLOOKUP(B536,Baza[[№]:[Profit]],17,0)=0,"-",VLOOKUP(B536,Baza[[№]:[Profit]],17,0)),"")</f>
        <v/>
      </c>
      <c r="T536" s="43" t="str">
        <f>IFERROR(IF(VLOOKUP(B536,Baza[[№]:[Profit]],18,0)=0,"-",VLOOKUP(B536,Baza[[№]:[Profit]],18,0)),"")</f>
        <v/>
      </c>
      <c r="U536" s="41" t="str">
        <f>IFERROR(IF(VLOOKUP(B536,Baza[[№]:[Profit]],19,0)=0,"-",VLOOKUP(B536,Baza[[№]:[Profit]],19,0)),"")</f>
        <v/>
      </c>
      <c r="V536" s="41" t="str">
        <f>IFERROR(VLOOKUP(B536,Baza[[№]:[Profit]],20,0),"")</f>
        <v/>
      </c>
      <c r="W536" s="41" t="str">
        <f>IFERROR(IF(VLOOKUP(B536,Baza[[№]:[Profit]],21,0)=0,"-",VLOOKUP(B536,Baza[[№]:[Profit]],21,0)),"")</f>
        <v/>
      </c>
      <c r="X536" s="45" t="str">
        <f>IFERROR(IF(VLOOKUP(B536,Baza[[№]:[Profit]],22,0)=0,"-",VLOOKUP(B536,Baza[[№]:[Profit]],22,0)),"")</f>
        <v/>
      </c>
      <c r="Y536" s="45" t="str">
        <f>IFERROR(VLOOKUP(B536,Baza[[№]:[Profit]],23,0),"")</f>
        <v/>
      </c>
      <c r="Z536" s="44" t="str">
        <f>IFERROR(VLOOKUP(B536,Baza[[№]:[AFS]],24,0),"")</f>
        <v/>
      </c>
      <c r="AA536" s="45" t="str">
        <f>IF(Таблица2[[#This Row],[Profit]]="","#Н/Д",SUM($Y$40:Y536))</f>
        <v>#Н/Д</v>
      </c>
      <c r="AB536" s="45" t="b">
        <f>IF(Таблица2[[#This Row],[Grafik]]="#Н/Д",FALSE,TRUE)</f>
        <v>0</v>
      </c>
    </row>
    <row r="537" spans="2:28" ht="11.1" hidden="1" customHeight="1" x14ac:dyDescent="0.25">
      <c r="B537"/>
      <c r="C537" s="41" t="str">
        <f>IFERROR(VLOOKUP(B537,Baza[[№]:[Profit]],2,0),"")</f>
        <v/>
      </c>
      <c r="D53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3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37" s="43" t="str">
        <f>IFERROR(VLOOKUP(B537,Baza[[№]:[Profit]],3,0),"")</f>
        <v/>
      </c>
      <c r="G537" s="43" t="str">
        <f>IFERROR(VLOOKUP(B537,Baza[[№]:[Profit]],4,0),"")</f>
        <v/>
      </c>
      <c r="H537" s="43" t="str">
        <f>IFERROR(VLOOKUP(B537,Baza[[№]:[Profit]],5,0),"")</f>
        <v/>
      </c>
      <c r="I537" s="46" t="str">
        <f>IFERROR(VLOOKUP(B537,Baza[[№]:[Profit]],6,0),"")</f>
        <v/>
      </c>
      <c r="J537" s="49" t="str">
        <f>IFERROR(VLOOKUP(B537,Baza[[№]:[Profit]],7,0),"")</f>
        <v/>
      </c>
      <c r="K537" s="43" t="str">
        <f>IFERROR(VLOOKUP(B537,Baza[[№]:[Profit]],8,0),"")</f>
        <v/>
      </c>
      <c r="L537" s="43" t="str">
        <f>IFERROR(VLOOKUP(B537,Baza[[№]:[Profit]],9,0),"")</f>
        <v/>
      </c>
      <c r="M537" s="43" t="str">
        <f>IFERROR(VLOOKUP(B537,Baza[[№]:[Profit]],10,0),"")</f>
        <v/>
      </c>
      <c r="N537" s="43" t="str">
        <f>IFERROR(IF(VLOOKUP(B537,Baza[[№]:[Profit]],11,0)=0,"-",VLOOKUP(B537,Baza[[№]:[Profit]],11,0)),"")</f>
        <v/>
      </c>
      <c r="O537" s="43" t="str">
        <f>IFERROR(IF(VLOOKUP(B537,Baza[[№]:[Profit]],12,0)=0,"-",VLOOKUP(B537,Baza[[№]:[Profit]],12,0)),"")</f>
        <v/>
      </c>
      <c r="P537" s="43" t="str">
        <f>IFERROR(IF(VLOOKUP(B537,Baza[[№]:[Profit]],13,0)=0,"-",VLOOKUP(B537,Baza[[№]:[Profit]],13,0)),"")</f>
        <v/>
      </c>
      <c r="Q537" s="43" t="str">
        <f>IFERROR(IF(VLOOKUP(B537,Baza[[№]:[Profit]],15,0)=0,"-",VLOOKUP(B537,Baza[[№]:[Profit]],15,0)),"")</f>
        <v/>
      </c>
      <c r="R537" s="43" t="str">
        <f>IFERROR(IF(VLOOKUP(B537,Baza[[№]:[Profit]],16,0)=0,"-",VLOOKUP(B537,Baza[[№]:[Profit]],16,0)),"")</f>
        <v/>
      </c>
      <c r="S537" s="43" t="str">
        <f>IFERROR(IF(VLOOKUP(B537,Baza[[№]:[Profit]],17,0)=0,"-",VLOOKUP(B537,Baza[[№]:[Profit]],17,0)),"")</f>
        <v/>
      </c>
      <c r="T537" s="43" t="str">
        <f>IFERROR(IF(VLOOKUP(B537,Baza[[№]:[Profit]],18,0)=0,"-",VLOOKUP(B537,Baza[[№]:[Profit]],18,0)),"")</f>
        <v/>
      </c>
      <c r="U537" s="41" t="str">
        <f>IFERROR(IF(VLOOKUP(B537,Baza[[№]:[Profit]],19,0)=0,"-",VLOOKUP(B537,Baza[[№]:[Profit]],19,0)),"")</f>
        <v/>
      </c>
      <c r="V537" s="41" t="str">
        <f>IFERROR(VLOOKUP(B537,Baza[[№]:[Profit]],20,0),"")</f>
        <v/>
      </c>
      <c r="W537" s="41" t="str">
        <f>IFERROR(IF(VLOOKUP(B537,Baza[[№]:[Profit]],21,0)=0,"-",VLOOKUP(B537,Baza[[№]:[Profit]],21,0)),"")</f>
        <v/>
      </c>
      <c r="X537" s="45" t="str">
        <f>IFERROR(IF(VLOOKUP(B537,Baza[[№]:[Profit]],22,0)=0,"-",VLOOKUP(B537,Baza[[№]:[Profit]],22,0)),"")</f>
        <v/>
      </c>
      <c r="Y537" s="45" t="str">
        <f>IFERROR(VLOOKUP(B537,Baza[[№]:[Profit]],23,0),"")</f>
        <v/>
      </c>
      <c r="Z537" s="44" t="str">
        <f>IFERROR(VLOOKUP(B537,Baza[[№]:[AFS]],24,0),"")</f>
        <v/>
      </c>
      <c r="AA537" s="45" t="str">
        <f>IF(Таблица2[[#This Row],[Profit]]="","#Н/Д",SUM($Y$40:Y537))</f>
        <v>#Н/Д</v>
      </c>
      <c r="AB537" s="45" t="b">
        <f>IF(Таблица2[[#This Row],[Grafik]]="#Н/Д",FALSE,TRUE)</f>
        <v>0</v>
      </c>
    </row>
    <row r="538" spans="2:28" ht="11.1" hidden="1" customHeight="1" x14ac:dyDescent="0.25">
      <c r="B538"/>
      <c r="C538" s="41" t="str">
        <f>IFERROR(VLOOKUP(B538,Baza[[№]:[Profit]],2,0),"")</f>
        <v/>
      </c>
      <c r="D53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3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38" s="43" t="str">
        <f>IFERROR(VLOOKUP(B538,Baza[[№]:[Profit]],3,0),"")</f>
        <v/>
      </c>
      <c r="G538" s="43" t="str">
        <f>IFERROR(VLOOKUP(B538,Baza[[№]:[Profit]],4,0),"")</f>
        <v/>
      </c>
      <c r="H538" s="43" t="str">
        <f>IFERROR(VLOOKUP(B538,Baza[[№]:[Profit]],5,0),"")</f>
        <v/>
      </c>
      <c r="I538" s="46" t="str">
        <f>IFERROR(VLOOKUP(B538,Baza[[№]:[Profit]],6,0),"")</f>
        <v/>
      </c>
      <c r="J538" s="49" t="str">
        <f>IFERROR(VLOOKUP(B538,Baza[[№]:[Profit]],7,0),"")</f>
        <v/>
      </c>
      <c r="K538" s="43" t="str">
        <f>IFERROR(VLOOKUP(B538,Baza[[№]:[Profit]],8,0),"")</f>
        <v/>
      </c>
      <c r="L538" s="43" t="str">
        <f>IFERROR(VLOOKUP(B538,Baza[[№]:[Profit]],9,0),"")</f>
        <v/>
      </c>
      <c r="M538" s="43" t="str">
        <f>IFERROR(VLOOKUP(B538,Baza[[№]:[Profit]],10,0),"")</f>
        <v/>
      </c>
      <c r="N538" s="43" t="str">
        <f>IFERROR(IF(VLOOKUP(B538,Baza[[№]:[Profit]],11,0)=0,"-",VLOOKUP(B538,Baza[[№]:[Profit]],11,0)),"")</f>
        <v/>
      </c>
      <c r="O538" s="43" t="str">
        <f>IFERROR(IF(VLOOKUP(B538,Baza[[№]:[Profit]],12,0)=0,"-",VLOOKUP(B538,Baza[[№]:[Profit]],12,0)),"")</f>
        <v/>
      </c>
      <c r="P538" s="43" t="str">
        <f>IFERROR(IF(VLOOKUP(B538,Baza[[№]:[Profit]],13,0)=0,"-",VLOOKUP(B538,Baza[[№]:[Profit]],13,0)),"")</f>
        <v/>
      </c>
      <c r="Q538" s="43" t="str">
        <f>IFERROR(IF(VLOOKUP(B538,Baza[[№]:[Profit]],15,0)=0,"-",VLOOKUP(B538,Baza[[№]:[Profit]],15,0)),"")</f>
        <v/>
      </c>
      <c r="R538" s="43" t="str">
        <f>IFERROR(IF(VLOOKUP(B538,Baza[[№]:[Profit]],16,0)=0,"-",VLOOKUP(B538,Baza[[№]:[Profit]],16,0)),"")</f>
        <v/>
      </c>
      <c r="S538" s="43" t="str">
        <f>IFERROR(IF(VLOOKUP(B538,Baza[[№]:[Profit]],17,0)=0,"-",VLOOKUP(B538,Baza[[№]:[Profit]],17,0)),"")</f>
        <v/>
      </c>
      <c r="T538" s="43" t="str">
        <f>IFERROR(IF(VLOOKUP(B538,Baza[[№]:[Profit]],18,0)=0,"-",VLOOKUP(B538,Baza[[№]:[Profit]],18,0)),"")</f>
        <v/>
      </c>
      <c r="U538" s="41" t="str">
        <f>IFERROR(IF(VLOOKUP(B538,Baza[[№]:[Profit]],19,0)=0,"-",VLOOKUP(B538,Baza[[№]:[Profit]],19,0)),"")</f>
        <v/>
      </c>
      <c r="V538" s="41" t="str">
        <f>IFERROR(VLOOKUP(B538,Baza[[№]:[Profit]],20,0),"")</f>
        <v/>
      </c>
      <c r="W538" s="41" t="str">
        <f>IFERROR(IF(VLOOKUP(B538,Baza[[№]:[Profit]],21,0)=0,"-",VLOOKUP(B538,Baza[[№]:[Profit]],21,0)),"")</f>
        <v/>
      </c>
      <c r="X538" s="45" t="str">
        <f>IFERROR(IF(VLOOKUP(B538,Baza[[№]:[Profit]],22,0)=0,"-",VLOOKUP(B538,Baza[[№]:[Profit]],22,0)),"")</f>
        <v/>
      </c>
      <c r="Y538" s="45" t="str">
        <f>IFERROR(VLOOKUP(B538,Baza[[№]:[Profit]],23,0),"")</f>
        <v/>
      </c>
      <c r="Z538" s="44" t="str">
        <f>IFERROR(VLOOKUP(B538,Baza[[№]:[AFS]],24,0),"")</f>
        <v/>
      </c>
      <c r="AA538" s="45" t="str">
        <f>IF(Таблица2[[#This Row],[Profit]]="","#Н/Д",SUM($Y$40:Y538))</f>
        <v>#Н/Д</v>
      </c>
      <c r="AB538" s="45" t="b">
        <f>IF(Таблица2[[#This Row],[Grafik]]="#Н/Д",FALSE,TRUE)</f>
        <v>0</v>
      </c>
    </row>
    <row r="539" spans="2:28" ht="11.1" hidden="1" customHeight="1" x14ac:dyDescent="0.25">
      <c r="B539"/>
      <c r="C539" s="41" t="str">
        <f>IFERROR(VLOOKUP(B539,Baza[[№]:[Profit]],2,0),"")</f>
        <v/>
      </c>
      <c r="D53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3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39" s="43" t="str">
        <f>IFERROR(VLOOKUP(B539,Baza[[№]:[Profit]],3,0),"")</f>
        <v/>
      </c>
      <c r="G539" s="43" t="str">
        <f>IFERROR(VLOOKUP(B539,Baza[[№]:[Profit]],4,0),"")</f>
        <v/>
      </c>
      <c r="H539" s="43" t="str">
        <f>IFERROR(VLOOKUP(B539,Baza[[№]:[Profit]],5,0),"")</f>
        <v/>
      </c>
      <c r="I539" s="46" t="str">
        <f>IFERROR(VLOOKUP(B539,Baza[[№]:[Profit]],6,0),"")</f>
        <v/>
      </c>
      <c r="J539" s="49" t="str">
        <f>IFERROR(VLOOKUP(B539,Baza[[№]:[Profit]],7,0),"")</f>
        <v/>
      </c>
      <c r="K539" s="43" t="str">
        <f>IFERROR(VLOOKUP(B539,Baza[[№]:[Profit]],8,0),"")</f>
        <v/>
      </c>
      <c r="L539" s="43" t="str">
        <f>IFERROR(VLOOKUP(B539,Baza[[№]:[Profit]],9,0),"")</f>
        <v/>
      </c>
      <c r="M539" s="43" t="str">
        <f>IFERROR(VLOOKUP(B539,Baza[[№]:[Profit]],10,0),"")</f>
        <v/>
      </c>
      <c r="N539" s="43" t="str">
        <f>IFERROR(IF(VLOOKUP(B539,Baza[[№]:[Profit]],11,0)=0,"-",VLOOKUP(B539,Baza[[№]:[Profit]],11,0)),"")</f>
        <v/>
      </c>
      <c r="O539" s="43" t="str">
        <f>IFERROR(IF(VLOOKUP(B539,Baza[[№]:[Profit]],12,0)=0,"-",VLOOKUP(B539,Baza[[№]:[Profit]],12,0)),"")</f>
        <v/>
      </c>
      <c r="P539" s="43" t="str">
        <f>IFERROR(IF(VLOOKUP(B539,Baza[[№]:[Profit]],13,0)=0,"-",VLOOKUP(B539,Baza[[№]:[Profit]],13,0)),"")</f>
        <v/>
      </c>
      <c r="Q539" s="43" t="str">
        <f>IFERROR(IF(VLOOKUP(B539,Baza[[№]:[Profit]],15,0)=0,"-",VLOOKUP(B539,Baza[[№]:[Profit]],15,0)),"")</f>
        <v/>
      </c>
      <c r="R539" s="43" t="str">
        <f>IFERROR(IF(VLOOKUP(B539,Baza[[№]:[Profit]],16,0)=0,"-",VLOOKUP(B539,Baza[[№]:[Profit]],16,0)),"")</f>
        <v/>
      </c>
      <c r="S539" s="43" t="str">
        <f>IFERROR(IF(VLOOKUP(B539,Baza[[№]:[Profit]],17,0)=0,"-",VLOOKUP(B539,Baza[[№]:[Profit]],17,0)),"")</f>
        <v/>
      </c>
      <c r="T539" s="43" t="str">
        <f>IFERROR(IF(VLOOKUP(B539,Baza[[№]:[Profit]],18,0)=0,"-",VLOOKUP(B539,Baza[[№]:[Profit]],18,0)),"")</f>
        <v/>
      </c>
      <c r="U539" s="41" t="str">
        <f>IFERROR(IF(VLOOKUP(B539,Baza[[№]:[Profit]],19,0)=0,"-",VLOOKUP(B539,Baza[[№]:[Profit]],19,0)),"")</f>
        <v/>
      </c>
      <c r="V539" s="41" t="str">
        <f>IFERROR(VLOOKUP(B539,Baza[[№]:[Profit]],20,0),"")</f>
        <v/>
      </c>
      <c r="W539" s="41" t="str">
        <f>IFERROR(IF(VLOOKUP(B539,Baza[[№]:[Profit]],21,0)=0,"-",VLOOKUP(B539,Baza[[№]:[Profit]],21,0)),"")</f>
        <v/>
      </c>
      <c r="X539" s="45" t="str">
        <f>IFERROR(IF(VLOOKUP(B539,Baza[[№]:[Profit]],22,0)=0,"-",VLOOKUP(B539,Baza[[№]:[Profit]],22,0)),"")</f>
        <v/>
      </c>
      <c r="Y539" s="45" t="str">
        <f>IFERROR(VLOOKUP(B539,Baza[[№]:[Profit]],23,0),"")</f>
        <v/>
      </c>
      <c r="Z539" s="44" t="str">
        <f>IFERROR(VLOOKUP(B539,Baza[[№]:[AFS]],24,0),"")</f>
        <v/>
      </c>
      <c r="AA539" s="45" t="str">
        <f>IF(Таблица2[[#This Row],[Profit]]="","#Н/Д",SUM($Y$40:Y539))</f>
        <v>#Н/Д</v>
      </c>
      <c r="AB539" s="45" t="b">
        <f>IF(Таблица2[[#This Row],[Grafik]]="#Н/Д",FALSE,TRUE)</f>
        <v>0</v>
      </c>
    </row>
    <row r="540" spans="2:28" ht="11.1" hidden="1" customHeight="1" x14ac:dyDescent="0.25">
      <c r="B540"/>
      <c r="C540" s="41" t="str">
        <f>IFERROR(VLOOKUP(B540,Baza[[№]:[Profit]],2,0),"")</f>
        <v/>
      </c>
      <c r="D54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4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40" s="43" t="str">
        <f>IFERROR(VLOOKUP(B540,Baza[[№]:[Profit]],3,0),"")</f>
        <v/>
      </c>
      <c r="G540" s="43" t="str">
        <f>IFERROR(VLOOKUP(B540,Baza[[№]:[Profit]],4,0),"")</f>
        <v/>
      </c>
      <c r="H540" s="43" t="str">
        <f>IFERROR(VLOOKUP(B540,Baza[[№]:[Profit]],5,0),"")</f>
        <v/>
      </c>
      <c r="I540" s="46" t="str">
        <f>IFERROR(VLOOKUP(B540,Baza[[№]:[Profit]],6,0),"")</f>
        <v/>
      </c>
      <c r="J540" s="49" t="str">
        <f>IFERROR(VLOOKUP(B540,Baza[[№]:[Profit]],7,0),"")</f>
        <v/>
      </c>
      <c r="K540" s="43" t="str">
        <f>IFERROR(VLOOKUP(B540,Baza[[№]:[Profit]],8,0),"")</f>
        <v/>
      </c>
      <c r="L540" s="43" t="str">
        <f>IFERROR(VLOOKUP(B540,Baza[[№]:[Profit]],9,0),"")</f>
        <v/>
      </c>
      <c r="M540" s="43" t="str">
        <f>IFERROR(VLOOKUP(B540,Baza[[№]:[Profit]],10,0),"")</f>
        <v/>
      </c>
      <c r="N540" s="43" t="str">
        <f>IFERROR(IF(VLOOKUP(B540,Baza[[№]:[Profit]],11,0)=0,"-",VLOOKUP(B540,Baza[[№]:[Profit]],11,0)),"")</f>
        <v/>
      </c>
      <c r="O540" s="43" t="str">
        <f>IFERROR(IF(VLOOKUP(B540,Baza[[№]:[Profit]],12,0)=0,"-",VLOOKUP(B540,Baza[[№]:[Profit]],12,0)),"")</f>
        <v/>
      </c>
      <c r="P540" s="43" t="str">
        <f>IFERROR(IF(VLOOKUP(B540,Baza[[№]:[Profit]],13,0)=0,"-",VLOOKUP(B540,Baza[[№]:[Profit]],13,0)),"")</f>
        <v/>
      </c>
      <c r="Q540" s="43" t="str">
        <f>IFERROR(IF(VLOOKUP(B540,Baza[[№]:[Profit]],15,0)=0,"-",VLOOKUP(B540,Baza[[№]:[Profit]],15,0)),"")</f>
        <v/>
      </c>
      <c r="R540" s="43" t="str">
        <f>IFERROR(IF(VLOOKUP(B540,Baza[[№]:[Profit]],16,0)=0,"-",VLOOKUP(B540,Baza[[№]:[Profit]],16,0)),"")</f>
        <v/>
      </c>
      <c r="S540" s="43" t="str">
        <f>IFERROR(IF(VLOOKUP(B540,Baza[[№]:[Profit]],17,0)=0,"-",VLOOKUP(B540,Baza[[№]:[Profit]],17,0)),"")</f>
        <v/>
      </c>
      <c r="T540" s="43" t="str">
        <f>IFERROR(IF(VLOOKUP(B540,Baza[[№]:[Profit]],18,0)=0,"-",VLOOKUP(B540,Baza[[№]:[Profit]],18,0)),"")</f>
        <v/>
      </c>
      <c r="U540" s="41" t="str">
        <f>IFERROR(IF(VLOOKUP(B540,Baza[[№]:[Profit]],19,0)=0,"-",VLOOKUP(B540,Baza[[№]:[Profit]],19,0)),"")</f>
        <v/>
      </c>
      <c r="V540" s="41" t="str">
        <f>IFERROR(VLOOKUP(B540,Baza[[№]:[Profit]],20,0),"")</f>
        <v/>
      </c>
      <c r="W540" s="41" t="str">
        <f>IFERROR(IF(VLOOKUP(B540,Baza[[№]:[Profit]],21,0)=0,"-",VLOOKUP(B540,Baza[[№]:[Profit]],21,0)),"")</f>
        <v/>
      </c>
      <c r="X540" s="45" t="str">
        <f>IFERROR(IF(VLOOKUP(B540,Baza[[№]:[Profit]],22,0)=0,"-",VLOOKUP(B540,Baza[[№]:[Profit]],22,0)),"")</f>
        <v/>
      </c>
      <c r="Y540" s="45" t="str">
        <f>IFERROR(VLOOKUP(B540,Baza[[№]:[Profit]],23,0),"")</f>
        <v/>
      </c>
      <c r="Z540" s="44" t="str">
        <f>IFERROR(VLOOKUP(B540,Baza[[№]:[AFS]],24,0),"")</f>
        <v/>
      </c>
      <c r="AA540" s="45" t="str">
        <f>IF(Таблица2[[#This Row],[Profit]]="","#Н/Д",SUM($Y$40:Y540))</f>
        <v>#Н/Д</v>
      </c>
      <c r="AB540" s="45" t="b">
        <f>IF(Таблица2[[#This Row],[Grafik]]="#Н/Д",FALSE,TRUE)</f>
        <v>0</v>
      </c>
    </row>
    <row r="541" spans="2:28" ht="11.1" hidden="1" customHeight="1" x14ac:dyDescent="0.25">
      <c r="B541"/>
      <c r="C541" s="41" t="str">
        <f>IFERROR(VLOOKUP(B541,Baza[[№]:[Profit]],2,0),"")</f>
        <v/>
      </c>
      <c r="D54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4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41" s="43" t="str">
        <f>IFERROR(VLOOKUP(B541,Baza[[№]:[Profit]],3,0),"")</f>
        <v/>
      </c>
      <c r="G541" s="43" t="str">
        <f>IFERROR(VLOOKUP(B541,Baza[[№]:[Profit]],4,0),"")</f>
        <v/>
      </c>
      <c r="H541" s="43" t="str">
        <f>IFERROR(VLOOKUP(B541,Baza[[№]:[Profit]],5,0),"")</f>
        <v/>
      </c>
      <c r="I541" s="46" t="str">
        <f>IFERROR(VLOOKUP(B541,Baza[[№]:[Profit]],6,0),"")</f>
        <v/>
      </c>
      <c r="J541" s="49" t="str">
        <f>IFERROR(VLOOKUP(B541,Baza[[№]:[Profit]],7,0),"")</f>
        <v/>
      </c>
      <c r="K541" s="43" t="str">
        <f>IFERROR(VLOOKUP(B541,Baza[[№]:[Profit]],8,0),"")</f>
        <v/>
      </c>
      <c r="L541" s="43" t="str">
        <f>IFERROR(VLOOKUP(B541,Baza[[№]:[Profit]],9,0),"")</f>
        <v/>
      </c>
      <c r="M541" s="43" t="str">
        <f>IFERROR(VLOOKUP(B541,Baza[[№]:[Profit]],10,0),"")</f>
        <v/>
      </c>
      <c r="N541" s="43" t="str">
        <f>IFERROR(IF(VLOOKUP(B541,Baza[[№]:[Profit]],11,0)=0,"-",VLOOKUP(B541,Baza[[№]:[Profit]],11,0)),"")</f>
        <v/>
      </c>
      <c r="O541" s="43" t="str">
        <f>IFERROR(IF(VLOOKUP(B541,Baza[[№]:[Profit]],12,0)=0,"-",VLOOKUP(B541,Baza[[№]:[Profit]],12,0)),"")</f>
        <v/>
      </c>
      <c r="P541" s="43" t="str">
        <f>IFERROR(IF(VLOOKUP(B541,Baza[[№]:[Profit]],13,0)=0,"-",VLOOKUP(B541,Baza[[№]:[Profit]],13,0)),"")</f>
        <v/>
      </c>
      <c r="Q541" s="43" t="str">
        <f>IFERROR(IF(VLOOKUP(B541,Baza[[№]:[Profit]],15,0)=0,"-",VLOOKUP(B541,Baza[[№]:[Profit]],15,0)),"")</f>
        <v/>
      </c>
      <c r="R541" s="43" t="str">
        <f>IFERROR(IF(VLOOKUP(B541,Baza[[№]:[Profit]],16,0)=0,"-",VLOOKUP(B541,Baza[[№]:[Profit]],16,0)),"")</f>
        <v/>
      </c>
      <c r="S541" s="43" t="str">
        <f>IFERROR(IF(VLOOKUP(B541,Baza[[№]:[Profit]],17,0)=0,"-",VLOOKUP(B541,Baza[[№]:[Profit]],17,0)),"")</f>
        <v/>
      </c>
      <c r="T541" s="43" t="str">
        <f>IFERROR(IF(VLOOKUP(B541,Baza[[№]:[Profit]],18,0)=0,"-",VLOOKUP(B541,Baza[[№]:[Profit]],18,0)),"")</f>
        <v/>
      </c>
      <c r="U541" s="41" t="str">
        <f>IFERROR(IF(VLOOKUP(B541,Baza[[№]:[Profit]],19,0)=0,"-",VLOOKUP(B541,Baza[[№]:[Profit]],19,0)),"")</f>
        <v/>
      </c>
      <c r="V541" s="41" t="str">
        <f>IFERROR(VLOOKUP(B541,Baza[[№]:[Profit]],20,0),"")</f>
        <v/>
      </c>
      <c r="W541" s="41" t="str">
        <f>IFERROR(IF(VLOOKUP(B541,Baza[[№]:[Profit]],21,0)=0,"-",VLOOKUP(B541,Baza[[№]:[Profit]],21,0)),"")</f>
        <v/>
      </c>
      <c r="X541" s="45" t="str">
        <f>IFERROR(IF(VLOOKUP(B541,Baza[[№]:[Profit]],22,0)=0,"-",VLOOKUP(B541,Baza[[№]:[Profit]],22,0)),"")</f>
        <v/>
      </c>
      <c r="Y541" s="45" t="str">
        <f>IFERROR(VLOOKUP(B541,Baza[[№]:[Profit]],23,0),"")</f>
        <v/>
      </c>
      <c r="Z541" s="44" t="str">
        <f>IFERROR(VLOOKUP(B541,Baza[[№]:[AFS]],24,0),"")</f>
        <v/>
      </c>
      <c r="AA541" s="45" t="str">
        <f>IF(Таблица2[[#This Row],[Profit]]="","#Н/Д",SUM($Y$40:Y541))</f>
        <v>#Н/Д</v>
      </c>
      <c r="AB541" s="45" t="b">
        <f>IF(Таблица2[[#This Row],[Grafik]]="#Н/Д",FALSE,TRUE)</f>
        <v>0</v>
      </c>
    </row>
    <row r="542" spans="2:28" ht="11.1" hidden="1" customHeight="1" x14ac:dyDescent="0.25">
      <c r="B542"/>
      <c r="C542" s="41" t="str">
        <f>IFERROR(VLOOKUP(B542,Baza[[№]:[Profit]],2,0),"")</f>
        <v/>
      </c>
      <c r="D54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4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42" s="43" t="str">
        <f>IFERROR(VLOOKUP(B542,Baza[[№]:[Profit]],3,0),"")</f>
        <v/>
      </c>
      <c r="G542" s="43" t="str">
        <f>IFERROR(VLOOKUP(B542,Baza[[№]:[Profit]],4,0),"")</f>
        <v/>
      </c>
      <c r="H542" s="43" t="str">
        <f>IFERROR(VLOOKUP(B542,Baza[[№]:[Profit]],5,0),"")</f>
        <v/>
      </c>
      <c r="I542" s="46" t="str">
        <f>IFERROR(VLOOKUP(B542,Baza[[№]:[Profit]],6,0),"")</f>
        <v/>
      </c>
      <c r="J542" s="49" t="str">
        <f>IFERROR(VLOOKUP(B542,Baza[[№]:[Profit]],7,0),"")</f>
        <v/>
      </c>
      <c r="K542" s="43" t="str">
        <f>IFERROR(VLOOKUP(B542,Baza[[№]:[Profit]],8,0),"")</f>
        <v/>
      </c>
      <c r="L542" s="43" t="str">
        <f>IFERROR(VLOOKUP(B542,Baza[[№]:[Profit]],9,0),"")</f>
        <v/>
      </c>
      <c r="M542" s="43" t="str">
        <f>IFERROR(VLOOKUP(B542,Baza[[№]:[Profit]],10,0),"")</f>
        <v/>
      </c>
      <c r="N542" s="43" t="str">
        <f>IFERROR(IF(VLOOKUP(B542,Baza[[№]:[Profit]],11,0)=0,"-",VLOOKUP(B542,Baza[[№]:[Profit]],11,0)),"")</f>
        <v/>
      </c>
      <c r="O542" s="43" t="str">
        <f>IFERROR(IF(VLOOKUP(B542,Baza[[№]:[Profit]],12,0)=0,"-",VLOOKUP(B542,Baza[[№]:[Profit]],12,0)),"")</f>
        <v/>
      </c>
      <c r="P542" s="43" t="str">
        <f>IFERROR(IF(VLOOKUP(B542,Baza[[№]:[Profit]],13,0)=0,"-",VLOOKUP(B542,Baza[[№]:[Profit]],13,0)),"")</f>
        <v/>
      </c>
      <c r="Q542" s="43" t="str">
        <f>IFERROR(IF(VLOOKUP(B542,Baza[[№]:[Profit]],15,0)=0,"-",VLOOKUP(B542,Baza[[№]:[Profit]],15,0)),"")</f>
        <v/>
      </c>
      <c r="R542" s="43" t="str">
        <f>IFERROR(IF(VLOOKUP(B542,Baza[[№]:[Profit]],16,0)=0,"-",VLOOKUP(B542,Baza[[№]:[Profit]],16,0)),"")</f>
        <v/>
      </c>
      <c r="S542" s="43" t="str">
        <f>IFERROR(IF(VLOOKUP(B542,Baza[[№]:[Profit]],17,0)=0,"-",VLOOKUP(B542,Baza[[№]:[Profit]],17,0)),"")</f>
        <v/>
      </c>
      <c r="T542" s="43" t="str">
        <f>IFERROR(IF(VLOOKUP(B542,Baza[[№]:[Profit]],18,0)=0,"-",VLOOKUP(B542,Baza[[№]:[Profit]],18,0)),"")</f>
        <v/>
      </c>
      <c r="U542" s="41" t="str">
        <f>IFERROR(IF(VLOOKUP(B542,Baza[[№]:[Profit]],19,0)=0,"-",VLOOKUP(B542,Baza[[№]:[Profit]],19,0)),"")</f>
        <v/>
      </c>
      <c r="V542" s="41" t="str">
        <f>IFERROR(VLOOKUP(B542,Baza[[№]:[Profit]],20,0),"")</f>
        <v/>
      </c>
      <c r="W542" s="41" t="str">
        <f>IFERROR(IF(VLOOKUP(B542,Baza[[№]:[Profit]],21,0)=0,"-",VLOOKUP(B542,Baza[[№]:[Profit]],21,0)),"")</f>
        <v/>
      </c>
      <c r="X542" s="45" t="str">
        <f>IFERROR(IF(VLOOKUP(B542,Baza[[№]:[Profit]],22,0)=0,"-",VLOOKUP(B542,Baza[[№]:[Profit]],22,0)),"")</f>
        <v/>
      </c>
      <c r="Y542" s="45" t="str">
        <f>IFERROR(VLOOKUP(B542,Baza[[№]:[Profit]],23,0),"")</f>
        <v/>
      </c>
      <c r="Z542" s="44" t="str">
        <f>IFERROR(VLOOKUP(B542,Baza[[№]:[AFS]],24,0),"")</f>
        <v/>
      </c>
      <c r="AA542" s="45" t="str">
        <f>IF(Таблица2[[#This Row],[Profit]]="","#Н/Д",SUM($Y$40:Y542))</f>
        <v>#Н/Д</v>
      </c>
      <c r="AB542" s="45" t="b">
        <f>IF(Таблица2[[#This Row],[Grafik]]="#Н/Д",FALSE,TRUE)</f>
        <v>0</v>
      </c>
    </row>
    <row r="543" spans="2:28" ht="11.1" hidden="1" customHeight="1" x14ac:dyDescent="0.25">
      <c r="B543"/>
      <c r="C543" s="41" t="str">
        <f>IFERROR(VLOOKUP(B543,Baza[[№]:[Profit]],2,0),"")</f>
        <v/>
      </c>
      <c r="D54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4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43" s="43" t="str">
        <f>IFERROR(VLOOKUP(B543,Baza[[№]:[Profit]],3,0),"")</f>
        <v/>
      </c>
      <c r="G543" s="43" t="str">
        <f>IFERROR(VLOOKUP(B543,Baza[[№]:[Profit]],4,0),"")</f>
        <v/>
      </c>
      <c r="H543" s="43" t="str">
        <f>IFERROR(VLOOKUP(B543,Baza[[№]:[Profit]],5,0),"")</f>
        <v/>
      </c>
      <c r="I543" s="46" t="str">
        <f>IFERROR(VLOOKUP(B543,Baza[[№]:[Profit]],6,0),"")</f>
        <v/>
      </c>
      <c r="J543" s="49" t="str">
        <f>IFERROR(VLOOKUP(B543,Baza[[№]:[Profit]],7,0),"")</f>
        <v/>
      </c>
      <c r="K543" s="43" t="str">
        <f>IFERROR(VLOOKUP(B543,Baza[[№]:[Profit]],8,0),"")</f>
        <v/>
      </c>
      <c r="L543" s="43" t="str">
        <f>IFERROR(VLOOKUP(B543,Baza[[№]:[Profit]],9,0),"")</f>
        <v/>
      </c>
      <c r="M543" s="43" t="str">
        <f>IFERROR(VLOOKUP(B543,Baza[[№]:[Profit]],10,0),"")</f>
        <v/>
      </c>
      <c r="N543" s="43" t="str">
        <f>IFERROR(IF(VLOOKUP(B543,Baza[[№]:[Profit]],11,0)=0,"-",VLOOKUP(B543,Baza[[№]:[Profit]],11,0)),"")</f>
        <v/>
      </c>
      <c r="O543" s="43" t="str">
        <f>IFERROR(IF(VLOOKUP(B543,Baza[[№]:[Profit]],12,0)=0,"-",VLOOKUP(B543,Baza[[№]:[Profit]],12,0)),"")</f>
        <v/>
      </c>
      <c r="P543" s="43" t="str">
        <f>IFERROR(IF(VLOOKUP(B543,Baza[[№]:[Profit]],13,0)=0,"-",VLOOKUP(B543,Baza[[№]:[Profit]],13,0)),"")</f>
        <v/>
      </c>
      <c r="Q543" s="43" t="str">
        <f>IFERROR(IF(VLOOKUP(B543,Baza[[№]:[Profit]],15,0)=0,"-",VLOOKUP(B543,Baza[[№]:[Profit]],15,0)),"")</f>
        <v/>
      </c>
      <c r="R543" s="43" t="str">
        <f>IFERROR(IF(VLOOKUP(B543,Baza[[№]:[Profit]],16,0)=0,"-",VLOOKUP(B543,Baza[[№]:[Profit]],16,0)),"")</f>
        <v/>
      </c>
      <c r="S543" s="43" t="str">
        <f>IFERROR(IF(VLOOKUP(B543,Baza[[№]:[Profit]],17,0)=0,"-",VLOOKUP(B543,Baza[[№]:[Profit]],17,0)),"")</f>
        <v/>
      </c>
      <c r="T543" s="43" t="str">
        <f>IFERROR(IF(VLOOKUP(B543,Baza[[№]:[Profit]],18,0)=0,"-",VLOOKUP(B543,Baza[[№]:[Profit]],18,0)),"")</f>
        <v/>
      </c>
      <c r="U543" s="41" t="str">
        <f>IFERROR(IF(VLOOKUP(B543,Baza[[№]:[Profit]],19,0)=0,"-",VLOOKUP(B543,Baza[[№]:[Profit]],19,0)),"")</f>
        <v/>
      </c>
      <c r="V543" s="41" t="str">
        <f>IFERROR(VLOOKUP(B543,Baza[[№]:[Profit]],20,0),"")</f>
        <v/>
      </c>
      <c r="W543" s="41" t="str">
        <f>IFERROR(IF(VLOOKUP(B543,Baza[[№]:[Profit]],21,0)=0,"-",VLOOKUP(B543,Baza[[№]:[Profit]],21,0)),"")</f>
        <v/>
      </c>
      <c r="X543" s="45" t="str">
        <f>IFERROR(IF(VLOOKUP(B543,Baza[[№]:[Profit]],22,0)=0,"-",VLOOKUP(B543,Baza[[№]:[Profit]],22,0)),"")</f>
        <v/>
      </c>
      <c r="Y543" s="45" t="str">
        <f>IFERROR(VLOOKUP(B543,Baza[[№]:[Profit]],23,0),"")</f>
        <v/>
      </c>
      <c r="Z543" s="44" t="str">
        <f>IFERROR(VLOOKUP(B543,Baza[[№]:[AFS]],24,0),"")</f>
        <v/>
      </c>
      <c r="AA543" s="45" t="str">
        <f>IF(Таблица2[[#This Row],[Profit]]="","#Н/Д",SUM($Y$40:Y543))</f>
        <v>#Н/Д</v>
      </c>
      <c r="AB543" s="45" t="b">
        <f>IF(Таблица2[[#This Row],[Grafik]]="#Н/Д",FALSE,TRUE)</f>
        <v>0</v>
      </c>
    </row>
    <row r="544" spans="2:28" ht="11.1" hidden="1" customHeight="1" x14ac:dyDescent="0.25">
      <c r="B544"/>
      <c r="C544" s="41" t="str">
        <f>IFERROR(VLOOKUP(B544,Baza[[№]:[Profit]],2,0),"")</f>
        <v/>
      </c>
      <c r="D54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4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44" s="43" t="str">
        <f>IFERROR(VLOOKUP(B544,Baza[[№]:[Profit]],3,0),"")</f>
        <v/>
      </c>
      <c r="G544" s="43" t="str">
        <f>IFERROR(VLOOKUP(B544,Baza[[№]:[Profit]],4,0),"")</f>
        <v/>
      </c>
      <c r="H544" s="43" t="str">
        <f>IFERROR(VLOOKUP(B544,Baza[[№]:[Profit]],5,0),"")</f>
        <v/>
      </c>
      <c r="I544" s="46" t="str">
        <f>IFERROR(VLOOKUP(B544,Baza[[№]:[Profit]],6,0),"")</f>
        <v/>
      </c>
      <c r="J544" s="49" t="str">
        <f>IFERROR(VLOOKUP(B544,Baza[[№]:[Profit]],7,0),"")</f>
        <v/>
      </c>
      <c r="K544" s="43" t="str">
        <f>IFERROR(VLOOKUP(B544,Baza[[№]:[Profit]],8,0),"")</f>
        <v/>
      </c>
      <c r="L544" s="43" t="str">
        <f>IFERROR(VLOOKUP(B544,Baza[[№]:[Profit]],9,0),"")</f>
        <v/>
      </c>
      <c r="M544" s="43" t="str">
        <f>IFERROR(VLOOKUP(B544,Baza[[№]:[Profit]],10,0),"")</f>
        <v/>
      </c>
      <c r="N544" s="43" t="str">
        <f>IFERROR(IF(VLOOKUP(B544,Baza[[№]:[Profit]],11,0)=0,"-",VLOOKUP(B544,Baza[[№]:[Profit]],11,0)),"")</f>
        <v/>
      </c>
      <c r="O544" s="43" t="str">
        <f>IFERROR(IF(VLOOKUP(B544,Baza[[№]:[Profit]],12,0)=0,"-",VLOOKUP(B544,Baza[[№]:[Profit]],12,0)),"")</f>
        <v/>
      </c>
      <c r="P544" s="43" t="str">
        <f>IFERROR(IF(VLOOKUP(B544,Baza[[№]:[Profit]],13,0)=0,"-",VLOOKUP(B544,Baza[[№]:[Profit]],13,0)),"")</f>
        <v/>
      </c>
      <c r="Q544" s="43" t="str">
        <f>IFERROR(IF(VLOOKUP(B544,Baza[[№]:[Profit]],15,0)=0,"-",VLOOKUP(B544,Baza[[№]:[Profit]],15,0)),"")</f>
        <v/>
      </c>
      <c r="R544" s="43" t="str">
        <f>IFERROR(IF(VLOOKUP(B544,Baza[[№]:[Profit]],16,0)=0,"-",VLOOKUP(B544,Baza[[№]:[Profit]],16,0)),"")</f>
        <v/>
      </c>
      <c r="S544" s="43" t="str">
        <f>IFERROR(IF(VLOOKUP(B544,Baza[[№]:[Profit]],17,0)=0,"-",VLOOKUP(B544,Baza[[№]:[Profit]],17,0)),"")</f>
        <v/>
      </c>
      <c r="T544" s="43" t="str">
        <f>IFERROR(IF(VLOOKUP(B544,Baza[[№]:[Profit]],18,0)=0,"-",VLOOKUP(B544,Baza[[№]:[Profit]],18,0)),"")</f>
        <v/>
      </c>
      <c r="U544" s="41" t="str">
        <f>IFERROR(IF(VLOOKUP(B544,Baza[[№]:[Profit]],19,0)=0,"-",VLOOKUP(B544,Baza[[№]:[Profit]],19,0)),"")</f>
        <v/>
      </c>
      <c r="V544" s="41" t="str">
        <f>IFERROR(VLOOKUP(B544,Baza[[№]:[Profit]],20,0),"")</f>
        <v/>
      </c>
      <c r="W544" s="41" t="str">
        <f>IFERROR(IF(VLOOKUP(B544,Baza[[№]:[Profit]],21,0)=0,"-",VLOOKUP(B544,Baza[[№]:[Profit]],21,0)),"")</f>
        <v/>
      </c>
      <c r="X544" s="45" t="str">
        <f>IFERROR(IF(VLOOKUP(B544,Baza[[№]:[Profit]],22,0)=0,"-",VLOOKUP(B544,Baza[[№]:[Profit]],22,0)),"")</f>
        <v/>
      </c>
      <c r="Y544" s="45" t="str">
        <f>IFERROR(VLOOKUP(B544,Baza[[№]:[Profit]],23,0),"")</f>
        <v/>
      </c>
      <c r="Z544" s="44" t="str">
        <f>IFERROR(VLOOKUP(B544,Baza[[№]:[AFS]],24,0),"")</f>
        <v/>
      </c>
      <c r="AA544" s="45" t="str">
        <f>IF(Таблица2[[#This Row],[Profit]]="","#Н/Д",SUM($Y$40:Y544))</f>
        <v>#Н/Д</v>
      </c>
      <c r="AB544" s="45" t="b">
        <f>IF(Таблица2[[#This Row],[Grafik]]="#Н/Д",FALSE,TRUE)</f>
        <v>0</v>
      </c>
    </row>
    <row r="545" spans="2:28" ht="11.1" hidden="1" customHeight="1" x14ac:dyDescent="0.25">
      <c r="B545"/>
      <c r="C545" s="41" t="str">
        <f>IFERROR(VLOOKUP(B545,Baza[[№]:[Profit]],2,0),"")</f>
        <v/>
      </c>
      <c r="D54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4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45" s="43" t="str">
        <f>IFERROR(VLOOKUP(B545,Baza[[№]:[Profit]],3,0),"")</f>
        <v/>
      </c>
      <c r="G545" s="43" t="str">
        <f>IFERROR(VLOOKUP(B545,Baza[[№]:[Profit]],4,0),"")</f>
        <v/>
      </c>
      <c r="H545" s="43" t="str">
        <f>IFERROR(VLOOKUP(B545,Baza[[№]:[Profit]],5,0),"")</f>
        <v/>
      </c>
      <c r="I545" s="46" t="str">
        <f>IFERROR(VLOOKUP(B545,Baza[[№]:[Profit]],6,0),"")</f>
        <v/>
      </c>
      <c r="J545" s="49" t="str">
        <f>IFERROR(VLOOKUP(B545,Baza[[№]:[Profit]],7,0),"")</f>
        <v/>
      </c>
      <c r="K545" s="43" t="str">
        <f>IFERROR(VLOOKUP(B545,Baza[[№]:[Profit]],8,0),"")</f>
        <v/>
      </c>
      <c r="L545" s="43" t="str">
        <f>IFERROR(VLOOKUP(B545,Baza[[№]:[Profit]],9,0),"")</f>
        <v/>
      </c>
      <c r="M545" s="43" t="str">
        <f>IFERROR(VLOOKUP(B545,Baza[[№]:[Profit]],10,0),"")</f>
        <v/>
      </c>
      <c r="N545" s="43" t="str">
        <f>IFERROR(IF(VLOOKUP(B545,Baza[[№]:[Profit]],11,0)=0,"-",VLOOKUP(B545,Baza[[№]:[Profit]],11,0)),"")</f>
        <v/>
      </c>
      <c r="O545" s="43" t="str">
        <f>IFERROR(IF(VLOOKUP(B545,Baza[[№]:[Profit]],12,0)=0,"-",VLOOKUP(B545,Baza[[№]:[Profit]],12,0)),"")</f>
        <v/>
      </c>
      <c r="P545" s="43" t="str">
        <f>IFERROR(IF(VLOOKUP(B545,Baza[[№]:[Profit]],13,0)=0,"-",VLOOKUP(B545,Baza[[№]:[Profit]],13,0)),"")</f>
        <v/>
      </c>
      <c r="Q545" s="43" t="str">
        <f>IFERROR(IF(VLOOKUP(B545,Baza[[№]:[Profit]],15,0)=0,"-",VLOOKUP(B545,Baza[[№]:[Profit]],15,0)),"")</f>
        <v/>
      </c>
      <c r="R545" s="43" t="str">
        <f>IFERROR(IF(VLOOKUP(B545,Baza[[№]:[Profit]],16,0)=0,"-",VLOOKUP(B545,Baza[[№]:[Profit]],16,0)),"")</f>
        <v/>
      </c>
      <c r="S545" s="43" t="str">
        <f>IFERROR(IF(VLOOKUP(B545,Baza[[№]:[Profit]],17,0)=0,"-",VLOOKUP(B545,Baza[[№]:[Profit]],17,0)),"")</f>
        <v/>
      </c>
      <c r="T545" s="43" t="str">
        <f>IFERROR(IF(VLOOKUP(B545,Baza[[№]:[Profit]],18,0)=0,"-",VLOOKUP(B545,Baza[[№]:[Profit]],18,0)),"")</f>
        <v/>
      </c>
      <c r="U545" s="41" t="str">
        <f>IFERROR(IF(VLOOKUP(B545,Baza[[№]:[Profit]],19,0)=0,"-",VLOOKUP(B545,Baza[[№]:[Profit]],19,0)),"")</f>
        <v/>
      </c>
      <c r="V545" s="41" t="str">
        <f>IFERROR(VLOOKUP(B545,Baza[[№]:[Profit]],20,0),"")</f>
        <v/>
      </c>
      <c r="W545" s="41" t="str">
        <f>IFERROR(IF(VLOOKUP(B545,Baza[[№]:[Profit]],21,0)=0,"-",VLOOKUP(B545,Baza[[№]:[Profit]],21,0)),"")</f>
        <v/>
      </c>
      <c r="X545" s="45" t="str">
        <f>IFERROR(IF(VLOOKUP(B545,Baza[[№]:[Profit]],22,0)=0,"-",VLOOKUP(B545,Baza[[№]:[Profit]],22,0)),"")</f>
        <v/>
      </c>
      <c r="Y545" s="45" t="str">
        <f>IFERROR(VLOOKUP(B545,Baza[[№]:[Profit]],23,0),"")</f>
        <v/>
      </c>
      <c r="Z545" s="44" t="str">
        <f>IFERROR(VLOOKUP(B545,Baza[[№]:[AFS]],24,0),"")</f>
        <v/>
      </c>
      <c r="AA545" s="45" t="str">
        <f>IF(Таблица2[[#This Row],[Profit]]="","#Н/Д",SUM($Y$40:Y545))</f>
        <v>#Н/Д</v>
      </c>
      <c r="AB545" s="45" t="b">
        <f>IF(Таблица2[[#This Row],[Grafik]]="#Н/Д",FALSE,TRUE)</f>
        <v>0</v>
      </c>
    </row>
    <row r="546" spans="2:28" ht="11.1" hidden="1" customHeight="1" x14ac:dyDescent="0.25">
      <c r="B546"/>
      <c r="C546" s="41" t="str">
        <f>IFERROR(VLOOKUP(B546,Baza[[№]:[Profit]],2,0),"")</f>
        <v/>
      </c>
      <c r="D54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4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46" s="43" t="str">
        <f>IFERROR(VLOOKUP(B546,Baza[[№]:[Profit]],3,0),"")</f>
        <v/>
      </c>
      <c r="G546" s="43" t="str">
        <f>IFERROR(VLOOKUP(B546,Baza[[№]:[Profit]],4,0),"")</f>
        <v/>
      </c>
      <c r="H546" s="43" t="str">
        <f>IFERROR(VLOOKUP(B546,Baza[[№]:[Profit]],5,0),"")</f>
        <v/>
      </c>
      <c r="I546" s="46" t="str">
        <f>IFERROR(VLOOKUP(B546,Baza[[№]:[Profit]],6,0),"")</f>
        <v/>
      </c>
      <c r="J546" s="49" t="str">
        <f>IFERROR(VLOOKUP(B546,Baza[[№]:[Profit]],7,0),"")</f>
        <v/>
      </c>
      <c r="K546" s="43" t="str">
        <f>IFERROR(VLOOKUP(B546,Baza[[№]:[Profit]],8,0),"")</f>
        <v/>
      </c>
      <c r="L546" s="43" t="str">
        <f>IFERROR(VLOOKUP(B546,Baza[[№]:[Profit]],9,0),"")</f>
        <v/>
      </c>
      <c r="M546" s="43" t="str">
        <f>IFERROR(VLOOKUP(B546,Baza[[№]:[Profit]],10,0),"")</f>
        <v/>
      </c>
      <c r="N546" s="43" t="str">
        <f>IFERROR(IF(VLOOKUP(B546,Baza[[№]:[Profit]],11,0)=0,"-",VLOOKUP(B546,Baza[[№]:[Profit]],11,0)),"")</f>
        <v/>
      </c>
      <c r="O546" s="43" t="str">
        <f>IFERROR(IF(VLOOKUP(B546,Baza[[№]:[Profit]],12,0)=0,"-",VLOOKUP(B546,Baza[[№]:[Profit]],12,0)),"")</f>
        <v/>
      </c>
      <c r="P546" s="43" t="str">
        <f>IFERROR(IF(VLOOKUP(B546,Baza[[№]:[Profit]],13,0)=0,"-",VLOOKUP(B546,Baza[[№]:[Profit]],13,0)),"")</f>
        <v/>
      </c>
      <c r="Q546" s="43" t="str">
        <f>IFERROR(IF(VLOOKUP(B546,Baza[[№]:[Profit]],15,0)=0,"-",VLOOKUP(B546,Baza[[№]:[Profit]],15,0)),"")</f>
        <v/>
      </c>
      <c r="R546" s="43" t="str">
        <f>IFERROR(IF(VLOOKUP(B546,Baza[[№]:[Profit]],16,0)=0,"-",VLOOKUP(B546,Baza[[№]:[Profit]],16,0)),"")</f>
        <v/>
      </c>
      <c r="S546" s="43" t="str">
        <f>IFERROR(IF(VLOOKUP(B546,Baza[[№]:[Profit]],17,0)=0,"-",VLOOKUP(B546,Baza[[№]:[Profit]],17,0)),"")</f>
        <v/>
      </c>
      <c r="T546" s="43" t="str">
        <f>IFERROR(IF(VLOOKUP(B546,Baza[[№]:[Profit]],18,0)=0,"-",VLOOKUP(B546,Baza[[№]:[Profit]],18,0)),"")</f>
        <v/>
      </c>
      <c r="U546" s="41" t="str">
        <f>IFERROR(IF(VLOOKUP(B546,Baza[[№]:[Profit]],19,0)=0,"-",VLOOKUP(B546,Baza[[№]:[Profit]],19,0)),"")</f>
        <v/>
      </c>
      <c r="V546" s="41" t="str">
        <f>IFERROR(VLOOKUP(B546,Baza[[№]:[Profit]],20,0),"")</f>
        <v/>
      </c>
      <c r="W546" s="41" t="str">
        <f>IFERROR(IF(VLOOKUP(B546,Baza[[№]:[Profit]],21,0)=0,"-",VLOOKUP(B546,Baza[[№]:[Profit]],21,0)),"")</f>
        <v/>
      </c>
      <c r="X546" s="45" t="str">
        <f>IFERROR(IF(VLOOKUP(B546,Baza[[№]:[Profit]],22,0)=0,"-",VLOOKUP(B546,Baza[[№]:[Profit]],22,0)),"")</f>
        <v/>
      </c>
      <c r="Y546" s="45" t="str">
        <f>IFERROR(VLOOKUP(B546,Baza[[№]:[Profit]],23,0),"")</f>
        <v/>
      </c>
      <c r="Z546" s="44" t="str">
        <f>IFERROR(VLOOKUP(B546,Baza[[№]:[AFS]],24,0),"")</f>
        <v/>
      </c>
      <c r="AA546" s="45" t="str">
        <f>IF(Таблица2[[#This Row],[Profit]]="","#Н/Д",SUM($Y$40:Y546))</f>
        <v>#Н/Д</v>
      </c>
      <c r="AB546" s="45" t="b">
        <f>IF(Таблица2[[#This Row],[Grafik]]="#Н/Д",FALSE,TRUE)</f>
        <v>0</v>
      </c>
    </row>
    <row r="547" spans="2:28" ht="11.1" hidden="1" customHeight="1" x14ac:dyDescent="0.25">
      <c r="B547"/>
      <c r="C547" s="41" t="str">
        <f>IFERROR(VLOOKUP(B547,Baza[[№]:[Profit]],2,0),"")</f>
        <v/>
      </c>
      <c r="D54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4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47" s="43" t="str">
        <f>IFERROR(VLOOKUP(B547,Baza[[№]:[Profit]],3,0),"")</f>
        <v/>
      </c>
      <c r="G547" s="43" t="str">
        <f>IFERROR(VLOOKUP(B547,Baza[[№]:[Profit]],4,0),"")</f>
        <v/>
      </c>
      <c r="H547" s="43" t="str">
        <f>IFERROR(VLOOKUP(B547,Baza[[№]:[Profit]],5,0),"")</f>
        <v/>
      </c>
      <c r="I547" s="46" t="str">
        <f>IFERROR(VLOOKUP(B547,Baza[[№]:[Profit]],6,0),"")</f>
        <v/>
      </c>
      <c r="J547" s="49" t="str">
        <f>IFERROR(VLOOKUP(B547,Baza[[№]:[Profit]],7,0),"")</f>
        <v/>
      </c>
      <c r="K547" s="43" t="str">
        <f>IFERROR(VLOOKUP(B547,Baza[[№]:[Profit]],8,0),"")</f>
        <v/>
      </c>
      <c r="L547" s="43" t="str">
        <f>IFERROR(VLOOKUP(B547,Baza[[№]:[Profit]],9,0),"")</f>
        <v/>
      </c>
      <c r="M547" s="43" t="str">
        <f>IFERROR(VLOOKUP(B547,Baza[[№]:[Profit]],10,0),"")</f>
        <v/>
      </c>
      <c r="N547" s="43" t="str">
        <f>IFERROR(IF(VLOOKUP(B547,Baza[[№]:[Profit]],11,0)=0,"-",VLOOKUP(B547,Baza[[№]:[Profit]],11,0)),"")</f>
        <v/>
      </c>
      <c r="O547" s="43" t="str">
        <f>IFERROR(IF(VLOOKUP(B547,Baza[[№]:[Profit]],12,0)=0,"-",VLOOKUP(B547,Baza[[№]:[Profit]],12,0)),"")</f>
        <v/>
      </c>
      <c r="P547" s="43" t="str">
        <f>IFERROR(IF(VLOOKUP(B547,Baza[[№]:[Profit]],13,0)=0,"-",VLOOKUP(B547,Baza[[№]:[Profit]],13,0)),"")</f>
        <v/>
      </c>
      <c r="Q547" s="43" t="str">
        <f>IFERROR(IF(VLOOKUP(B547,Baza[[№]:[Profit]],15,0)=0,"-",VLOOKUP(B547,Baza[[№]:[Profit]],15,0)),"")</f>
        <v/>
      </c>
      <c r="R547" s="43" t="str">
        <f>IFERROR(IF(VLOOKUP(B547,Baza[[№]:[Profit]],16,0)=0,"-",VLOOKUP(B547,Baza[[№]:[Profit]],16,0)),"")</f>
        <v/>
      </c>
      <c r="S547" s="43" t="str">
        <f>IFERROR(IF(VLOOKUP(B547,Baza[[№]:[Profit]],17,0)=0,"-",VLOOKUP(B547,Baza[[№]:[Profit]],17,0)),"")</f>
        <v/>
      </c>
      <c r="T547" s="43" t="str">
        <f>IFERROR(IF(VLOOKUP(B547,Baza[[№]:[Profit]],18,0)=0,"-",VLOOKUP(B547,Baza[[№]:[Profit]],18,0)),"")</f>
        <v/>
      </c>
      <c r="U547" s="41" t="str">
        <f>IFERROR(IF(VLOOKUP(B547,Baza[[№]:[Profit]],19,0)=0,"-",VLOOKUP(B547,Baza[[№]:[Profit]],19,0)),"")</f>
        <v/>
      </c>
      <c r="V547" s="41" t="str">
        <f>IFERROR(VLOOKUP(B547,Baza[[№]:[Profit]],20,0),"")</f>
        <v/>
      </c>
      <c r="W547" s="41" t="str">
        <f>IFERROR(IF(VLOOKUP(B547,Baza[[№]:[Profit]],21,0)=0,"-",VLOOKUP(B547,Baza[[№]:[Profit]],21,0)),"")</f>
        <v/>
      </c>
      <c r="X547" s="45" t="str">
        <f>IFERROR(IF(VLOOKUP(B547,Baza[[№]:[Profit]],22,0)=0,"-",VLOOKUP(B547,Baza[[№]:[Profit]],22,0)),"")</f>
        <v/>
      </c>
      <c r="Y547" s="45" t="str">
        <f>IFERROR(VLOOKUP(B547,Baza[[№]:[Profit]],23,0),"")</f>
        <v/>
      </c>
      <c r="Z547" s="44" t="str">
        <f>IFERROR(VLOOKUP(B547,Baza[[№]:[AFS]],24,0),"")</f>
        <v/>
      </c>
      <c r="AA547" s="45" t="str">
        <f>IF(Таблица2[[#This Row],[Profit]]="","#Н/Д",SUM($Y$40:Y547))</f>
        <v>#Н/Д</v>
      </c>
      <c r="AB547" s="45" t="b">
        <f>IF(Таблица2[[#This Row],[Grafik]]="#Н/Д",FALSE,TRUE)</f>
        <v>0</v>
      </c>
    </row>
    <row r="548" spans="2:28" ht="11.1" hidden="1" customHeight="1" x14ac:dyDescent="0.25">
      <c r="B548"/>
      <c r="C548" s="41" t="str">
        <f>IFERROR(VLOOKUP(B548,Baza[[№]:[Profit]],2,0),"")</f>
        <v/>
      </c>
      <c r="D54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4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48" s="43" t="str">
        <f>IFERROR(VLOOKUP(B548,Baza[[№]:[Profit]],3,0),"")</f>
        <v/>
      </c>
      <c r="G548" s="43" t="str">
        <f>IFERROR(VLOOKUP(B548,Baza[[№]:[Profit]],4,0),"")</f>
        <v/>
      </c>
      <c r="H548" s="43" t="str">
        <f>IFERROR(VLOOKUP(B548,Baza[[№]:[Profit]],5,0),"")</f>
        <v/>
      </c>
      <c r="I548" s="46" t="str">
        <f>IFERROR(VLOOKUP(B548,Baza[[№]:[Profit]],6,0),"")</f>
        <v/>
      </c>
      <c r="J548" s="49" t="str">
        <f>IFERROR(VLOOKUP(B548,Baza[[№]:[Profit]],7,0),"")</f>
        <v/>
      </c>
      <c r="K548" s="43" t="str">
        <f>IFERROR(VLOOKUP(B548,Baza[[№]:[Profit]],8,0),"")</f>
        <v/>
      </c>
      <c r="L548" s="43" t="str">
        <f>IFERROR(VLOOKUP(B548,Baza[[№]:[Profit]],9,0),"")</f>
        <v/>
      </c>
      <c r="M548" s="43" t="str">
        <f>IFERROR(VLOOKUP(B548,Baza[[№]:[Profit]],10,0),"")</f>
        <v/>
      </c>
      <c r="N548" s="43" t="str">
        <f>IFERROR(IF(VLOOKUP(B548,Baza[[№]:[Profit]],11,0)=0,"-",VLOOKUP(B548,Baza[[№]:[Profit]],11,0)),"")</f>
        <v/>
      </c>
      <c r="O548" s="43" t="str">
        <f>IFERROR(IF(VLOOKUP(B548,Baza[[№]:[Profit]],12,0)=0,"-",VLOOKUP(B548,Baza[[№]:[Profit]],12,0)),"")</f>
        <v/>
      </c>
      <c r="P548" s="43" t="str">
        <f>IFERROR(IF(VLOOKUP(B548,Baza[[№]:[Profit]],13,0)=0,"-",VLOOKUP(B548,Baza[[№]:[Profit]],13,0)),"")</f>
        <v/>
      </c>
      <c r="Q548" s="43" t="str">
        <f>IFERROR(IF(VLOOKUP(B548,Baza[[№]:[Profit]],15,0)=0,"-",VLOOKUP(B548,Baza[[№]:[Profit]],15,0)),"")</f>
        <v/>
      </c>
      <c r="R548" s="43" t="str">
        <f>IFERROR(IF(VLOOKUP(B548,Baza[[№]:[Profit]],16,0)=0,"-",VLOOKUP(B548,Baza[[№]:[Profit]],16,0)),"")</f>
        <v/>
      </c>
      <c r="S548" s="43" t="str">
        <f>IFERROR(IF(VLOOKUP(B548,Baza[[№]:[Profit]],17,0)=0,"-",VLOOKUP(B548,Baza[[№]:[Profit]],17,0)),"")</f>
        <v/>
      </c>
      <c r="T548" s="43" t="str">
        <f>IFERROR(IF(VLOOKUP(B548,Baza[[№]:[Profit]],18,0)=0,"-",VLOOKUP(B548,Baza[[№]:[Profit]],18,0)),"")</f>
        <v/>
      </c>
      <c r="U548" s="41" t="str">
        <f>IFERROR(IF(VLOOKUP(B548,Baza[[№]:[Profit]],19,0)=0,"-",VLOOKUP(B548,Baza[[№]:[Profit]],19,0)),"")</f>
        <v/>
      </c>
      <c r="V548" s="41" t="str">
        <f>IFERROR(VLOOKUP(B548,Baza[[№]:[Profit]],20,0),"")</f>
        <v/>
      </c>
      <c r="W548" s="41" t="str">
        <f>IFERROR(IF(VLOOKUP(B548,Baza[[№]:[Profit]],21,0)=0,"-",VLOOKUP(B548,Baza[[№]:[Profit]],21,0)),"")</f>
        <v/>
      </c>
      <c r="X548" s="45" t="str">
        <f>IFERROR(IF(VLOOKUP(B548,Baza[[№]:[Profit]],22,0)=0,"-",VLOOKUP(B548,Baza[[№]:[Profit]],22,0)),"")</f>
        <v/>
      </c>
      <c r="Y548" s="45" t="str">
        <f>IFERROR(VLOOKUP(B548,Baza[[№]:[Profit]],23,0),"")</f>
        <v/>
      </c>
      <c r="Z548" s="44" t="str">
        <f>IFERROR(VLOOKUP(B548,Baza[[№]:[AFS]],24,0),"")</f>
        <v/>
      </c>
      <c r="AA548" s="45" t="str">
        <f>IF(Таблица2[[#This Row],[Profit]]="","#Н/Д",SUM($Y$40:Y548))</f>
        <v>#Н/Д</v>
      </c>
      <c r="AB548" s="45" t="b">
        <f>IF(Таблица2[[#This Row],[Grafik]]="#Н/Д",FALSE,TRUE)</f>
        <v>0</v>
      </c>
    </row>
    <row r="549" spans="2:28" ht="11.1" hidden="1" customHeight="1" x14ac:dyDescent="0.25">
      <c r="B549"/>
      <c r="C549" s="41" t="str">
        <f>IFERROR(VLOOKUP(B549,Baza[[№]:[Profit]],2,0),"")</f>
        <v/>
      </c>
      <c r="D54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4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49" s="43" t="str">
        <f>IFERROR(VLOOKUP(B549,Baza[[№]:[Profit]],3,0),"")</f>
        <v/>
      </c>
      <c r="G549" s="43" t="str">
        <f>IFERROR(VLOOKUP(B549,Baza[[№]:[Profit]],4,0),"")</f>
        <v/>
      </c>
      <c r="H549" s="43" t="str">
        <f>IFERROR(VLOOKUP(B549,Baza[[№]:[Profit]],5,0),"")</f>
        <v/>
      </c>
      <c r="I549" s="46" t="str">
        <f>IFERROR(VLOOKUP(B549,Baza[[№]:[Profit]],6,0),"")</f>
        <v/>
      </c>
      <c r="J549" s="49" t="str">
        <f>IFERROR(VLOOKUP(B549,Baza[[№]:[Profit]],7,0),"")</f>
        <v/>
      </c>
      <c r="K549" s="43" t="str">
        <f>IFERROR(VLOOKUP(B549,Baza[[№]:[Profit]],8,0),"")</f>
        <v/>
      </c>
      <c r="L549" s="43" t="str">
        <f>IFERROR(VLOOKUP(B549,Baza[[№]:[Profit]],9,0),"")</f>
        <v/>
      </c>
      <c r="M549" s="43" t="str">
        <f>IFERROR(VLOOKUP(B549,Baza[[№]:[Profit]],10,0),"")</f>
        <v/>
      </c>
      <c r="N549" s="43" t="str">
        <f>IFERROR(IF(VLOOKUP(B549,Baza[[№]:[Profit]],11,0)=0,"-",VLOOKUP(B549,Baza[[№]:[Profit]],11,0)),"")</f>
        <v/>
      </c>
      <c r="O549" s="43" t="str">
        <f>IFERROR(IF(VLOOKUP(B549,Baza[[№]:[Profit]],12,0)=0,"-",VLOOKUP(B549,Baza[[№]:[Profit]],12,0)),"")</f>
        <v/>
      </c>
      <c r="P549" s="43" t="str">
        <f>IFERROR(IF(VLOOKUP(B549,Baza[[№]:[Profit]],13,0)=0,"-",VLOOKUP(B549,Baza[[№]:[Profit]],13,0)),"")</f>
        <v/>
      </c>
      <c r="Q549" s="43" t="str">
        <f>IFERROR(IF(VLOOKUP(B549,Baza[[№]:[Profit]],15,0)=0,"-",VLOOKUP(B549,Baza[[№]:[Profit]],15,0)),"")</f>
        <v/>
      </c>
      <c r="R549" s="43" t="str">
        <f>IFERROR(IF(VLOOKUP(B549,Baza[[№]:[Profit]],16,0)=0,"-",VLOOKUP(B549,Baza[[№]:[Profit]],16,0)),"")</f>
        <v/>
      </c>
      <c r="S549" s="43" t="str">
        <f>IFERROR(IF(VLOOKUP(B549,Baza[[№]:[Profit]],17,0)=0,"-",VLOOKUP(B549,Baza[[№]:[Profit]],17,0)),"")</f>
        <v/>
      </c>
      <c r="T549" s="43" t="str">
        <f>IFERROR(IF(VLOOKUP(B549,Baza[[№]:[Profit]],18,0)=0,"-",VLOOKUP(B549,Baza[[№]:[Profit]],18,0)),"")</f>
        <v/>
      </c>
      <c r="U549" s="41" t="str">
        <f>IFERROR(IF(VLOOKUP(B549,Baza[[№]:[Profit]],19,0)=0,"-",VLOOKUP(B549,Baza[[№]:[Profit]],19,0)),"")</f>
        <v/>
      </c>
      <c r="V549" s="41" t="str">
        <f>IFERROR(VLOOKUP(B549,Baza[[№]:[Profit]],20,0),"")</f>
        <v/>
      </c>
      <c r="W549" s="41" t="str">
        <f>IFERROR(IF(VLOOKUP(B549,Baza[[№]:[Profit]],21,0)=0,"-",VLOOKUP(B549,Baza[[№]:[Profit]],21,0)),"")</f>
        <v/>
      </c>
      <c r="X549" s="45" t="str">
        <f>IFERROR(IF(VLOOKUP(B549,Baza[[№]:[Profit]],22,0)=0,"-",VLOOKUP(B549,Baza[[№]:[Profit]],22,0)),"")</f>
        <v/>
      </c>
      <c r="Y549" s="45" t="str">
        <f>IFERROR(VLOOKUP(B549,Baza[[№]:[Profit]],23,0),"")</f>
        <v/>
      </c>
      <c r="Z549" s="44" t="str">
        <f>IFERROR(VLOOKUP(B549,Baza[[№]:[AFS]],24,0),"")</f>
        <v/>
      </c>
      <c r="AA549" s="45" t="str">
        <f>IF(Таблица2[[#This Row],[Profit]]="","#Н/Д",SUM($Y$40:Y549))</f>
        <v>#Н/Д</v>
      </c>
      <c r="AB549" s="45" t="b">
        <f>IF(Таблица2[[#This Row],[Grafik]]="#Н/Д",FALSE,TRUE)</f>
        <v>0</v>
      </c>
    </row>
    <row r="550" spans="2:28" ht="11.1" hidden="1" customHeight="1" x14ac:dyDescent="0.25">
      <c r="B550"/>
      <c r="C550" s="41" t="str">
        <f>IFERROR(VLOOKUP(B550,Baza[[№]:[Profit]],2,0),"")</f>
        <v/>
      </c>
      <c r="D55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5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50" s="43" t="str">
        <f>IFERROR(VLOOKUP(B550,Baza[[№]:[Profit]],3,0),"")</f>
        <v/>
      </c>
      <c r="G550" s="43" t="str">
        <f>IFERROR(VLOOKUP(B550,Baza[[№]:[Profit]],4,0),"")</f>
        <v/>
      </c>
      <c r="H550" s="43" t="str">
        <f>IFERROR(VLOOKUP(B550,Baza[[№]:[Profit]],5,0),"")</f>
        <v/>
      </c>
      <c r="I550" s="46" t="str">
        <f>IFERROR(VLOOKUP(B550,Baza[[№]:[Profit]],6,0),"")</f>
        <v/>
      </c>
      <c r="J550" s="49" t="str">
        <f>IFERROR(VLOOKUP(B550,Baza[[№]:[Profit]],7,0),"")</f>
        <v/>
      </c>
      <c r="K550" s="43" t="str">
        <f>IFERROR(VLOOKUP(B550,Baza[[№]:[Profit]],8,0),"")</f>
        <v/>
      </c>
      <c r="L550" s="43" t="str">
        <f>IFERROR(VLOOKUP(B550,Baza[[№]:[Profit]],9,0),"")</f>
        <v/>
      </c>
      <c r="M550" s="43" t="str">
        <f>IFERROR(VLOOKUP(B550,Baza[[№]:[Profit]],10,0),"")</f>
        <v/>
      </c>
      <c r="N550" s="43" t="str">
        <f>IFERROR(IF(VLOOKUP(B550,Baza[[№]:[Profit]],11,0)=0,"-",VLOOKUP(B550,Baza[[№]:[Profit]],11,0)),"")</f>
        <v/>
      </c>
      <c r="O550" s="43" t="str">
        <f>IFERROR(IF(VLOOKUP(B550,Baza[[№]:[Profit]],12,0)=0,"-",VLOOKUP(B550,Baza[[№]:[Profit]],12,0)),"")</f>
        <v/>
      </c>
      <c r="P550" s="43" t="str">
        <f>IFERROR(IF(VLOOKUP(B550,Baza[[№]:[Profit]],13,0)=0,"-",VLOOKUP(B550,Baza[[№]:[Profit]],13,0)),"")</f>
        <v/>
      </c>
      <c r="Q550" s="43" t="str">
        <f>IFERROR(IF(VLOOKUP(B550,Baza[[№]:[Profit]],15,0)=0,"-",VLOOKUP(B550,Baza[[№]:[Profit]],15,0)),"")</f>
        <v/>
      </c>
      <c r="R550" s="43" t="str">
        <f>IFERROR(IF(VLOOKUP(B550,Baza[[№]:[Profit]],16,0)=0,"-",VLOOKUP(B550,Baza[[№]:[Profit]],16,0)),"")</f>
        <v/>
      </c>
      <c r="S550" s="43" t="str">
        <f>IFERROR(IF(VLOOKUP(B550,Baza[[№]:[Profit]],17,0)=0,"-",VLOOKUP(B550,Baza[[№]:[Profit]],17,0)),"")</f>
        <v/>
      </c>
      <c r="T550" s="43" t="str">
        <f>IFERROR(IF(VLOOKUP(B550,Baza[[№]:[Profit]],18,0)=0,"-",VLOOKUP(B550,Baza[[№]:[Profit]],18,0)),"")</f>
        <v/>
      </c>
      <c r="U550" s="41" t="str">
        <f>IFERROR(IF(VLOOKUP(B550,Baza[[№]:[Profit]],19,0)=0,"-",VLOOKUP(B550,Baza[[№]:[Profit]],19,0)),"")</f>
        <v/>
      </c>
      <c r="V550" s="41" t="str">
        <f>IFERROR(VLOOKUP(B550,Baza[[№]:[Profit]],20,0),"")</f>
        <v/>
      </c>
      <c r="W550" s="41" t="str">
        <f>IFERROR(IF(VLOOKUP(B550,Baza[[№]:[Profit]],21,0)=0,"-",VLOOKUP(B550,Baza[[№]:[Profit]],21,0)),"")</f>
        <v/>
      </c>
      <c r="X550" s="45" t="str">
        <f>IFERROR(IF(VLOOKUP(B550,Baza[[№]:[Profit]],22,0)=0,"-",VLOOKUP(B550,Baza[[№]:[Profit]],22,0)),"")</f>
        <v/>
      </c>
      <c r="Y550" s="45" t="str">
        <f>IFERROR(VLOOKUP(B550,Baza[[№]:[Profit]],23,0),"")</f>
        <v/>
      </c>
      <c r="Z550" s="44" t="str">
        <f>IFERROR(VLOOKUP(B550,Baza[[№]:[AFS]],24,0),"")</f>
        <v/>
      </c>
      <c r="AA550" s="45" t="str">
        <f>IF(Таблица2[[#This Row],[Profit]]="","#Н/Д",SUM($Y$40:Y550))</f>
        <v>#Н/Д</v>
      </c>
      <c r="AB550" s="45" t="b">
        <f>IF(Таблица2[[#This Row],[Grafik]]="#Н/Д",FALSE,TRUE)</f>
        <v>0</v>
      </c>
    </row>
    <row r="551" spans="2:28" ht="11.1" hidden="1" customHeight="1" x14ac:dyDescent="0.25">
      <c r="B551"/>
      <c r="C551" s="41" t="str">
        <f>IFERROR(VLOOKUP(B551,Baza[[№]:[Profit]],2,0),"")</f>
        <v/>
      </c>
      <c r="D55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5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51" s="43" t="str">
        <f>IFERROR(VLOOKUP(B551,Baza[[№]:[Profit]],3,0),"")</f>
        <v/>
      </c>
      <c r="G551" s="43" t="str">
        <f>IFERROR(VLOOKUP(B551,Baza[[№]:[Profit]],4,0),"")</f>
        <v/>
      </c>
      <c r="H551" s="43" t="str">
        <f>IFERROR(VLOOKUP(B551,Baza[[№]:[Profit]],5,0),"")</f>
        <v/>
      </c>
      <c r="I551" s="46" t="str">
        <f>IFERROR(VLOOKUP(B551,Baza[[№]:[Profit]],6,0),"")</f>
        <v/>
      </c>
      <c r="J551" s="49" t="str">
        <f>IFERROR(VLOOKUP(B551,Baza[[№]:[Profit]],7,0),"")</f>
        <v/>
      </c>
      <c r="K551" s="43" t="str">
        <f>IFERROR(VLOOKUP(B551,Baza[[№]:[Profit]],8,0),"")</f>
        <v/>
      </c>
      <c r="L551" s="43" t="str">
        <f>IFERROR(VLOOKUP(B551,Baza[[№]:[Profit]],9,0),"")</f>
        <v/>
      </c>
      <c r="M551" s="43" t="str">
        <f>IFERROR(VLOOKUP(B551,Baza[[№]:[Profit]],10,0),"")</f>
        <v/>
      </c>
      <c r="N551" s="43" t="str">
        <f>IFERROR(IF(VLOOKUP(B551,Baza[[№]:[Profit]],11,0)=0,"-",VLOOKUP(B551,Baza[[№]:[Profit]],11,0)),"")</f>
        <v/>
      </c>
      <c r="O551" s="43" t="str">
        <f>IFERROR(IF(VLOOKUP(B551,Baza[[№]:[Profit]],12,0)=0,"-",VLOOKUP(B551,Baza[[№]:[Profit]],12,0)),"")</f>
        <v/>
      </c>
      <c r="P551" s="43" t="str">
        <f>IFERROR(IF(VLOOKUP(B551,Baza[[№]:[Profit]],13,0)=0,"-",VLOOKUP(B551,Baza[[№]:[Profit]],13,0)),"")</f>
        <v/>
      </c>
      <c r="Q551" s="43" t="str">
        <f>IFERROR(IF(VLOOKUP(B551,Baza[[№]:[Profit]],15,0)=0,"-",VLOOKUP(B551,Baza[[№]:[Profit]],15,0)),"")</f>
        <v/>
      </c>
      <c r="R551" s="43" t="str">
        <f>IFERROR(IF(VLOOKUP(B551,Baza[[№]:[Profit]],16,0)=0,"-",VLOOKUP(B551,Baza[[№]:[Profit]],16,0)),"")</f>
        <v/>
      </c>
      <c r="S551" s="43" t="str">
        <f>IFERROR(IF(VLOOKUP(B551,Baza[[№]:[Profit]],17,0)=0,"-",VLOOKUP(B551,Baza[[№]:[Profit]],17,0)),"")</f>
        <v/>
      </c>
      <c r="T551" s="43" t="str">
        <f>IFERROR(IF(VLOOKUP(B551,Baza[[№]:[Profit]],18,0)=0,"-",VLOOKUP(B551,Baza[[№]:[Profit]],18,0)),"")</f>
        <v/>
      </c>
      <c r="U551" s="41" t="str">
        <f>IFERROR(IF(VLOOKUP(B551,Baza[[№]:[Profit]],19,0)=0,"-",VLOOKUP(B551,Baza[[№]:[Profit]],19,0)),"")</f>
        <v/>
      </c>
      <c r="V551" s="41" t="str">
        <f>IFERROR(VLOOKUP(B551,Baza[[№]:[Profit]],20,0),"")</f>
        <v/>
      </c>
      <c r="W551" s="41" t="str">
        <f>IFERROR(IF(VLOOKUP(B551,Baza[[№]:[Profit]],21,0)=0,"-",VLOOKUP(B551,Baza[[№]:[Profit]],21,0)),"")</f>
        <v/>
      </c>
      <c r="X551" s="45" t="str">
        <f>IFERROR(IF(VLOOKUP(B551,Baza[[№]:[Profit]],22,0)=0,"-",VLOOKUP(B551,Baza[[№]:[Profit]],22,0)),"")</f>
        <v/>
      </c>
      <c r="Y551" s="45" t="str">
        <f>IFERROR(VLOOKUP(B551,Baza[[№]:[Profit]],23,0),"")</f>
        <v/>
      </c>
      <c r="Z551" s="44" t="str">
        <f>IFERROR(VLOOKUP(B551,Baza[[№]:[AFS]],24,0),"")</f>
        <v/>
      </c>
      <c r="AA551" s="45" t="str">
        <f>IF(Таблица2[[#This Row],[Profit]]="","#Н/Д",SUM($Y$40:Y551))</f>
        <v>#Н/Д</v>
      </c>
      <c r="AB551" s="45" t="b">
        <f>IF(Таблица2[[#This Row],[Grafik]]="#Н/Д",FALSE,TRUE)</f>
        <v>0</v>
      </c>
    </row>
    <row r="552" spans="2:28" ht="11.1" hidden="1" customHeight="1" x14ac:dyDescent="0.25">
      <c r="B552"/>
      <c r="C552" s="41" t="str">
        <f>IFERROR(VLOOKUP(B552,Baza[[№]:[Profit]],2,0),"")</f>
        <v/>
      </c>
      <c r="D55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5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52" s="43" t="str">
        <f>IFERROR(VLOOKUP(B552,Baza[[№]:[Profit]],3,0),"")</f>
        <v/>
      </c>
      <c r="G552" s="43" t="str">
        <f>IFERROR(VLOOKUP(B552,Baza[[№]:[Profit]],4,0),"")</f>
        <v/>
      </c>
      <c r="H552" s="43" t="str">
        <f>IFERROR(VLOOKUP(B552,Baza[[№]:[Profit]],5,0),"")</f>
        <v/>
      </c>
      <c r="I552" s="46" t="str">
        <f>IFERROR(VLOOKUP(B552,Baza[[№]:[Profit]],6,0),"")</f>
        <v/>
      </c>
      <c r="J552" s="49" t="str">
        <f>IFERROR(VLOOKUP(B552,Baza[[№]:[Profit]],7,0),"")</f>
        <v/>
      </c>
      <c r="K552" s="43" t="str">
        <f>IFERROR(VLOOKUP(B552,Baza[[№]:[Profit]],8,0),"")</f>
        <v/>
      </c>
      <c r="L552" s="43" t="str">
        <f>IFERROR(VLOOKUP(B552,Baza[[№]:[Profit]],9,0),"")</f>
        <v/>
      </c>
      <c r="M552" s="43" t="str">
        <f>IFERROR(VLOOKUP(B552,Baza[[№]:[Profit]],10,0),"")</f>
        <v/>
      </c>
      <c r="N552" s="43" t="str">
        <f>IFERROR(IF(VLOOKUP(B552,Baza[[№]:[Profit]],11,0)=0,"-",VLOOKUP(B552,Baza[[№]:[Profit]],11,0)),"")</f>
        <v/>
      </c>
      <c r="O552" s="43" t="str">
        <f>IFERROR(IF(VLOOKUP(B552,Baza[[№]:[Profit]],12,0)=0,"-",VLOOKUP(B552,Baza[[№]:[Profit]],12,0)),"")</f>
        <v/>
      </c>
      <c r="P552" s="43" t="str">
        <f>IFERROR(IF(VLOOKUP(B552,Baza[[№]:[Profit]],13,0)=0,"-",VLOOKUP(B552,Baza[[№]:[Profit]],13,0)),"")</f>
        <v/>
      </c>
      <c r="Q552" s="43" t="str">
        <f>IFERROR(IF(VLOOKUP(B552,Baza[[№]:[Profit]],15,0)=0,"-",VLOOKUP(B552,Baza[[№]:[Profit]],15,0)),"")</f>
        <v/>
      </c>
      <c r="R552" s="43" t="str">
        <f>IFERROR(IF(VLOOKUP(B552,Baza[[№]:[Profit]],16,0)=0,"-",VLOOKUP(B552,Baza[[№]:[Profit]],16,0)),"")</f>
        <v/>
      </c>
      <c r="S552" s="43" t="str">
        <f>IFERROR(IF(VLOOKUP(B552,Baza[[№]:[Profit]],17,0)=0,"-",VLOOKUP(B552,Baza[[№]:[Profit]],17,0)),"")</f>
        <v/>
      </c>
      <c r="T552" s="43" t="str">
        <f>IFERROR(IF(VLOOKUP(B552,Baza[[№]:[Profit]],18,0)=0,"-",VLOOKUP(B552,Baza[[№]:[Profit]],18,0)),"")</f>
        <v/>
      </c>
      <c r="U552" s="41" t="str">
        <f>IFERROR(IF(VLOOKUP(B552,Baza[[№]:[Profit]],19,0)=0,"-",VLOOKUP(B552,Baza[[№]:[Profit]],19,0)),"")</f>
        <v/>
      </c>
      <c r="V552" s="41" t="str">
        <f>IFERROR(VLOOKUP(B552,Baza[[№]:[Profit]],20,0),"")</f>
        <v/>
      </c>
      <c r="W552" s="41" t="str">
        <f>IFERROR(IF(VLOOKUP(B552,Baza[[№]:[Profit]],21,0)=0,"-",VLOOKUP(B552,Baza[[№]:[Profit]],21,0)),"")</f>
        <v/>
      </c>
      <c r="X552" s="45" t="str">
        <f>IFERROR(IF(VLOOKUP(B552,Baza[[№]:[Profit]],22,0)=0,"-",VLOOKUP(B552,Baza[[№]:[Profit]],22,0)),"")</f>
        <v/>
      </c>
      <c r="Y552" s="45" t="str">
        <f>IFERROR(VLOOKUP(B552,Baza[[№]:[Profit]],23,0),"")</f>
        <v/>
      </c>
      <c r="Z552" s="44" t="str">
        <f>IFERROR(VLOOKUP(B552,Baza[[№]:[AFS]],24,0),"")</f>
        <v/>
      </c>
      <c r="AA552" s="45" t="str">
        <f>IF(Таблица2[[#This Row],[Profit]]="","#Н/Д",SUM($Y$40:Y552))</f>
        <v>#Н/Д</v>
      </c>
      <c r="AB552" s="45" t="b">
        <f>IF(Таблица2[[#This Row],[Grafik]]="#Н/Д",FALSE,TRUE)</f>
        <v>0</v>
      </c>
    </row>
    <row r="553" spans="2:28" ht="11.1" hidden="1" customHeight="1" x14ac:dyDescent="0.25">
      <c r="B553"/>
      <c r="C553" s="41" t="str">
        <f>IFERROR(VLOOKUP(B553,Baza[[№]:[Profit]],2,0),"")</f>
        <v/>
      </c>
      <c r="D55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5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53" s="43" t="str">
        <f>IFERROR(VLOOKUP(B553,Baza[[№]:[Profit]],3,0),"")</f>
        <v/>
      </c>
      <c r="G553" s="43" t="str">
        <f>IFERROR(VLOOKUP(B553,Baza[[№]:[Profit]],4,0),"")</f>
        <v/>
      </c>
      <c r="H553" s="43" t="str">
        <f>IFERROR(VLOOKUP(B553,Baza[[№]:[Profit]],5,0),"")</f>
        <v/>
      </c>
      <c r="I553" s="46" t="str">
        <f>IFERROR(VLOOKUP(B553,Baza[[№]:[Profit]],6,0),"")</f>
        <v/>
      </c>
      <c r="J553" s="49" t="str">
        <f>IFERROR(VLOOKUP(B553,Baza[[№]:[Profit]],7,0),"")</f>
        <v/>
      </c>
      <c r="K553" s="43" t="str">
        <f>IFERROR(VLOOKUP(B553,Baza[[№]:[Profit]],8,0),"")</f>
        <v/>
      </c>
      <c r="L553" s="43" t="str">
        <f>IFERROR(VLOOKUP(B553,Baza[[№]:[Profit]],9,0),"")</f>
        <v/>
      </c>
      <c r="M553" s="43" t="str">
        <f>IFERROR(VLOOKUP(B553,Baza[[№]:[Profit]],10,0),"")</f>
        <v/>
      </c>
      <c r="N553" s="43" t="str">
        <f>IFERROR(IF(VLOOKUP(B553,Baza[[№]:[Profit]],11,0)=0,"-",VLOOKUP(B553,Baza[[№]:[Profit]],11,0)),"")</f>
        <v/>
      </c>
      <c r="O553" s="43" t="str">
        <f>IFERROR(IF(VLOOKUP(B553,Baza[[№]:[Profit]],12,0)=0,"-",VLOOKUP(B553,Baza[[№]:[Profit]],12,0)),"")</f>
        <v/>
      </c>
      <c r="P553" s="43" t="str">
        <f>IFERROR(IF(VLOOKUP(B553,Baza[[№]:[Profit]],13,0)=0,"-",VLOOKUP(B553,Baza[[№]:[Profit]],13,0)),"")</f>
        <v/>
      </c>
      <c r="Q553" s="43" t="str">
        <f>IFERROR(IF(VLOOKUP(B553,Baza[[№]:[Profit]],15,0)=0,"-",VLOOKUP(B553,Baza[[№]:[Profit]],15,0)),"")</f>
        <v/>
      </c>
      <c r="R553" s="43" t="str">
        <f>IFERROR(IF(VLOOKUP(B553,Baza[[№]:[Profit]],16,0)=0,"-",VLOOKUP(B553,Baza[[№]:[Profit]],16,0)),"")</f>
        <v/>
      </c>
      <c r="S553" s="43" t="str">
        <f>IFERROR(IF(VLOOKUP(B553,Baza[[№]:[Profit]],17,0)=0,"-",VLOOKUP(B553,Baza[[№]:[Profit]],17,0)),"")</f>
        <v/>
      </c>
      <c r="T553" s="43" t="str">
        <f>IFERROR(IF(VLOOKUP(B553,Baza[[№]:[Profit]],18,0)=0,"-",VLOOKUP(B553,Baza[[№]:[Profit]],18,0)),"")</f>
        <v/>
      </c>
      <c r="U553" s="41" t="str">
        <f>IFERROR(IF(VLOOKUP(B553,Baza[[№]:[Profit]],19,0)=0,"-",VLOOKUP(B553,Baza[[№]:[Profit]],19,0)),"")</f>
        <v/>
      </c>
      <c r="V553" s="41" t="str">
        <f>IFERROR(VLOOKUP(B553,Baza[[№]:[Profit]],20,0),"")</f>
        <v/>
      </c>
      <c r="W553" s="41" t="str">
        <f>IFERROR(IF(VLOOKUP(B553,Baza[[№]:[Profit]],21,0)=0,"-",VLOOKUP(B553,Baza[[№]:[Profit]],21,0)),"")</f>
        <v/>
      </c>
      <c r="X553" s="45" t="str">
        <f>IFERROR(IF(VLOOKUP(B553,Baza[[№]:[Profit]],22,0)=0,"-",VLOOKUP(B553,Baza[[№]:[Profit]],22,0)),"")</f>
        <v/>
      </c>
      <c r="Y553" s="45" t="str">
        <f>IFERROR(VLOOKUP(B553,Baza[[№]:[Profit]],23,0),"")</f>
        <v/>
      </c>
      <c r="Z553" s="44" t="str">
        <f>IFERROR(VLOOKUP(B553,Baza[[№]:[AFS]],24,0),"")</f>
        <v/>
      </c>
      <c r="AA553" s="45" t="str">
        <f>IF(Таблица2[[#This Row],[Profit]]="","#Н/Д",SUM($Y$40:Y553))</f>
        <v>#Н/Д</v>
      </c>
      <c r="AB553" s="45" t="b">
        <f>IF(Таблица2[[#This Row],[Grafik]]="#Н/Д",FALSE,TRUE)</f>
        <v>0</v>
      </c>
    </row>
    <row r="554" spans="2:28" ht="11.1" hidden="1" customHeight="1" x14ac:dyDescent="0.25">
      <c r="B554"/>
      <c r="C554" s="41" t="str">
        <f>IFERROR(VLOOKUP(B554,Baza[[№]:[Profit]],2,0),"")</f>
        <v/>
      </c>
      <c r="D55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5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54" s="43" t="str">
        <f>IFERROR(VLOOKUP(B554,Baza[[№]:[Profit]],3,0),"")</f>
        <v/>
      </c>
      <c r="G554" s="43" t="str">
        <f>IFERROR(VLOOKUP(B554,Baza[[№]:[Profit]],4,0),"")</f>
        <v/>
      </c>
      <c r="H554" s="43" t="str">
        <f>IFERROR(VLOOKUP(B554,Baza[[№]:[Profit]],5,0),"")</f>
        <v/>
      </c>
      <c r="I554" s="46" t="str">
        <f>IFERROR(VLOOKUP(B554,Baza[[№]:[Profit]],6,0),"")</f>
        <v/>
      </c>
      <c r="J554" s="49" t="str">
        <f>IFERROR(VLOOKUP(B554,Baza[[№]:[Profit]],7,0),"")</f>
        <v/>
      </c>
      <c r="K554" s="43" t="str">
        <f>IFERROR(VLOOKUP(B554,Baza[[№]:[Profit]],8,0),"")</f>
        <v/>
      </c>
      <c r="L554" s="43" t="str">
        <f>IFERROR(VLOOKUP(B554,Baza[[№]:[Profit]],9,0),"")</f>
        <v/>
      </c>
      <c r="M554" s="43" t="str">
        <f>IFERROR(VLOOKUP(B554,Baza[[№]:[Profit]],10,0),"")</f>
        <v/>
      </c>
      <c r="N554" s="43" t="str">
        <f>IFERROR(IF(VLOOKUP(B554,Baza[[№]:[Profit]],11,0)=0,"-",VLOOKUP(B554,Baza[[№]:[Profit]],11,0)),"")</f>
        <v/>
      </c>
      <c r="O554" s="43" t="str">
        <f>IFERROR(IF(VLOOKUP(B554,Baza[[№]:[Profit]],12,0)=0,"-",VLOOKUP(B554,Baza[[№]:[Profit]],12,0)),"")</f>
        <v/>
      </c>
      <c r="P554" s="43" t="str">
        <f>IFERROR(IF(VLOOKUP(B554,Baza[[№]:[Profit]],13,0)=0,"-",VLOOKUP(B554,Baza[[№]:[Profit]],13,0)),"")</f>
        <v/>
      </c>
      <c r="Q554" s="43" t="str">
        <f>IFERROR(IF(VLOOKUP(B554,Baza[[№]:[Profit]],15,0)=0,"-",VLOOKUP(B554,Baza[[№]:[Profit]],15,0)),"")</f>
        <v/>
      </c>
      <c r="R554" s="43" t="str">
        <f>IFERROR(IF(VLOOKUP(B554,Baza[[№]:[Profit]],16,0)=0,"-",VLOOKUP(B554,Baza[[№]:[Profit]],16,0)),"")</f>
        <v/>
      </c>
      <c r="S554" s="43" t="str">
        <f>IFERROR(IF(VLOOKUP(B554,Baza[[№]:[Profit]],17,0)=0,"-",VLOOKUP(B554,Baza[[№]:[Profit]],17,0)),"")</f>
        <v/>
      </c>
      <c r="T554" s="43" t="str">
        <f>IFERROR(IF(VLOOKUP(B554,Baza[[№]:[Profit]],18,0)=0,"-",VLOOKUP(B554,Baza[[№]:[Profit]],18,0)),"")</f>
        <v/>
      </c>
      <c r="U554" s="41" t="str">
        <f>IFERROR(IF(VLOOKUP(B554,Baza[[№]:[Profit]],19,0)=0,"-",VLOOKUP(B554,Baza[[№]:[Profit]],19,0)),"")</f>
        <v/>
      </c>
      <c r="V554" s="41" t="str">
        <f>IFERROR(VLOOKUP(B554,Baza[[№]:[Profit]],20,0),"")</f>
        <v/>
      </c>
      <c r="W554" s="41" t="str">
        <f>IFERROR(IF(VLOOKUP(B554,Baza[[№]:[Profit]],21,0)=0,"-",VLOOKUP(B554,Baza[[№]:[Profit]],21,0)),"")</f>
        <v/>
      </c>
      <c r="X554" s="45" t="str">
        <f>IFERROR(IF(VLOOKUP(B554,Baza[[№]:[Profit]],22,0)=0,"-",VLOOKUP(B554,Baza[[№]:[Profit]],22,0)),"")</f>
        <v/>
      </c>
      <c r="Y554" s="45" t="str">
        <f>IFERROR(VLOOKUP(B554,Baza[[№]:[Profit]],23,0),"")</f>
        <v/>
      </c>
      <c r="Z554" s="44" t="str">
        <f>IFERROR(VLOOKUP(B554,Baza[[№]:[AFS]],24,0),"")</f>
        <v/>
      </c>
      <c r="AA554" s="45" t="str">
        <f>IF(Таблица2[[#This Row],[Profit]]="","#Н/Д",SUM($Y$40:Y554))</f>
        <v>#Н/Д</v>
      </c>
      <c r="AB554" s="45" t="b">
        <f>IF(Таблица2[[#This Row],[Grafik]]="#Н/Д",FALSE,TRUE)</f>
        <v>0</v>
      </c>
    </row>
    <row r="555" spans="2:28" ht="11.1" hidden="1" customHeight="1" x14ac:dyDescent="0.25">
      <c r="B555"/>
      <c r="C555" s="41" t="str">
        <f>IFERROR(VLOOKUP(B555,Baza[[№]:[Profit]],2,0),"")</f>
        <v/>
      </c>
      <c r="D55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5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55" s="43" t="str">
        <f>IFERROR(VLOOKUP(B555,Baza[[№]:[Profit]],3,0),"")</f>
        <v/>
      </c>
      <c r="G555" s="43" t="str">
        <f>IFERROR(VLOOKUP(B555,Baza[[№]:[Profit]],4,0),"")</f>
        <v/>
      </c>
      <c r="H555" s="43" t="str">
        <f>IFERROR(VLOOKUP(B555,Baza[[№]:[Profit]],5,0),"")</f>
        <v/>
      </c>
      <c r="I555" s="46" t="str">
        <f>IFERROR(VLOOKUP(B555,Baza[[№]:[Profit]],6,0),"")</f>
        <v/>
      </c>
      <c r="J555" s="49" t="str">
        <f>IFERROR(VLOOKUP(B555,Baza[[№]:[Profit]],7,0),"")</f>
        <v/>
      </c>
      <c r="K555" s="43" t="str">
        <f>IFERROR(VLOOKUP(B555,Baza[[№]:[Profit]],8,0),"")</f>
        <v/>
      </c>
      <c r="L555" s="43" t="str">
        <f>IFERROR(VLOOKUP(B555,Baza[[№]:[Profit]],9,0),"")</f>
        <v/>
      </c>
      <c r="M555" s="43" t="str">
        <f>IFERROR(VLOOKUP(B555,Baza[[№]:[Profit]],10,0),"")</f>
        <v/>
      </c>
      <c r="N555" s="43" t="str">
        <f>IFERROR(IF(VLOOKUP(B555,Baza[[№]:[Profit]],11,0)=0,"-",VLOOKUP(B555,Baza[[№]:[Profit]],11,0)),"")</f>
        <v/>
      </c>
      <c r="O555" s="43" t="str">
        <f>IFERROR(IF(VLOOKUP(B555,Baza[[№]:[Profit]],12,0)=0,"-",VLOOKUP(B555,Baza[[№]:[Profit]],12,0)),"")</f>
        <v/>
      </c>
      <c r="P555" s="43" t="str">
        <f>IFERROR(IF(VLOOKUP(B555,Baza[[№]:[Profit]],13,0)=0,"-",VLOOKUP(B555,Baza[[№]:[Profit]],13,0)),"")</f>
        <v/>
      </c>
      <c r="Q555" s="43" t="str">
        <f>IFERROR(IF(VLOOKUP(B555,Baza[[№]:[Profit]],15,0)=0,"-",VLOOKUP(B555,Baza[[№]:[Profit]],15,0)),"")</f>
        <v/>
      </c>
      <c r="R555" s="43" t="str">
        <f>IFERROR(IF(VLOOKUP(B555,Baza[[№]:[Profit]],16,0)=0,"-",VLOOKUP(B555,Baza[[№]:[Profit]],16,0)),"")</f>
        <v/>
      </c>
      <c r="S555" s="43" t="str">
        <f>IFERROR(IF(VLOOKUP(B555,Baza[[№]:[Profit]],17,0)=0,"-",VLOOKUP(B555,Baza[[№]:[Profit]],17,0)),"")</f>
        <v/>
      </c>
      <c r="T555" s="43" t="str">
        <f>IFERROR(IF(VLOOKUP(B555,Baza[[№]:[Profit]],18,0)=0,"-",VLOOKUP(B555,Baza[[№]:[Profit]],18,0)),"")</f>
        <v/>
      </c>
      <c r="U555" s="41" t="str">
        <f>IFERROR(IF(VLOOKUP(B555,Baza[[№]:[Profit]],19,0)=0,"-",VLOOKUP(B555,Baza[[№]:[Profit]],19,0)),"")</f>
        <v/>
      </c>
      <c r="V555" s="41" t="str">
        <f>IFERROR(VLOOKUP(B555,Baza[[№]:[Profit]],20,0),"")</f>
        <v/>
      </c>
      <c r="W555" s="41" t="str">
        <f>IFERROR(IF(VLOOKUP(B555,Baza[[№]:[Profit]],21,0)=0,"-",VLOOKUP(B555,Baza[[№]:[Profit]],21,0)),"")</f>
        <v/>
      </c>
      <c r="X555" s="45" t="str">
        <f>IFERROR(IF(VLOOKUP(B555,Baza[[№]:[Profit]],22,0)=0,"-",VLOOKUP(B555,Baza[[№]:[Profit]],22,0)),"")</f>
        <v/>
      </c>
      <c r="Y555" s="45" t="str">
        <f>IFERROR(VLOOKUP(B555,Baza[[№]:[Profit]],23,0),"")</f>
        <v/>
      </c>
      <c r="Z555" s="44" t="str">
        <f>IFERROR(VLOOKUP(B555,Baza[[№]:[AFS]],24,0),"")</f>
        <v/>
      </c>
      <c r="AA555" s="45" t="str">
        <f>IF(Таблица2[[#This Row],[Profit]]="","#Н/Д",SUM($Y$40:Y555))</f>
        <v>#Н/Д</v>
      </c>
      <c r="AB555" s="45" t="b">
        <f>IF(Таблица2[[#This Row],[Grafik]]="#Н/Д",FALSE,TRUE)</f>
        <v>0</v>
      </c>
    </row>
    <row r="556" spans="2:28" ht="11.1" hidden="1" customHeight="1" x14ac:dyDescent="0.25">
      <c r="B556"/>
      <c r="C556" s="41" t="str">
        <f>IFERROR(VLOOKUP(B556,Baza[[№]:[Profit]],2,0),"")</f>
        <v/>
      </c>
      <c r="D55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5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56" s="43" t="str">
        <f>IFERROR(VLOOKUP(B556,Baza[[№]:[Profit]],3,0),"")</f>
        <v/>
      </c>
      <c r="G556" s="43" t="str">
        <f>IFERROR(VLOOKUP(B556,Baza[[№]:[Profit]],4,0),"")</f>
        <v/>
      </c>
      <c r="H556" s="43" t="str">
        <f>IFERROR(VLOOKUP(B556,Baza[[№]:[Profit]],5,0),"")</f>
        <v/>
      </c>
      <c r="I556" s="46" t="str">
        <f>IFERROR(VLOOKUP(B556,Baza[[№]:[Profit]],6,0),"")</f>
        <v/>
      </c>
      <c r="J556" s="49" t="str">
        <f>IFERROR(VLOOKUP(B556,Baza[[№]:[Profit]],7,0),"")</f>
        <v/>
      </c>
      <c r="K556" s="43" t="str">
        <f>IFERROR(VLOOKUP(B556,Baza[[№]:[Profit]],8,0),"")</f>
        <v/>
      </c>
      <c r="L556" s="43" t="str">
        <f>IFERROR(VLOOKUP(B556,Baza[[№]:[Profit]],9,0),"")</f>
        <v/>
      </c>
      <c r="M556" s="43" t="str">
        <f>IFERROR(VLOOKUP(B556,Baza[[№]:[Profit]],10,0),"")</f>
        <v/>
      </c>
      <c r="N556" s="43" t="str">
        <f>IFERROR(IF(VLOOKUP(B556,Baza[[№]:[Profit]],11,0)=0,"-",VLOOKUP(B556,Baza[[№]:[Profit]],11,0)),"")</f>
        <v/>
      </c>
      <c r="O556" s="43" t="str">
        <f>IFERROR(IF(VLOOKUP(B556,Baza[[№]:[Profit]],12,0)=0,"-",VLOOKUP(B556,Baza[[№]:[Profit]],12,0)),"")</f>
        <v/>
      </c>
      <c r="P556" s="43" t="str">
        <f>IFERROR(IF(VLOOKUP(B556,Baza[[№]:[Profit]],13,0)=0,"-",VLOOKUP(B556,Baza[[№]:[Profit]],13,0)),"")</f>
        <v/>
      </c>
      <c r="Q556" s="43" t="str">
        <f>IFERROR(IF(VLOOKUP(B556,Baza[[№]:[Profit]],15,0)=0,"-",VLOOKUP(B556,Baza[[№]:[Profit]],15,0)),"")</f>
        <v/>
      </c>
      <c r="R556" s="43" t="str">
        <f>IFERROR(IF(VLOOKUP(B556,Baza[[№]:[Profit]],16,0)=0,"-",VLOOKUP(B556,Baza[[№]:[Profit]],16,0)),"")</f>
        <v/>
      </c>
      <c r="S556" s="43" t="str">
        <f>IFERROR(IF(VLOOKUP(B556,Baza[[№]:[Profit]],17,0)=0,"-",VLOOKUP(B556,Baza[[№]:[Profit]],17,0)),"")</f>
        <v/>
      </c>
      <c r="T556" s="43" t="str">
        <f>IFERROR(IF(VLOOKUP(B556,Baza[[№]:[Profit]],18,0)=0,"-",VLOOKUP(B556,Baza[[№]:[Profit]],18,0)),"")</f>
        <v/>
      </c>
      <c r="U556" s="41" t="str">
        <f>IFERROR(IF(VLOOKUP(B556,Baza[[№]:[Profit]],19,0)=0,"-",VLOOKUP(B556,Baza[[№]:[Profit]],19,0)),"")</f>
        <v/>
      </c>
      <c r="V556" s="41" t="str">
        <f>IFERROR(VLOOKUP(B556,Baza[[№]:[Profit]],20,0),"")</f>
        <v/>
      </c>
      <c r="W556" s="41" t="str">
        <f>IFERROR(IF(VLOOKUP(B556,Baza[[№]:[Profit]],21,0)=0,"-",VLOOKUP(B556,Baza[[№]:[Profit]],21,0)),"")</f>
        <v/>
      </c>
      <c r="X556" s="45" t="str">
        <f>IFERROR(IF(VLOOKUP(B556,Baza[[№]:[Profit]],22,0)=0,"-",VLOOKUP(B556,Baza[[№]:[Profit]],22,0)),"")</f>
        <v/>
      </c>
      <c r="Y556" s="45" t="str">
        <f>IFERROR(VLOOKUP(B556,Baza[[№]:[Profit]],23,0),"")</f>
        <v/>
      </c>
      <c r="Z556" s="44" t="str">
        <f>IFERROR(VLOOKUP(B556,Baza[[№]:[AFS]],24,0),"")</f>
        <v/>
      </c>
      <c r="AA556" s="45" t="str">
        <f>IF(Таблица2[[#This Row],[Profit]]="","#Н/Д",SUM($Y$40:Y556))</f>
        <v>#Н/Д</v>
      </c>
      <c r="AB556" s="45" t="b">
        <f>IF(Таблица2[[#This Row],[Grafik]]="#Н/Д",FALSE,TRUE)</f>
        <v>0</v>
      </c>
    </row>
    <row r="557" spans="2:28" ht="11.1" hidden="1" customHeight="1" x14ac:dyDescent="0.25">
      <c r="B557"/>
      <c r="C557" s="41" t="str">
        <f>IFERROR(VLOOKUP(B557,Baza[[№]:[Profit]],2,0),"")</f>
        <v/>
      </c>
      <c r="D55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5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57" s="43" t="str">
        <f>IFERROR(VLOOKUP(B557,Baza[[№]:[Profit]],3,0),"")</f>
        <v/>
      </c>
      <c r="G557" s="43" t="str">
        <f>IFERROR(VLOOKUP(B557,Baza[[№]:[Profit]],4,0),"")</f>
        <v/>
      </c>
      <c r="H557" s="43" t="str">
        <f>IFERROR(VLOOKUP(B557,Baza[[№]:[Profit]],5,0),"")</f>
        <v/>
      </c>
      <c r="I557" s="46" t="str">
        <f>IFERROR(VLOOKUP(B557,Baza[[№]:[Profit]],6,0),"")</f>
        <v/>
      </c>
      <c r="J557" s="49" t="str">
        <f>IFERROR(VLOOKUP(B557,Baza[[№]:[Profit]],7,0),"")</f>
        <v/>
      </c>
      <c r="K557" s="43" t="str">
        <f>IFERROR(VLOOKUP(B557,Baza[[№]:[Profit]],8,0),"")</f>
        <v/>
      </c>
      <c r="L557" s="43" t="str">
        <f>IFERROR(VLOOKUP(B557,Baza[[№]:[Profit]],9,0),"")</f>
        <v/>
      </c>
      <c r="M557" s="43" t="str">
        <f>IFERROR(VLOOKUP(B557,Baza[[№]:[Profit]],10,0),"")</f>
        <v/>
      </c>
      <c r="N557" s="43" t="str">
        <f>IFERROR(IF(VLOOKUP(B557,Baza[[№]:[Profit]],11,0)=0,"-",VLOOKUP(B557,Baza[[№]:[Profit]],11,0)),"")</f>
        <v/>
      </c>
      <c r="O557" s="43" t="str">
        <f>IFERROR(IF(VLOOKUP(B557,Baza[[№]:[Profit]],12,0)=0,"-",VLOOKUP(B557,Baza[[№]:[Profit]],12,0)),"")</f>
        <v/>
      </c>
      <c r="P557" s="43" t="str">
        <f>IFERROR(IF(VLOOKUP(B557,Baza[[№]:[Profit]],13,0)=0,"-",VLOOKUP(B557,Baza[[№]:[Profit]],13,0)),"")</f>
        <v/>
      </c>
      <c r="Q557" s="43" t="str">
        <f>IFERROR(IF(VLOOKUP(B557,Baza[[№]:[Profit]],15,0)=0,"-",VLOOKUP(B557,Baza[[№]:[Profit]],15,0)),"")</f>
        <v/>
      </c>
      <c r="R557" s="43" t="str">
        <f>IFERROR(IF(VLOOKUP(B557,Baza[[№]:[Profit]],16,0)=0,"-",VLOOKUP(B557,Baza[[№]:[Profit]],16,0)),"")</f>
        <v/>
      </c>
      <c r="S557" s="43" t="str">
        <f>IFERROR(IF(VLOOKUP(B557,Baza[[№]:[Profit]],17,0)=0,"-",VLOOKUP(B557,Baza[[№]:[Profit]],17,0)),"")</f>
        <v/>
      </c>
      <c r="T557" s="43" t="str">
        <f>IFERROR(IF(VLOOKUP(B557,Baza[[№]:[Profit]],18,0)=0,"-",VLOOKUP(B557,Baza[[№]:[Profit]],18,0)),"")</f>
        <v/>
      </c>
      <c r="U557" s="41" t="str">
        <f>IFERROR(IF(VLOOKUP(B557,Baza[[№]:[Profit]],19,0)=0,"-",VLOOKUP(B557,Baza[[№]:[Profit]],19,0)),"")</f>
        <v/>
      </c>
      <c r="V557" s="41" t="str">
        <f>IFERROR(VLOOKUP(B557,Baza[[№]:[Profit]],20,0),"")</f>
        <v/>
      </c>
      <c r="W557" s="41" t="str">
        <f>IFERROR(IF(VLOOKUP(B557,Baza[[№]:[Profit]],21,0)=0,"-",VLOOKUP(B557,Baza[[№]:[Profit]],21,0)),"")</f>
        <v/>
      </c>
      <c r="X557" s="45" t="str">
        <f>IFERROR(IF(VLOOKUP(B557,Baza[[№]:[Profit]],22,0)=0,"-",VLOOKUP(B557,Baza[[№]:[Profit]],22,0)),"")</f>
        <v/>
      </c>
      <c r="Y557" s="45" t="str">
        <f>IFERROR(VLOOKUP(B557,Baza[[№]:[Profit]],23,0),"")</f>
        <v/>
      </c>
      <c r="Z557" s="44" t="str">
        <f>IFERROR(VLOOKUP(B557,Baza[[№]:[AFS]],24,0),"")</f>
        <v/>
      </c>
      <c r="AA557" s="45" t="str">
        <f>IF(Таблица2[[#This Row],[Profit]]="","#Н/Д",SUM($Y$40:Y557))</f>
        <v>#Н/Д</v>
      </c>
      <c r="AB557" s="45" t="b">
        <f>IF(Таблица2[[#This Row],[Grafik]]="#Н/Д",FALSE,TRUE)</f>
        <v>0</v>
      </c>
    </row>
    <row r="558" spans="2:28" ht="11.1" hidden="1" customHeight="1" x14ac:dyDescent="0.25">
      <c r="B558"/>
      <c r="C558" s="41" t="str">
        <f>IFERROR(VLOOKUP(B558,Baza[[№]:[Profit]],2,0),"")</f>
        <v/>
      </c>
      <c r="D55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5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58" s="43" t="str">
        <f>IFERROR(VLOOKUP(B558,Baza[[№]:[Profit]],3,0),"")</f>
        <v/>
      </c>
      <c r="G558" s="43" t="str">
        <f>IFERROR(VLOOKUP(B558,Baza[[№]:[Profit]],4,0),"")</f>
        <v/>
      </c>
      <c r="H558" s="43" t="str">
        <f>IFERROR(VLOOKUP(B558,Baza[[№]:[Profit]],5,0),"")</f>
        <v/>
      </c>
      <c r="I558" s="46" t="str">
        <f>IFERROR(VLOOKUP(B558,Baza[[№]:[Profit]],6,0),"")</f>
        <v/>
      </c>
      <c r="J558" s="49" t="str">
        <f>IFERROR(VLOOKUP(B558,Baza[[№]:[Profit]],7,0),"")</f>
        <v/>
      </c>
      <c r="K558" s="43" t="str">
        <f>IFERROR(VLOOKUP(B558,Baza[[№]:[Profit]],8,0),"")</f>
        <v/>
      </c>
      <c r="L558" s="43" t="str">
        <f>IFERROR(VLOOKUP(B558,Baza[[№]:[Profit]],9,0),"")</f>
        <v/>
      </c>
      <c r="M558" s="43" t="str">
        <f>IFERROR(VLOOKUP(B558,Baza[[№]:[Profit]],10,0),"")</f>
        <v/>
      </c>
      <c r="N558" s="43" t="str">
        <f>IFERROR(IF(VLOOKUP(B558,Baza[[№]:[Profit]],11,0)=0,"-",VLOOKUP(B558,Baza[[№]:[Profit]],11,0)),"")</f>
        <v/>
      </c>
      <c r="O558" s="43" t="str">
        <f>IFERROR(IF(VLOOKUP(B558,Baza[[№]:[Profit]],12,0)=0,"-",VLOOKUP(B558,Baza[[№]:[Profit]],12,0)),"")</f>
        <v/>
      </c>
      <c r="P558" s="43" t="str">
        <f>IFERROR(IF(VLOOKUP(B558,Baza[[№]:[Profit]],13,0)=0,"-",VLOOKUP(B558,Baza[[№]:[Profit]],13,0)),"")</f>
        <v/>
      </c>
      <c r="Q558" s="43" t="str">
        <f>IFERROR(IF(VLOOKUP(B558,Baza[[№]:[Profit]],15,0)=0,"-",VLOOKUP(B558,Baza[[№]:[Profit]],15,0)),"")</f>
        <v/>
      </c>
      <c r="R558" s="43" t="str">
        <f>IFERROR(IF(VLOOKUP(B558,Baza[[№]:[Profit]],16,0)=0,"-",VLOOKUP(B558,Baza[[№]:[Profit]],16,0)),"")</f>
        <v/>
      </c>
      <c r="S558" s="43" t="str">
        <f>IFERROR(IF(VLOOKUP(B558,Baza[[№]:[Profit]],17,0)=0,"-",VLOOKUP(B558,Baza[[№]:[Profit]],17,0)),"")</f>
        <v/>
      </c>
      <c r="T558" s="43" t="str">
        <f>IFERROR(IF(VLOOKUP(B558,Baza[[№]:[Profit]],18,0)=0,"-",VLOOKUP(B558,Baza[[№]:[Profit]],18,0)),"")</f>
        <v/>
      </c>
      <c r="U558" s="41" t="str">
        <f>IFERROR(IF(VLOOKUP(B558,Baza[[№]:[Profit]],19,0)=0,"-",VLOOKUP(B558,Baza[[№]:[Profit]],19,0)),"")</f>
        <v/>
      </c>
      <c r="V558" s="41" t="str">
        <f>IFERROR(VLOOKUP(B558,Baza[[№]:[Profit]],20,0),"")</f>
        <v/>
      </c>
      <c r="W558" s="41" t="str">
        <f>IFERROR(IF(VLOOKUP(B558,Baza[[№]:[Profit]],21,0)=0,"-",VLOOKUP(B558,Baza[[№]:[Profit]],21,0)),"")</f>
        <v/>
      </c>
      <c r="X558" s="45" t="str">
        <f>IFERROR(IF(VLOOKUP(B558,Baza[[№]:[Profit]],22,0)=0,"-",VLOOKUP(B558,Baza[[№]:[Profit]],22,0)),"")</f>
        <v/>
      </c>
      <c r="Y558" s="45" t="str">
        <f>IFERROR(VLOOKUP(B558,Baza[[№]:[Profit]],23,0),"")</f>
        <v/>
      </c>
      <c r="Z558" s="44" t="str">
        <f>IFERROR(VLOOKUP(B558,Baza[[№]:[AFS]],24,0),"")</f>
        <v/>
      </c>
      <c r="AA558" s="45" t="str">
        <f>IF(Таблица2[[#This Row],[Profit]]="","#Н/Д",SUM($Y$40:Y558))</f>
        <v>#Н/Д</v>
      </c>
      <c r="AB558" s="45" t="b">
        <f>IF(Таблица2[[#This Row],[Grafik]]="#Н/Д",FALSE,TRUE)</f>
        <v>0</v>
      </c>
    </row>
    <row r="559" spans="2:28" ht="11.1" hidden="1" customHeight="1" x14ac:dyDescent="0.25">
      <c r="B559"/>
      <c r="C559" s="41" t="str">
        <f>IFERROR(VLOOKUP(B559,Baza[[№]:[Profit]],2,0),"")</f>
        <v/>
      </c>
      <c r="D55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5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59" s="43" t="str">
        <f>IFERROR(VLOOKUP(B559,Baza[[№]:[Profit]],3,0),"")</f>
        <v/>
      </c>
      <c r="G559" s="43" t="str">
        <f>IFERROR(VLOOKUP(B559,Baza[[№]:[Profit]],4,0),"")</f>
        <v/>
      </c>
      <c r="H559" s="43" t="str">
        <f>IFERROR(VLOOKUP(B559,Baza[[№]:[Profit]],5,0),"")</f>
        <v/>
      </c>
      <c r="I559" s="46" t="str">
        <f>IFERROR(VLOOKUP(B559,Baza[[№]:[Profit]],6,0),"")</f>
        <v/>
      </c>
      <c r="J559" s="49" t="str">
        <f>IFERROR(VLOOKUP(B559,Baza[[№]:[Profit]],7,0),"")</f>
        <v/>
      </c>
      <c r="K559" s="43" t="str">
        <f>IFERROR(VLOOKUP(B559,Baza[[№]:[Profit]],8,0),"")</f>
        <v/>
      </c>
      <c r="L559" s="43" t="str">
        <f>IFERROR(VLOOKUP(B559,Baza[[№]:[Profit]],9,0),"")</f>
        <v/>
      </c>
      <c r="M559" s="43" t="str">
        <f>IFERROR(VLOOKUP(B559,Baza[[№]:[Profit]],10,0),"")</f>
        <v/>
      </c>
      <c r="N559" s="43" t="str">
        <f>IFERROR(IF(VLOOKUP(B559,Baza[[№]:[Profit]],11,0)=0,"-",VLOOKUP(B559,Baza[[№]:[Profit]],11,0)),"")</f>
        <v/>
      </c>
      <c r="O559" s="43" t="str">
        <f>IFERROR(IF(VLOOKUP(B559,Baza[[№]:[Profit]],12,0)=0,"-",VLOOKUP(B559,Baza[[№]:[Profit]],12,0)),"")</f>
        <v/>
      </c>
      <c r="P559" s="43" t="str">
        <f>IFERROR(IF(VLOOKUP(B559,Baza[[№]:[Profit]],13,0)=0,"-",VLOOKUP(B559,Baza[[№]:[Profit]],13,0)),"")</f>
        <v/>
      </c>
      <c r="Q559" s="43" t="str">
        <f>IFERROR(IF(VLOOKUP(B559,Baza[[№]:[Profit]],15,0)=0,"-",VLOOKUP(B559,Baza[[№]:[Profit]],15,0)),"")</f>
        <v/>
      </c>
      <c r="R559" s="43" t="str">
        <f>IFERROR(IF(VLOOKUP(B559,Baza[[№]:[Profit]],16,0)=0,"-",VLOOKUP(B559,Baza[[№]:[Profit]],16,0)),"")</f>
        <v/>
      </c>
      <c r="S559" s="43" t="str">
        <f>IFERROR(IF(VLOOKUP(B559,Baza[[№]:[Profit]],17,0)=0,"-",VLOOKUP(B559,Baza[[№]:[Profit]],17,0)),"")</f>
        <v/>
      </c>
      <c r="T559" s="43" t="str">
        <f>IFERROR(IF(VLOOKUP(B559,Baza[[№]:[Profit]],18,0)=0,"-",VLOOKUP(B559,Baza[[№]:[Profit]],18,0)),"")</f>
        <v/>
      </c>
      <c r="U559" s="41" t="str">
        <f>IFERROR(IF(VLOOKUP(B559,Baza[[№]:[Profit]],19,0)=0,"-",VLOOKUP(B559,Baza[[№]:[Profit]],19,0)),"")</f>
        <v/>
      </c>
      <c r="V559" s="41" t="str">
        <f>IFERROR(VLOOKUP(B559,Baza[[№]:[Profit]],20,0),"")</f>
        <v/>
      </c>
      <c r="W559" s="41" t="str">
        <f>IFERROR(IF(VLOOKUP(B559,Baza[[№]:[Profit]],21,0)=0,"-",VLOOKUP(B559,Baza[[№]:[Profit]],21,0)),"")</f>
        <v/>
      </c>
      <c r="X559" s="45" t="str">
        <f>IFERROR(IF(VLOOKUP(B559,Baza[[№]:[Profit]],22,0)=0,"-",VLOOKUP(B559,Baza[[№]:[Profit]],22,0)),"")</f>
        <v/>
      </c>
      <c r="Y559" s="45" t="str">
        <f>IFERROR(VLOOKUP(B559,Baza[[№]:[Profit]],23,0),"")</f>
        <v/>
      </c>
      <c r="Z559" s="44" t="str">
        <f>IFERROR(VLOOKUP(B559,Baza[[№]:[AFS]],24,0),"")</f>
        <v/>
      </c>
      <c r="AA559" s="45" t="str">
        <f>IF(Таблица2[[#This Row],[Profit]]="","#Н/Д",SUM($Y$40:Y559))</f>
        <v>#Н/Д</v>
      </c>
      <c r="AB559" s="45" t="b">
        <f>IF(Таблица2[[#This Row],[Grafik]]="#Н/Д",FALSE,TRUE)</f>
        <v>0</v>
      </c>
    </row>
    <row r="560" spans="2:28" ht="11.1" hidden="1" customHeight="1" x14ac:dyDescent="0.25">
      <c r="B560"/>
      <c r="C560" s="41" t="str">
        <f>IFERROR(VLOOKUP(B560,Baza[[№]:[Profit]],2,0),"")</f>
        <v/>
      </c>
      <c r="D56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6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60" s="43" t="str">
        <f>IFERROR(VLOOKUP(B560,Baza[[№]:[Profit]],3,0),"")</f>
        <v/>
      </c>
      <c r="G560" s="43" t="str">
        <f>IFERROR(VLOOKUP(B560,Baza[[№]:[Profit]],4,0),"")</f>
        <v/>
      </c>
      <c r="H560" s="43" t="str">
        <f>IFERROR(VLOOKUP(B560,Baza[[№]:[Profit]],5,0),"")</f>
        <v/>
      </c>
      <c r="I560" s="46" t="str">
        <f>IFERROR(VLOOKUP(B560,Baza[[№]:[Profit]],6,0),"")</f>
        <v/>
      </c>
      <c r="J560" s="49" t="str">
        <f>IFERROR(VLOOKUP(B560,Baza[[№]:[Profit]],7,0),"")</f>
        <v/>
      </c>
      <c r="K560" s="43" t="str">
        <f>IFERROR(VLOOKUP(B560,Baza[[№]:[Profit]],8,0),"")</f>
        <v/>
      </c>
      <c r="L560" s="43" t="str">
        <f>IFERROR(VLOOKUP(B560,Baza[[№]:[Profit]],9,0),"")</f>
        <v/>
      </c>
      <c r="M560" s="43" t="str">
        <f>IFERROR(VLOOKUP(B560,Baza[[№]:[Profit]],10,0),"")</f>
        <v/>
      </c>
      <c r="N560" s="43" t="str">
        <f>IFERROR(IF(VLOOKUP(B560,Baza[[№]:[Profit]],11,0)=0,"-",VLOOKUP(B560,Baza[[№]:[Profit]],11,0)),"")</f>
        <v/>
      </c>
      <c r="O560" s="43" t="str">
        <f>IFERROR(IF(VLOOKUP(B560,Baza[[№]:[Profit]],12,0)=0,"-",VLOOKUP(B560,Baza[[№]:[Profit]],12,0)),"")</f>
        <v/>
      </c>
      <c r="P560" s="43" t="str">
        <f>IFERROR(IF(VLOOKUP(B560,Baza[[№]:[Profit]],13,0)=0,"-",VLOOKUP(B560,Baza[[№]:[Profit]],13,0)),"")</f>
        <v/>
      </c>
      <c r="Q560" s="43" t="str">
        <f>IFERROR(IF(VLOOKUP(B560,Baza[[№]:[Profit]],15,0)=0,"-",VLOOKUP(B560,Baza[[№]:[Profit]],15,0)),"")</f>
        <v/>
      </c>
      <c r="R560" s="43" t="str">
        <f>IFERROR(IF(VLOOKUP(B560,Baza[[№]:[Profit]],16,0)=0,"-",VLOOKUP(B560,Baza[[№]:[Profit]],16,0)),"")</f>
        <v/>
      </c>
      <c r="S560" s="43" t="str">
        <f>IFERROR(IF(VLOOKUP(B560,Baza[[№]:[Profit]],17,0)=0,"-",VLOOKUP(B560,Baza[[№]:[Profit]],17,0)),"")</f>
        <v/>
      </c>
      <c r="T560" s="43" t="str">
        <f>IFERROR(IF(VLOOKUP(B560,Baza[[№]:[Profit]],18,0)=0,"-",VLOOKUP(B560,Baza[[№]:[Profit]],18,0)),"")</f>
        <v/>
      </c>
      <c r="U560" s="41" t="str">
        <f>IFERROR(IF(VLOOKUP(B560,Baza[[№]:[Profit]],19,0)=0,"-",VLOOKUP(B560,Baza[[№]:[Profit]],19,0)),"")</f>
        <v/>
      </c>
      <c r="V560" s="41" t="str">
        <f>IFERROR(VLOOKUP(B560,Baza[[№]:[Profit]],20,0),"")</f>
        <v/>
      </c>
      <c r="W560" s="41" t="str">
        <f>IFERROR(IF(VLOOKUP(B560,Baza[[№]:[Profit]],21,0)=0,"-",VLOOKUP(B560,Baza[[№]:[Profit]],21,0)),"")</f>
        <v/>
      </c>
      <c r="X560" s="45" t="str">
        <f>IFERROR(IF(VLOOKUP(B560,Baza[[№]:[Profit]],22,0)=0,"-",VLOOKUP(B560,Baza[[№]:[Profit]],22,0)),"")</f>
        <v/>
      </c>
      <c r="Y560" s="45" t="str">
        <f>IFERROR(VLOOKUP(B560,Baza[[№]:[Profit]],23,0),"")</f>
        <v/>
      </c>
      <c r="Z560" s="44" t="str">
        <f>IFERROR(VLOOKUP(B560,Baza[[№]:[AFS]],24,0),"")</f>
        <v/>
      </c>
      <c r="AA560" s="45" t="str">
        <f>IF(Таблица2[[#This Row],[Profit]]="","#Н/Д",SUM($Y$40:Y560))</f>
        <v>#Н/Д</v>
      </c>
      <c r="AB560" s="45" t="b">
        <f>IF(Таблица2[[#This Row],[Grafik]]="#Н/Д",FALSE,TRUE)</f>
        <v>0</v>
      </c>
    </row>
    <row r="561" spans="2:28" ht="11.1" hidden="1" customHeight="1" x14ac:dyDescent="0.25">
      <c r="B561"/>
      <c r="C561" s="41" t="str">
        <f>IFERROR(VLOOKUP(B561,Baza[[№]:[Profit]],2,0),"")</f>
        <v/>
      </c>
      <c r="D56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6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61" s="43" t="str">
        <f>IFERROR(VLOOKUP(B561,Baza[[№]:[Profit]],3,0),"")</f>
        <v/>
      </c>
      <c r="G561" s="43" t="str">
        <f>IFERROR(VLOOKUP(B561,Baza[[№]:[Profit]],4,0),"")</f>
        <v/>
      </c>
      <c r="H561" s="43" t="str">
        <f>IFERROR(VLOOKUP(B561,Baza[[№]:[Profit]],5,0),"")</f>
        <v/>
      </c>
      <c r="I561" s="46" t="str">
        <f>IFERROR(VLOOKUP(B561,Baza[[№]:[Profit]],6,0),"")</f>
        <v/>
      </c>
      <c r="J561" s="49" t="str">
        <f>IFERROR(VLOOKUP(B561,Baza[[№]:[Profit]],7,0),"")</f>
        <v/>
      </c>
      <c r="K561" s="43" t="str">
        <f>IFERROR(VLOOKUP(B561,Baza[[№]:[Profit]],8,0),"")</f>
        <v/>
      </c>
      <c r="L561" s="43" t="str">
        <f>IFERROR(VLOOKUP(B561,Baza[[№]:[Profit]],9,0),"")</f>
        <v/>
      </c>
      <c r="M561" s="43" t="str">
        <f>IFERROR(VLOOKUP(B561,Baza[[№]:[Profit]],10,0),"")</f>
        <v/>
      </c>
      <c r="N561" s="43" t="str">
        <f>IFERROR(IF(VLOOKUP(B561,Baza[[№]:[Profit]],11,0)=0,"-",VLOOKUP(B561,Baza[[№]:[Profit]],11,0)),"")</f>
        <v/>
      </c>
      <c r="O561" s="43" t="str">
        <f>IFERROR(IF(VLOOKUP(B561,Baza[[№]:[Profit]],12,0)=0,"-",VLOOKUP(B561,Baza[[№]:[Profit]],12,0)),"")</f>
        <v/>
      </c>
      <c r="P561" s="43" t="str">
        <f>IFERROR(IF(VLOOKUP(B561,Baza[[№]:[Profit]],13,0)=0,"-",VLOOKUP(B561,Baza[[№]:[Profit]],13,0)),"")</f>
        <v/>
      </c>
      <c r="Q561" s="43" t="str">
        <f>IFERROR(IF(VLOOKUP(B561,Baza[[№]:[Profit]],15,0)=0,"-",VLOOKUP(B561,Baza[[№]:[Profit]],15,0)),"")</f>
        <v/>
      </c>
      <c r="R561" s="43" t="str">
        <f>IFERROR(IF(VLOOKUP(B561,Baza[[№]:[Profit]],16,0)=0,"-",VLOOKUP(B561,Baza[[№]:[Profit]],16,0)),"")</f>
        <v/>
      </c>
      <c r="S561" s="43" t="str">
        <f>IFERROR(IF(VLOOKUP(B561,Baza[[№]:[Profit]],17,0)=0,"-",VLOOKUP(B561,Baza[[№]:[Profit]],17,0)),"")</f>
        <v/>
      </c>
      <c r="T561" s="43" t="str">
        <f>IFERROR(IF(VLOOKUP(B561,Baza[[№]:[Profit]],18,0)=0,"-",VLOOKUP(B561,Baza[[№]:[Profit]],18,0)),"")</f>
        <v/>
      </c>
      <c r="U561" s="41" t="str">
        <f>IFERROR(IF(VLOOKUP(B561,Baza[[№]:[Profit]],19,0)=0,"-",VLOOKUP(B561,Baza[[№]:[Profit]],19,0)),"")</f>
        <v/>
      </c>
      <c r="V561" s="41" t="str">
        <f>IFERROR(VLOOKUP(B561,Baza[[№]:[Profit]],20,0),"")</f>
        <v/>
      </c>
      <c r="W561" s="41" t="str">
        <f>IFERROR(IF(VLOOKUP(B561,Baza[[№]:[Profit]],21,0)=0,"-",VLOOKUP(B561,Baza[[№]:[Profit]],21,0)),"")</f>
        <v/>
      </c>
      <c r="X561" s="45" t="str">
        <f>IFERROR(IF(VLOOKUP(B561,Baza[[№]:[Profit]],22,0)=0,"-",VLOOKUP(B561,Baza[[№]:[Profit]],22,0)),"")</f>
        <v/>
      </c>
      <c r="Y561" s="45" t="str">
        <f>IFERROR(VLOOKUP(B561,Baza[[№]:[Profit]],23,0),"")</f>
        <v/>
      </c>
      <c r="Z561" s="44" t="str">
        <f>IFERROR(VLOOKUP(B561,Baza[[№]:[AFS]],24,0),"")</f>
        <v/>
      </c>
      <c r="AA561" s="45" t="str">
        <f>IF(Таблица2[[#This Row],[Profit]]="","#Н/Д",SUM($Y$40:Y561))</f>
        <v>#Н/Д</v>
      </c>
      <c r="AB561" s="45" t="b">
        <f>IF(Таблица2[[#This Row],[Grafik]]="#Н/Д",FALSE,TRUE)</f>
        <v>0</v>
      </c>
    </row>
    <row r="562" spans="2:28" ht="11.1" hidden="1" customHeight="1" x14ac:dyDescent="0.25">
      <c r="B562"/>
      <c r="C562" s="41" t="str">
        <f>IFERROR(VLOOKUP(B562,Baza[[№]:[Profit]],2,0),"")</f>
        <v/>
      </c>
      <c r="D56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6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62" s="43" t="str">
        <f>IFERROR(VLOOKUP(B562,Baza[[№]:[Profit]],3,0),"")</f>
        <v/>
      </c>
      <c r="G562" s="43" t="str">
        <f>IFERROR(VLOOKUP(B562,Baza[[№]:[Profit]],4,0),"")</f>
        <v/>
      </c>
      <c r="H562" s="43" t="str">
        <f>IFERROR(VLOOKUP(B562,Baza[[№]:[Profit]],5,0),"")</f>
        <v/>
      </c>
      <c r="I562" s="46" t="str">
        <f>IFERROR(VLOOKUP(B562,Baza[[№]:[Profit]],6,0),"")</f>
        <v/>
      </c>
      <c r="J562" s="49" t="str">
        <f>IFERROR(VLOOKUP(B562,Baza[[№]:[Profit]],7,0),"")</f>
        <v/>
      </c>
      <c r="K562" s="43" t="str">
        <f>IFERROR(VLOOKUP(B562,Baza[[№]:[Profit]],8,0),"")</f>
        <v/>
      </c>
      <c r="L562" s="43" t="str">
        <f>IFERROR(VLOOKUP(B562,Baza[[№]:[Profit]],9,0),"")</f>
        <v/>
      </c>
      <c r="M562" s="43" t="str">
        <f>IFERROR(VLOOKUP(B562,Baza[[№]:[Profit]],10,0),"")</f>
        <v/>
      </c>
      <c r="N562" s="43" t="str">
        <f>IFERROR(IF(VLOOKUP(B562,Baza[[№]:[Profit]],11,0)=0,"-",VLOOKUP(B562,Baza[[№]:[Profit]],11,0)),"")</f>
        <v/>
      </c>
      <c r="O562" s="43" t="str">
        <f>IFERROR(IF(VLOOKUP(B562,Baza[[№]:[Profit]],12,0)=0,"-",VLOOKUP(B562,Baza[[№]:[Profit]],12,0)),"")</f>
        <v/>
      </c>
      <c r="P562" s="43" t="str">
        <f>IFERROR(IF(VLOOKUP(B562,Baza[[№]:[Profit]],13,0)=0,"-",VLOOKUP(B562,Baza[[№]:[Profit]],13,0)),"")</f>
        <v/>
      </c>
      <c r="Q562" s="43" t="str">
        <f>IFERROR(IF(VLOOKUP(B562,Baza[[№]:[Profit]],15,0)=0,"-",VLOOKUP(B562,Baza[[№]:[Profit]],15,0)),"")</f>
        <v/>
      </c>
      <c r="R562" s="43" t="str">
        <f>IFERROR(IF(VLOOKUP(B562,Baza[[№]:[Profit]],16,0)=0,"-",VLOOKUP(B562,Baza[[№]:[Profit]],16,0)),"")</f>
        <v/>
      </c>
      <c r="S562" s="43" t="str">
        <f>IFERROR(IF(VLOOKUP(B562,Baza[[№]:[Profit]],17,0)=0,"-",VLOOKUP(B562,Baza[[№]:[Profit]],17,0)),"")</f>
        <v/>
      </c>
      <c r="T562" s="43" t="str">
        <f>IFERROR(IF(VLOOKUP(B562,Baza[[№]:[Profit]],18,0)=0,"-",VLOOKUP(B562,Baza[[№]:[Profit]],18,0)),"")</f>
        <v/>
      </c>
      <c r="U562" s="41" t="str">
        <f>IFERROR(IF(VLOOKUP(B562,Baza[[№]:[Profit]],19,0)=0,"-",VLOOKUP(B562,Baza[[№]:[Profit]],19,0)),"")</f>
        <v/>
      </c>
      <c r="V562" s="41" t="str">
        <f>IFERROR(VLOOKUP(B562,Baza[[№]:[Profit]],20,0),"")</f>
        <v/>
      </c>
      <c r="W562" s="41" t="str">
        <f>IFERROR(IF(VLOOKUP(B562,Baza[[№]:[Profit]],21,0)=0,"-",VLOOKUP(B562,Baza[[№]:[Profit]],21,0)),"")</f>
        <v/>
      </c>
      <c r="X562" s="45" t="str">
        <f>IFERROR(IF(VLOOKUP(B562,Baza[[№]:[Profit]],22,0)=0,"-",VLOOKUP(B562,Baza[[№]:[Profit]],22,0)),"")</f>
        <v/>
      </c>
      <c r="Y562" s="45" t="str">
        <f>IFERROR(VLOOKUP(B562,Baza[[№]:[Profit]],23,0),"")</f>
        <v/>
      </c>
      <c r="Z562" s="44" t="str">
        <f>IFERROR(VLOOKUP(B562,Baza[[№]:[AFS]],24,0),"")</f>
        <v/>
      </c>
      <c r="AA562" s="45" t="str">
        <f>IF(Таблица2[[#This Row],[Profit]]="","#Н/Д",SUM($Y$40:Y562))</f>
        <v>#Н/Д</v>
      </c>
      <c r="AB562" s="45" t="b">
        <f>IF(Таблица2[[#This Row],[Grafik]]="#Н/Д",FALSE,TRUE)</f>
        <v>0</v>
      </c>
    </row>
    <row r="563" spans="2:28" ht="11.1" hidden="1" customHeight="1" x14ac:dyDescent="0.25">
      <c r="B563"/>
      <c r="C563" s="41" t="str">
        <f>IFERROR(VLOOKUP(B563,Baza[[№]:[Profit]],2,0),"")</f>
        <v/>
      </c>
      <c r="D56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6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63" s="43" t="str">
        <f>IFERROR(VLOOKUP(B563,Baza[[№]:[Profit]],3,0),"")</f>
        <v/>
      </c>
      <c r="G563" s="43" t="str">
        <f>IFERROR(VLOOKUP(B563,Baza[[№]:[Profit]],4,0),"")</f>
        <v/>
      </c>
      <c r="H563" s="43" t="str">
        <f>IFERROR(VLOOKUP(B563,Baza[[№]:[Profit]],5,0),"")</f>
        <v/>
      </c>
      <c r="I563" s="46" t="str">
        <f>IFERROR(VLOOKUP(B563,Baza[[№]:[Profit]],6,0),"")</f>
        <v/>
      </c>
      <c r="J563" s="49" t="str">
        <f>IFERROR(VLOOKUP(B563,Baza[[№]:[Profit]],7,0),"")</f>
        <v/>
      </c>
      <c r="K563" s="43" t="str">
        <f>IFERROR(VLOOKUP(B563,Baza[[№]:[Profit]],8,0),"")</f>
        <v/>
      </c>
      <c r="L563" s="43" t="str">
        <f>IFERROR(VLOOKUP(B563,Baza[[№]:[Profit]],9,0),"")</f>
        <v/>
      </c>
      <c r="M563" s="43" t="str">
        <f>IFERROR(VLOOKUP(B563,Baza[[№]:[Profit]],10,0),"")</f>
        <v/>
      </c>
      <c r="N563" s="43" t="str">
        <f>IFERROR(IF(VLOOKUP(B563,Baza[[№]:[Profit]],11,0)=0,"-",VLOOKUP(B563,Baza[[№]:[Profit]],11,0)),"")</f>
        <v/>
      </c>
      <c r="O563" s="43" t="str">
        <f>IFERROR(IF(VLOOKUP(B563,Baza[[№]:[Profit]],12,0)=0,"-",VLOOKUP(B563,Baza[[№]:[Profit]],12,0)),"")</f>
        <v/>
      </c>
      <c r="P563" s="43" t="str">
        <f>IFERROR(IF(VLOOKUP(B563,Baza[[№]:[Profit]],13,0)=0,"-",VLOOKUP(B563,Baza[[№]:[Profit]],13,0)),"")</f>
        <v/>
      </c>
      <c r="Q563" s="43" t="str">
        <f>IFERROR(IF(VLOOKUP(B563,Baza[[№]:[Profit]],15,0)=0,"-",VLOOKUP(B563,Baza[[№]:[Profit]],15,0)),"")</f>
        <v/>
      </c>
      <c r="R563" s="43" t="str">
        <f>IFERROR(IF(VLOOKUP(B563,Baza[[№]:[Profit]],16,0)=0,"-",VLOOKUP(B563,Baza[[№]:[Profit]],16,0)),"")</f>
        <v/>
      </c>
      <c r="S563" s="43" t="str">
        <f>IFERROR(IF(VLOOKUP(B563,Baza[[№]:[Profit]],17,0)=0,"-",VLOOKUP(B563,Baza[[№]:[Profit]],17,0)),"")</f>
        <v/>
      </c>
      <c r="T563" s="43" t="str">
        <f>IFERROR(IF(VLOOKUP(B563,Baza[[№]:[Profit]],18,0)=0,"-",VLOOKUP(B563,Baza[[№]:[Profit]],18,0)),"")</f>
        <v/>
      </c>
      <c r="U563" s="41" t="str">
        <f>IFERROR(IF(VLOOKUP(B563,Baza[[№]:[Profit]],19,0)=0,"-",VLOOKUP(B563,Baza[[№]:[Profit]],19,0)),"")</f>
        <v/>
      </c>
      <c r="V563" s="41" t="str">
        <f>IFERROR(VLOOKUP(B563,Baza[[№]:[Profit]],20,0),"")</f>
        <v/>
      </c>
      <c r="W563" s="41" t="str">
        <f>IFERROR(IF(VLOOKUP(B563,Baza[[№]:[Profit]],21,0)=0,"-",VLOOKUP(B563,Baza[[№]:[Profit]],21,0)),"")</f>
        <v/>
      </c>
      <c r="X563" s="45" t="str">
        <f>IFERROR(IF(VLOOKUP(B563,Baza[[№]:[Profit]],22,0)=0,"-",VLOOKUP(B563,Baza[[№]:[Profit]],22,0)),"")</f>
        <v/>
      </c>
      <c r="Y563" s="45" t="str">
        <f>IFERROR(VLOOKUP(B563,Baza[[№]:[Profit]],23,0),"")</f>
        <v/>
      </c>
      <c r="Z563" s="44" t="str">
        <f>IFERROR(VLOOKUP(B563,Baza[[№]:[AFS]],24,0),"")</f>
        <v/>
      </c>
      <c r="AA563" s="45" t="str">
        <f>IF(Таблица2[[#This Row],[Profit]]="","#Н/Д",SUM($Y$40:Y563))</f>
        <v>#Н/Д</v>
      </c>
      <c r="AB563" s="45" t="b">
        <f>IF(Таблица2[[#This Row],[Grafik]]="#Н/Д",FALSE,TRUE)</f>
        <v>0</v>
      </c>
    </row>
    <row r="564" spans="2:28" ht="11.1" hidden="1" customHeight="1" x14ac:dyDescent="0.25">
      <c r="B564"/>
      <c r="C564" s="41" t="str">
        <f>IFERROR(VLOOKUP(B564,Baza[[№]:[Profit]],2,0),"")</f>
        <v/>
      </c>
      <c r="D56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6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64" s="43" t="str">
        <f>IFERROR(VLOOKUP(B564,Baza[[№]:[Profit]],3,0),"")</f>
        <v/>
      </c>
      <c r="G564" s="43" t="str">
        <f>IFERROR(VLOOKUP(B564,Baza[[№]:[Profit]],4,0),"")</f>
        <v/>
      </c>
      <c r="H564" s="43" t="str">
        <f>IFERROR(VLOOKUP(B564,Baza[[№]:[Profit]],5,0),"")</f>
        <v/>
      </c>
      <c r="I564" s="46" t="str">
        <f>IFERROR(VLOOKUP(B564,Baza[[№]:[Profit]],6,0),"")</f>
        <v/>
      </c>
      <c r="J564" s="49" t="str">
        <f>IFERROR(VLOOKUP(B564,Baza[[№]:[Profit]],7,0),"")</f>
        <v/>
      </c>
      <c r="K564" s="43" t="str">
        <f>IFERROR(VLOOKUP(B564,Baza[[№]:[Profit]],8,0),"")</f>
        <v/>
      </c>
      <c r="L564" s="43" t="str">
        <f>IFERROR(VLOOKUP(B564,Baza[[№]:[Profit]],9,0),"")</f>
        <v/>
      </c>
      <c r="M564" s="43" t="str">
        <f>IFERROR(VLOOKUP(B564,Baza[[№]:[Profit]],10,0),"")</f>
        <v/>
      </c>
      <c r="N564" s="43" t="str">
        <f>IFERROR(IF(VLOOKUP(B564,Baza[[№]:[Profit]],11,0)=0,"-",VLOOKUP(B564,Baza[[№]:[Profit]],11,0)),"")</f>
        <v/>
      </c>
      <c r="O564" s="43" t="str">
        <f>IFERROR(IF(VLOOKUP(B564,Baza[[№]:[Profit]],12,0)=0,"-",VLOOKUP(B564,Baza[[№]:[Profit]],12,0)),"")</f>
        <v/>
      </c>
      <c r="P564" s="43" t="str">
        <f>IFERROR(IF(VLOOKUP(B564,Baza[[№]:[Profit]],13,0)=0,"-",VLOOKUP(B564,Baza[[№]:[Profit]],13,0)),"")</f>
        <v/>
      </c>
      <c r="Q564" s="43" t="str">
        <f>IFERROR(IF(VLOOKUP(B564,Baza[[№]:[Profit]],15,0)=0,"-",VLOOKUP(B564,Baza[[№]:[Profit]],15,0)),"")</f>
        <v/>
      </c>
      <c r="R564" s="43" t="str">
        <f>IFERROR(IF(VLOOKUP(B564,Baza[[№]:[Profit]],16,0)=0,"-",VLOOKUP(B564,Baza[[№]:[Profit]],16,0)),"")</f>
        <v/>
      </c>
      <c r="S564" s="43" t="str">
        <f>IFERROR(IF(VLOOKUP(B564,Baza[[№]:[Profit]],17,0)=0,"-",VLOOKUP(B564,Baza[[№]:[Profit]],17,0)),"")</f>
        <v/>
      </c>
      <c r="T564" s="43" t="str">
        <f>IFERROR(IF(VLOOKUP(B564,Baza[[№]:[Profit]],18,0)=0,"-",VLOOKUP(B564,Baza[[№]:[Profit]],18,0)),"")</f>
        <v/>
      </c>
      <c r="U564" s="41" t="str">
        <f>IFERROR(IF(VLOOKUP(B564,Baza[[№]:[Profit]],19,0)=0,"-",VLOOKUP(B564,Baza[[№]:[Profit]],19,0)),"")</f>
        <v/>
      </c>
      <c r="V564" s="41" t="str">
        <f>IFERROR(VLOOKUP(B564,Baza[[№]:[Profit]],20,0),"")</f>
        <v/>
      </c>
      <c r="W564" s="41" t="str">
        <f>IFERROR(IF(VLOOKUP(B564,Baza[[№]:[Profit]],21,0)=0,"-",VLOOKUP(B564,Baza[[№]:[Profit]],21,0)),"")</f>
        <v/>
      </c>
      <c r="X564" s="45" t="str">
        <f>IFERROR(IF(VLOOKUP(B564,Baza[[№]:[Profit]],22,0)=0,"-",VLOOKUP(B564,Baza[[№]:[Profit]],22,0)),"")</f>
        <v/>
      </c>
      <c r="Y564" s="45" t="str">
        <f>IFERROR(VLOOKUP(B564,Baza[[№]:[Profit]],23,0),"")</f>
        <v/>
      </c>
      <c r="Z564" s="44" t="str">
        <f>IFERROR(VLOOKUP(B564,Baza[[№]:[AFS]],24,0),"")</f>
        <v/>
      </c>
      <c r="AA564" s="45" t="str">
        <f>IF(Таблица2[[#This Row],[Profit]]="","#Н/Д",SUM($Y$40:Y564))</f>
        <v>#Н/Д</v>
      </c>
      <c r="AB564" s="45" t="b">
        <f>IF(Таблица2[[#This Row],[Grafik]]="#Н/Д",FALSE,TRUE)</f>
        <v>0</v>
      </c>
    </row>
    <row r="565" spans="2:28" ht="11.1" hidden="1" customHeight="1" x14ac:dyDescent="0.25">
      <c r="B565"/>
      <c r="C565" s="41" t="str">
        <f>IFERROR(VLOOKUP(B565,Baza[[№]:[Profit]],2,0),"")</f>
        <v/>
      </c>
      <c r="D56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6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65" s="43" t="str">
        <f>IFERROR(VLOOKUP(B565,Baza[[№]:[Profit]],3,0),"")</f>
        <v/>
      </c>
      <c r="G565" s="43" t="str">
        <f>IFERROR(VLOOKUP(B565,Baza[[№]:[Profit]],4,0),"")</f>
        <v/>
      </c>
      <c r="H565" s="43" t="str">
        <f>IFERROR(VLOOKUP(B565,Baza[[№]:[Profit]],5,0),"")</f>
        <v/>
      </c>
      <c r="I565" s="46" t="str">
        <f>IFERROR(VLOOKUP(B565,Baza[[№]:[Profit]],6,0),"")</f>
        <v/>
      </c>
      <c r="J565" s="49" t="str">
        <f>IFERROR(VLOOKUP(B565,Baza[[№]:[Profit]],7,0),"")</f>
        <v/>
      </c>
      <c r="K565" s="43" t="str">
        <f>IFERROR(VLOOKUP(B565,Baza[[№]:[Profit]],8,0),"")</f>
        <v/>
      </c>
      <c r="L565" s="43" t="str">
        <f>IFERROR(VLOOKUP(B565,Baza[[№]:[Profit]],9,0),"")</f>
        <v/>
      </c>
      <c r="M565" s="43" t="str">
        <f>IFERROR(VLOOKUP(B565,Baza[[№]:[Profit]],10,0),"")</f>
        <v/>
      </c>
      <c r="N565" s="43" t="str">
        <f>IFERROR(IF(VLOOKUP(B565,Baza[[№]:[Profit]],11,0)=0,"-",VLOOKUP(B565,Baza[[№]:[Profit]],11,0)),"")</f>
        <v/>
      </c>
      <c r="O565" s="43" t="str">
        <f>IFERROR(IF(VLOOKUP(B565,Baza[[№]:[Profit]],12,0)=0,"-",VLOOKUP(B565,Baza[[№]:[Profit]],12,0)),"")</f>
        <v/>
      </c>
      <c r="P565" s="43" t="str">
        <f>IFERROR(IF(VLOOKUP(B565,Baza[[№]:[Profit]],13,0)=0,"-",VLOOKUP(B565,Baza[[№]:[Profit]],13,0)),"")</f>
        <v/>
      </c>
      <c r="Q565" s="43" t="str">
        <f>IFERROR(IF(VLOOKUP(B565,Baza[[№]:[Profit]],15,0)=0,"-",VLOOKUP(B565,Baza[[№]:[Profit]],15,0)),"")</f>
        <v/>
      </c>
      <c r="R565" s="43" t="str">
        <f>IFERROR(IF(VLOOKUP(B565,Baza[[№]:[Profit]],16,0)=0,"-",VLOOKUP(B565,Baza[[№]:[Profit]],16,0)),"")</f>
        <v/>
      </c>
      <c r="S565" s="43" t="str">
        <f>IFERROR(IF(VLOOKUP(B565,Baza[[№]:[Profit]],17,0)=0,"-",VLOOKUP(B565,Baza[[№]:[Profit]],17,0)),"")</f>
        <v/>
      </c>
      <c r="T565" s="43" t="str">
        <f>IFERROR(IF(VLOOKUP(B565,Baza[[№]:[Profit]],18,0)=0,"-",VLOOKUP(B565,Baza[[№]:[Profit]],18,0)),"")</f>
        <v/>
      </c>
      <c r="U565" s="41" t="str">
        <f>IFERROR(IF(VLOOKUP(B565,Baza[[№]:[Profit]],19,0)=0,"-",VLOOKUP(B565,Baza[[№]:[Profit]],19,0)),"")</f>
        <v/>
      </c>
      <c r="V565" s="41" t="str">
        <f>IFERROR(VLOOKUP(B565,Baza[[№]:[Profit]],20,0),"")</f>
        <v/>
      </c>
      <c r="W565" s="41" t="str">
        <f>IFERROR(IF(VLOOKUP(B565,Baza[[№]:[Profit]],21,0)=0,"-",VLOOKUP(B565,Baza[[№]:[Profit]],21,0)),"")</f>
        <v/>
      </c>
      <c r="X565" s="45" t="str">
        <f>IFERROR(IF(VLOOKUP(B565,Baza[[№]:[Profit]],22,0)=0,"-",VLOOKUP(B565,Baza[[№]:[Profit]],22,0)),"")</f>
        <v/>
      </c>
      <c r="Y565" s="45" t="str">
        <f>IFERROR(VLOOKUP(B565,Baza[[№]:[Profit]],23,0),"")</f>
        <v/>
      </c>
      <c r="Z565" s="44" t="str">
        <f>IFERROR(VLOOKUP(B565,Baza[[№]:[AFS]],24,0),"")</f>
        <v/>
      </c>
      <c r="AA565" s="45" t="str">
        <f>IF(Таблица2[[#This Row],[Profit]]="","#Н/Д",SUM($Y$40:Y565))</f>
        <v>#Н/Д</v>
      </c>
      <c r="AB565" s="45" t="b">
        <f>IF(Таблица2[[#This Row],[Grafik]]="#Н/Д",FALSE,TRUE)</f>
        <v>0</v>
      </c>
    </row>
    <row r="566" spans="2:28" ht="11.1" hidden="1" customHeight="1" x14ac:dyDescent="0.25">
      <c r="B566"/>
      <c r="C566" s="41" t="str">
        <f>IFERROR(VLOOKUP(B566,Baza[[№]:[Profit]],2,0),"")</f>
        <v/>
      </c>
      <c r="D56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6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66" s="43" t="str">
        <f>IFERROR(VLOOKUP(B566,Baza[[№]:[Profit]],3,0),"")</f>
        <v/>
      </c>
      <c r="G566" s="43" t="str">
        <f>IFERROR(VLOOKUP(B566,Baza[[№]:[Profit]],4,0),"")</f>
        <v/>
      </c>
      <c r="H566" s="43" t="str">
        <f>IFERROR(VLOOKUP(B566,Baza[[№]:[Profit]],5,0),"")</f>
        <v/>
      </c>
      <c r="I566" s="46" t="str">
        <f>IFERROR(VLOOKUP(B566,Baza[[№]:[Profit]],6,0),"")</f>
        <v/>
      </c>
      <c r="J566" s="49" t="str">
        <f>IFERROR(VLOOKUP(B566,Baza[[№]:[Profit]],7,0),"")</f>
        <v/>
      </c>
      <c r="K566" s="43" t="str">
        <f>IFERROR(VLOOKUP(B566,Baza[[№]:[Profit]],8,0),"")</f>
        <v/>
      </c>
      <c r="L566" s="43" t="str">
        <f>IFERROR(VLOOKUP(B566,Baza[[№]:[Profit]],9,0),"")</f>
        <v/>
      </c>
      <c r="M566" s="43" t="str">
        <f>IFERROR(VLOOKUP(B566,Baza[[№]:[Profit]],10,0),"")</f>
        <v/>
      </c>
      <c r="N566" s="43" t="str">
        <f>IFERROR(IF(VLOOKUP(B566,Baza[[№]:[Profit]],11,0)=0,"-",VLOOKUP(B566,Baza[[№]:[Profit]],11,0)),"")</f>
        <v/>
      </c>
      <c r="O566" s="43" t="str">
        <f>IFERROR(IF(VLOOKUP(B566,Baza[[№]:[Profit]],12,0)=0,"-",VLOOKUP(B566,Baza[[№]:[Profit]],12,0)),"")</f>
        <v/>
      </c>
      <c r="P566" s="43" t="str">
        <f>IFERROR(IF(VLOOKUP(B566,Baza[[№]:[Profit]],13,0)=0,"-",VLOOKUP(B566,Baza[[№]:[Profit]],13,0)),"")</f>
        <v/>
      </c>
      <c r="Q566" s="43" t="str">
        <f>IFERROR(IF(VLOOKUP(B566,Baza[[№]:[Profit]],15,0)=0,"-",VLOOKUP(B566,Baza[[№]:[Profit]],15,0)),"")</f>
        <v/>
      </c>
      <c r="R566" s="43" t="str">
        <f>IFERROR(IF(VLOOKUP(B566,Baza[[№]:[Profit]],16,0)=0,"-",VLOOKUP(B566,Baza[[№]:[Profit]],16,0)),"")</f>
        <v/>
      </c>
      <c r="S566" s="43" t="str">
        <f>IFERROR(IF(VLOOKUP(B566,Baza[[№]:[Profit]],17,0)=0,"-",VLOOKUP(B566,Baza[[№]:[Profit]],17,0)),"")</f>
        <v/>
      </c>
      <c r="T566" s="43" t="str">
        <f>IFERROR(IF(VLOOKUP(B566,Baza[[№]:[Profit]],18,0)=0,"-",VLOOKUP(B566,Baza[[№]:[Profit]],18,0)),"")</f>
        <v/>
      </c>
      <c r="U566" s="41" t="str">
        <f>IFERROR(IF(VLOOKUP(B566,Baza[[№]:[Profit]],19,0)=0,"-",VLOOKUP(B566,Baza[[№]:[Profit]],19,0)),"")</f>
        <v/>
      </c>
      <c r="V566" s="41" t="str">
        <f>IFERROR(VLOOKUP(B566,Baza[[№]:[Profit]],20,0),"")</f>
        <v/>
      </c>
      <c r="W566" s="41" t="str">
        <f>IFERROR(IF(VLOOKUP(B566,Baza[[№]:[Profit]],21,0)=0,"-",VLOOKUP(B566,Baza[[№]:[Profit]],21,0)),"")</f>
        <v/>
      </c>
      <c r="X566" s="45" t="str">
        <f>IFERROR(IF(VLOOKUP(B566,Baza[[№]:[Profit]],22,0)=0,"-",VLOOKUP(B566,Baza[[№]:[Profit]],22,0)),"")</f>
        <v/>
      </c>
      <c r="Y566" s="45" t="str">
        <f>IFERROR(VLOOKUP(B566,Baza[[№]:[Profit]],23,0),"")</f>
        <v/>
      </c>
      <c r="Z566" s="44" t="str">
        <f>IFERROR(VLOOKUP(B566,Baza[[№]:[AFS]],24,0),"")</f>
        <v/>
      </c>
      <c r="AA566" s="45" t="str">
        <f>IF(Таблица2[[#This Row],[Profit]]="","#Н/Д",SUM($Y$40:Y566))</f>
        <v>#Н/Д</v>
      </c>
      <c r="AB566" s="45" t="b">
        <f>IF(Таблица2[[#This Row],[Grafik]]="#Н/Д",FALSE,TRUE)</f>
        <v>0</v>
      </c>
    </row>
    <row r="567" spans="2:28" ht="11.1" hidden="1" customHeight="1" x14ac:dyDescent="0.25">
      <c r="B567"/>
      <c r="C567" s="41" t="str">
        <f>IFERROR(VLOOKUP(B567,Baza[[№]:[Profit]],2,0),"")</f>
        <v/>
      </c>
      <c r="D56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6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67" s="43" t="str">
        <f>IFERROR(VLOOKUP(B567,Baza[[№]:[Profit]],3,0),"")</f>
        <v/>
      </c>
      <c r="G567" s="43" t="str">
        <f>IFERROR(VLOOKUP(B567,Baza[[№]:[Profit]],4,0),"")</f>
        <v/>
      </c>
      <c r="H567" s="43" t="str">
        <f>IFERROR(VLOOKUP(B567,Baza[[№]:[Profit]],5,0),"")</f>
        <v/>
      </c>
      <c r="I567" s="46" t="str">
        <f>IFERROR(VLOOKUP(B567,Baza[[№]:[Profit]],6,0),"")</f>
        <v/>
      </c>
      <c r="J567" s="49" t="str">
        <f>IFERROR(VLOOKUP(B567,Baza[[№]:[Profit]],7,0),"")</f>
        <v/>
      </c>
      <c r="K567" s="43" t="str">
        <f>IFERROR(VLOOKUP(B567,Baza[[№]:[Profit]],8,0),"")</f>
        <v/>
      </c>
      <c r="L567" s="43" t="str">
        <f>IFERROR(VLOOKUP(B567,Baza[[№]:[Profit]],9,0),"")</f>
        <v/>
      </c>
      <c r="M567" s="43" t="str">
        <f>IFERROR(VLOOKUP(B567,Baza[[№]:[Profit]],10,0),"")</f>
        <v/>
      </c>
      <c r="N567" s="43" t="str">
        <f>IFERROR(IF(VLOOKUP(B567,Baza[[№]:[Profit]],11,0)=0,"-",VLOOKUP(B567,Baza[[№]:[Profit]],11,0)),"")</f>
        <v/>
      </c>
      <c r="O567" s="43" t="str">
        <f>IFERROR(IF(VLOOKUP(B567,Baza[[№]:[Profit]],12,0)=0,"-",VLOOKUP(B567,Baza[[№]:[Profit]],12,0)),"")</f>
        <v/>
      </c>
      <c r="P567" s="43" t="str">
        <f>IFERROR(IF(VLOOKUP(B567,Baza[[№]:[Profit]],13,0)=0,"-",VLOOKUP(B567,Baza[[№]:[Profit]],13,0)),"")</f>
        <v/>
      </c>
      <c r="Q567" s="43" t="str">
        <f>IFERROR(IF(VLOOKUP(B567,Baza[[№]:[Profit]],15,0)=0,"-",VLOOKUP(B567,Baza[[№]:[Profit]],15,0)),"")</f>
        <v/>
      </c>
      <c r="R567" s="43" t="str">
        <f>IFERROR(IF(VLOOKUP(B567,Baza[[№]:[Profit]],16,0)=0,"-",VLOOKUP(B567,Baza[[№]:[Profit]],16,0)),"")</f>
        <v/>
      </c>
      <c r="S567" s="43" t="str">
        <f>IFERROR(IF(VLOOKUP(B567,Baza[[№]:[Profit]],17,0)=0,"-",VLOOKUP(B567,Baza[[№]:[Profit]],17,0)),"")</f>
        <v/>
      </c>
      <c r="T567" s="43" t="str">
        <f>IFERROR(IF(VLOOKUP(B567,Baza[[№]:[Profit]],18,0)=0,"-",VLOOKUP(B567,Baza[[№]:[Profit]],18,0)),"")</f>
        <v/>
      </c>
      <c r="U567" s="41" t="str">
        <f>IFERROR(IF(VLOOKUP(B567,Baza[[№]:[Profit]],19,0)=0,"-",VLOOKUP(B567,Baza[[№]:[Profit]],19,0)),"")</f>
        <v/>
      </c>
      <c r="V567" s="41" t="str">
        <f>IFERROR(VLOOKUP(B567,Baza[[№]:[Profit]],20,0),"")</f>
        <v/>
      </c>
      <c r="W567" s="41" t="str">
        <f>IFERROR(IF(VLOOKUP(B567,Baza[[№]:[Profit]],21,0)=0,"-",VLOOKUP(B567,Baza[[№]:[Profit]],21,0)),"")</f>
        <v/>
      </c>
      <c r="X567" s="45" t="str">
        <f>IFERROR(IF(VLOOKUP(B567,Baza[[№]:[Profit]],22,0)=0,"-",VLOOKUP(B567,Baza[[№]:[Profit]],22,0)),"")</f>
        <v/>
      </c>
      <c r="Y567" s="45" t="str">
        <f>IFERROR(VLOOKUP(B567,Baza[[№]:[Profit]],23,0),"")</f>
        <v/>
      </c>
      <c r="Z567" s="44" t="str">
        <f>IFERROR(VLOOKUP(B567,Baza[[№]:[AFS]],24,0),"")</f>
        <v/>
      </c>
      <c r="AA567" s="45" t="str">
        <f>IF(Таблица2[[#This Row],[Profit]]="","#Н/Д",SUM($Y$40:Y567))</f>
        <v>#Н/Д</v>
      </c>
      <c r="AB567" s="45" t="b">
        <f>IF(Таблица2[[#This Row],[Grafik]]="#Н/Д",FALSE,TRUE)</f>
        <v>0</v>
      </c>
    </row>
    <row r="568" spans="2:28" ht="11.1" hidden="1" customHeight="1" x14ac:dyDescent="0.25">
      <c r="B568"/>
      <c r="C568" s="41" t="str">
        <f>IFERROR(VLOOKUP(B568,Baza[[№]:[Profit]],2,0),"")</f>
        <v/>
      </c>
      <c r="D56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6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68" s="43" t="str">
        <f>IFERROR(VLOOKUP(B568,Baza[[№]:[Profit]],3,0),"")</f>
        <v/>
      </c>
      <c r="G568" s="43" t="str">
        <f>IFERROR(VLOOKUP(B568,Baza[[№]:[Profit]],4,0),"")</f>
        <v/>
      </c>
      <c r="H568" s="43" t="str">
        <f>IFERROR(VLOOKUP(B568,Baza[[№]:[Profit]],5,0),"")</f>
        <v/>
      </c>
      <c r="I568" s="46" t="str">
        <f>IFERROR(VLOOKUP(B568,Baza[[№]:[Profit]],6,0),"")</f>
        <v/>
      </c>
      <c r="J568" s="49" t="str">
        <f>IFERROR(VLOOKUP(B568,Baza[[№]:[Profit]],7,0),"")</f>
        <v/>
      </c>
      <c r="K568" s="43" t="str">
        <f>IFERROR(VLOOKUP(B568,Baza[[№]:[Profit]],8,0),"")</f>
        <v/>
      </c>
      <c r="L568" s="43" t="str">
        <f>IFERROR(VLOOKUP(B568,Baza[[№]:[Profit]],9,0),"")</f>
        <v/>
      </c>
      <c r="M568" s="43" t="str">
        <f>IFERROR(VLOOKUP(B568,Baza[[№]:[Profit]],10,0),"")</f>
        <v/>
      </c>
      <c r="N568" s="43" t="str">
        <f>IFERROR(IF(VLOOKUP(B568,Baza[[№]:[Profit]],11,0)=0,"-",VLOOKUP(B568,Baza[[№]:[Profit]],11,0)),"")</f>
        <v/>
      </c>
      <c r="O568" s="43" t="str">
        <f>IFERROR(IF(VLOOKUP(B568,Baza[[№]:[Profit]],12,0)=0,"-",VLOOKUP(B568,Baza[[№]:[Profit]],12,0)),"")</f>
        <v/>
      </c>
      <c r="P568" s="43" t="str">
        <f>IFERROR(IF(VLOOKUP(B568,Baza[[№]:[Profit]],13,0)=0,"-",VLOOKUP(B568,Baza[[№]:[Profit]],13,0)),"")</f>
        <v/>
      </c>
      <c r="Q568" s="43" t="str">
        <f>IFERROR(IF(VLOOKUP(B568,Baza[[№]:[Profit]],15,0)=0,"-",VLOOKUP(B568,Baza[[№]:[Profit]],15,0)),"")</f>
        <v/>
      </c>
      <c r="R568" s="43" t="str">
        <f>IFERROR(IF(VLOOKUP(B568,Baza[[№]:[Profit]],16,0)=0,"-",VLOOKUP(B568,Baza[[№]:[Profit]],16,0)),"")</f>
        <v/>
      </c>
      <c r="S568" s="43" t="str">
        <f>IFERROR(IF(VLOOKUP(B568,Baza[[№]:[Profit]],17,0)=0,"-",VLOOKUP(B568,Baza[[№]:[Profit]],17,0)),"")</f>
        <v/>
      </c>
      <c r="T568" s="43" t="str">
        <f>IFERROR(IF(VLOOKUP(B568,Baza[[№]:[Profit]],18,0)=0,"-",VLOOKUP(B568,Baza[[№]:[Profit]],18,0)),"")</f>
        <v/>
      </c>
      <c r="U568" s="41" t="str">
        <f>IFERROR(IF(VLOOKUP(B568,Baza[[№]:[Profit]],19,0)=0,"-",VLOOKUP(B568,Baza[[№]:[Profit]],19,0)),"")</f>
        <v/>
      </c>
      <c r="V568" s="41" t="str">
        <f>IFERROR(VLOOKUP(B568,Baza[[№]:[Profit]],20,0),"")</f>
        <v/>
      </c>
      <c r="W568" s="41" t="str">
        <f>IFERROR(IF(VLOOKUP(B568,Baza[[№]:[Profit]],21,0)=0,"-",VLOOKUP(B568,Baza[[№]:[Profit]],21,0)),"")</f>
        <v/>
      </c>
      <c r="X568" s="45" t="str">
        <f>IFERROR(IF(VLOOKUP(B568,Baza[[№]:[Profit]],22,0)=0,"-",VLOOKUP(B568,Baza[[№]:[Profit]],22,0)),"")</f>
        <v/>
      </c>
      <c r="Y568" s="45" t="str">
        <f>IFERROR(VLOOKUP(B568,Baza[[№]:[Profit]],23,0),"")</f>
        <v/>
      </c>
      <c r="Z568" s="44" t="str">
        <f>IFERROR(VLOOKUP(B568,Baza[[№]:[AFS]],24,0),"")</f>
        <v/>
      </c>
      <c r="AA568" s="45" t="str">
        <f>IF(Таблица2[[#This Row],[Profit]]="","#Н/Д",SUM($Y$40:Y568))</f>
        <v>#Н/Д</v>
      </c>
      <c r="AB568" s="45" t="b">
        <f>IF(Таблица2[[#This Row],[Grafik]]="#Н/Д",FALSE,TRUE)</f>
        <v>0</v>
      </c>
    </row>
    <row r="569" spans="2:28" ht="11.1" hidden="1" customHeight="1" x14ac:dyDescent="0.25">
      <c r="B569"/>
      <c r="C569" s="41" t="str">
        <f>IFERROR(VLOOKUP(B569,Baza[[№]:[Profit]],2,0),"")</f>
        <v/>
      </c>
      <c r="D56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6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69" s="43" t="str">
        <f>IFERROR(VLOOKUP(B569,Baza[[№]:[Profit]],3,0),"")</f>
        <v/>
      </c>
      <c r="G569" s="43" t="str">
        <f>IFERROR(VLOOKUP(B569,Baza[[№]:[Profit]],4,0),"")</f>
        <v/>
      </c>
      <c r="H569" s="43" t="str">
        <f>IFERROR(VLOOKUP(B569,Baza[[№]:[Profit]],5,0),"")</f>
        <v/>
      </c>
      <c r="I569" s="46" t="str">
        <f>IFERROR(VLOOKUP(B569,Baza[[№]:[Profit]],6,0),"")</f>
        <v/>
      </c>
      <c r="J569" s="49" t="str">
        <f>IFERROR(VLOOKUP(B569,Baza[[№]:[Profit]],7,0),"")</f>
        <v/>
      </c>
      <c r="K569" s="43" t="str">
        <f>IFERROR(VLOOKUP(B569,Baza[[№]:[Profit]],8,0),"")</f>
        <v/>
      </c>
      <c r="L569" s="43" t="str">
        <f>IFERROR(VLOOKUP(B569,Baza[[№]:[Profit]],9,0),"")</f>
        <v/>
      </c>
      <c r="M569" s="43" t="str">
        <f>IFERROR(VLOOKUP(B569,Baza[[№]:[Profit]],10,0),"")</f>
        <v/>
      </c>
      <c r="N569" s="43" t="str">
        <f>IFERROR(IF(VLOOKUP(B569,Baza[[№]:[Profit]],11,0)=0,"-",VLOOKUP(B569,Baza[[№]:[Profit]],11,0)),"")</f>
        <v/>
      </c>
      <c r="O569" s="43" t="str">
        <f>IFERROR(IF(VLOOKUP(B569,Baza[[№]:[Profit]],12,0)=0,"-",VLOOKUP(B569,Baza[[№]:[Profit]],12,0)),"")</f>
        <v/>
      </c>
      <c r="P569" s="43" t="str">
        <f>IFERROR(IF(VLOOKUP(B569,Baza[[№]:[Profit]],13,0)=0,"-",VLOOKUP(B569,Baza[[№]:[Profit]],13,0)),"")</f>
        <v/>
      </c>
      <c r="Q569" s="43" t="str">
        <f>IFERROR(IF(VLOOKUP(B569,Baza[[№]:[Profit]],15,0)=0,"-",VLOOKUP(B569,Baza[[№]:[Profit]],15,0)),"")</f>
        <v/>
      </c>
      <c r="R569" s="43" t="str">
        <f>IFERROR(IF(VLOOKUP(B569,Baza[[№]:[Profit]],16,0)=0,"-",VLOOKUP(B569,Baza[[№]:[Profit]],16,0)),"")</f>
        <v/>
      </c>
      <c r="S569" s="43" t="str">
        <f>IFERROR(IF(VLOOKUP(B569,Baza[[№]:[Profit]],17,0)=0,"-",VLOOKUP(B569,Baza[[№]:[Profit]],17,0)),"")</f>
        <v/>
      </c>
      <c r="T569" s="43" t="str">
        <f>IFERROR(IF(VLOOKUP(B569,Baza[[№]:[Profit]],18,0)=0,"-",VLOOKUP(B569,Baza[[№]:[Profit]],18,0)),"")</f>
        <v/>
      </c>
      <c r="U569" s="41" t="str">
        <f>IFERROR(IF(VLOOKUP(B569,Baza[[№]:[Profit]],19,0)=0,"-",VLOOKUP(B569,Baza[[№]:[Profit]],19,0)),"")</f>
        <v/>
      </c>
      <c r="V569" s="41" t="str">
        <f>IFERROR(VLOOKUP(B569,Baza[[№]:[Profit]],20,0),"")</f>
        <v/>
      </c>
      <c r="W569" s="41" t="str">
        <f>IFERROR(IF(VLOOKUP(B569,Baza[[№]:[Profit]],21,0)=0,"-",VLOOKUP(B569,Baza[[№]:[Profit]],21,0)),"")</f>
        <v/>
      </c>
      <c r="X569" s="45" t="str">
        <f>IFERROR(IF(VLOOKUP(B569,Baza[[№]:[Profit]],22,0)=0,"-",VLOOKUP(B569,Baza[[№]:[Profit]],22,0)),"")</f>
        <v/>
      </c>
      <c r="Y569" s="45" t="str">
        <f>IFERROR(VLOOKUP(B569,Baza[[№]:[Profit]],23,0),"")</f>
        <v/>
      </c>
      <c r="Z569" s="44" t="str">
        <f>IFERROR(VLOOKUP(B569,Baza[[№]:[AFS]],24,0),"")</f>
        <v/>
      </c>
      <c r="AA569" s="45" t="str">
        <f>IF(Таблица2[[#This Row],[Profit]]="","#Н/Д",SUM($Y$40:Y569))</f>
        <v>#Н/Д</v>
      </c>
      <c r="AB569" s="45" t="b">
        <f>IF(Таблица2[[#This Row],[Grafik]]="#Н/Д",FALSE,TRUE)</f>
        <v>0</v>
      </c>
    </row>
    <row r="570" spans="2:28" ht="11.1" hidden="1" customHeight="1" x14ac:dyDescent="0.25">
      <c r="B570"/>
      <c r="C570" s="41" t="str">
        <f>IFERROR(VLOOKUP(B570,Baza[[№]:[Profit]],2,0),"")</f>
        <v/>
      </c>
      <c r="D57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7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70" s="43" t="str">
        <f>IFERROR(VLOOKUP(B570,Baza[[№]:[Profit]],3,0),"")</f>
        <v/>
      </c>
      <c r="G570" s="43" t="str">
        <f>IFERROR(VLOOKUP(B570,Baza[[№]:[Profit]],4,0),"")</f>
        <v/>
      </c>
      <c r="H570" s="43" t="str">
        <f>IFERROR(VLOOKUP(B570,Baza[[№]:[Profit]],5,0),"")</f>
        <v/>
      </c>
      <c r="I570" s="46" t="str">
        <f>IFERROR(VLOOKUP(B570,Baza[[№]:[Profit]],6,0),"")</f>
        <v/>
      </c>
      <c r="J570" s="49" t="str">
        <f>IFERROR(VLOOKUP(B570,Baza[[№]:[Profit]],7,0),"")</f>
        <v/>
      </c>
      <c r="K570" s="43" t="str">
        <f>IFERROR(VLOOKUP(B570,Baza[[№]:[Profit]],8,0),"")</f>
        <v/>
      </c>
      <c r="L570" s="43" t="str">
        <f>IFERROR(VLOOKUP(B570,Baza[[№]:[Profit]],9,0),"")</f>
        <v/>
      </c>
      <c r="M570" s="43" t="str">
        <f>IFERROR(VLOOKUP(B570,Baza[[№]:[Profit]],10,0),"")</f>
        <v/>
      </c>
      <c r="N570" s="43" t="str">
        <f>IFERROR(IF(VLOOKUP(B570,Baza[[№]:[Profit]],11,0)=0,"-",VLOOKUP(B570,Baza[[№]:[Profit]],11,0)),"")</f>
        <v/>
      </c>
      <c r="O570" s="43" t="str">
        <f>IFERROR(IF(VLOOKUP(B570,Baza[[№]:[Profit]],12,0)=0,"-",VLOOKUP(B570,Baza[[№]:[Profit]],12,0)),"")</f>
        <v/>
      </c>
      <c r="P570" s="43" t="str">
        <f>IFERROR(IF(VLOOKUP(B570,Baza[[№]:[Profit]],13,0)=0,"-",VLOOKUP(B570,Baza[[№]:[Profit]],13,0)),"")</f>
        <v/>
      </c>
      <c r="Q570" s="43" t="str">
        <f>IFERROR(IF(VLOOKUP(B570,Baza[[№]:[Profit]],15,0)=0,"-",VLOOKUP(B570,Baza[[№]:[Profit]],15,0)),"")</f>
        <v/>
      </c>
      <c r="R570" s="43" t="str">
        <f>IFERROR(IF(VLOOKUP(B570,Baza[[№]:[Profit]],16,0)=0,"-",VLOOKUP(B570,Baza[[№]:[Profit]],16,0)),"")</f>
        <v/>
      </c>
      <c r="S570" s="43" t="str">
        <f>IFERROR(IF(VLOOKUP(B570,Baza[[№]:[Profit]],17,0)=0,"-",VLOOKUP(B570,Baza[[№]:[Profit]],17,0)),"")</f>
        <v/>
      </c>
      <c r="T570" s="43" t="str">
        <f>IFERROR(IF(VLOOKUP(B570,Baza[[№]:[Profit]],18,0)=0,"-",VLOOKUP(B570,Baza[[№]:[Profit]],18,0)),"")</f>
        <v/>
      </c>
      <c r="U570" s="41" t="str">
        <f>IFERROR(IF(VLOOKUP(B570,Baza[[№]:[Profit]],19,0)=0,"-",VLOOKUP(B570,Baza[[№]:[Profit]],19,0)),"")</f>
        <v/>
      </c>
      <c r="V570" s="41" t="str">
        <f>IFERROR(VLOOKUP(B570,Baza[[№]:[Profit]],20,0),"")</f>
        <v/>
      </c>
      <c r="W570" s="41" t="str">
        <f>IFERROR(IF(VLOOKUP(B570,Baza[[№]:[Profit]],21,0)=0,"-",VLOOKUP(B570,Baza[[№]:[Profit]],21,0)),"")</f>
        <v/>
      </c>
      <c r="X570" s="45" t="str">
        <f>IFERROR(IF(VLOOKUP(B570,Baza[[№]:[Profit]],22,0)=0,"-",VLOOKUP(B570,Baza[[№]:[Profit]],22,0)),"")</f>
        <v/>
      </c>
      <c r="Y570" s="45" t="str">
        <f>IFERROR(VLOOKUP(B570,Baza[[№]:[Profit]],23,0),"")</f>
        <v/>
      </c>
      <c r="Z570" s="44" t="str">
        <f>IFERROR(VLOOKUP(B570,Baza[[№]:[AFS]],24,0),"")</f>
        <v/>
      </c>
      <c r="AA570" s="45" t="str">
        <f>IF(Таблица2[[#This Row],[Profit]]="","#Н/Д",SUM($Y$40:Y570))</f>
        <v>#Н/Д</v>
      </c>
      <c r="AB570" s="45" t="b">
        <f>IF(Таблица2[[#This Row],[Grafik]]="#Н/Д",FALSE,TRUE)</f>
        <v>0</v>
      </c>
    </row>
    <row r="571" spans="2:28" ht="11.1" hidden="1" customHeight="1" x14ac:dyDescent="0.25">
      <c r="B571"/>
      <c r="C571" s="41" t="str">
        <f>IFERROR(VLOOKUP(B571,Baza[[№]:[Profit]],2,0),"")</f>
        <v/>
      </c>
      <c r="D57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7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71" s="43" t="str">
        <f>IFERROR(VLOOKUP(B571,Baza[[№]:[Profit]],3,0),"")</f>
        <v/>
      </c>
      <c r="G571" s="43" t="str">
        <f>IFERROR(VLOOKUP(B571,Baza[[№]:[Profit]],4,0),"")</f>
        <v/>
      </c>
      <c r="H571" s="43" t="str">
        <f>IFERROR(VLOOKUP(B571,Baza[[№]:[Profit]],5,0),"")</f>
        <v/>
      </c>
      <c r="I571" s="46" t="str">
        <f>IFERROR(VLOOKUP(B571,Baza[[№]:[Profit]],6,0),"")</f>
        <v/>
      </c>
      <c r="J571" s="49" t="str">
        <f>IFERROR(VLOOKUP(B571,Baza[[№]:[Profit]],7,0),"")</f>
        <v/>
      </c>
      <c r="K571" s="43" t="str">
        <f>IFERROR(VLOOKUP(B571,Baza[[№]:[Profit]],8,0),"")</f>
        <v/>
      </c>
      <c r="L571" s="43" t="str">
        <f>IFERROR(VLOOKUP(B571,Baza[[№]:[Profit]],9,0),"")</f>
        <v/>
      </c>
      <c r="M571" s="43" t="str">
        <f>IFERROR(VLOOKUP(B571,Baza[[№]:[Profit]],10,0),"")</f>
        <v/>
      </c>
      <c r="N571" s="43" t="str">
        <f>IFERROR(IF(VLOOKUP(B571,Baza[[№]:[Profit]],11,0)=0,"-",VLOOKUP(B571,Baza[[№]:[Profit]],11,0)),"")</f>
        <v/>
      </c>
      <c r="O571" s="43" t="str">
        <f>IFERROR(IF(VLOOKUP(B571,Baza[[№]:[Profit]],12,0)=0,"-",VLOOKUP(B571,Baza[[№]:[Profit]],12,0)),"")</f>
        <v/>
      </c>
      <c r="P571" s="43" t="str">
        <f>IFERROR(IF(VLOOKUP(B571,Baza[[№]:[Profit]],13,0)=0,"-",VLOOKUP(B571,Baza[[№]:[Profit]],13,0)),"")</f>
        <v/>
      </c>
      <c r="Q571" s="43" t="str">
        <f>IFERROR(IF(VLOOKUP(B571,Baza[[№]:[Profit]],15,0)=0,"-",VLOOKUP(B571,Baza[[№]:[Profit]],15,0)),"")</f>
        <v/>
      </c>
      <c r="R571" s="43" t="str">
        <f>IFERROR(IF(VLOOKUP(B571,Baza[[№]:[Profit]],16,0)=0,"-",VLOOKUP(B571,Baza[[№]:[Profit]],16,0)),"")</f>
        <v/>
      </c>
      <c r="S571" s="43" t="str">
        <f>IFERROR(IF(VLOOKUP(B571,Baza[[№]:[Profit]],17,0)=0,"-",VLOOKUP(B571,Baza[[№]:[Profit]],17,0)),"")</f>
        <v/>
      </c>
      <c r="T571" s="43" t="str">
        <f>IFERROR(IF(VLOOKUP(B571,Baza[[№]:[Profit]],18,0)=0,"-",VLOOKUP(B571,Baza[[№]:[Profit]],18,0)),"")</f>
        <v/>
      </c>
      <c r="U571" s="41" t="str">
        <f>IFERROR(IF(VLOOKUP(B571,Baza[[№]:[Profit]],19,0)=0,"-",VLOOKUP(B571,Baza[[№]:[Profit]],19,0)),"")</f>
        <v/>
      </c>
      <c r="V571" s="41" t="str">
        <f>IFERROR(VLOOKUP(B571,Baza[[№]:[Profit]],20,0),"")</f>
        <v/>
      </c>
      <c r="W571" s="41" t="str">
        <f>IFERROR(IF(VLOOKUP(B571,Baza[[№]:[Profit]],21,0)=0,"-",VLOOKUP(B571,Baza[[№]:[Profit]],21,0)),"")</f>
        <v/>
      </c>
      <c r="X571" s="45" t="str">
        <f>IFERROR(IF(VLOOKUP(B571,Baza[[№]:[Profit]],22,0)=0,"-",VLOOKUP(B571,Baza[[№]:[Profit]],22,0)),"")</f>
        <v/>
      </c>
      <c r="Y571" s="45" t="str">
        <f>IFERROR(VLOOKUP(B571,Baza[[№]:[Profit]],23,0),"")</f>
        <v/>
      </c>
      <c r="Z571" s="44" t="str">
        <f>IFERROR(VLOOKUP(B571,Baza[[№]:[AFS]],24,0),"")</f>
        <v/>
      </c>
      <c r="AA571" s="45" t="str">
        <f>IF(Таблица2[[#This Row],[Profit]]="","#Н/Д",SUM($Y$40:Y571))</f>
        <v>#Н/Д</v>
      </c>
      <c r="AB571" s="45" t="b">
        <f>IF(Таблица2[[#This Row],[Grafik]]="#Н/Д",FALSE,TRUE)</f>
        <v>0</v>
      </c>
    </row>
    <row r="572" spans="2:28" ht="11.1" hidden="1" customHeight="1" x14ac:dyDescent="0.25">
      <c r="B572"/>
      <c r="C572" s="41" t="str">
        <f>IFERROR(VLOOKUP(B572,Baza[[№]:[Profit]],2,0),"")</f>
        <v/>
      </c>
      <c r="D57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7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72" s="43" t="str">
        <f>IFERROR(VLOOKUP(B572,Baza[[№]:[Profit]],3,0),"")</f>
        <v/>
      </c>
      <c r="G572" s="43" t="str">
        <f>IFERROR(VLOOKUP(B572,Baza[[№]:[Profit]],4,0),"")</f>
        <v/>
      </c>
      <c r="H572" s="43" t="str">
        <f>IFERROR(VLOOKUP(B572,Baza[[№]:[Profit]],5,0),"")</f>
        <v/>
      </c>
      <c r="I572" s="46" t="str">
        <f>IFERROR(VLOOKUP(B572,Baza[[№]:[Profit]],6,0),"")</f>
        <v/>
      </c>
      <c r="J572" s="49" t="str">
        <f>IFERROR(VLOOKUP(B572,Baza[[№]:[Profit]],7,0),"")</f>
        <v/>
      </c>
      <c r="K572" s="43" t="str">
        <f>IFERROR(VLOOKUP(B572,Baza[[№]:[Profit]],8,0),"")</f>
        <v/>
      </c>
      <c r="L572" s="43" t="str">
        <f>IFERROR(VLOOKUP(B572,Baza[[№]:[Profit]],9,0),"")</f>
        <v/>
      </c>
      <c r="M572" s="43" t="str">
        <f>IFERROR(VLOOKUP(B572,Baza[[№]:[Profit]],10,0),"")</f>
        <v/>
      </c>
      <c r="N572" s="43" t="str">
        <f>IFERROR(IF(VLOOKUP(B572,Baza[[№]:[Profit]],11,0)=0,"-",VLOOKUP(B572,Baza[[№]:[Profit]],11,0)),"")</f>
        <v/>
      </c>
      <c r="O572" s="43" t="str">
        <f>IFERROR(IF(VLOOKUP(B572,Baza[[№]:[Profit]],12,0)=0,"-",VLOOKUP(B572,Baza[[№]:[Profit]],12,0)),"")</f>
        <v/>
      </c>
      <c r="P572" s="43" t="str">
        <f>IFERROR(IF(VLOOKUP(B572,Baza[[№]:[Profit]],13,0)=0,"-",VLOOKUP(B572,Baza[[№]:[Profit]],13,0)),"")</f>
        <v/>
      </c>
      <c r="Q572" s="43" t="str">
        <f>IFERROR(IF(VLOOKUP(B572,Baza[[№]:[Profit]],15,0)=0,"-",VLOOKUP(B572,Baza[[№]:[Profit]],15,0)),"")</f>
        <v/>
      </c>
      <c r="R572" s="43" t="str">
        <f>IFERROR(IF(VLOOKUP(B572,Baza[[№]:[Profit]],16,0)=0,"-",VLOOKUP(B572,Baza[[№]:[Profit]],16,0)),"")</f>
        <v/>
      </c>
      <c r="S572" s="43" t="str">
        <f>IFERROR(IF(VLOOKUP(B572,Baza[[№]:[Profit]],17,0)=0,"-",VLOOKUP(B572,Baza[[№]:[Profit]],17,0)),"")</f>
        <v/>
      </c>
      <c r="T572" s="43" t="str">
        <f>IFERROR(IF(VLOOKUP(B572,Baza[[№]:[Profit]],18,0)=0,"-",VLOOKUP(B572,Baza[[№]:[Profit]],18,0)),"")</f>
        <v/>
      </c>
      <c r="U572" s="41" t="str">
        <f>IFERROR(IF(VLOOKUP(B572,Baza[[№]:[Profit]],19,0)=0,"-",VLOOKUP(B572,Baza[[№]:[Profit]],19,0)),"")</f>
        <v/>
      </c>
      <c r="V572" s="41" t="str">
        <f>IFERROR(VLOOKUP(B572,Baza[[№]:[Profit]],20,0),"")</f>
        <v/>
      </c>
      <c r="W572" s="41" t="str">
        <f>IFERROR(IF(VLOOKUP(B572,Baza[[№]:[Profit]],21,0)=0,"-",VLOOKUP(B572,Baza[[№]:[Profit]],21,0)),"")</f>
        <v/>
      </c>
      <c r="X572" s="45" t="str">
        <f>IFERROR(IF(VLOOKUP(B572,Baza[[№]:[Profit]],22,0)=0,"-",VLOOKUP(B572,Baza[[№]:[Profit]],22,0)),"")</f>
        <v/>
      </c>
      <c r="Y572" s="45" t="str">
        <f>IFERROR(VLOOKUP(B572,Baza[[№]:[Profit]],23,0),"")</f>
        <v/>
      </c>
      <c r="Z572" s="44" t="str">
        <f>IFERROR(VLOOKUP(B572,Baza[[№]:[AFS]],24,0),"")</f>
        <v/>
      </c>
      <c r="AA572" s="45" t="str">
        <f>IF(Таблица2[[#This Row],[Profit]]="","#Н/Д",SUM($Y$40:Y572))</f>
        <v>#Н/Д</v>
      </c>
      <c r="AB572" s="45" t="b">
        <f>IF(Таблица2[[#This Row],[Grafik]]="#Н/Д",FALSE,TRUE)</f>
        <v>0</v>
      </c>
    </row>
    <row r="573" spans="2:28" ht="11.1" hidden="1" customHeight="1" x14ac:dyDescent="0.25">
      <c r="B573"/>
      <c r="C573" s="41" t="str">
        <f>IFERROR(VLOOKUP(B573,Baza[[№]:[Profit]],2,0),"")</f>
        <v/>
      </c>
      <c r="D57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7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73" s="43" t="str">
        <f>IFERROR(VLOOKUP(B573,Baza[[№]:[Profit]],3,0),"")</f>
        <v/>
      </c>
      <c r="G573" s="43" t="str">
        <f>IFERROR(VLOOKUP(B573,Baza[[№]:[Profit]],4,0),"")</f>
        <v/>
      </c>
      <c r="H573" s="43" t="str">
        <f>IFERROR(VLOOKUP(B573,Baza[[№]:[Profit]],5,0),"")</f>
        <v/>
      </c>
      <c r="I573" s="46" t="str">
        <f>IFERROR(VLOOKUP(B573,Baza[[№]:[Profit]],6,0),"")</f>
        <v/>
      </c>
      <c r="J573" s="49" t="str">
        <f>IFERROR(VLOOKUP(B573,Baza[[№]:[Profit]],7,0),"")</f>
        <v/>
      </c>
      <c r="K573" s="43" t="str">
        <f>IFERROR(VLOOKUP(B573,Baza[[№]:[Profit]],8,0),"")</f>
        <v/>
      </c>
      <c r="L573" s="43" t="str">
        <f>IFERROR(VLOOKUP(B573,Baza[[№]:[Profit]],9,0),"")</f>
        <v/>
      </c>
      <c r="M573" s="43" t="str">
        <f>IFERROR(VLOOKUP(B573,Baza[[№]:[Profit]],10,0),"")</f>
        <v/>
      </c>
      <c r="N573" s="43" t="str">
        <f>IFERROR(IF(VLOOKUP(B573,Baza[[№]:[Profit]],11,0)=0,"-",VLOOKUP(B573,Baza[[№]:[Profit]],11,0)),"")</f>
        <v/>
      </c>
      <c r="O573" s="43" t="str">
        <f>IFERROR(IF(VLOOKUP(B573,Baza[[№]:[Profit]],12,0)=0,"-",VLOOKUP(B573,Baza[[№]:[Profit]],12,0)),"")</f>
        <v/>
      </c>
      <c r="P573" s="43" t="str">
        <f>IFERROR(IF(VLOOKUP(B573,Baza[[№]:[Profit]],13,0)=0,"-",VLOOKUP(B573,Baza[[№]:[Profit]],13,0)),"")</f>
        <v/>
      </c>
      <c r="Q573" s="43" t="str">
        <f>IFERROR(IF(VLOOKUP(B573,Baza[[№]:[Profit]],15,0)=0,"-",VLOOKUP(B573,Baza[[№]:[Profit]],15,0)),"")</f>
        <v/>
      </c>
      <c r="R573" s="43" t="str">
        <f>IFERROR(IF(VLOOKUP(B573,Baza[[№]:[Profit]],16,0)=0,"-",VLOOKUP(B573,Baza[[№]:[Profit]],16,0)),"")</f>
        <v/>
      </c>
      <c r="S573" s="43" t="str">
        <f>IFERROR(IF(VLOOKUP(B573,Baza[[№]:[Profit]],17,0)=0,"-",VLOOKUP(B573,Baza[[№]:[Profit]],17,0)),"")</f>
        <v/>
      </c>
      <c r="T573" s="43" t="str">
        <f>IFERROR(IF(VLOOKUP(B573,Baza[[№]:[Profit]],18,0)=0,"-",VLOOKUP(B573,Baza[[№]:[Profit]],18,0)),"")</f>
        <v/>
      </c>
      <c r="U573" s="41" t="str">
        <f>IFERROR(IF(VLOOKUP(B573,Baza[[№]:[Profit]],19,0)=0,"-",VLOOKUP(B573,Baza[[№]:[Profit]],19,0)),"")</f>
        <v/>
      </c>
      <c r="V573" s="41" t="str">
        <f>IFERROR(VLOOKUP(B573,Baza[[№]:[Profit]],20,0),"")</f>
        <v/>
      </c>
      <c r="W573" s="41" t="str">
        <f>IFERROR(IF(VLOOKUP(B573,Baza[[№]:[Profit]],21,0)=0,"-",VLOOKUP(B573,Baza[[№]:[Profit]],21,0)),"")</f>
        <v/>
      </c>
      <c r="X573" s="45" t="str">
        <f>IFERROR(IF(VLOOKUP(B573,Baza[[№]:[Profit]],22,0)=0,"-",VLOOKUP(B573,Baza[[№]:[Profit]],22,0)),"")</f>
        <v/>
      </c>
      <c r="Y573" s="45" t="str">
        <f>IFERROR(VLOOKUP(B573,Baza[[№]:[Profit]],23,0),"")</f>
        <v/>
      </c>
      <c r="Z573" s="44" t="str">
        <f>IFERROR(VLOOKUP(B573,Baza[[№]:[AFS]],24,0),"")</f>
        <v/>
      </c>
      <c r="AA573" s="45" t="str">
        <f>IF(Таблица2[[#This Row],[Profit]]="","#Н/Д",SUM($Y$40:Y573))</f>
        <v>#Н/Д</v>
      </c>
      <c r="AB573" s="45" t="b">
        <f>IF(Таблица2[[#This Row],[Grafik]]="#Н/Д",FALSE,TRUE)</f>
        <v>0</v>
      </c>
    </row>
    <row r="574" spans="2:28" ht="11.1" hidden="1" customHeight="1" x14ac:dyDescent="0.25">
      <c r="B574"/>
      <c r="C574" s="41" t="str">
        <f>IFERROR(VLOOKUP(B574,Baza[[№]:[Profit]],2,0),"")</f>
        <v/>
      </c>
      <c r="D57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7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74" s="43" t="str">
        <f>IFERROR(VLOOKUP(B574,Baza[[№]:[Profit]],3,0),"")</f>
        <v/>
      </c>
      <c r="G574" s="43" t="str">
        <f>IFERROR(VLOOKUP(B574,Baza[[№]:[Profit]],4,0),"")</f>
        <v/>
      </c>
      <c r="H574" s="43" t="str">
        <f>IFERROR(VLOOKUP(B574,Baza[[№]:[Profit]],5,0),"")</f>
        <v/>
      </c>
      <c r="I574" s="46" t="str">
        <f>IFERROR(VLOOKUP(B574,Baza[[№]:[Profit]],6,0),"")</f>
        <v/>
      </c>
      <c r="J574" s="49" t="str">
        <f>IFERROR(VLOOKUP(B574,Baza[[№]:[Profit]],7,0),"")</f>
        <v/>
      </c>
      <c r="K574" s="43" t="str">
        <f>IFERROR(VLOOKUP(B574,Baza[[№]:[Profit]],8,0),"")</f>
        <v/>
      </c>
      <c r="L574" s="43" t="str">
        <f>IFERROR(VLOOKUP(B574,Baza[[№]:[Profit]],9,0),"")</f>
        <v/>
      </c>
      <c r="M574" s="43" t="str">
        <f>IFERROR(VLOOKUP(B574,Baza[[№]:[Profit]],10,0),"")</f>
        <v/>
      </c>
      <c r="N574" s="43" t="str">
        <f>IFERROR(IF(VLOOKUP(B574,Baza[[№]:[Profit]],11,0)=0,"-",VLOOKUP(B574,Baza[[№]:[Profit]],11,0)),"")</f>
        <v/>
      </c>
      <c r="O574" s="43" t="str">
        <f>IFERROR(IF(VLOOKUP(B574,Baza[[№]:[Profit]],12,0)=0,"-",VLOOKUP(B574,Baza[[№]:[Profit]],12,0)),"")</f>
        <v/>
      </c>
      <c r="P574" s="43" t="str">
        <f>IFERROR(IF(VLOOKUP(B574,Baza[[№]:[Profit]],13,0)=0,"-",VLOOKUP(B574,Baza[[№]:[Profit]],13,0)),"")</f>
        <v/>
      </c>
      <c r="Q574" s="43" t="str">
        <f>IFERROR(IF(VLOOKUP(B574,Baza[[№]:[Profit]],15,0)=0,"-",VLOOKUP(B574,Baza[[№]:[Profit]],15,0)),"")</f>
        <v/>
      </c>
      <c r="R574" s="43" t="str">
        <f>IFERROR(IF(VLOOKUP(B574,Baza[[№]:[Profit]],16,0)=0,"-",VLOOKUP(B574,Baza[[№]:[Profit]],16,0)),"")</f>
        <v/>
      </c>
      <c r="S574" s="43" t="str">
        <f>IFERROR(IF(VLOOKUP(B574,Baza[[№]:[Profit]],17,0)=0,"-",VLOOKUP(B574,Baza[[№]:[Profit]],17,0)),"")</f>
        <v/>
      </c>
      <c r="T574" s="43" t="str">
        <f>IFERROR(IF(VLOOKUP(B574,Baza[[№]:[Profit]],18,0)=0,"-",VLOOKUP(B574,Baza[[№]:[Profit]],18,0)),"")</f>
        <v/>
      </c>
      <c r="U574" s="41" t="str">
        <f>IFERROR(IF(VLOOKUP(B574,Baza[[№]:[Profit]],19,0)=0,"-",VLOOKUP(B574,Baza[[№]:[Profit]],19,0)),"")</f>
        <v/>
      </c>
      <c r="V574" s="41" t="str">
        <f>IFERROR(VLOOKUP(B574,Baza[[№]:[Profit]],20,0),"")</f>
        <v/>
      </c>
      <c r="W574" s="41" t="str">
        <f>IFERROR(IF(VLOOKUP(B574,Baza[[№]:[Profit]],21,0)=0,"-",VLOOKUP(B574,Baza[[№]:[Profit]],21,0)),"")</f>
        <v/>
      </c>
      <c r="X574" s="45" t="str">
        <f>IFERROR(IF(VLOOKUP(B574,Baza[[№]:[Profit]],22,0)=0,"-",VLOOKUP(B574,Baza[[№]:[Profit]],22,0)),"")</f>
        <v/>
      </c>
      <c r="Y574" s="45" t="str">
        <f>IFERROR(VLOOKUP(B574,Baza[[№]:[Profit]],23,0),"")</f>
        <v/>
      </c>
      <c r="Z574" s="44" t="str">
        <f>IFERROR(VLOOKUP(B574,Baza[[№]:[AFS]],24,0),"")</f>
        <v/>
      </c>
      <c r="AA574" s="45" t="str">
        <f>IF(Таблица2[[#This Row],[Profit]]="","#Н/Д",SUM($Y$40:Y574))</f>
        <v>#Н/Д</v>
      </c>
      <c r="AB574" s="45" t="b">
        <f>IF(Таблица2[[#This Row],[Grafik]]="#Н/Д",FALSE,TRUE)</f>
        <v>0</v>
      </c>
    </row>
    <row r="575" spans="2:28" ht="11.1" hidden="1" customHeight="1" x14ac:dyDescent="0.25">
      <c r="B575"/>
      <c r="C575" s="41" t="str">
        <f>IFERROR(VLOOKUP(B575,Baza[[№]:[Profit]],2,0),"")</f>
        <v/>
      </c>
      <c r="D57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7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75" s="43" t="str">
        <f>IFERROR(VLOOKUP(B575,Baza[[№]:[Profit]],3,0),"")</f>
        <v/>
      </c>
      <c r="G575" s="43" t="str">
        <f>IFERROR(VLOOKUP(B575,Baza[[№]:[Profit]],4,0),"")</f>
        <v/>
      </c>
      <c r="H575" s="43" t="str">
        <f>IFERROR(VLOOKUP(B575,Baza[[№]:[Profit]],5,0),"")</f>
        <v/>
      </c>
      <c r="I575" s="46" t="str">
        <f>IFERROR(VLOOKUP(B575,Baza[[№]:[Profit]],6,0),"")</f>
        <v/>
      </c>
      <c r="J575" s="49" t="str">
        <f>IFERROR(VLOOKUP(B575,Baza[[№]:[Profit]],7,0),"")</f>
        <v/>
      </c>
      <c r="K575" s="43" t="str">
        <f>IFERROR(VLOOKUP(B575,Baza[[№]:[Profit]],8,0),"")</f>
        <v/>
      </c>
      <c r="L575" s="43" t="str">
        <f>IFERROR(VLOOKUP(B575,Baza[[№]:[Profit]],9,0),"")</f>
        <v/>
      </c>
      <c r="M575" s="43" t="str">
        <f>IFERROR(VLOOKUP(B575,Baza[[№]:[Profit]],10,0),"")</f>
        <v/>
      </c>
      <c r="N575" s="43" t="str">
        <f>IFERROR(IF(VLOOKUP(B575,Baza[[№]:[Profit]],11,0)=0,"-",VLOOKUP(B575,Baza[[№]:[Profit]],11,0)),"")</f>
        <v/>
      </c>
      <c r="O575" s="43" t="str">
        <f>IFERROR(IF(VLOOKUP(B575,Baza[[№]:[Profit]],12,0)=0,"-",VLOOKUP(B575,Baza[[№]:[Profit]],12,0)),"")</f>
        <v/>
      </c>
      <c r="P575" s="43" t="str">
        <f>IFERROR(IF(VLOOKUP(B575,Baza[[№]:[Profit]],13,0)=0,"-",VLOOKUP(B575,Baza[[№]:[Profit]],13,0)),"")</f>
        <v/>
      </c>
      <c r="Q575" s="43" t="str">
        <f>IFERROR(IF(VLOOKUP(B575,Baza[[№]:[Profit]],15,0)=0,"-",VLOOKUP(B575,Baza[[№]:[Profit]],15,0)),"")</f>
        <v/>
      </c>
      <c r="R575" s="43" t="str">
        <f>IFERROR(IF(VLOOKUP(B575,Baza[[№]:[Profit]],16,0)=0,"-",VLOOKUP(B575,Baza[[№]:[Profit]],16,0)),"")</f>
        <v/>
      </c>
      <c r="S575" s="43" t="str">
        <f>IFERROR(IF(VLOOKUP(B575,Baza[[№]:[Profit]],17,0)=0,"-",VLOOKUP(B575,Baza[[№]:[Profit]],17,0)),"")</f>
        <v/>
      </c>
      <c r="T575" s="43" t="str">
        <f>IFERROR(IF(VLOOKUP(B575,Baza[[№]:[Profit]],18,0)=0,"-",VLOOKUP(B575,Baza[[№]:[Profit]],18,0)),"")</f>
        <v/>
      </c>
      <c r="U575" s="41" t="str">
        <f>IFERROR(IF(VLOOKUP(B575,Baza[[№]:[Profit]],19,0)=0,"-",VLOOKUP(B575,Baza[[№]:[Profit]],19,0)),"")</f>
        <v/>
      </c>
      <c r="V575" s="41" t="str">
        <f>IFERROR(VLOOKUP(B575,Baza[[№]:[Profit]],20,0),"")</f>
        <v/>
      </c>
      <c r="W575" s="41" t="str">
        <f>IFERROR(IF(VLOOKUP(B575,Baza[[№]:[Profit]],21,0)=0,"-",VLOOKUP(B575,Baza[[№]:[Profit]],21,0)),"")</f>
        <v/>
      </c>
      <c r="X575" s="45" t="str">
        <f>IFERROR(IF(VLOOKUP(B575,Baza[[№]:[Profit]],22,0)=0,"-",VLOOKUP(B575,Baza[[№]:[Profit]],22,0)),"")</f>
        <v/>
      </c>
      <c r="Y575" s="45" t="str">
        <f>IFERROR(VLOOKUP(B575,Baza[[№]:[Profit]],23,0),"")</f>
        <v/>
      </c>
      <c r="Z575" s="44" t="str">
        <f>IFERROR(VLOOKUP(B575,Baza[[№]:[AFS]],24,0),"")</f>
        <v/>
      </c>
      <c r="AA575" s="45" t="str">
        <f>IF(Таблица2[[#This Row],[Profit]]="","#Н/Д",SUM($Y$40:Y575))</f>
        <v>#Н/Д</v>
      </c>
      <c r="AB575" s="45" t="b">
        <f>IF(Таблица2[[#This Row],[Grafik]]="#Н/Д",FALSE,TRUE)</f>
        <v>0</v>
      </c>
    </row>
    <row r="576" spans="2:28" ht="11.1" hidden="1" customHeight="1" x14ac:dyDescent="0.25">
      <c r="B576"/>
      <c r="C576" s="41" t="str">
        <f>IFERROR(VLOOKUP(B576,Baza[[№]:[Profit]],2,0),"")</f>
        <v/>
      </c>
      <c r="D57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7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76" s="43" t="str">
        <f>IFERROR(VLOOKUP(B576,Baza[[№]:[Profit]],3,0),"")</f>
        <v/>
      </c>
      <c r="G576" s="43" t="str">
        <f>IFERROR(VLOOKUP(B576,Baza[[№]:[Profit]],4,0),"")</f>
        <v/>
      </c>
      <c r="H576" s="43" t="str">
        <f>IFERROR(VLOOKUP(B576,Baza[[№]:[Profit]],5,0),"")</f>
        <v/>
      </c>
      <c r="I576" s="46" t="str">
        <f>IFERROR(VLOOKUP(B576,Baza[[№]:[Profit]],6,0),"")</f>
        <v/>
      </c>
      <c r="J576" s="49" t="str">
        <f>IFERROR(VLOOKUP(B576,Baza[[№]:[Profit]],7,0),"")</f>
        <v/>
      </c>
      <c r="K576" s="43" t="str">
        <f>IFERROR(VLOOKUP(B576,Baza[[№]:[Profit]],8,0),"")</f>
        <v/>
      </c>
      <c r="L576" s="43" t="str">
        <f>IFERROR(VLOOKUP(B576,Baza[[№]:[Profit]],9,0),"")</f>
        <v/>
      </c>
      <c r="M576" s="43" t="str">
        <f>IFERROR(VLOOKUP(B576,Baza[[№]:[Profit]],10,0),"")</f>
        <v/>
      </c>
      <c r="N576" s="43" t="str">
        <f>IFERROR(IF(VLOOKUP(B576,Baza[[№]:[Profit]],11,0)=0,"-",VLOOKUP(B576,Baza[[№]:[Profit]],11,0)),"")</f>
        <v/>
      </c>
      <c r="O576" s="43" t="str">
        <f>IFERROR(IF(VLOOKUP(B576,Baza[[№]:[Profit]],12,0)=0,"-",VLOOKUP(B576,Baza[[№]:[Profit]],12,0)),"")</f>
        <v/>
      </c>
      <c r="P576" s="43" t="str">
        <f>IFERROR(IF(VLOOKUP(B576,Baza[[№]:[Profit]],13,0)=0,"-",VLOOKUP(B576,Baza[[№]:[Profit]],13,0)),"")</f>
        <v/>
      </c>
      <c r="Q576" s="43" t="str">
        <f>IFERROR(IF(VLOOKUP(B576,Baza[[№]:[Profit]],15,0)=0,"-",VLOOKUP(B576,Baza[[№]:[Profit]],15,0)),"")</f>
        <v/>
      </c>
      <c r="R576" s="43" t="str">
        <f>IFERROR(IF(VLOOKUP(B576,Baza[[№]:[Profit]],16,0)=0,"-",VLOOKUP(B576,Baza[[№]:[Profit]],16,0)),"")</f>
        <v/>
      </c>
      <c r="S576" s="43" t="str">
        <f>IFERROR(IF(VLOOKUP(B576,Baza[[№]:[Profit]],17,0)=0,"-",VLOOKUP(B576,Baza[[№]:[Profit]],17,0)),"")</f>
        <v/>
      </c>
      <c r="T576" s="43" t="str">
        <f>IFERROR(IF(VLOOKUP(B576,Baza[[№]:[Profit]],18,0)=0,"-",VLOOKUP(B576,Baza[[№]:[Profit]],18,0)),"")</f>
        <v/>
      </c>
      <c r="U576" s="41" t="str">
        <f>IFERROR(IF(VLOOKUP(B576,Baza[[№]:[Profit]],19,0)=0,"-",VLOOKUP(B576,Baza[[№]:[Profit]],19,0)),"")</f>
        <v/>
      </c>
      <c r="V576" s="41" t="str">
        <f>IFERROR(VLOOKUP(B576,Baza[[№]:[Profit]],20,0),"")</f>
        <v/>
      </c>
      <c r="W576" s="41" t="str">
        <f>IFERROR(IF(VLOOKUP(B576,Baza[[№]:[Profit]],21,0)=0,"-",VLOOKUP(B576,Baza[[№]:[Profit]],21,0)),"")</f>
        <v/>
      </c>
      <c r="X576" s="45" t="str">
        <f>IFERROR(IF(VLOOKUP(B576,Baza[[№]:[Profit]],22,0)=0,"-",VLOOKUP(B576,Baza[[№]:[Profit]],22,0)),"")</f>
        <v/>
      </c>
      <c r="Y576" s="45" t="str">
        <f>IFERROR(VLOOKUP(B576,Baza[[№]:[Profit]],23,0),"")</f>
        <v/>
      </c>
      <c r="Z576" s="44" t="str">
        <f>IFERROR(VLOOKUP(B576,Baza[[№]:[AFS]],24,0),"")</f>
        <v/>
      </c>
      <c r="AA576" s="45" t="str">
        <f>IF(Таблица2[[#This Row],[Profit]]="","#Н/Д",SUM($Y$40:Y576))</f>
        <v>#Н/Д</v>
      </c>
      <c r="AB576" s="45" t="b">
        <f>IF(Таблица2[[#This Row],[Grafik]]="#Н/Д",FALSE,TRUE)</f>
        <v>0</v>
      </c>
    </row>
    <row r="577" spans="2:28" ht="11.1" hidden="1" customHeight="1" x14ac:dyDescent="0.25">
      <c r="B577"/>
      <c r="C577" s="41" t="str">
        <f>IFERROR(VLOOKUP(B577,Baza[[№]:[Profit]],2,0),"")</f>
        <v/>
      </c>
      <c r="D57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7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77" s="43" t="str">
        <f>IFERROR(VLOOKUP(B577,Baza[[№]:[Profit]],3,0),"")</f>
        <v/>
      </c>
      <c r="G577" s="43" t="str">
        <f>IFERROR(VLOOKUP(B577,Baza[[№]:[Profit]],4,0),"")</f>
        <v/>
      </c>
      <c r="H577" s="43" t="str">
        <f>IFERROR(VLOOKUP(B577,Baza[[№]:[Profit]],5,0),"")</f>
        <v/>
      </c>
      <c r="I577" s="46" t="str">
        <f>IFERROR(VLOOKUP(B577,Baza[[№]:[Profit]],6,0),"")</f>
        <v/>
      </c>
      <c r="J577" s="49" t="str">
        <f>IFERROR(VLOOKUP(B577,Baza[[№]:[Profit]],7,0),"")</f>
        <v/>
      </c>
      <c r="K577" s="43" t="str">
        <f>IFERROR(VLOOKUP(B577,Baza[[№]:[Profit]],8,0),"")</f>
        <v/>
      </c>
      <c r="L577" s="43" t="str">
        <f>IFERROR(VLOOKUP(B577,Baza[[№]:[Profit]],9,0),"")</f>
        <v/>
      </c>
      <c r="M577" s="43" t="str">
        <f>IFERROR(VLOOKUP(B577,Baza[[№]:[Profit]],10,0),"")</f>
        <v/>
      </c>
      <c r="N577" s="43" t="str">
        <f>IFERROR(IF(VLOOKUP(B577,Baza[[№]:[Profit]],11,0)=0,"-",VLOOKUP(B577,Baza[[№]:[Profit]],11,0)),"")</f>
        <v/>
      </c>
      <c r="O577" s="43" t="str">
        <f>IFERROR(IF(VLOOKUP(B577,Baza[[№]:[Profit]],12,0)=0,"-",VLOOKUP(B577,Baza[[№]:[Profit]],12,0)),"")</f>
        <v/>
      </c>
      <c r="P577" s="43" t="str">
        <f>IFERROR(IF(VLOOKUP(B577,Baza[[№]:[Profit]],13,0)=0,"-",VLOOKUP(B577,Baza[[№]:[Profit]],13,0)),"")</f>
        <v/>
      </c>
      <c r="Q577" s="43" t="str">
        <f>IFERROR(IF(VLOOKUP(B577,Baza[[№]:[Profit]],15,0)=0,"-",VLOOKUP(B577,Baza[[№]:[Profit]],15,0)),"")</f>
        <v/>
      </c>
      <c r="R577" s="43" t="str">
        <f>IFERROR(IF(VLOOKUP(B577,Baza[[№]:[Profit]],16,0)=0,"-",VLOOKUP(B577,Baza[[№]:[Profit]],16,0)),"")</f>
        <v/>
      </c>
      <c r="S577" s="43" t="str">
        <f>IFERROR(IF(VLOOKUP(B577,Baza[[№]:[Profit]],17,0)=0,"-",VLOOKUP(B577,Baza[[№]:[Profit]],17,0)),"")</f>
        <v/>
      </c>
      <c r="T577" s="43" t="str">
        <f>IFERROR(IF(VLOOKUP(B577,Baza[[№]:[Profit]],18,0)=0,"-",VLOOKUP(B577,Baza[[№]:[Profit]],18,0)),"")</f>
        <v/>
      </c>
      <c r="U577" s="41" t="str">
        <f>IFERROR(IF(VLOOKUP(B577,Baza[[№]:[Profit]],19,0)=0,"-",VLOOKUP(B577,Baza[[№]:[Profit]],19,0)),"")</f>
        <v/>
      </c>
      <c r="V577" s="41" t="str">
        <f>IFERROR(VLOOKUP(B577,Baza[[№]:[Profit]],20,0),"")</f>
        <v/>
      </c>
      <c r="W577" s="41" t="str">
        <f>IFERROR(IF(VLOOKUP(B577,Baza[[№]:[Profit]],21,0)=0,"-",VLOOKUP(B577,Baza[[№]:[Profit]],21,0)),"")</f>
        <v/>
      </c>
      <c r="X577" s="45" t="str">
        <f>IFERROR(IF(VLOOKUP(B577,Baza[[№]:[Profit]],22,0)=0,"-",VLOOKUP(B577,Baza[[№]:[Profit]],22,0)),"")</f>
        <v/>
      </c>
      <c r="Y577" s="45" t="str">
        <f>IFERROR(VLOOKUP(B577,Baza[[№]:[Profit]],23,0),"")</f>
        <v/>
      </c>
      <c r="Z577" s="44" t="str">
        <f>IFERROR(VLOOKUP(B577,Baza[[№]:[AFS]],24,0),"")</f>
        <v/>
      </c>
      <c r="AA577" s="45" t="str">
        <f>IF(Таблица2[[#This Row],[Profit]]="","#Н/Д",SUM($Y$40:Y577))</f>
        <v>#Н/Д</v>
      </c>
      <c r="AB577" s="45" t="b">
        <f>IF(Таблица2[[#This Row],[Grafik]]="#Н/Д",FALSE,TRUE)</f>
        <v>0</v>
      </c>
    </row>
    <row r="578" spans="2:28" ht="11.1" hidden="1" customHeight="1" x14ac:dyDescent="0.25">
      <c r="B578"/>
      <c r="C578" s="41" t="str">
        <f>IFERROR(VLOOKUP(B578,Baza[[№]:[Profit]],2,0),"")</f>
        <v/>
      </c>
      <c r="D57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7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78" s="43" t="str">
        <f>IFERROR(VLOOKUP(B578,Baza[[№]:[Profit]],3,0),"")</f>
        <v/>
      </c>
      <c r="G578" s="43" t="str">
        <f>IFERROR(VLOOKUP(B578,Baza[[№]:[Profit]],4,0),"")</f>
        <v/>
      </c>
      <c r="H578" s="43" t="str">
        <f>IFERROR(VLOOKUP(B578,Baza[[№]:[Profit]],5,0),"")</f>
        <v/>
      </c>
      <c r="I578" s="46" t="str">
        <f>IFERROR(VLOOKUP(B578,Baza[[№]:[Profit]],6,0),"")</f>
        <v/>
      </c>
      <c r="J578" s="49" t="str">
        <f>IFERROR(VLOOKUP(B578,Baza[[№]:[Profit]],7,0),"")</f>
        <v/>
      </c>
      <c r="K578" s="43" t="str">
        <f>IFERROR(VLOOKUP(B578,Baza[[№]:[Profit]],8,0),"")</f>
        <v/>
      </c>
      <c r="L578" s="43" t="str">
        <f>IFERROR(VLOOKUP(B578,Baza[[№]:[Profit]],9,0),"")</f>
        <v/>
      </c>
      <c r="M578" s="43" t="str">
        <f>IFERROR(VLOOKUP(B578,Baza[[№]:[Profit]],10,0),"")</f>
        <v/>
      </c>
      <c r="N578" s="43" t="str">
        <f>IFERROR(IF(VLOOKUP(B578,Baza[[№]:[Profit]],11,0)=0,"-",VLOOKUP(B578,Baza[[№]:[Profit]],11,0)),"")</f>
        <v/>
      </c>
      <c r="O578" s="43" t="str">
        <f>IFERROR(IF(VLOOKUP(B578,Baza[[№]:[Profit]],12,0)=0,"-",VLOOKUP(B578,Baza[[№]:[Profit]],12,0)),"")</f>
        <v/>
      </c>
      <c r="P578" s="43" t="str">
        <f>IFERROR(IF(VLOOKUP(B578,Baza[[№]:[Profit]],13,0)=0,"-",VLOOKUP(B578,Baza[[№]:[Profit]],13,0)),"")</f>
        <v/>
      </c>
      <c r="Q578" s="43" t="str">
        <f>IFERROR(IF(VLOOKUP(B578,Baza[[№]:[Profit]],15,0)=0,"-",VLOOKUP(B578,Baza[[№]:[Profit]],15,0)),"")</f>
        <v/>
      </c>
      <c r="R578" s="43" t="str">
        <f>IFERROR(IF(VLOOKUP(B578,Baza[[№]:[Profit]],16,0)=0,"-",VLOOKUP(B578,Baza[[№]:[Profit]],16,0)),"")</f>
        <v/>
      </c>
      <c r="S578" s="43" t="str">
        <f>IFERROR(IF(VLOOKUP(B578,Baza[[№]:[Profit]],17,0)=0,"-",VLOOKUP(B578,Baza[[№]:[Profit]],17,0)),"")</f>
        <v/>
      </c>
      <c r="T578" s="43" t="str">
        <f>IFERROR(IF(VLOOKUP(B578,Baza[[№]:[Profit]],18,0)=0,"-",VLOOKUP(B578,Baza[[№]:[Profit]],18,0)),"")</f>
        <v/>
      </c>
      <c r="U578" s="41" t="str">
        <f>IFERROR(IF(VLOOKUP(B578,Baza[[№]:[Profit]],19,0)=0,"-",VLOOKUP(B578,Baza[[№]:[Profit]],19,0)),"")</f>
        <v/>
      </c>
      <c r="V578" s="41" t="str">
        <f>IFERROR(VLOOKUP(B578,Baza[[№]:[Profit]],20,0),"")</f>
        <v/>
      </c>
      <c r="W578" s="41" t="str">
        <f>IFERROR(IF(VLOOKUP(B578,Baza[[№]:[Profit]],21,0)=0,"-",VLOOKUP(B578,Baza[[№]:[Profit]],21,0)),"")</f>
        <v/>
      </c>
      <c r="X578" s="45" t="str">
        <f>IFERROR(IF(VLOOKUP(B578,Baza[[№]:[Profit]],22,0)=0,"-",VLOOKUP(B578,Baza[[№]:[Profit]],22,0)),"")</f>
        <v/>
      </c>
      <c r="Y578" s="45" t="str">
        <f>IFERROR(VLOOKUP(B578,Baza[[№]:[Profit]],23,0),"")</f>
        <v/>
      </c>
      <c r="Z578" s="44" t="str">
        <f>IFERROR(VLOOKUP(B578,Baza[[№]:[AFS]],24,0),"")</f>
        <v/>
      </c>
      <c r="AA578" s="45" t="str">
        <f>IF(Таблица2[[#This Row],[Profit]]="","#Н/Д",SUM($Y$40:Y578))</f>
        <v>#Н/Д</v>
      </c>
      <c r="AB578" s="45" t="b">
        <f>IF(Таблица2[[#This Row],[Grafik]]="#Н/Д",FALSE,TRUE)</f>
        <v>0</v>
      </c>
    </row>
    <row r="579" spans="2:28" ht="11.1" hidden="1" customHeight="1" x14ac:dyDescent="0.25">
      <c r="B579"/>
      <c r="C579" s="41" t="str">
        <f>IFERROR(VLOOKUP(B579,Baza[[№]:[Profit]],2,0),"")</f>
        <v/>
      </c>
      <c r="D57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7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79" s="43" t="str">
        <f>IFERROR(VLOOKUP(B579,Baza[[№]:[Profit]],3,0),"")</f>
        <v/>
      </c>
      <c r="G579" s="43" t="str">
        <f>IFERROR(VLOOKUP(B579,Baza[[№]:[Profit]],4,0),"")</f>
        <v/>
      </c>
      <c r="H579" s="43" t="str">
        <f>IFERROR(VLOOKUP(B579,Baza[[№]:[Profit]],5,0),"")</f>
        <v/>
      </c>
      <c r="I579" s="46" t="str">
        <f>IFERROR(VLOOKUP(B579,Baza[[№]:[Profit]],6,0),"")</f>
        <v/>
      </c>
      <c r="J579" s="49" t="str">
        <f>IFERROR(VLOOKUP(B579,Baza[[№]:[Profit]],7,0),"")</f>
        <v/>
      </c>
      <c r="K579" s="43" t="str">
        <f>IFERROR(VLOOKUP(B579,Baza[[№]:[Profit]],8,0),"")</f>
        <v/>
      </c>
      <c r="L579" s="43" t="str">
        <f>IFERROR(VLOOKUP(B579,Baza[[№]:[Profit]],9,0),"")</f>
        <v/>
      </c>
      <c r="M579" s="43" t="str">
        <f>IFERROR(VLOOKUP(B579,Baza[[№]:[Profit]],10,0),"")</f>
        <v/>
      </c>
      <c r="N579" s="43" t="str">
        <f>IFERROR(IF(VLOOKUP(B579,Baza[[№]:[Profit]],11,0)=0,"-",VLOOKUP(B579,Baza[[№]:[Profit]],11,0)),"")</f>
        <v/>
      </c>
      <c r="O579" s="43" t="str">
        <f>IFERROR(IF(VLOOKUP(B579,Baza[[№]:[Profit]],12,0)=0,"-",VLOOKUP(B579,Baza[[№]:[Profit]],12,0)),"")</f>
        <v/>
      </c>
      <c r="P579" s="43" t="str">
        <f>IFERROR(IF(VLOOKUP(B579,Baza[[№]:[Profit]],13,0)=0,"-",VLOOKUP(B579,Baza[[№]:[Profit]],13,0)),"")</f>
        <v/>
      </c>
      <c r="Q579" s="43" t="str">
        <f>IFERROR(IF(VLOOKUP(B579,Baza[[№]:[Profit]],15,0)=0,"-",VLOOKUP(B579,Baza[[№]:[Profit]],15,0)),"")</f>
        <v/>
      </c>
      <c r="R579" s="43" t="str">
        <f>IFERROR(IF(VLOOKUP(B579,Baza[[№]:[Profit]],16,0)=0,"-",VLOOKUP(B579,Baza[[№]:[Profit]],16,0)),"")</f>
        <v/>
      </c>
      <c r="S579" s="43" t="str">
        <f>IFERROR(IF(VLOOKUP(B579,Baza[[№]:[Profit]],17,0)=0,"-",VLOOKUP(B579,Baza[[№]:[Profit]],17,0)),"")</f>
        <v/>
      </c>
      <c r="T579" s="43" t="str">
        <f>IFERROR(IF(VLOOKUP(B579,Baza[[№]:[Profit]],18,0)=0,"-",VLOOKUP(B579,Baza[[№]:[Profit]],18,0)),"")</f>
        <v/>
      </c>
      <c r="U579" s="41" t="str">
        <f>IFERROR(IF(VLOOKUP(B579,Baza[[№]:[Profit]],19,0)=0,"-",VLOOKUP(B579,Baza[[№]:[Profit]],19,0)),"")</f>
        <v/>
      </c>
      <c r="V579" s="41" t="str">
        <f>IFERROR(VLOOKUP(B579,Baza[[№]:[Profit]],20,0),"")</f>
        <v/>
      </c>
      <c r="W579" s="41" t="str">
        <f>IFERROR(IF(VLOOKUP(B579,Baza[[№]:[Profit]],21,0)=0,"-",VLOOKUP(B579,Baza[[№]:[Profit]],21,0)),"")</f>
        <v/>
      </c>
      <c r="X579" s="45" t="str">
        <f>IFERROR(IF(VLOOKUP(B579,Baza[[№]:[Profit]],22,0)=0,"-",VLOOKUP(B579,Baza[[№]:[Profit]],22,0)),"")</f>
        <v/>
      </c>
      <c r="Y579" s="45" t="str">
        <f>IFERROR(VLOOKUP(B579,Baza[[№]:[Profit]],23,0),"")</f>
        <v/>
      </c>
      <c r="Z579" s="44" t="str">
        <f>IFERROR(VLOOKUP(B579,Baza[[№]:[AFS]],24,0),"")</f>
        <v/>
      </c>
      <c r="AA579" s="45" t="str">
        <f>IF(Таблица2[[#This Row],[Profit]]="","#Н/Д",SUM($Y$40:Y579))</f>
        <v>#Н/Д</v>
      </c>
      <c r="AB579" s="45" t="b">
        <f>IF(Таблица2[[#This Row],[Grafik]]="#Н/Д",FALSE,TRUE)</f>
        <v>0</v>
      </c>
    </row>
    <row r="580" spans="2:28" ht="11.1" hidden="1" customHeight="1" x14ac:dyDescent="0.25">
      <c r="B580"/>
      <c r="C580" s="41" t="str">
        <f>IFERROR(VLOOKUP(B580,Baza[[№]:[Profit]],2,0),"")</f>
        <v/>
      </c>
      <c r="D58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8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80" s="43" t="str">
        <f>IFERROR(VLOOKUP(B580,Baza[[№]:[Profit]],3,0),"")</f>
        <v/>
      </c>
      <c r="G580" s="43" t="str">
        <f>IFERROR(VLOOKUP(B580,Baza[[№]:[Profit]],4,0),"")</f>
        <v/>
      </c>
      <c r="H580" s="43" t="str">
        <f>IFERROR(VLOOKUP(B580,Baza[[№]:[Profit]],5,0),"")</f>
        <v/>
      </c>
      <c r="I580" s="46" t="str">
        <f>IFERROR(VLOOKUP(B580,Baza[[№]:[Profit]],6,0),"")</f>
        <v/>
      </c>
      <c r="J580" s="49" t="str">
        <f>IFERROR(VLOOKUP(B580,Baza[[№]:[Profit]],7,0),"")</f>
        <v/>
      </c>
      <c r="K580" s="43" t="str">
        <f>IFERROR(VLOOKUP(B580,Baza[[№]:[Profit]],8,0),"")</f>
        <v/>
      </c>
      <c r="L580" s="43" t="str">
        <f>IFERROR(VLOOKUP(B580,Baza[[№]:[Profit]],9,0),"")</f>
        <v/>
      </c>
      <c r="M580" s="43" t="str">
        <f>IFERROR(VLOOKUP(B580,Baza[[№]:[Profit]],10,0),"")</f>
        <v/>
      </c>
      <c r="N580" s="43" t="str">
        <f>IFERROR(IF(VLOOKUP(B580,Baza[[№]:[Profit]],11,0)=0,"-",VLOOKUP(B580,Baza[[№]:[Profit]],11,0)),"")</f>
        <v/>
      </c>
      <c r="O580" s="43" t="str">
        <f>IFERROR(IF(VLOOKUP(B580,Baza[[№]:[Profit]],12,0)=0,"-",VLOOKUP(B580,Baza[[№]:[Profit]],12,0)),"")</f>
        <v/>
      </c>
      <c r="P580" s="43" t="str">
        <f>IFERROR(IF(VLOOKUP(B580,Baza[[№]:[Profit]],13,0)=0,"-",VLOOKUP(B580,Baza[[№]:[Profit]],13,0)),"")</f>
        <v/>
      </c>
      <c r="Q580" s="43" t="str">
        <f>IFERROR(IF(VLOOKUP(B580,Baza[[№]:[Profit]],15,0)=0,"-",VLOOKUP(B580,Baza[[№]:[Profit]],15,0)),"")</f>
        <v/>
      </c>
      <c r="R580" s="43" t="str">
        <f>IFERROR(IF(VLOOKUP(B580,Baza[[№]:[Profit]],16,0)=0,"-",VLOOKUP(B580,Baza[[№]:[Profit]],16,0)),"")</f>
        <v/>
      </c>
      <c r="S580" s="43" t="str">
        <f>IFERROR(IF(VLOOKUP(B580,Baza[[№]:[Profit]],17,0)=0,"-",VLOOKUP(B580,Baza[[№]:[Profit]],17,0)),"")</f>
        <v/>
      </c>
      <c r="T580" s="43" t="str">
        <f>IFERROR(IF(VLOOKUP(B580,Baza[[№]:[Profit]],18,0)=0,"-",VLOOKUP(B580,Baza[[№]:[Profit]],18,0)),"")</f>
        <v/>
      </c>
      <c r="U580" s="41" t="str">
        <f>IFERROR(IF(VLOOKUP(B580,Baza[[№]:[Profit]],19,0)=0,"-",VLOOKUP(B580,Baza[[№]:[Profit]],19,0)),"")</f>
        <v/>
      </c>
      <c r="V580" s="41" t="str">
        <f>IFERROR(VLOOKUP(B580,Baza[[№]:[Profit]],20,0),"")</f>
        <v/>
      </c>
      <c r="W580" s="41" t="str">
        <f>IFERROR(IF(VLOOKUP(B580,Baza[[№]:[Profit]],21,0)=0,"-",VLOOKUP(B580,Baza[[№]:[Profit]],21,0)),"")</f>
        <v/>
      </c>
      <c r="X580" s="45" t="str">
        <f>IFERROR(IF(VLOOKUP(B580,Baza[[№]:[Profit]],22,0)=0,"-",VLOOKUP(B580,Baza[[№]:[Profit]],22,0)),"")</f>
        <v/>
      </c>
      <c r="Y580" s="45" t="str">
        <f>IFERROR(VLOOKUP(B580,Baza[[№]:[Profit]],23,0),"")</f>
        <v/>
      </c>
      <c r="Z580" s="44" t="str">
        <f>IFERROR(VLOOKUP(B580,Baza[[№]:[AFS]],24,0),"")</f>
        <v/>
      </c>
      <c r="AA580" s="45" t="str">
        <f>IF(Таблица2[[#This Row],[Profit]]="","#Н/Д",SUM($Y$40:Y580))</f>
        <v>#Н/Д</v>
      </c>
      <c r="AB580" s="45" t="b">
        <f>IF(Таблица2[[#This Row],[Grafik]]="#Н/Д",FALSE,TRUE)</f>
        <v>0</v>
      </c>
    </row>
    <row r="581" spans="2:28" ht="11.1" hidden="1" customHeight="1" x14ac:dyDescent="0.25">
      <c r="B581"/>
      <c r="C581" s="41" t="str">
        <f>IFERROR(VLOOKUP(B581,Baza[[№]:[Profit]],2,0),"")</f>
        <v/>
      </c>
      <c r="D58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8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81" s="43" t="str">
        <f>IFERROR(VLOOKUP(B581,Baza[[№]:[Profit]],3,0),"")</f>
        <v/>
      </c>
      <c r="G581" s="43" t="str">
        <f>IFERROR(VLOOKUP(B581,Baza[[№]:[Profit]],4,0),"")</f>
        <v/>
      </c>
      <c r="H581" s="43" t="str">
        <f>IFERROR(VLOOKUP(B581,Baza[[№]:[Profit]],5,0),"")</f>
        <v/>
      </c>
      <c r="I581" s="46" t="str">
        <f>IFERROR(VLOOKUP(B581,Baza[[№]:[Profit]],6,0),"")</f>
        <v/>
      </c>
      <c r="J581" s="49" t="str">
        <f>IFERROR(VLOOKUP(B581,Baza[[№]:[Profit]],7,0),"")</f>
        <v/>
      </c>
      <c r="K581" s="43" t="str">
        <f>IFERROR(VLOOKUP(B581,Baza[[№]:[Profit]],8,0),"")</f>
        <v/>
      </c>
      <c r="L581" s="43" t="str">
        <f>IFERROR(VLOOKUP(B581,Baza[[№]:[Profit]],9,0),"")</f>
        <v/>
      </c>
      <c r="M581" s="43" t="str">
        <f>IFERROR(VLOOKUP(B581,Baza[[№]:[Profit]],10,0),"")</f>
        <v/>
      </c>
      <c r="N581" s="43" t="str">
        <f>IFERROR(IF(VLOOKUP(B581,Baza[[№]:[Profit]],11,0)=0,"-",VLOOKUP(B581,Baza[[№]:[Profit]],11,0)),"")</f>
        <v/>
      </c>
      <c r="O581" s="43" t="str">
        <f>IFERROR(IF(VLOOKUP(B581,Baza[[№]:[Profit]],12,0)=0,"-",VLOOKUP(B581,Baza[[№]:[Profit]],12,0)),"")</f>
        <v/>
      </c>
      <c r="P581" s="43" t="str">
        <f>IFERROR(IF(VLOOKUP(B581,Baza[[№]:[Profit]],13,0)=0,"-",VLOOKUP(B581,Baza[[№]:[Profit]],13,0)),"")</f>
        <v/>
      </c>
      <c r="Q581" s="43" t="str">
        <f>IFERROR(IF(VLOOKUP(B581,Baza[[№]:[Profit]],15,0)=0,"-",VLOOKUP(B581,Baza[[№]:[Profit]],15,0)),"")</f>
        <v/>
      </c>
      <c r="R581" s="43" t="str">
        <f>IFERROR(IF(VLOOKUP(B581,Baza[[№]:[Profit]],16,0)=0,"-",VLOOKUP(B581,Baza[[№]:[Profit]],16,0)),"")</f>
        <v/>
      </c>
      <c r="S581" s="43" t="str">
        <f>IFERROR(IF(VLOOKUP(B581,Baza[[№]:[Profit]],17,0)=0,"-",VLOOKUP(B581,Baza[[№]:[Profit]],17,0)),"")</f>
        <v/>
      </c>
      <c r="T581" s="43" t="str">
        <f>IFERROR(IF(VLOOKUP(B581,Baza[[№]:[Profit]],18,0)=0,"-",VLOOKUP(B581,Baza[[№]:[Profit]],18,0)),"")</f>
        <v/>
      </c>
      <c r="U581" s="41" t="str">
        <f>IFERROR(IF(VLOOKUP(B581,Baza[[№]:[Profit]],19,0)=0,"-",VLOOKUP(B581,Baza[[№]:[Profit]],19,0)),"")</f>
        <v/>
      </c>
      <c r="V581" s="41" t="str">
        <f>IFERROR(VLOOKUP(B581,Baza[[№]:[Profit]],20,0),"")</f>
        <v/>
      </c>
      <c r="W581" s="41" t="str">
        <f>IFERROR(IF(VLOOKUP(B581,Baza[[№]:[Profit]],21,0)=0,"-",VLOOKUP(B581,Baza[[№]:[Profit]],21,0)),"")</f>
        <v/>
      </c>
      <c r="X581" s="45" t="str">
        <f>IFERROR(IF(VLOOKUP(B581,Baza[[№]:[Profit]],22,0)=0,"-",VLOOKUP(B581,Baza[[№]:[Profit]],22,0)),"")</f>
        <v/>
      </c>
      <c r="Y581" s="45" t="str">
        <f>IFERROR(VLOOKUP(B581,Baza[[№]:[Profit]],23,0),"")</f>
        <v/>
      </c>
      <c r="Z581" s="44" t="str">
        <f>IFERROR(VLOOKUP(B581,Baza[[№]:[AFS]],24,0),"")</f>
        <v/>
      </c>
      <c r="AA581" s="45" t="str">
        <f>IF(Таблица2[[#This Row],[Profit]]="","#Н/Д",SUM($Y$40:Y581))</f>
        <v>#Н/Д</v>
      </c>
      <c r="AB581" s="45" t="b">
        <f>IF(Таблица2[[#This Row],[Grafik]]="#Н/Д",FALSE,TRUE)</f>
        <v>0</v>
      </c>
    </row>
    <row r="582" spans="2:28" ht="11.1" hidden="1" customHeight="1" x14ac:dyDescent="0.25">
      <c r="B582"/>
      <c r="C582" s="41" t="str">
        <f>IFERROR(VLOOKUP(B582,Baza[[№]:[Profit]],2,0),"")</f>
        <v/>
      </c>
      <c r="D58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8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82" s="43" t="str">
        <f>IFERROR(VLOOKUP(B582,Baza[[№]:[Profit]],3,0),"")</f>
        <v/>
      </c>
      <c r="G582" s="43" t="str">
        <f>IFERROR(VLOOKUP(B582,Baza[[№]:[Profit]],4,0),"")</f>
        <v/>
      </c>
      <c r="H582" s="43" t="str">
        <f>IFERROR(VLOOKUP(B582,Baza[[№]:[Profit]],5,0),"")</f>
        <v/>
      </c>
      <c r="I582" s="46" t="str">
        <f>IFERROR(VLOOKUP(B582,Baza[[№]:[Profit]],6,0),"")</f>
        <v/>
      </c>
      <c r="J582" s="49" t="str">
        <f>IFERROR(VLOOKUP(B582,Baza[[№]:[Profit]],7,0),"")</f>
        <v/>
      </c>
      <c r="K582" s="43" t="str">
        <f>IFERROR(VLOOKUP(B582,Baza[[№]:[Profit]],8,0),"")</f>
        <v/>
      </c>
      <c r="L582" s="43" t="str">
        <f>IFERROR(VLOOKUP(B582,Baza[[№]:[Profit]],9,0),"")</f>
        <v/>
      </c>
      <c r="M582" s="43" t="str">
        <f>IFERROR(VLOOKUP(B582,Baza[[№]:[Profit]],10,0),"")</f>
        <v/>
      </c>
      <c r="N582" s="43" t="str">
        <f>IFERROR(IF(VLOOKUP(B582,Baza[[№]:[Profit]],11,0)=0,"-",VLOOKUP(B582,Baza[[№]:[Profit]],11,0)),"")</f>
        <v/>
      </c>
      <c r="O582" s="43" t="str">
        <f>IFERROR(IF(VLOOKUP(B582,Baza[[№]:[Profit]],12,0)=0,"-",VLOOKUP(B582,Baza[[№]:[Profit]],12,0)),"")</f>
        <v/>
      </c>
      <c r="P582" s="43" t="str">
        <f>IFERROR(IF(VLOOKUP(B582,Baza[[№]:[Profit]],13,0)=0,"-",VLOOKUP(B582,Baza[[№]:[Profit]],13,0)),"")</f>
        <v/>
      </c>
      <c r="Q582" s="43" t="str">
        <f>IFERROR(IF(VLOOKUP(B582,Baza[[№]:[Profit]],15,0)=0,"-",VLOOKUP(B582,Baza[[№]:[Profit]],15,0)),"")</f>
        <v/>
      </c>
      <c r="R582" s="43" t="str">
        <f>IFERROR(IF(VLOOKUP(B582,Baza[[№]:[Profit]],16,0)=0,"-",VLOOKUP(B582,Baza[[№]:[Profit]],16,0)),"")</f>
        <v/>
      </c>
      <c r="S582" s="43" t="str">
        <f>IFERROR(IF(VLOOKUP(B582,Baza[[№]:[Profit]],17,0)=0,"-",VLOOKUP(B582,Baza[[№]:[Profit]],17,0)),"")</f>
        <v/>
      </c>
      <c r="T582" s="43" t="str">
        <f>IFERROR(IF(VLOOKUP(B582,Baza[[№]:[Profit]],18,0)=0,"-",VLOOKUP(B582,Baza[[№]:[Profit]],18,0)),"")</f>
        <v/>
      </c>
      <c r="U582" s="41" t="str">
        <f>IFERROR(IF(VLOOKUP(B582,Baza[[№]:[Profit]],19,0)=0,"-",VLOOKUP(B582,Baza[[№]:[Profit]],19,0)),"")</f>
        <v/>
      </c>
      <c r="V582" s="41" t="str">
        <f>IFERROR(VLOOKUP(B582,Baza[[№]:[Profit]],20,0),"")</f>
        <v/>
      </c>
      <c r="W582" s="41" t="str">
        <f>IFERROR(IF(VLOOKUP(B582,Baza[[№]:[Profit]],21,0)=0,"-",VLOOKUP(B582,Baza[[№]:[Profit]],21,0)),"")</f>
        <v/>
      </c>
      <c r="X582" s="45" t="str">
        <f>IFERROR(IF(VLOOKUP(B582,Baza[[№]:[Profit]],22,0)=0,"-",VLOOKUP(B582,Baza[[№]:[Profit]],22,0)),"")</f>
        <v/>
      </c>
      <c r="Y582" s="45" t="str">
        <f>IFERROR(VLOOKUP(B582,Baza[[№]:[Profit]],23,0),"")</f>
        <v/>
      </c>
      <c r="Z582" s="44" t="str">
        <f>IFERROR(VLOOKUP(B582,Baza[[№]:[AFS]],24,0),"")</f>
        <v/>
      </c>
      <c r="AA582" s="45" t="str">
        <f>IF(Таблица2[[#This Row],[Profit]]="","#Н/Д",SUM($Y$40:Y582))</f>
        <v>#Н/Д</v>
      </c>
      <c r="AB582" s="45" t="b">
        <f>IF(Таблица2[[#This Row],[Grafik]]="#Н/Д",FALSE,TRUE)</f>
        <v>0</v>
      </c>
    </row>
    <row r="583" spans="2:28" ht="11.1" hidden="1" customHeight="1" x14ac:dyDescent="0.25">
      <c r="B583"/>
      <c r="C583" s="41" t="str">
        <f>IFERROR(VLOOKUP(B583,Baza[[№]:[Profit]],2,0),"")</f>
        <v/>
      </c>
      <c r="D58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8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83" s="43" t="str">
        <f>IFERROR(VLOOKUP(B583,Baza[[№]:[Profit]],3,0),"")</f>
        <v/>
      </c>
      <c r="G583" s="43" t="str">
        <f>IFERROR(VLOOKUP(B583,Baza[[№]:[Profit]],4,0),"")</f>
        <v/>
      </c>
      <c r="H583" s="43" t="str">
        <f>IFERROR(VLOOKUP(B583,Baza[[№]:[Profit]],5,0),"")</f>
        <v/>
      </c>
      <c r="I583" s="46" t="str">
        <f>IFERROR(VLOOKUP(B583,Baza[[№]:[Profit]],6,0),"")</f>
        <v/>
      </c>
      <c r="J583" s="49" t="str">
        <f>IFERROR(VLOOKUP(B583,Baza[[№]:[Profit]],7,0),"")</f>
        <v/>
      </c>
      <c r="K583" s="43" t="str">
        <f>IFERROR(VLOOKUP(B583,Baza[[№]:[Profit]],8,0),"")</f>
        <v/>
      </c>
      <c r="L583" s="43" t="str">
        <f>IFERROR(VLOOKUP(B583,Baza[[№]:[Profit]],9,0),"")</f>
        <v/>
      </c>
      <c r="M583" s="43" t="str">
        <f>IFERROR(VLOOKUP(B583,Baza[[№]:[Profit]],10,0),"")</f>
        <v/>
      </c>
      <c r="N583" s="43" t="str">
        <f>IFERROR(IF(VLOOKUP(B583,Baza[[№]:[Profit]],11,0)=0,"-",VLOOKUP(B583,Baza[[№]:[Profit]],11,0)),"")</f>
        <v/>
      </c>
      <c r="O583" s="43" t="str">
        <f>IFERROR(IF(VLOOKUP(B583,Baza[[№]:[Profit]],12,0)=0,"-",VLOOKUP(B583,Baza[[№]:[Profit]],12,0)),"")</f>
        <v/>
      </c>
      <c r="P583" s="43" t="str">
        <f>IFERROR(IF(VLOOKUP(B583,Baza[[№]:[Profit]],13,0)=0,"-",VLOOKUP(B583,Baza[[№]:[Profit]],13,0)),"")</f>
        <v/>
      </c>
      <c r="Q583" s="43" t="str">
        <f>IFERROR(IF(VLOOKUP(B583,Baza[[№]:[Profit]],15,0)=0,"-",VLOOKUP(B583,Baza[[№]:[Profit]],15,0)),"")</f>
        <v/>
      </c>
      <c r="R583" s="43" t="str">
        <f>IFERROR(IF(VLOOKUP(B583,Baza[[№]:[Profit]],16,0)=0,"-",VLOOKUP(B583,Baza[[№]:[Profit]],16,0)),"")</f>
        <v/>
      </c>
      <c r="S583" s="43" t="str">
        <f>IFERROR(IF(VLOOKUP(B583,Baza[[№]:[Profit]],17,0)=0,"-",VLOOKUP(B583,Baza[[№]:[Profit]],17,0)),"")</f>
        <v/>
      </c>
      <c r="T583" s="43" t="str">
        <f>IFERROR(IF(VLOOKUP(B583,Baza[[№]:[Profit]],18,0)=0,"-",VLOOKUP(B583,Baza[[№]:[Profit]],18,0)),"")</f>
        <v/>
      </c>
      <c r="U583" s="41" t="str">
        <f>IFERROR(IF(VLOOKUP(B583,Baza[[№]:[Profit]],19,0)=0,"-",VLOOKUP(B583,Baza[[№]:[Profit]],19,0)),"")</f>
        <v/>
      </c>
      <c r="V583" s="41" t="str">
        <f>IFERROR(VLOOKUP(B583,Baza[[№]:[Profit]],20,0),"")</f>
        <v/>
      </c>
      <c r="W583" s="41" t="str">
        <f>IFERROR(IF(VLOOKUP(B583,Baza[[№]:[Profit]],21,0)=0,"-",VLOOKUP(B583,Baza[[№]:[Profit]],21,0)),"")</f>
        <v/>
      </c>
      <c r="X583" s="45" t="str">
        <f>IFERROR(IF(VLOOKUP(B583,Baza[[№]:[Profit]],22,0)=0,"-",VLOOKUP(B583,Baza[[№]:[Profit]],22,0)),"")</f>
        <v/>
      </c>
      <c r="Y583" s="45" t="str">
        <f>IFERROR(VLOOKUP(B583,Baza[[№]:[Profit]],23,0),"")</f>
        <v/>
      </c>
      <c r="Z583" s="44" t="str">
        <f>IFERROR(VLOOKUP(B583,Baza[[№]:[AFS]],24,0),"")</f>
        <v/>
      </c>
      <c r="AA583" s="45" t="str">
        <f>IF(Таблица2[[#This Row],[Profit]]="","#Н/Д",SUM($Y$40:Y583))</f>
        <v>#Н/Д</v>
      </c>
      <c r="AB583" s="45" t="b">
        <f>IF(Таблица2[[#This Row],[Grafik]]="#Н/Д",FALSE,TRUE)</f>
        <v>0</v>
      </c>
    </row>
    <row r="584" spans="2:28" ht="11.1" hidden="1" customHeight="1" x14ac:dyDescent="0.25">
      <c r="B584"/>
      <c r="C584" s="41" t="str">
        <f>IFERROR(VLOOKUP(B584,Baza[[№]:[Profit]],2,0),"")</f>
        <v/>
      </c>
      <c r="D58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8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84" s="43" t="str">
        <f>IFERROR(VLOOKUP(B584,Baza[[№]:[Profit]],3,0),"")</f>
        <v/>
      </c>
      <c r="G584" s="43" t="str">
        <f>IFERROR(VLOOKUP(B584,Baza[[№]:[Profit]],4,0),"")</f>
        <v/>
      </c>
      <c r="H584" s="43" t="str">
        <f>IFERROR(VLOOKUP(B584,Baza[[№]:[Profit]],5,0),"")</f>
        <v/>
      </c>
      <c r="I584" s="46" t="str">
        <f>IFERROR(VLOOKUP(B584,Baza[[№]:[Profit]],6,0),"")</f>
        <v/>
      </c>
      <c r="J584" s="49" t="str">
        <f>IFERROR(VLOOKUP(B584,Baza[[№]:[Profit]],7,0),"")</f>
        <v/>
      </c>
      <c r="K584" s="43" t="str">
        <f>IFERROR(VLOOKUP(B584,Baza[[№]:[Profit]],8,0),"")</f>
        <v/>
      </c>
      <c r="L584" s="43" t="str">
        <f>IFERROR(VLOOKUP(B584,Baza[[№]:[Profit]],9,0),"")</f>
        <v/>
      </c>
      <c r="M584" s="43" t="str">
        <f>IFERROR(VLOOKUP(B584,Baza[[№]:[Profit]],10,0),"")</f>
        <v/>
      </c>
      <c r="N584" s="43" t="str">
        <f>IFERROR(IF(VLOOKUP(B584,Baza[[№]:[Profit]],11,0)=0,"-",VLOOKUP(B584,Baza[[№]:[Profit]],11,0)),"")</f>
        <v/>
      </c>
      <c r="O584" s="43" t="str">
        <f>IFERROR(IF(VLOOKUP(B584,Baza[[№]:[Profit]],12,0)=0,"-",VLOOKUP(B584,Baza[[№]:[Profit]],12,0)),"")</f>
        <v/>
      </c>
      <c r="P584" s="43" t="str">
        <f>IFERROR(IF(VLOOKUP(B584,Baza[[№]:[Profit]],13,0)=0,"-",VLOOKUP(B584,Baza[[№]:[Profit]],13,0)),"")</f>
        <v/>
      </c>
      <c r="Q584" s="43" t="str">
        <f>IFERROR(IF(VLOOKUP(B584,Baza[[№]:[Profit]],15,0)=0,"-",VLOOKUP(B584,Baza[[№]:[Profit]],15,0)),"")</f>
        <v/>
      </c>
      <c r="R584" s="43" t="str">
        <f>IFERROR(IF(VLOOKUP(B584,Baza[[№]:[Profit]],16,0)=0,"-",VLOOKUP(B584,Baza[[№]:[Profit]],16,0)),"")</f>
        <v/>
      </c>
      <c r="S584" s="43" t="str">
        <f>IFERROR(IF(VLOOKUP(B584,Baza[[№]:[Profit]],17,0)=0,"-",VLOOKUP(B584,Baza[[№]:[Profit]],17,0)),"")</f>
        <v/>
      </c>
      <c r="T584" s="43" t="str">
        <f>IFERROR(IF(VLOOKUP(B584,Baza[[№]:[Profit]],18,0)=0,"-",VLOOKUP(B584,Baza[[№]:[Profit]],18,0)),"")</f>
        <v/>
      </c>
      <c r="U584" s="41" t="str">
        <f>IFERROR(IF(VLOOKUP(B584,Baza[[№]:[Profit]],19,0)=0,"-",VLOOKUP(B584,Baza[[№]:[Profit]],19,0)),"")</f>
        <v/>
      </c>
      <c r="V584" s="41" t="str">
        <f>IFERROR(VLOOKUP(B584,Baza[[№]:[Profit]],20,0),"")</f>
        <v/>
      </c>
      <c r="W584" s="41" t="str">
        <f>IFERROR(IF(VLOOKUP(B584,Baza[[№]:[Profit]],21,0)=0,"-",VLOOKUP(B584,Baza[[№]:[Profit]],21,0)),"")</f>
        <v/>
      </c>
      <c r="X584" s="45" t="str">
        <f>IFERROR(IF(VLOOKUP(B584,Baza[[№]:[Profit]],22,0)=0,"-",VLOOKUP(B584,Baza[[№]:[Profit]],22,0)),"")</f>
        <v/>
      </c>
      <c r="Y584" s="45" t="str">
        <f>IFERROR(VLOOKUP(B584,Baza[[№]:[Profit]],23,0),"")</f>
        <v/>
      </c>
      <c r="Z584" s="44" t="str">
        <f>IFERROR(VLOOKUP(B584,Baza[[№]:[AFS]],24,0),"")</f>
        <v/>
      </c>
      <c r="AA584" s="45" t="str">
        <f>IF(Таблица2[[#This Row],[Profit]]="","#Н/Д",SUM($Y$40:Y584))</f>
        <v>#Н/Д</v>
      </c>
      <c r="AB584" s="45" t="b">
        <f>IF(Таблица2[[#This Row],[Grafik]]="#Н/Д",FALSE,TRUE)</f>
        <v>0</v>
      </c>
    </row>
    <row r="585" spans="2:28" ht="11.1" hidden="1" customHeight="1" x14ac:dyDescent="0.25">
      <c r="B585"/>
      <c r="C585" s="41" t="str">
        <f>IFERROR(VLOOKUP(B585,Baza[[№]:[Profit]],2,0),"")</f>
        <v/>
      </c>
      <c r="D58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8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85" s="43" t="str">
        <f>IFERROR(VLOOKUP(B585,Baza[[№]:[Profit]],3,0),"")</f>
        <v/>
      </c>
      <c r="G585" s="43" t="str">
        <f>IFERROR(VLOOKUP(B585,Baza[[№]:[Profit]],4,0),"")</f>
        <v/>
      </c>
      <c r="H585" s="43" t="str">
        <f>IFERROR(VLOOKUP(B585,Baza[[№]:[Profit]],5,0),"")</f>
        <v/>
      </c>
      <c r="I585" s="46" t="str">
        <f>IFERROR(VLOOKUP(B585,Baza[[№]:[Profit]],6,0),"")</f>
        <v/>
      </c>
      <c r="J585" s="49" t="str">
        <f>IFERROR(VLOOKUP(B585,Baza[[№]:[Profit]],7,0),"")</f>
        <v/>
      </c>
      <c r="K585" s="43" t="str">
        <f>IFERROR(VLOOKUP(B585,Baza[[№]:[Profit]],8,0),"")</f>
        <v/>
      </c>
      <c r="L585" s="43" t="str">
        <f>IFERROR(VLOOKUP(B585,Baza[[№]:[Profit]],9,0),"")</f>
        <v/>
      </c>
      <c r="M585" s="43" t="str">
        <f>IFERROR(VLOOKUP(B585,Baza[[№]:[Profit]],10,0),"")</f>
        <v/>
      </c>
      <c r="N585" s="43" t="str">
        <f>IFERROR(IF(VLOOKUP(B585,Baza[[№]:[Profit]],11,0)=0,"-",VLOOKUP(B585,Baza[[№]:[Profit]],11,0)),"")</f>
        <v/>
      </c>
      <c r="O585" s="43" t="str">
        <f>IFERROR(IF(VLOOKUP(B585,Baza[[№]:[Profit]],12,0)=0,"-",VLOOKUP(B585,Baza[[№]:[Profit]],12,0)),"")</f>
        <v/>
      </c>
      <c r="P585" s="43" t="str">
        <f>IFERROR(IF(VLOOKUP(B585,Baza[[№]:[Profit]],13,0)=0,"-",VLOOKUP(B585,Baza[[№]:[Profit]],13,0)),"")</f>
        <v/>
      </c>
      <c r="Q585" s="43" t="str">
        <f>IFERROR(IF(VLOOKUP(B585,Baza[[№]:[Profit]],15,0)=0,"-",VLOOKUP(B585,Baza[[№]:[Profit]],15,0)),"")</f>
        <v/>
      </c>
      <c r="R585" s="43" t="str">
        <f>IFERROR(IF(VLOOKUP(B585,Baza[[№]:[Profit]],16,0)=0,"-",VLOOKUP(B585,Baza[[№]:[Profit]],16,0)),"")</f>
        <v/>
      </c>
      <c r="S585" s="43" t="str">
        <f>IFERROR(IF(VLOOKUP(B585,Baza[[№]:[Profit]],17,0)=0,"-",VLOOKUP(B585,Baza[[№]:[Profit]],17,0)),"")</f>
        <v/>
      </c>
      <c r="T585" s="43" t="str">
        <f>IFERROR(IF(VLOOKUP(B585,Baza[[№]:[Profit]],18,0)=0,"-",VLOOKUP(B585,Baza[[№]:[Profit]],18,0)),"")</f>
        <v/>
      </c>
      <c r="U585" s="41" t="str">
        <f>IFERROR(IF(VLOOKUP(B585,Baza[[№]:[Profit]],19,0)=0,"-",VLOOKUP(B585,Baza[[№]:[Profit]],19,0)),"")</f>
        <v/>
      </c>
      <c r="V585" s="41" t="str">
        <f>IFERROR(VLOOKUP(B585,Baza[[№]:[Profit]],20,0),"")</f>
        <v/>
      </c>
      <c r="W585" s="41" t="str">
        <f>IFERROR(IF(VLOOKUP(B585,Baza[[№]:[Profit]],21,0)=0,"-",VLOOKUP(B585,Baza[[№]:[Profit]],21,0)),"")</f>
        <v/>
      </c>
      <c r="X585" s="45" t="str">
        <f>IFERROR(IF(VLOOKUP(B585,Baza[[№]:[Profit]],22,0)=0,"-",VLOOKUP(B585,Baza[[№]:[Profit]],22,0)),"")</f>
        <v/>
      </c>
      <c r="Y585" s="45" t="str">
        <f>IFERROR(VLOOKUP(B585,Baza[[№]:[Profit]],23,0),"")</f>
        <v/>
      </c>
      <c r="Z585" s="44" t="str">
        <f>IFERROR(VLOOKUP(B585,Baza[[№]:[AFS]],24,0),"")</f>
        <v/>
      </c>
      <c r="AA585" s="45" t="str">
        <f>IF(Таблица2[[#This Row],[Profit]]="","#Н/Д",SUM($Y$40:Y585))</f>
        <v>#Н/Д</v>
      </c>
      <c r="AB585" s="45" t="b">
        <f>IF(Таблица2[[#This Row],[Grafik]]="#Н/Д",FALSE,TRUE)</f>
        <v>0</v>
      </c>
    </row>
    <row r="586" spans="2:28" ht="11.1" hidden="1" customHeight="1" x14ac:dyDescent="0.25">
      <c r="B586"/>
      <c r="C586" s="41" t="str">
        <f>IFERROR(VLOOKUP(B586,Baza[[№]:[Profit]],2,0),"")</f>
        <v/>
      </c>
      <c r="D58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8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86" s="43" t="str">
        <f>IFERROR(VLOOKUP(B586,Baza[[№]:[Profit]],3,0),"")</f>
        <v/>
      </c>
      <c r="G586" s="43" t="str">
        <f>IFERROR(VLOOKUP(B586,Baza[[№]:[Profit]],4,0),"")</f>
        <v/>
      </c>
      <c r="H586" s="43" t="str">
        <f>IFERROR(VLOOKUP(B586,Baza[[№]:[Profit]],5,0),"")</f>
        <v/>
      </c>
      <c r="I586" s="46" t="str">
        <f>IFERROR(VLOOKUP(B586,Baza[[№]:[Profit]],6,0),"")</f>
        <v/>
      </c>
      <c r="J586" s="49" t="str">
        <f>IFERROR(VLOOKUP(B586,Baza[[№]:[Profit]],7,0),"")</f>
        <v/>
      </c>
      <c r="K586" s="43" t="str">
        <f>IFERROR(VLOOKUP(B586,Baza[[№]:[Profit]],8,0),"")</f>
        <v/>
      </c>
      <c r="L586" s="43" t="str">
        <f>IFERROR(VLOOKUP(B586,Baza[[№]:[Profit]],9,0),"")</f>
        <v/>
      </c>
      <c r="M586" s="43" t="str">
        <f>IFERROR(VLOOKUP(B586,Baza[[№]:[Profit]],10,0),"")</f>
        <v/>
      </c>
      <c r="N586" s="43" t="str">
        <f>IFERROR(IF(VLOOKUP(B586,Baza[[№]:[Profit]],11,0)=0,"-",VLOOKUP(B586,Baza[[№]:[Profit]],11,0)),"")</f>
        <v/>
      </c>
      <c r="O586" s="43" t="str">
        <f>IFERROR(IF(VLOOKUP(B586,Baza[[№]:[Profit]],12,0)=0,"-",VLOOKUP(B586,Baza[[№]:[Profit]],12,0)),"")</f>
        <v/>
      </c>
      <c r="P586" s="43" t="str">
        <f>IFERROR(IF(VLOOKUP(B586,Baza[[№]:[Profit]],13,0)=0,"-",VLOOKUP(B586,Baza[[№]:[Profit]],13,0)),"")</f>
        <v/>
      </c>
      <c r="Q586" s="43" t="str">
        <f>IFERROR(IF(VLOOKUP(B586,Baza[[№]:[Profit]],15,0)=0,"-",VLOOKUP(B586,Baza[[№]:[Profit]],15,0)),"")</f>
        <v/>
      </c>
      <c r="R586" s="43" t="str">
        <f>IFERROR(IF(VLOOKUP(B586,Baza[[№]:[Profit]],16,0)=0,"-",VLOOKUP(B586,Baza[[№]:[Profit]],16,0)),"")</f>
        <v/>
      </c>
      <c r="S586" s="43" t="str">
        <f>IFERROR(IF(VLOOKUP(B586,Baza[[№]:[Profit]],17,0)=0,"-",VLOOKUP(B586,Baza[[№]:[Profit]],17,0)),"")</f>
        <v/>
      </c>
      <c r="T586" s="43" t="str">
        <f>IFERROR(IF(VLOOKUP(B586,Baza[[№]:[Profit]],18,0)=0,"-",VLOOKUP(B586,Baza[[№]:[Profit]],18,0)),"")</f>
        <v/>
      </c>
      <c r="U586" s="41" t="str">
        <f>IFERROR(IF(VLOOKUP(B586,Baza[[№]:[Profit]],19,0)=0,"-",VLOOKUP(B586,Baza[[№]:[Profit]],19,0)),"")</f>
        <v/>
      </c>
      <c r="V586" s="41" t="str">
        <f>IFERROR(VLOOKUP(B586,Baza[[№]:[Profit]],20,0),"")</f>
        <v/>
      </c>
      <c r="W586" s="41" t="str">
        <f>IFERROR(IF(VLOOKUP(B586,Baza[[№]:[Profit]],21,0)=0,"-",VLOOKUP(B586,Baza[[№]:[Profit]],21,0)),"")</f>
        <v/>
      </c>
      <c r="X586" s="45" t="str">
        <f>IFERROR(IF(VLOOKUP(B586,Baza[[№]:[Profit]],22,0)=0,"-",VLOOKUP(B586,Baza[[№]:[Profit]],22,0)),"")</f>
        <v/>
      </c>
      <c r="Y586" s="45" t="str">
        <f>IFERROR(VLOOKUP(B586,Baza[[№]:[Profit]],23,0),"")</f>
        <v/>
      </c>
      <c r="Z586" s="44" t="str">
        <f>IFERROR(VLOOKUP(B586,Baza[[№]:[AFS]],24,0),"")</f>
        <v/>
      </c>
      <c r="AA586" s="45" t="str">
        <f>IF(Таблица2[[#This Row],[Profit]]="","#Н/Д",SUM($Y$40:Y586))</f>
        <v>#Н/Д</v>
      </c>
      <c r="AB586" s="45" t="b">
        <f>IF(Таблица2[[#This Row],[Grafik]]="#Н/Д",FALSE,TRUE)</f>
        <v>0</v>
      </c>
    </row>
    <row r="587" spans="2:28" ht="11.1" hidden="1" customHeight="1" x14ac:dyDescent="0.25">
      <c r="B587"/>
      <c r="C587" s="41" t="str">
        <f>IFERROR(VLOOKUP(B587,Baza[[№]:[Profit]],2,0),"")</f>
        <v/>
      </c>
      <c r="D58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8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87" s="43" t="str">
        <f>IFERROR(VLOOKUP(B587,Baza[[№]:[Profit]],3,0),"")</f>
        <v/>
      </c>
      <c r="G587" s="43" t="str">
        <f>IFERROR(VLOOKUP(B587,Baza[[№]:[Profit]],4,0),"")</f>
        <v/>
      </c>
      <c r="H587" s="43" t="str">
        <f>IFERROR(VLOOKUP(B587,Baza[[№]:[Profit]],5,0),"")</f>
        <v/>
      </c>
      <c r="I587" s="46" t="str">
        <f>IFERROR(VLOOKUP(B587,Baza[[№]:[Profit]],6,0),"")</f>
        <v/>
      </c>
      <c r="J587" s="49" t="str">
        <f>IFERROR(VLOOKUP(B587,Baza[[№]:[Profit]],7,0),"")</f>
        <v/>
      </c>
      <c r="K587" s="43" t="str">
        <f>IFERROR(VLOOKUP(B587,Baza[[№]:[Profit]],8,0),"")</f>
        <v/>
      </c>
      <c r="L587" s="43" t="str">
        <f>IFERROR(VLOOKUP(B587,Baza[[№]:[Profit]],9,0),"")</f>
        <v/>
      </c>
      <c r="M587" s="43" t="str">
        <f>IFERROR(VLOOKUP(B587,Baza[[№]:[Profit]],10,0),"")</f>
        <v/>
      </c>
      <c r="N587" s="43" t="str">
        <f>IFERROR(IF(VLOOKUP(B587,Baza[[№]:[Profit]],11,0)=0,"-",VLOOKUP(B587,Baza[[№]:[Profit]],11,0)),"")</f>
        <v/>
      </c>
      <c r="O587" s="43" t="str">
        <f>IFERROR(IF(VLOOKUP(B587,Baza[[№]:[Profit]],12,0)=0,"-",VLOOKUP(B587,Baza[[№]:[Profit]],12,0)),"")</f>
        <v/>
      </c>
      <c r="P587" s="43" t="str">
        <f>IFERROR(IF(VLOOKUP(B587,Baza[[№]:[Profit]],13,0)=0,"-",VLOOKUP(B587,Baza[[№]:[Profit]],13,0)),"")</f>
        <v/>
      </c>
      <c r="Q587" s="43" t="str">
        <f>IFERROR(IF(VLOOKUP(B587,Baza[[№]:[Profit]],15,0)=0,"-",VLOOKUP(B587,Baza[[№]:[Profit]],15,0)),"")</f>
        <v/>
      </c>
      <c r="R587" s="43" t="str">
        <f>IFERROR(IF(VLOOKUP(B587,Baza[[№]:[Profit]],16,0)=0,"-",VLOOKUP(B587,Baza[[№]:[Profit]],16,0)),"")</f>
        <v/>
      </c>
      <c r="S587" s="43" t="str">
        <f>IFERROR(IF(VLOOKUP(B587,Baza[[№]:[Profit]],17,0)=0,"-",VLOOKUP(B587,Baza[[№]:[Profit]],17,0)),"")</f>
        <v/>
      </c>
      <c r="T587" s="43" t="str">
        <f>IFERROR(IF(VLOOKUP(B587,Baza[[№]:[Profit]],18,0)=0,"-",VLOOKUP(B587,Baza[[№]:[Profit]],18,0)),"")</f>
        <v/>
      </c>
      <c r="U587" s="41" t="str">
        <f>IFERROR(IF(VLOOKUP(B587,Baza[[№]:[Profit]],19,0)=0,"-",VLOOKUP(B587,Baza[[№]:[Profit]],19,0)),"")</f>
        <v/>
      </c>
      <c r="V587" s="41" t="str">
        <f>IFERROR(VLOOKUP(B587,Baza[[№]:[Profit]],20,0),"")</f>
        <v/>
      </c>
      <c r="W587" s="41" t="str">
        <f>IFERROR(IF(VLOOKUP(B587,Baza[[№]:[Profit]],21,0)=0,"-",VLOOKUP(B587,Baza[[№]:[Profit]],21,0)),"")</f>
        <v/>
      </c>
      <c r="X587" s="45" t="str">
        <f>IFERROR(IF(VLOOKUP(B587,Baza[[№]:[Profit]],22,0)=0,"-",VLOOKUP(B587,Baza[[№]:[Profit]],22,0)),"")</f>
        <v/>
      </c>
      <c r="Y587" s="45" t="str">
        <f>IFERROR(VLOOKUP(B587,Baza[[№]:[Profit]],23,0),"")</f>
        <v/>
      </c>
      <c r="Z587" s="44" t="str">
        <f>IFERROR(VLOOKUP(B587,Baza[[№]:[AFS]],24,0),"")</f>
        <v/>
      </c>
      <c r="AA587" s="45" t="str">
        <f>IF(Таблица2[[#This Row],[Profit]]="","#Н/Д",SUM($Y$40:Y587))</f>
        <v>#Н/Д</v>
      </c>
      <c r="AB587" s="45" t="b">
        <f>IF(Таблица2[[#This Row],[Grafik]]="#Н/Д",FALSE,TRUE)</f>
        <v>0</v>
      </c>
    </row>
    <row r="588" spans="2:28" ht="11.1" hidden="1" customHeight="1" x14ac:dyDescent="0.25">
      <c r="B588"/>
      <c r="C588" s="41" t="str">
        <f>IFERROR(VLOOKUP(B588,Baza[[№]:[Profit]],2,0),"")</f>
        <v/>
      </c>
      <c r="D58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8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88" s="43" t="str">
        <f>IFERROR(VLOOKUP(B588,Baza[[№]:[Profit]],3,0),"")</f>
        <v/>
      </c>
      <c r="G588" s="43" t="str">
        <f>IFERROR(VLOOKUP(B588,Baza[[№]:[Profit]],4,0),"")</f>
        <v/>
      </c>
      <c r="H588" s="43" t="str">
        <f>IFERROR(VLOOKUP(B588,Baza[[№]:[Profit]],5,0),"")</f>
        <v/>
      </c>
      <c r="I588" s="46" t="str">
        <f>IFERROR(VLOOKUP(B588,Baza[[№]:[Profit]],6,0),"")</f>
        <v/>
      </c>
      <c r="J588" s="49" t="str">
        <f>IFERROR(VLOOKUP(B588,Baza[[№]:[Profit]],7,0),"")</f>
        <v/>
      </c>
      <c r="K588" s="43" t="str">
        <f>IFERROR(VLOOKUP(B588,Baza[[№]:[Profit]],8,0),"")</f>
        <v/>
      </c>
      <c r="L588" s="43" t="str">
        <f>IFERROR(VLOOKUP(B588,Baza[[№]:[Profit]],9,0),"")</f>
        <v/>
      </c>
      <c r="M588" s="43" t="str">
        <f>IFERROR(VLOOKUP(B588,Baza[[№]:[Profit]],10,0),"")</f>
        <v/>
      </c>
      <c r="N588" s="43" t="str">
        <f>IFERROR(IF(VLOOKUP(B588,Baza[[№]:[Profit]],11,0)=0,"-",VLOOKUP(B588,Baza[[№]:[Profit]],11,0)),"")</f>
        <v/>
      </c>
      <c r="O588" s="43" t="str">
        <f>IFERROR(IF(VLOOKUP(B588,Baza[[№]:[Profit]],12,0)=0,"-",VLOOKUP(B588,Baza[[№]:[Profit]],12,0)),"")</f>
        <v/>
      </c>
      <c r="P588" s="43" t="str">
        <f>IFERROR(IF(VLOOKUP(B588,Baza[[№]:[Profit]],13,0)=0,"-",VLOOKUP(B588,Baza[[№]:[Profit]],13,0)),"")</f>
        <v/>
      </c>
      <c r="Q588" s="43" t="str">
        <f>IFERROR(IF(VLOOKUP(B588,Baza[[№]:[Profit]],15,0)=0,"-",VLOOKUP(B588,Baza[[№]:[Profit]],15,0)),"")</f>
        <v/>
      </c>
      <c r="R588" s="43" t="str">
        <f>IFERROR(IF(VLOOKUP(B588,Baza[[№]:[Profit]],16,0)=0,"-",VLOOKUP(B588,Baza[[№]:[Profit]],16,0)),"")</f>
        <v/>
      </c>
      <c r="S588" s="43" t="str">
        <f>IFERROR(IF(VLOOKUP(B588,Baza[[№]:[Profit]],17,0)=0,"-",VLOOKUP(B588,Baza[[№]:[Profit]],17,0)),"")</f>
        <v/>
      </c>
      <c r="T588" s="43" t="str">
        <f>IFERROR(IF(VLOOKUP(B588,Baza[[№]:[Profit]],18,0)=0,"-",VLOOKUP(B588,Baza[[№]:[Profit]],18,0)),"")</f>
        <v/>
      </c>
      <c r="U588" s="41" t="str">
        <f>IFERROR(IF(VLOOKUP(B588,Baza[[№]:[Profit]],19,0)=0,"-",VLOOKUP(B588,Baza[[№]:[Profit]],19,0)),"")</f>
        <v/>
      </c>
      <c r="V588" s="41" t="str">
        <f>IFERROR(VLOOKUP(B588,Baza[[№]:[Profit]],20,0),"")</f>
        <v/>
      </c>
      <c r="W588" s="41" t="str">
        <f>IFERROR(IF(VLOOKUP(B588,Baza[[№]:[Profit]],21,0)=0,"-",VLOOKUP(B588,Baza[[№]:[Profit]],21,0)),"")</f>
        <v/>
      </c>
      <c r="X588" s="45" t="str">
        <f>IFERROR(IF(VLOOKUP(B588,Baza[[№]:[Profit]],22,0)=0,"-",VLOOKUP(B588,Baza[[№]:[Profit]],22,0)),"")</f>
        <v/>
      </c>
      <c r="Y588" s="45" t="str">
        <f>IFERROR(VLOOKUP(B588,Baza[[№]:[Profit]],23,0),"")</f>
        <v/>
      </c>
      <c r="Z588" s="44" t="str">
        <f>IFERROR(VLOOKUP(B588,Baza[[№]:[AFS]],24,0),"")</f>
        <v/>
      </c>
      <c r="AA588" s="45" t="str">
        <f>IF(Таблица2[[#This Row],[Profit]]="","#Н/Д",SUM($Y$40:Y588))</f>
        <v>#Н/Д</v>
      </c>
      <c r="AB588" s="45" t="b">
        <f>IF(Таблица2[[#This Row],[Grafik]]="#Н/Д",FALSE,TRUE)</f>
        <v>0</v>
      </c>
    </row>
    <row r="589" spans="2:28" ht="11.1" hidden="1" customHeight="1" x14ac:dyDescent="0.25">
      <c r="B589"/>
      <c r="C589" s="41" t="str">
        <f>IFERROR(VLOOKUP(B589,Baza[[№]:[Profit]],2,0),"")</f>
        <v/>
      </c>
      <c r="D58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8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89" s="43" t="str">
        <f>IFERROR(VLOOKUP(B589,Baza[[№]:[Profit]],3,0),"")</f>
        <v/>
      </c>
      <c r="G589" s="43" t="str">
        <f>IFERROR(VLOOKUP(B589,Baza[[№]:[Profit]],4,0),"")</f>
        <v/>
      </c>
      <c r="H589" s="43" t="str">
        <f>IFERROR(VLOOKUP(B589,Baza[[№]:[Profit]],5,0),"")</f>
        <v/>
      </c>
      <c r="I589" s="46" t="str">
        <f>IFERROR(VLOOKUP(B589,Baza[[№]:[Profit]],6,0),"")</f>
        <v/>
      </c>
      <c r="J589" s="49" t="str">
        <f>IFERROR(VLOOKUP(B589,Baza[[№]:[Profit]],7,0),"")</f>
        <v/>
      </c>
      <c r="K589" s="43" t="str">
        <f>IFERROR(VLOOKUP(B589,Baza[[№]:[Profit]],8,0),"")</f>
        <v/>
      </c>
      <c r="L589" s="43" t="str">
        <f>IFERROR(VLOOKUP(B589,Baza[[№]:[Profit]],9,0),"")</f>
        <v/>
      </c>
      <c r="M589" s="43" t="str">
        <f>IFERROR(VLOOKUP(B589,Baza[[№]:[Profit]],10,0),"")</f>
        <v/>
      </c>
      <c r="N589" s="43" t="str">
        <f>IFERROR(IF(VLOOKUP(B589,Baza[[№]:[Profit]],11,0)=0,"-",VLOOKUP(B589,Baza[[№]:[Profit]],11,0)),"")</f>
        <v/>
      </c>
      <c r="O589" s="43" t="str">
        <f>IFERROR(IF(VLOOKUP(B589,Baza[[№]:[Profit]],12,0)=0,"-",VLOOKUP(B589,Baza[[№]:[Profit]],12,0)),"")</f>
        <v/>
      </c>
      <c r="P589" s="43" t="str">
        <f>IFERROR(IF(VLOOKUP(B589,Baza[[№]:[Profit]],13,0)=0,"-",VLOOKUP(B589,Baza[[№]:[Profit]],13,0)),"")</f>
        <v/>
      </c>
      <c r="Q589" s="43" t="str">
        <f>IFERROR(IF(VLOOKUP(B589,Baza[[№]:[Profit]],15,0)=0,"-",VLOOKUP(B589,Baza[[№]:[Profit]],15,0)),"")</f>
        <v/>
      </c>
      <c r="R589" s="43" t="str">
        <f>IFERROR(IF(VLOOKUP(B589,Baza[[№]:[Profit]],16,0)=0,"-",VLOOKUP(B589,Baza[[№]:[Profit]],16,0)),"")</f>
        <v/>
      </c>
      <c r="S589" s="43" t="str">
        <f>IFERROR(IF(VLOOKUP(B589,Baza[[№]:[Profit]],17,0)=0,"-",VLOOKUP(B589,Baza[[№]:[Profit]],17,0)),"")</f>
        <v/>
      </c>
      <c r="T589" s="43" t="str">
        <f>IFERROR(IF(VLOOKUP(B589,Baza[[№]:[Profit]],18,0)=0,"-",VLOOKUP(B589,Baza[[№]:[Profit]],18,0)),"")</f>
        <v/>
      </c>
      <c r="U589" s="41" t="str">
        <f>IFERROR(IF(VLOOKUP(B589,Baza[[№]:[Profit]],19,0)=0,"-",VLOOKUP(B589,Baza[[№]:[Profit]],19,0)),"")</f>
        <v/>
      </c>
      <c r="V589" s="41" t="str">
        <f>IFERROR(VLOOKUP(B589,Baza[[№]:[Profit]],20,0),"")</f>
        <v/>
      </c>
      <c r="W589" s="41" t="str">
        <f>IFERROR(IF(VLOOKUP(B589,Baza[[№]:[Profit]],21,0)=0,"-",VLOOKUP(B589,Baza[[№]:[Profit]],21,0)),"")</f>
        <v/>
      </c>
      <c r="X589" s="45" t="str">
        <f>IFERROR(IF(VLOOKUP(B589,Baza[[№]:[Profit]],22,0)=0,"-",VLOOKUP(B589,Baza[[№]:[Profit]],22,0)),"")</f>
        <v/>
      </c>
      <c r="Y589" s="45" t="str">
        <f>IFERROR(VLOOKUP(B589,Baza[[№]:[Profit]],23,0),"")</f>
        <v/>
      </c>
      <c r="Z589" s="44" t="str">
        <f>IFERROR(VLOOKUP(B589,Baza[[№]:[AFS]],24,0),"")</f>
        <v/>
      </c>
      <c r="AA589" s="45" t="str">
        <f>IF(Таблица2[[#This Row],[Profit]]="","#Н/Д",SUM($Y$40:Y589))</f>
        <v>#Н/Д</v>
      </c>
      <c r="AB589" s="45" t="b">
        <f>IF(Таблица2[[#This Row],[Grafik]]="#Н/Д",FALSE,TRUE)</f>
        <v>0</v>
      </c>
    </row>
    <row r="590" spans="2:28" ht="11.1" hidden="1" customHeight="1" x14ac:dyDescent="0.25">
      <c r="B590"/>
      <c r="C590" s="41" t="str">
        <f>IFERROR(VLOOKUP(B590,Baza[[№]:[Profit]],2,0),"")</f>
        <v/>
      </c>
      <c r="D59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9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90" s="43" t="str">
        <f>IFERROR(VLOOKUP(B590,Baza[[№]:[Profit]],3,0),"")</f>
        <v/>
      </c>
      <c r="G590" s="43" t="str">
        <f>IFERROR(VLOOKUP(B590,Baza[[№]:[Profit]],4,0),"")</f>
        <v/>
      </c>
      <c r="H590" s="43" t="str">
        <f>IFERROR(VLOOKUP(B590,Baza[[№]:[Profit]],5,0),"")</f>
        <v/>
      </c>
      <c r="I590" s="46" t="str">
        <f>IFERROR(VLOOKUP(B590,Baza[[№]:[Profit]],6,0),"")</f>
        <v/>
      </c>
      <c r="J590" s="49" t="str">
        <f>IFERROR(VLOOKUP(B590,Baza[[№]:[Profit]],7,0),"")</f>
        <v/>
      </c>
      <c r="K590" s="43" t="str">
        <f>IFERROR(VLOOKUP(B590,Baza[[№]:[Profit]],8,0),"")</f>
        <v/>
      </c>
      <c r="L590" s="43" t="str">
        <f>IFERROR(VLOOKUP(B590,Baza[[№]:[Profit]],9,0),"")</f>
        <v/>
      </c>
      <c r="M590" s="43" t="str">
        <f>IFERROR(VLOOKUP(B590,Baza[[№]:[Profit]],10,0),"")</f>
        <v/>
      </c>
      <c r="N590" s="43" t="str">
        <f>IFERROR(IF(VLOOKUP(B590,Baza[[№]:[Profit]],11,0)=0,"-",VLOOKUP(B590,Baza[[№]:[Profit]],11,0)),"")</f>
        <v/>
      </c>
      <c r="O590" s="43" t="str">
        <f>IFERROR(IF(VLOOKUP(B590,Baza[[№]:[Profit]],12,0)=0,"-",VLOOKUP(B590,Baza[[№]:[Profit]],12,0)),"")</f>
        <v/>
      </c>
      <c r="P590" s="43" t="str">
        <f>IFERROR(IF(VLOOKUP(B590,Baza[[№]:[Profit]],13,0)=0,"-",VLOOKUP(B590,Baza[[№]:[Profit]],13,0)),"")</f>
        <v/>
      </c>
      <c r="Q590" s="43" t="str">
        <f>IFERROR(IF(VLOOKUP(B590,Baza[[№]:[Profit]],15,0)=0,"-",VLOOKUP(B590,Baza[[№]:[Profit]],15,0)),"")</f>
        <v/>
      </c>
      <c r="R590" s="43" t="str">
        <f>IFERROR(IF(VLOOKUP(B590,Baza[[№]:[Profit]],16,0)=0,"-",VLOOKUP(B590,Baza[[№]:[Profit]],16,0)),"")</f>
        <v/>
      </c>
      <c r="S590" s="43" t="str">
        <f>IFERROR(IF(VLOOKUP(B590,Baza[[№]:[Profit]],17,0)=0,"-",VLOOKUP(B590,Baza[[№]:[Profit]],17,0)),"")</f>
        <v/>
      </c>
      <c r="T590" s="43" t="str">
        <f>IFERROR(IF(VLOOKUP(B590,Baza[[№]:[Profit]],18,0)=0,"-",VLOOKUP(B590,Baza[[№]:[Profit]],18,0)),"")</f>
        <v/>
      </c>
      <c r="U590" s="41" t="str">
        <f>IFERROR(IF(VLOOKUP(B590,Baza[[№]:[Profit]],19,0)=0,"-",VLOOKUP(B590,Baza[[№]:[Profit]],19,0)),"")</f>
        <v/>
      </c>
      <c r="V590" s="41" t="str">
        <f>IFERROR(VLOOKUP(B590,Baza[[№]:[Profit]],20,0),"")</f>
        <v/>
      </c>
      <c r="W590" s="41" t="str">
        <f>IFERROR(IF(VLOOKUP(B590,Baza[[№]:[Profit]],21,0)=0,"-",VLOOKUP(B590,Baza[[№]:[Profit]],21,0)),"")</f>
        <v/>
      </c>
      <c r="X590" s="45" t="str">
        <f>IFERROR(IF(VLOOKUP(B590,Baza[[№]:[Profit]],22,0)=0,"-",VLOOKUP(B590,Baza[[№]:[Profit]],22,0)),"")</f>
        <v/>
      </c>
      <c r="Y590" s="45" t="str">
        <f>IFERROR(VLOOKUP(B590,Baza[[№]:[Profit]],23,0),"")</f>
        <v/>
      </c>
      <c r="Z590" s="44" t="str">
        <f>IFERROR(VLOOKUP(B590,Baza[[№]:[AFS]],24,0),"")</f>
        <v/>
      </c>
      <c r="AA590" s="45" t="str">
        <f>IF(Таблица2[[#This Row],[Profit]]="","#Н/Д",SUM($Y$40:Y590))</f>
        <v>#Н/Д</v>
      </c>
      <c r="AB590" s="45" t="b">
        <f>IF(Таблица2[[#This Row],[Grafik]]="#Н/Д",FALSE,TRUE)</f>
        <v>0</v>
      </c>
    </row>
    <row r="591" spans="2:28" ht="11.1" hidden="1" customHeight="1" x14ac:dyDescent="0.25">
      <c r="B591"/>
      <c r="C591" s="41" t="str">
        <f>IFERROR(VLOOKUP(B591,Baza[[№]:[Profit]],2,0),"")</f>
        <v/>
      </c>
      <c r="D59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9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91" s="43" t="str">
        <f>IFERROR(VLOOKUP(B591,Baza[[№]:[Profit]],3,0),"")</f>
        <v/>
      </c>
      <c r="G591" s="43" t="str">
        <f>IFERROR(VLOOKUP(B591,Baza[[№]:[Profit]],4,0),"")</f>
        <v/>
      </c>
      <c r="H591" s="43" t="str">
        <f>IFERROR(VLOOKUP(B591,Baza[[№]:[Profit]],5,0),"")</f>
        <v/>
      </c>
      <c r="I591" s="46" t="str">
        <f>IFERROR(VLOOKUP(B591,Baza[[№]:[Profit]],6,0),"")</f>
        <v/>
      </c>
      <c r="J591" s="49" t="str">
        <f>IFERROR(VLOOKUP(B591,Baza[[№]:[Profit]],7,0),"")</f>
        <v/>
      </c>
      <c r="K591" s="43" t="str">
        <f>IFERROR(VLOOKUP(B591,Baza[[№]:[Profit]],8,0),"")</f>
        <v/>
      </c>
      <c r="L591" s="43" t="str">
        <f>IFERROR(VLOOKUP(B591,Baza[[№]:[Profit]],9,0),"")</f>
        <v/>
      </c>
      <c r="M591" s="43" t="str">
        <f>IFERROR(VLOOKUP(B591,Baza[[№]:[Profit]],10,0),"")</f>
        <v/>
      </c>
      <c r="N591" s="43" t="str">
        <f>IFERROR(IF(VLOOKUP(B591,Baza[[№]:[Profit]],11,0)=0,"-",VLOOKUP(B591,Baza[[№]:[Profit]],11,0)),"")</f>
        <v/>
      </c>
      <c r="O591" s="43" t="str">
        <f>IFERROR(IF(VLOOKUP(B591,Baza[[№]:[Profit]],12,0)=0,"-",VLOOKUP(B591,Baza[[№]:[Profit]],12,0)),"")</f>
        <v/>
      </c>
      <c r="P591" s="43" t="str">
        <f>IFERROR(IF(VLOOKUP(B591,Baza[[№]:[Profit]],13,0)=0,"-",VLOOKUP(B591,Baza[[№]:[Profit]],13,0)),"")</f>
        <v/>
      </c>
      <c r="Q591" s="43" t="str">
        <f>IFERROR(IF(VLOOKUP(B591,Baza[[№]:[Profit]],15,0)=0,"-",VLOOKUP(B591,Baza[[№]:[Profit]],15,0)),"")</f>
        <v/>
      </c>
      <c r="R591" s="43" t="str">
        <f>IFERROR(IF(VLOOKUP(B591,Baza[[№]:[Profit]],16,0)=0,"-",VLOOKUP(B591,Baza[[№]:[Profit]],16,0)),"")</f>
        <v/>
      </c>
      <c r="S591" s="43" t="str">
        <f>IFERROR(IF(VLOOKUP(B591,Baza[[№]:[Profit]],17,0)=0,"-",VLOOKUP(B591,Baza[[№]:[Profit]],17,0)),"")</f>
        <v/>
      </c>
      <c r="T591" s="43" t="str">
        <f>IFERROR(IF(VLOOKUP(B591,Baza[[№]:[Profit]],18,0)=0,"-",VLOOKUP(B591,Baza[[№]:[Profit]],18,0)),"")</f>
        <v/>
      </c>
      <c r="U591" s="41" t="str">
        <f>IFERROR(IF(VLOOKUP(B591,Baza[[№]:[Profit]],19,0)=0,"-",VLOOKUP(B591,Baza[[№]:[Profit]],19,0)),"")</f>
        <v/>
      </c>
      <c r="V591" s="41" t="str">
        <f>IFERROR(VLOOKUP(B591,Baza[[№]:[Profit]],20,0),"")</f>
        <v/>
      </c>
      <c r="W591" s="41" t="str">
        <f>IFERROR(IF(VLOOKUP(B591,Baza[[№]:[Profit]],21,0)=0,"-",VLOOKUP(B591,Baza[[№]:[Profit]],21,0)),"")</f>
        <v/>
      </c>
      <c r="X591" s="45" t="str">
        <f>IFERROR(IF(VLOOKUP(B591,Baza[[№]:[Profit]],22,0)=0,"-",VLOOKUP(B591,Baza[[№]:[Profit]],22,0)),"")</f>
        <v/>
      </c>
      <c r="Y591" s="45" t="str">
        <f>IFERROR(VLOOKUP(B591,Baza[[№]:[Profit]],23,0),"")</f>
        <v/>
      </c>
      <c r="Z591" s="44" t="str">
        <f>IFERROR(VLOOKUP(B591,Baza[[№]:[AFS]],24,0),"")</f>
        <v/>
      </c>
      <c r="AA591" s="45" t="str">
        <f>IF(Таблица2[[#This Row],[Profit]]="","#Н/Д",SUM($Y$40:Y591))</f>
        <v>#Н/Д</v>
      </c>
      <c r="AB591" s="45" t="b">
        <f>IF(Таблица2[[#This Row],[Grafik]]="#Н/Д",FALSE,TRUE)</f>
        <v>0</v>
      </c>
    </row>
    <row r="592" spans="2:28" ht="11.1" hidden="1" customHeight="1" x14ac:dyDescent="0.25">
      <c r="B592"/>
      <c r="C592" s="35" t="str">
        <f>IFERROR(VLOOKUP(B592,Baza[[№]:[Profit]],2,0),"")</f>
        <v/>
      </c>
      <c r="D592" s="3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92" s="3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92" s="38" t="str">
        <f>IFERROR(VLOOKUP(B592,Baza[[№]:[Profit]],3,0),"")</f>
        <v/>
      </c>
      <c r="G592" s="38" t="str">
        <f>IFERROR(VLOOKUP(B592,Baza[[№]:[Profit]],4,0),"")</f>
        <v/>
      </c>
      <c r="H592" s="38" t="str">
        <f>IFERROR(VLOOKUP(B592,Baza[[№]:[Profit]],5,0),"")</f>
        <v/>
      </c>
      <c r="I592" s="36" t="str">
        <f>IFERROR(VLOOKUP(B592,Baza[[№]:[Profit]],6,0),"")</f>
        <v/>
      </c>
      <c r="J592" s="91" t="str">
        <f>IFERROR(VLOOKUP(B592,Baza[[№]:[Profit]],7,0),"")</f>
        <v/>
      </c>
      <c r="K592" s="38" t="str">
        <f>IFERROR(VLOOKUP(B592,Baza[[№]:[Profit]],8,0),"")</f>
        <v/>
      </c>
      <c r="L592" s="38" t="str">
        <f>IFERROR(VLOOKUP(B592,Baza[[№]:[Profit]],9,0),"")</f>
        <v/>
      </c>
      <c r="M592" s="38" t="str">
        <f>IFERROR(VLOOKUP(B592,Baza[[№]:[Profit]],10,0),"")</f>
        <v/>
      </c>
      <c r="N592" s="38" t="str">
        <f>IFERROR(IF(VLOOKUP(B592,Baza[[№]:[Profit]],11,0)=0,"-",VLOOKUP(B592,Baza[[№]:[Profit]],11,0)),"")</f>
        <v/>
      </c>
      <c r="O592" s="38" t="str">
        <f>IFERROR(IF(VLOOKUP(B592,Baza[[№]:[Profit]],12,0)=0,"-",VLOOKUP(B592,Baza[[№]:[Profit]],12,0)),"")</f>
        <v/>
      </c>
      <c r="P592" s="38" t="str">
        <f>IFERROR(IF(VLOOKUP(B592,Baza[[№]:[Profit]],13,0)=0,"-",VLOOKUP(B592,Baza[[№]:[Profit]],13,0)),"")</f>
        <v/>
      </c>
      <c r="Q592" s="38" t="str">
        <f>IFERROR(IF(VLOOKUP(B592,Baza[[№]:[Profit]],15,0)=0,"-",VLOOKUP(B592,Baza[[№]:[Profit]],15,0)),"")</f>
        <v/>
      </c>
      <c r="R592" s="38" t="str">
        <f>IFERROR(IF(VLOOKUP(B592,Baza[[№]:[Profit]],16,0)=0,"-",VLOOKUP(B592,Baza[[№]:[Profit]],16,0)),"")</f>
        <v/>
      </c>
      <c r="S592" s="38" t="str">
        <f>IFERROR(IF(VLOOKUP(B592,Baza[[№]:[Profit]],17,0)=0,"-",VLOOKUP(B592,Baza[[№]:[Profit]],17,0)),"")</f>
        <v/>
      </c>
      <c r="T592" s="38" t="str">
        <f>IFERROR(IF(VLOOKUP(B592,Baza[[№]:[Profit]],18,0)=0,"-",VLOOKUP(B592,Baza[[№]:[Profit]],18,0)),"")</f>
        <v/>
      </c>
      <c r="U592" s="35" t="str">
        <f>IFERROR(IF(VLOOKUP(B592,Baza[[№]:[Profit]],19,0)=0,"-",VLOOKUP(B592,Baza[[№]:[Profit]],19,0)),"")</f>
        <v/>
      </c>
      <c r="V592" s="35" t="str">
        <f>IFERROR(VLOOKUP(B592,Baza[[№]:[Profit]],20,0),"")</f>
        <v/>
      </c>
      <c r="W592" s="35" t="str">
        <f>IFERROR(IF(VLOOKUP(B592,Baza[[№]:[Profit]],21,0)=0,"-",VLOOKUP(B592,Baza[[№]:[Profit]],21,0)),"")</f>
        <v/>
      </c>
      <c r="X592" s="40" t="str">
        <f>IFERROR(IF(VLOOKUP(B592,Baza[[№]:[Profit]],22,0)=0,"-",VLOOKUP(B592,Baza[[№]:[Profit]],22,0)),"")</f>
        <v/>
      </c>
      <c r="Y592" s="40" t="str">
        <f>IFERROR(VLOOKUP(B592,Baza[[№]:[Profit]],23,0),"")</f>
        <v/>
      </c>
      <c r="Z592" s="39" t="str">
        <f>IFERROR(VLOOKUP(B592,Baza[[№]:[AFS]],24,0),"")</f>
        <v/>
      </c>
      <c r="AA592" s="45" t="str">
        <f>IF(Таблица2[[#This Row],[Profit]]="","#Н/Д",SUM($Y$40:Y592))</f>
        <v>#Н/Д</v>
      </c>
      <c r="AB592" s="40" t="b">
        <f>IF(Таблица2[[#This Row],[Grafik]]="#Н/Д",FALSE,TRUE)</f>
        <v>0</v>
      </c>
    </row>
    <row r="593" spans="2:28" ht="11.1" hidden="1" customHeight="1" x14ac:dyDescent="0.25">
      <c r="B593"/>
      <c r="C593" s="41" t="str">
        <f>IFERROR(VLOOKUP(B593,Baza[[№]:[Profit]],2,0),"")</f>
        <v/>
      </c>
      <c r="D59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9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93" s="43" t="str">
        <f>IFERROR(VLOOKUP(B593,Baza[[№]:[Profit]],3,0),"")</f>
        <v/>
      </c>
      <c r="G593" s="43" t="str">
        <f>IFERROR(VLOOKUP(B593,Baza[[№]:[Profit]],4,0),"")</f>
        <v/>
      </c>
      <c r="H593" s="43" t="str">
        <f>IFERROR(VLOOKUP(B593,Baza[[№]:[Profit]],5,0),"")</f>
        <v/>
      </c>
      <c r="I593" s="46" t="str">
        <f>IFERROR(VLOOKUP(B593,Baza[[№]:[Profit]],6,0),"")</f>
        <v/>
      </c>
      <c r="J593" s="49" t="str">
        <f>IFERROR(VLOOKUP(B593,Baza[[№]:[Profit]],7,0),"")</f>
        <v/>
      </c>
      <c r="K593" s="43" t="str">
        <f>IFERROR(VLOOKUP(B593,Baza[[№]:[Profit]],8,0),"")</f>
        <v/>
      </c>
      <c r="L593" s="43" t="str">
        <f>IFERROR(VLOOKUP(B593,Baza[[№]:[Profit]],9,0),"")</f>
        <v/>
      </c>
      <c r="M593" s="43" t="str">
        <f>IFERROR(VLOOKUP(B593,Baza[[№]:[Profit]],10,0),"")</f>
        <v/>
      </c>
      <c r="N593" s="43" t="str">
        <f>IFERROR(IF(VLOOKUP(B593,Baza[[№]:[Profit]],11,0)=0,"-",VLOOKUP(B593,Baza[[№]:[Profit]],11,0)),"")</f>
        <v/>
      </c>
      <c r="O593" s="43" t="str">
        <f>IFERROR(IF(VLOOKUP(B593,Baza[[№]:[Profit]],12,0)=0,"-",VLOOKUP(B593,Baza[[№]:[Profit]],12,0)),"")</f>
        <v/>
      </c>
      <c r="P593" s="43" t="str">
        <f>IFERROR(IF(VLOOKUP(B593,Baza[[№]:[Profit]],13,0)=0,"-",VLOOKUP(B593,Baza[[№]:[Profit]],13,0)),"")</f>
        <v/>
      </c>
      <c r="Q593" s="43" t="str">
        <f>IFERROR(IF(VLOOKUP(B593,Baza[[№]:[Profit]],15,0)=0,"-",VLOOKUP(B593,Baza[[№]:[Profit]],15,0)),"")</f>
        <v/>
      </c>
      <c r="R593" s="43" t="str">
        <f>IFERROR(IF(VLOOKUP(B593,Baza[[№]:[Profit]],16,0)=0,"-",VLOOKUP(B593,Baza[[№]:[Profit]],16,0)),"")</f>
        <v/>
      </c>
      <c r="S593" s="43" t="str">
        <f>IFERROR(IF(VLOOKUP(B593,Baza[[№]:[Profit]],17,0)=0,"-",VLOOKUP(B593,Baza[[№]:[Profit]],17,0)),"")</f>
        <v/>
      </c>
      <c r="T593" s="43" t="str">
        <f>IFERROR(IF(VLOOKUP(B593,Baza[[№]:[Profit]],18,0)=0,"-",VLOOKUP(B593,Baza[[№]:[Profit]],18,0)),"")</f>
        <v/>
      </c>
      <c r="U593" s="41" t="str">
        <f>IFERROR(IF(VLOOKUP(B593,Baza[[№]:[Profit]],19,0)=0,"-",VLOOKUP(B593,Baza[[№]:[Profit]],19,0)),"")</f>
        <v/>
      </c>
      <c r="V593" s="41" t="str">
        <f>IFERROR(VLOOKUP(B593,Baza[[№]:[Profit]],20,0),"")</f>
        <v/>
      </c>
      <c r="W593" s="41" t="str">
        <f>IFERROR(IF(VLOOKUP(B593,Baza[[№]:[Profit]],21,0)=0,"-",VLOOKUP(B593,Baza[[№]:[Profit]],21,0)),"")</f>
        <v/>
      </c>
      <c r="X593" s="45" t="str">
        <f>IFERROR(IF(VLOOKUP(B593,Baza[[№]:[Profit]],22,0)=0,"-",VLOOKUP(B593,Baza[[№]:[Profit]],22,0)),"")</f>
        <v/>
      </c>
      <c r="Y593" s="45" t="str">
        <f>IFERROR(VLOOKUP(B593,Baza[[№]:[Profit]],23,0),"")</f>
        <v/>
      </c>
      <c r="Z593" s="44" t="str">
        <f>IFERROR(VLOOKUP(B593,Baza[[№]:[AFS]],24,0),"")</f>
        <v/>
      </c>
      <c r="AA593" s="45" t="str">
        <f>IF(Таблица2[[#This Row],[Profit]]="","#Н/Д",SUM($Y$40:Y593))</f>
        <v>#Н/Д</v>
      </c>
      <c r="AB593" s="45" t="b">
        <f>IF(Таблица2[[#This Row],[Grafik]]="#Н/Д",FALSE,TRUE)</f>
        <v>0</v>
      </c>
    </row>
    <row r="594" spans="2:28" ht="11.1" hidden="1" customHeight="1" x14ac:dyDescent="0.25">
      <c r="B594"/>
      <c r="C594" s="41" t="str">
        <f>IFERROR(VLOOKUP(B594,Baza[[№]:[Profit]],2,0),"")</f>
        <v/>
      </c>
      <c r="D59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9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94" s="43" t="str">
        <f>IFERROR(VLOOKUP(B594,Baza[[№]:[Profit]],3,0),"")</f>
        <v/>
      </c>
      <c r="G594" s="43" t="str">
        <f>IFERROR(VLOOKUP(B594,Baza[[№]:[Profit]],4,0),"")</f>
        <v/>
      </c>
      <c r="H594" s="43" t="str">
        <f>IFERROR(VLOOKUP(B594,Baza[[№]:[Profit]],5,0),"")</f>
        <v/>
      </c>
      <c r="I594" s="46" t="str">
        <f>IFERROR(VLOOKUP(B594,Baza[[№]:[Profit]],6,0),"")</f>
        <v/>
      </c>
      <c r="J594" s="49" t="str">
        <f>IFERROR(VLOOKUP(B594,Baza[[№]:[Profit]],7,0),"")</f>
        <v/>
      </c>
      <c r="K594" s="43" t="str">
        <f>IFERROR(VLOOKUP(B594,Baza[[№]:[Profit]],8,0),"")</f>
        <v/>
      </c>
      <c r="L594" s="43" t="str">
        <f>IFERROR(VLOOKUP(B594,Baza[[№]:[Profit]],9,0),"")</f>
        <v/>
      </c>
      <c r="M594" s="43" t="str">
        <f>IFERROR(VLOOKUP(B594,Baza[[№]:[Profit]],10,0),"")</f>
        <v/>
      </c>
      <c r="N594" s="43" t="str">
        <f>IFERROR(IF(VLOOKUP(B594,Baza[[№]:[Profit]],11,0)=0,"-",VLOOKUP(B594,Baza[[№]:[Profit]],11,0)),"")</f>
        <v/>
      </c>
      <c r="O594" s="43" t="str">
        <f>IFERROR(IF(VLOOKUP(B594,Baza[[№]:[Profit]],12,0)=0,"-",VLOOKUP(B594,Baza[[№]:[Profit]],12,0)),"")</f>
        <v/>
      </c>
      <c r="P594" s="43" t="str">
        <f>IFERROR(IF(VLOOKUP(B594,Baza[[№]:[Profit]],13,0)=0,"-",VLOOKUP(B594,Baza[[№]:[Profit]],13,0)),"")</f>
        <v/>
      </c>
      <c r="Q594" s="43" t="str">
        <f>IFERROR(IF(VLOOKUP(B594,Baza[[№]:[Profit]],15,0)=0,"-",VLOOKUP(B594,Baza[[№]:[Profit]],15,0)),"")</f>
        <v/>
      </c>
      <c r="R594" s="43" t="str">
        <f>IFERROR(IF(VLOOKUP(B594,Baza[[№]:[Profit]],16,0)=0,"-",VLOOKUP(B594,Baza[[№]:[Profit]],16,0)),"")</f>
        <v/>
      </c>
      <c r="S594" s="43" t="str">
        <f>IFERROR(IF(VLOOKUP(B594,Baza[[№]:[Profit]],17,0)=0,"-",VLOOKUP(B594,Baza[[№]:[Profit]],17,0)),"")</f>
        <v/>
      </c>
      <c r="T594" s="43" t="str">
        <f>IFERROR(IF(VLOOKUP(B594,Baza[[№]:[Profit]],18,0)=0,"-",VLOOKUP(B594,Baza[[№]:[Profit]],18,0)),"")</f>
        <v/>
      </c>
      <c r="U594" s="41" t="str">
        <f>IFERROR(IF(VLOOKUP(B594,Baza[[№]:[Profit]],19,0)=0,"-",VLOOKUP(B594,Baza[[№]:[Profit]],19,0)),"")</f>
        <v/>
      </c>
      <c r="V594" s="41" t="str">
        <f>IFERROR(VLOOKUP(B594,Baza[[№]:[Profit]],20,0),"")</f>
        <v/>
      </c>
      <c r="W594" s="41" t="str">
        <f>IFERROR(IF(VLOOKUP(B594,Baza[[№]:[Profit]],21,0)=0,"-",VLOOKUP(B594,Baza[[№]:[Profit]],21,0)),"")</f>
        <v/>
      </c>
      <c r="X594" s="45" t="str">
        <f>IFERROR(IF(VLOOKUP(B594,Baza[[№]:[Profit]],22,0)=0,"-",VLOOKUP(B594,Baza[[№]:[Profit]],22,0)),"")</f>
        <v/>
      </c>
      <c r="Y594" s="45" t="str">
        <f>IFERROR(VLOOKUP(B594,Baza[[№]:[Profit]],23,0),"")</f>
        <v/>
      </c>
      <c r="Z594" s="44" t="str">
        <f>IFERROR(VLOOKUP(B594,Baza[[№]:[AFS]],24,0),"")</f>
        <v/>
      </c>
      <c r="AA594" s="45" t="str">
        <f>IF(Таблица2[[#This Row],[Profit]]="","#Н/Д",SUM($Y$40:Y594))</f>
        <v>#Н/Д</v>
      </c>
      <c r="AB594" s="45" t="b">
        <f>IF(Таблица2[[#This Row],[Grafik]]="#Н/Д",FALSE,TRUE)</f>
        <v>0</v>
      </c>
    </row>
    <row r="595" spans="2:28" ht="11.1" hidden="1" customHeight="1" x14ac:dyDescent="0.25">
      <c r="B595"/>
      <c r="C595" s="41" t="str">
        <f>IFERROR(VLOOKUP(B595,Baza[[№]:[Profit]],2,0),"")</f>
        <v/>
      </c>
      <c r="D59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9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95" s="43" t="str">
        <f>IFERROR(VLOOKUP(B595,Baza[[№]:[Profit]],3,0),"")</f>
        <v/>
      </c>
      <c r="G595" s="43" t="str">
        <f>IFERROR(VLOOKUP(B595,Baza[[№]:[Profit]],4,0),"")</f>
        <v/>
      </c>
      <c r="H595" s="43" t="str">
        <f>IFERROR(VLOOKUP(B595,Baza[[№]:[Profit]],5,0),"")</f>
        <v/>
      </c>
      <c r="I595" s="46" t="str">
        <f>IFERROR(VLOOKUP(B595,Baza[[№]:[Profit]],6,0),"")</f>
        <v/>
      </c>
      <c r="J595" s="49" t="str">
        <f>IFERROR(VLOOKUP(B595,Baza[[№]:[Profit]],7,0),"")</f>
        <v/>
      </c>
      <c r="K595" s="43" t="str">
        <f>IFERROR(VLOOKUP(B595,Baza[[№]:[Profit]],8,0),"")</f>
        <v/>
      </c>
      <c r="L595" s="43" t="str">
        <f>IFERROR(VLOOKUP(B595,Baza[[№]:[Profit]],9,0),"")</f>
        <v/>
      </c>
      <c r="M595" s="43" t="str">
        <f>IFERROR(VLOOKUP(B595,Baza[[№]:[Profit]],10,0),"")</f>
        <v/>
      </c>
      <c r="N595" s="43" t="str">
        <f>IFERROR(IF(VLOOKUP(B595,Baza[[№]:[Profit]],11,0)=0,"-",VLOOKUP(B595,Baza[[№]:[Profit]],11,0)),"")</f>
        <v/>
      </c>
      <c r="O595" s="43" t="str">
        <f>IFERROR(IF(VLOOKUP(B595,Baza[[№]:[Profit]],12,0)=0,"-",VLOOKUP(B595,Baza[[№]:[Profit]],12,0)),"")</f>
        <v/>
      </c>
      <c r="P595" s="43" t="str">
        <f>IFERROR(IF(VLOOKUP(B595,Baza[[№]:[Profit]],13,0)=0,"-",VLOOKUP(B595,Baza[[№]:[Profit]],13,0)),"")</f>
        <v/>
      </c>
      <c r="Q595" s="43" t="str">
        <f>IFERROR(IF(VLOOKUP(B595,Baza[[№]:[Profit]],15,0)=0,"-",VLOOKUP(B595,Baza[[№]:[Profit]],15,0)),"")</f>
        <v/>
      </c>
      <c r="R595" s="43" t="str">
        <f>IFERROR(IF(VLOOKUP(B595,Baza[[№]:[Profit]],16,0)=0,"-",VLOOKUP(B595,Baza[[№]:[Profit]],16,0)),"")</f>
        <v/>
      </c>
      <c r="S595" s="43" t="str">
        <f>IFERROR(IF(VLOOKUP(B595,Baza[[№]:[Profit]],17,0)=0,"-",VLOOKUP(B595,Baza[[№]:[Profit]],17,0)),"")</f>
        <v/>
      </c>
      <c r="T595" s="43" t="str">
        <f>IFERROR(IF(VLOOKUP(B595,Baza[[№]:[Profit]],18,0)=0,"-",VLOOKUP(B595,Baza[[№]:[Profit]],18,0)),"")</f>
        <v/>
      </c>
      <c r="U595" s="41" t="str">
        <f>IFERROR(IF(VLOOKUP(B595,Baza[[№]:[Profit]],19,0)=0,"-",VLOOKUP(B595,Baza[[№]:[Profit]],19,0)),"")</f>
        <v/>
      </c>
      <c r="V595" s="41" t="str">
        <f>IFERROR(VLOOKUP(B595,Baza[[№]:[Profit]],20,0),"")</f>
        <v/>
      </c>
      <c r="W595" s="41" t="str">
        <f>IFERROR(IF(VLOOKUP(B595,Baza[[№]:[Profit]],21,0)=0,"-",VLOOKUP(B595,Baza[[№]:[Profit]],21,0)),"")</f>
        <v/>
      </c>
      <c r="X595" s="45" t="str">
        <f>IFERROR(IF(VLOOKUP(B595,Baza[[№]:[Profit]],22,0)=0,"-",VLOOKUP(B595,Baza[[№]:[Profit]],22,0)),"")</f>
        <v/>
      </c>
      <c r="Y595" s="45" t="str">
        <f>IFERROR(VLOOKUP(B595,Baza[[№]:[Profit]],23,0),"")</f>
        <v/>
      </c>
      <c r="Z595" s="44" t="str">
        <f>IFERROR(VLOOKUP(B595,Baza[[№]:[AFS]],24,0),"")</f>
        <v/>
      </c>
      <c r="AA595" s="45" t="str">
        <f>IF(Таблица2[[#This Row],[Profit]]="","#Н/Д",SUM($Y$40:Y595))</f>
        <v>#Н/Д</v>
      </c>
      <c r="AB595" s="45" t="b">
        <f>IF(Таблица2[[#This Row],[Grafik]]="#Н/Д",FALSE,TRUE)</f>
        <v>0</v>
      </c>
    </row>
    <row r="596" spans="2:28" ht="11.1" hidden="1" customHeight="1" x14ac:dyDescent="0.25">
      <c r="B596"/>
      <c r="C596" s="41" t="str">
        <f>IFERROR(VLOOKUP(B596,Baza[[№]:[Profit]],2,0),"")</f>
        <v/>
      </c>
      <c r="D59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9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96" s="43" t="str">
        <f>IFERROR(VLOOKUP(B596,Baza[[№]:[Profit]],3,0),"")</f>
        <v/>
      </c>
      <c r="G596" s="43" t="str">
        <f>IFERROR(VLOOKUP(B596,Baza[[№]:[Profit]],4,0),"")</f>
        <v/>
      </c>
      <c r="H596" s="43" t="str">
        <f>IFERROR(VLOOKUP(B596,Baza[[№]:[Profit]],5,0),"")</f>
        <v/>
      </c>
      <c r="I596" s="46" t="str">
        <f>IFERROR(VLOOKUP(B596,Baza[[№]:[Profit]],6,0),"")</f>
        <v/>
      </c>
      <c r="J596" s="49" t="str">
        <f>IFERROR(VLOOKUP(B596,Baza[[№]:[Profit]],7,0),"")</f>
        <v/>
      </c>
      <c r="K596" s="43" t="str">
        <f>IFERROR(VLOOKUP(B596,Baza[[№]:[Profit]],8,0),"")</f>
        <v/>
      </c>
      <c r="L596" s="43" t="str">
        <f>IFERROR(VLOOKUP(B596,Baza[[№]:[Profit]],9,0),"")</f>
        <v/>
      </c>
      <c r="M596" s="43" t="str">
        <f>IFERROR(VLOOKUP(B596,Baza[[№]:[Profit]],10,0),"")</f>
        <v/>
      </c>
      <c r="N596" s="43" t="str">
        <f>IFERROR(IF(VLOOKUP(B596,Baza[[№]:[Profit]],11,0)=0,"-",VLOOKUP(B596,Baza[[№]:[Profit]],11,0)),"")</f>
        <v/>
      </c>
      <c r="O596" s="43" t="str">
        <f>IFERROR(IF(VLOOKUP(B596,Baza[[№]:[Profit]],12,0)=0,"-",VLOOKUP(B596,Baza[[№]:[Profit]],12,0)),"")</f>
        <v/>
      </c>
      <c r="P596" s="43" t="str">
        <f>IFERROR(IF(VLOOKUP(B596,Baza[[№]:[Profit]],13,0)=0,"-",VLOOKUP(B596,Baza[[№]:[Profit]],13,0)),"")</f>
        <v/>
      </c>
      <c r="Q596" s="43" t="str">
        <f>IFERROR(IF(VLOOKUP(B596,Baza[[№]:[Profit]],15,0)=0,"-",VLOOKUP(B596,Baza[[№]:[Profit]],15,0)),"")</f>
        <v/>
      </c>
      <c r="R596" s="43" t="str">
        <f>IFERROR(IF(VLOOKUP(B596,Baza[[№]:[Profit]],16,0)=0,"-",VLOOKUP(B596,Baza[[№]:[Profit]],16,0)),"")</f>
        <v/>
      </c>
      <c r="S596" s="43" t="str">
        <f>IFERROR(IF(VLOOKUP(B596,Baza[[№]:[Profit]],17,0)=0,"-",VLOOKUP(B596,Baza[[№]:[Profit]],17,0)),"")</f>
        <v/>
      </c>
      <c r="T596" s="43" t="str">
        <f>IFERROR(IF(VLOOKUP(B596,Baza[[№]:[Profit]],18,0)=0,"-",VLOOKUP(B596,Baza[[№]:[Profit]],18,0)),"")</f>
        <v/>
      </c>
      <c r="U596" s="41" t="str">
        <f>IFERROR(IF(VLOOKUP(B596,Baza[[№]:[Profit]],19,0)=0,"-",VLOOKUP(B596,Baza[[№]:[Profit]],19,0)),"")</f>
        <v/>
      </c>
      <c r="V596" s="41" t="str">
        <f>IFERROR(VLOOKUP(B596,Baza[[№]:[Profit]],20,0),"")</f>
        <v/>
      </c>
      <c r="W596" s="41" t="str">
        <f>IFERROR(IF(VLOOKUP(B596,Baza[[№]:[Profit]],21,0)=0,"-",VLOOKUP(B596,Baza[[№]:[Profit]],21,0)),"")</f>
        <v/>
      </c>
      <c r="X596" s="45" t="str">
        <f>IFERROR(IF(VLOOKUP(B596,Baza[[№]:[Profit]],22,0)=0,"-",VLOOKUP(B596,Baza[[№]:[Profit]],22,0)),"")</f>
        <v/>
      </c>
      <c r="Y596" s="45" t="str">
        <f>IFERROR(VLOOKUP(B596,Baza[[№]:[Profit]],23,0),"")</f>
        <v/>
      </c>
      <c r="Z596" s="44" t="str">
        <f>IFERROR(VLOOKUP(B596,Baza[[№]:[AFS]],24,0),"")</f>
        <v/>
      </c>
      <c r="AA596" s="45" t="str">
        <f>IF(Таблица2[[#This Row],[Profit]]="","#Н/Д",SUM($Y$40:Y596))</f>
        <v>#Н/Д</v>
      </c>
      <c r="AB596" s="45" t="b">
        <f>IF(Таблица2[[#This Row],[Grafik]]="#Н/Д",FALSE,TRUE)</f>
        <v>0</v>
      </c>
    </row>
    <row r="597" spans="2:28" ht="11.1" hidden="1" customHeight="1" x14ac:dyDescent="0.25">
      <c r="B597"/>
      <c r="C597" s="41" t="str">
        <f>IFERROR(VLOOKUP(B597,Baza[[№]:[Profit]],2,0),"")</f>
        <v/>
      </c>
      <c r="D59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9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97" s="43" t="str">
        <f>IFERROR(VLOOKUP(B597,Baza[[№]:[Profit]],3,0),"")</f>
        <v/>
      </c>
      <c r="G597" s="43" t="str">
        <f>IFERROR(VLOOKUP(B597,Baza[[№]:[Profit]],4,0),"")</f>
        <v/>
      </c>
      <c r="H597" s="43" t="str">
        <f>IFERROR(VLOOKUP(B597,Baza[[№]:[Profit]],5,0),"")</f>
        <v/>
      </c>
      <c r="I597" s="46" t="str">
        <f>IFERROR(VLOOKUP(B597,Baza[[№]:[Profit]],6,0),"")</f>
        <v/>
      </c>
      <c r="J597" s="49" t="str">
        <f>IFERROR(VLOOKUP(B597,Baza[[№]:[Profit]],7,0),"")</f>
        <v/>
      </c>
      <c r="K597" s="43" t="str">
        <f>IFERROR(VLOOKUP(B597,Baza[[№]:[Profit]],8,0),"")</f>
        <v/>
      </c>
      <c r="L597" s="43" t="str">
        <f>IFERROR(VLOOKUP(B597,Baza[[№]:[Profit]],9,0),"")</f>
        <v/>
      </c>
      <c r="M597" s="43" t="str">
        <f>IFERROR(VLOOKUP(B597,Baza[[№]:[Profit]],10,0),"")</f>
        <v/>
      </c>
      <c r="N597" s="43" t="str">
        <f>IFERROR(IF(VLOOKUP(B597,Baza[[№]:[Profit]],11,0)=0,"-",VLOOKUP(B597,Baza[[№]:[Profit]],11,0)),"")</f>
        <v/>
      </c>
      <c r="O597" s="43" t="str">
        <f>IFERROR(IF(VLOOKUP(B597,Baza[[№]:[Profit]],12,0)=0,"-",VLOOKUP(B597,Baza[[№]:[Profit]],12,0)),"")</f>
        <v/>
      </c>
      <c r="P597" s="43" t="str">
        <f>IFERROR(IF(VLOOKUP(B597,Baza[[№]:[Profit]],13,0)=0,"-",VLOOKUP(B597,Baza[[№]:[Profit]],13,0)),"")</f>
        <v/>
      </c>
      <c r="Q597" s="43" t="str">
        <f>IFERROR(IF(VLOOKUP(B597,Baza[[№]:[Profit]],15,0)=0,"-",VLOOKUP(B597,Baza[[№]:[Profit]],15,0)),"")</f>
        <v/>
      </c>
      <c r="R597" s="43" t="str">
        <f>IFERROR(IF(VLOOKUP(B597,Baza[[№]:[Profit]],16,0)=0,"-",VLOOKUP(B597,Baza[[№]:[Profit]],16,0)),"")</f>
        <v/>
      </c>
      <c r="S597" s="43" t="str">
        <f>IFERROR(IF(VLOOKUP(B597,Baza[[№]:[Profit]],17,0)=0,"-",VLOOKUP(B597,Baza[[№]:[Profit]],17,0)),"")</f>
        <v/>
      </c>
      <c r="T597" s="43" t="str">
        <f>IFERROR(IF(VLOOKUP(B597,Baza[[№]:[Profit]],18,0)=0,"-",VLOOKUP(B597,Baza[[№]:[Profit]],18,0)),"")</f>
        <v/>
      </c>
      <c r="U597" s="41" t="str">
        <f>IFERROR(IF(VLOOKUP(B597,Baza[[№]:[Profit]],19,0)=0,"-",VLOOKUP(B597,Baza[[№]:[Profit]],19,0)),"")</f>
        <v/>
      </c>
      <c r="V597" s="41" t="str">
        <f>IFERROR(VLOOKUP(B597,Baza[[№]:[Profit]],20,0),"")</f>
        <v/>
      </c>
      <c r="W597" s="41" t="str">
        <f>IFERROR(IF(VLOOKUP(B597,Baza[[№]:[Profit]],21,0)=0,"-",VLOOKUP(B597,Baza[[№]:[Profit]],21,0)),"")</f>
        <v/>
      </c>
      <c r="X597" s="45" t="str">
        <f>IFERROR(IF(VLOOKUP(B597,Baza[[№]:[Profit]],22,0)=0,"-",VLOOKUP(B597,Baza[[№]:[Profit]],22,0)),"")</f>
        <v/>
      </c>
      <c r="Y597" s="45" t="str">
        <f>IFERROR(VLOOKUP(B597,Baza[[№]:[Profit]],23,0),"")</f>
        <v/>
      </c>
      <c r="Z597" s="44" t="str">
        <f>IFERROR(VLOOKUP(B597,Baza[[№]:[AFS]],24,0),"")</f>
        <v/>
      </c>
      <c r="AA597" s="45" t="str">
        <f>IF(Таблица2[[#This Row],[Profit]]="","#Н/Д",SUM($Y$40:Y597))</f>
        <v>#Н/Д</v>
      </c>
      <c r="AB597" s="45" t="b">
        <f>IF(Таблица2[[#This Row],[Grafik]]="#Н/Д",FALSE,TRUE)</f>
        <v>0</v>
      </c>
    </row>
    <row r="598" spans="2:28" ht="11.1" hidden="1" customHeight="1" x14ac:dyDescent="0.25">
      <c r="B598"/>
      <c r="C598" s="41" t="str">
        <f>IFERROR(VLOOKUP(B598,Baza[[№]:[Profit]],2,0),"")</f>
        <v/>
      </c>
      <c r="D59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9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98" s="43" t="str">
        <f>IFERROR(VLOOKUP(B598,Baza[[№]:[Profit]],3,0),"")</f>
        <v/>
      </c>
      <c r="G598" s="43" t="str">
        <f>IFERROR(VLOOKUP(B598,Baza[[№]:[Profit]],4,0),"")</f>
        <v/>
      </c>
      <c r="H598" s="43" t="str">
        <f>IFERROR(VLOOKUP(B598,Baza[[№]:[Profit]],5,0),"")</f>
        <v/>
      </c>
      <c r="I598" s="46" t="str">
        <f>IFERROR(VLOOKUP(B598,Baza[[№]:[Profit]],6,0),"")</f>
        <v/>
      </c>
      <c r="J598" s="49" t="str">
        <f>IFERROR(VLOOKUP(B598,Baza[[№]:[Profit]],7,0),"")</f>
        <v/>
      </c>
      <c r="K598" s="43" t="str">
        <f>IFERROR(VLOOKUP(B598,Baza[[№]:[Profit]],8,0),"")</f>
        <v/>
      </c>
      <c r="L598" s="43" t="str">
        <f>IFERROR(VLOOKUP(B598,Baza[[№]:[Profit]],9,0),"")</f>
        <v/>
      </c>
      <c r="M598" s="43" t="str">
        <f>IFERROR(VLOOKUP(B598,Baza[[№]:[Profit]],10,0),"")</f>
        <v/>
      </c>
      <c r="N598" s="43" t="str">
        <f>IFERROR(IF(VLOOKUP(B598,Baza[[№]:[Profit]],11,0)=0,"-",VLOOKUP(B598,Baza[[№]:[Profit]],11,0)),"")</f>
        <v/>
      </c>
      <c r="O598" s="43" t="str">
        <f>IFERROR(IF(VLOOKUP(B598,Baza[[№]:[Profit]],12,0)=0,"-",VLOOKUP(B598,Baza[[№]:[Profit]],12,0)),"")</f>
        <v/>
      </c>
      <c r="P598" s="43" t="str">
        <f>IFERROR(IF(VLOOKUP(B598,Baza[[№]:[Profit]],13,0)=0,"-",VLOOKUP(B598,Baza[[№]:[Profit]],13,0)),"")</f>
        <v/>
      </c>
      <c r="Q598" s="43" t="str">
        <f>IFERROR(IF(VLOOKUP(B598,Baza[[№]:[Profit]],15,0)=0,"-",VLOOKUP(B598,Baza[[№]:[Profit]],15,0)),"")</f>
        <v/>
      </c>
      <c r="R598" s="43" t="str">
        <f>IFERROR(IF(VLOOKUP(B598,Baza[[№]:[Profit]],16,0)=0,"-",VLOOKUP(B598,Baza[[№]:[Profit]],16,0)),"")</f>
        <v/>
      </c>
      <c r="S598" s="43" t="str">
        <f>IFERROR(IF(VLOOKUP(B598,Baza[[№]:[Profit]],17,0)=0,"-",VLOOKUP(B598,Baza[[№]:[Profit]],17,0)),"")</f>
        <v/>
      </c>
      <c r="T598" s="43" t="str">
        <f>IFERROR(IF(VLOOKUP(B598,Baza[[№]:[Profit]],18,0)=0,"-",VLOOKUP(B598,Baza[[№]:[Profit]],18,0)),"")</f>
        <v/>
      </c>
      <c r="U598" s="41" t="str">
        <f>IFERROR(IF(VLOOKUP(B598,Baza[[№]:[Profit]],19,0)=0,"-",VLOOKUP(B598,Baza[[№]:[Profit]],19,0)),"")</f>
        <v/>
      </c>
      <c r="V598" s="41" t="str">
        <f>IFERROR(VLOOKUP(B598,Baza[[№]:[Profit]],20,0),"")</f>
        <v/>
      </c>
      <c r="W598" s="41" t="str">
        <f>IFERROR(IF(VLOOKUP(B598,Baza[[№]:[Profit]],21,0)=0,"-",VLOOKUP(B598,Baza[[№]:[Profit]],21,0)),"")</f>
        <v/>
      </c>
      <c r="X598" s="45" t="str">
        <f>IFERROR(IF(VLOOKUP(B598,Baza[[№]:[Profit]],22,0)=0,"-",VLOOKUP(B598,Baza[[№]:[Profit]],22,0)),"")</f>
        <v/>
      </c>
      <c r="Y598" s="45" t="str">
        <f>IFERROR(VLOOKUP(B598,Baza[[№]:[Profit]],23,0),"")</f>
        <v/>
      </c>
      <c r="Z598" s="44" t="str">
        <f>IFERROR(VLOOKUP(B598,Baza[[№]:[AFS]],24,0),"")</f>
        <v/>
      </c>
      <c r="AA598" s="45" t="str">
        <f>IF(Таблица2[[#This Row],[Profit]]="","#Н/Д",SUM($Y$40:Y598))</f>
        <v>#Н/Д</v>
      </c>
      <c r="AB598" s="45" t="b">
        <f>IF(Таблица2[[#This Row],[Grafik]]="#Н/Д",FALSE,TRUE)</f>
        <v>0</v>
      </c>
    </row>
    <row r="599" spans="2:28" ht="11.1" hidden="1" customHeight="1" x14ac:dyDescent="0.25">
      <c r="B599"/>
      <c r="C599" s="41" t="str">
        <f>IFERROR(VLOOKUP(B599,Baza[[№]:[Profit]],2,0),"")</f>
        <v/>
      </c>
      <c r="D59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9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99" s="43" t="str">
        <f>IFERROR(VLOOKUP(B599,Baza[[№]:[Profit]],3,0),"")</f>
        <v/>
      </c>
      <c r="G599" s="43" t="str">
        <f>IFERROR(VLOOKUP(B599,Baza[[№]:[Profit]],4,0),"")</f>
        <v/>
      </c>
      <c r="H599" s="43" t="str">
        <f>IFERROR(VLOOKUP(B599,Baza[[№]:[Profit]],5,0),"")</f>
        <v/>
      </c>
      <c r="I599" s="46" t="str">
        <f>IFERROR(VLOOKUP(B599,Baza[[№]:[Profit]],6,0),"")</f>
        <v/>
      </c>
      <c r="J599" s="49" t="str">
        <f>IFERROR(VLOOKUP(B599,Baza[[№]:[Profit]],7,0),"")</f>
        <v/>
      </c>
      <c r="K599" s="43" t="str">
        <f>IFERROR(VLOOKUP(B599,Baza[[№]:[Profit]],8,0),"")</f>
        <v/>
      </c>
      <c r="L599" s="43" t="str">
        <f>IFERROR(VLOOKUP(B599,Baza[[№]:[Profit]],9,0),"")</f>
        <v/>
      </c>
      <c r="M599" s="43" t="str">
        <f>IFERROR(VLOOKUP(B599,Baza[[№]:[Profit]],10,0),"")</f>
        <v/>
      </c>
      <c r="N599" s="43" t="str">
        <f>IFERROR(IF(VLOOKUP(B599,Baza[[№]:[Profit]],11,0)=0,"-",VLOOKUP(B599,Baza[[№]:[Profit]],11,0)),"")</f>
        <v/>
      </c>
      <c r="O599" s="43" t="str">
        <f>IFERROR(IF(VLOOKUP(B599,Baza[[№]:[Profit]],12,0)=0,"-",VLOOKUP(B599,Baza[[№]:[Profit]],12,0)),"")</f>
        <v/>
      </c>
      <c r="P599" s="43" t="str">
        <f>IFERROR(IF(VLOOKUP(B599,Baza[[№]:[Profit]],13,0)=0,"-",VLOOKUP(B599,Baza[[№]:[Profit]],13,0)),"")</f>
        <v/>
      </c>
      <c r="Q599" s="43" t="str">
        <f>IFERROR(IF(VLOOKUP(B599,Baza[[№]:[Profit]],15,0)=0,"-",VLOOKUP(B599,Baza[[№]:[Profit]],15,0)),"")</f>
        <v/>
      </c>
      <c r="R599" s="43" t="str">
        <f>IFERROR(IF(VLOOKUP(B599,Baza[[№]:[Profit]],16,0)=0,"-",VLOOKUP(B599,Baza[[№]:[Profit]],16,0)),"")</f>
        <v/>
      </c>
      <c r="S599" s="43" t="str">
        <f>IFERROR(IF(VLOOKUP(B599,Baza[[№]:[Profit]],17,0)=0,"-",VLOOKUP(B599,Baza[[№]:[Profit]],17,0)),"")</f>
        <v/>
      </c>
      <c r="T599" s="43" t="str">
        <f>IFERROR(IF(VLOOKUP(B599,Baza[[№]:[Profit]],18,0)=0,"-",VLOOKUP(B599,Baza[[№]:[Profit]],18,0)),"")</f>
        <v/>
      </c>
      <c r="U599" s="41" t="str">
        <f>IFERROR(IF(VLOOKUP(B599,Baza[[№]:[Profit]],19,0)=0,"-",VLOOKUP(B599,Baza[[№]:[Profit]],19,0)),"")</f>
        <v/>
      </c>
      <c r="V599" s="41" t="str">
        <f>IFERROR(VLOOKUP(B599,Baza[[№]:[Profit]],20,0),"")</f>
        <v/>
      </c>
      <c r="W599" s="41" t="str">
        <f>IFERROR(IF(VLOOKUP(B599,Baza[[№]:[Profit]],21,0)=0,"-",VLOOKUP(B599,Baza[[№]:[Profit]],21,0)),"")</f>
        <v/>
      </c>
      <c r="X599" s="45" t="str">
        <f>IFERROR(IF(VLOOKUP(B599,Baza[[№]:[Profit]],22,0)=0,"-",VLOOKUP(B599,Baza[[№]:[Profit]],22,0)),"")</f>
        <v/>
      </c>
      <c r="Y599" s="45" t="str">
        <f>IFERROR(VLOOKUP(B599,Baza[[№]:[Profit]],23,0),"")</f>
        <v/>
      </c>
      <c r="Z599" s="44" t="str">
        <f>IFERROR(VLOOKUP(B599,Baza[[№]:[AFS]],24,0),"")</f>
        <v/>
      </c>
      <c r="AA599" s="45" t="str">
        <f>IF(Таблица2[[#This Row],[Profit]]="","#Н/Д",SUM($Y$40:Y599))</f>
        <v>#Н/Д</v>
      </c>
      <c r="AB599" s="45" t="b">
        <f>IF(Таблица2[[#This Row],[Grafik]]="#Н/Д",FALSE,TRUE)</f>
        <v>0</v>
      </c>
    </row>
    <row r="600" spans="2:28" ht="11.1" hidden="1" customHeight="1" x14ac:dyDescent="0.25">
      <c r="B600"/>
      <c r="C600" s="41" t="str">
        <f>IFERROR(VLOOKUP(B600,Baza[[№]:[Profit]],2,0),"")</f>
        <v/>
      </c>
      <c r="D60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0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00" s="43" t="str">
        <f>IFERROR(VLOOKUP(B600,Baza[[№]:[Profit]],3,0),"")</f>
        <v/>
      </c>
      <c r="G600" s="43" t="str">
        <f>IFERROR(VLOOKUP(B600,Baza[[№]:[Profit]],4,0),"")</f>
        <v/>
      </c>
      <c r="H600" s="43" t="str">
        <f>IFERROR(VLOOKUP(B600,Baza[[№]:[Profit]],5,0),"")</f>
        <v/>
      </c>
      <c r="I600" s="46" t="str">
        <f>IFERROR(VLOOKUP(B600,Baza[[№]:[Profit]],6,0),"")</f>
        <v/>
      </c>
      <c r="J600" s="49" t="str">
        <f>IFERROR(VLOOKUP(B600,Baza[[№]:[Profit]],7,0),"")</f>
        <v/>
      </c>
      <c r="K600" s="43" t="str">
        <f>IFERROR(VLOOKUP(B600,Baza[[№]:[Profit]],8,0),"")</f>
        <v/>
      </c>
      <c r="L600" s="43" t="str">
        <f>IFERROR(VLOOKUP(B600,Baza[[№]:[Profit]],9,0),"")</f>
        <v/>
      </c>
      <c r="M600" s="43" t="str">
        <f>IFERROR(VLOOKUP(B600,Baza[[№]:[Profit]],10,0),"")</f>
        <v/>
      </c>
      <c r="N600" s="43" t="str">
        <f>IFERROR(IF(VLOOKUP(B600,Baza[[№]:[Profit]],11,0)=0,"-",VLOOKUP(B600,Baza[[№]:[Profit]],11,0)),"")</f>
        <v/>
      </c>
      <c r="O600" s="43" t="str">
        <f>IFERROR(IF(VLOOKUP(B600,Baza[[№]:[Profit]],12,0)=0,"-",VLOOKUP(B600,Baza[[№]:[Profit]],12,0)),"")</f>
        <v/>
      </c>
      <c r="P600" s="43" t="str">
        <f>IFERROR(IF(VLOOKUP(B600,Baza[[№]:[Profit]],13,0)=0,"-",VLOOKUP(B600,Baza[[№]:[Profit]],13,0)),"")</f>
        <v/>
      </c>
      <c r="Q600" s="43" t="str">
        <f>IFERROR(IF(VLOOKUP(B600,Baza[[№]:[Profit]],15,0)=0,"-",VLOOKUP(B600,Baza[[№]:[Profit]],15,0)),"")</f>
        <v/>
      </c>
      <c r="R600" s="43" t="str">
        <f>IFERROR(IF(VLOOKUP(B600,Baza[[№]:[Profit]],16,0)=0,"-",VLOOKUP(B600,Baza[[№]:[Profit]],16,0)),"")</f>
        <v/>
      </c>
      <c r="S600" s="43" t="str">
        <f>IFERROR(IF(VLOOKUP(B600,Baza[[№]:[Profit]],17,0)=0,"-",VLOOKUP(B600,Baza[[№]:[Profit]],17,0)),"")</f>
        <v/>
      </c>
      <c r="T600" s="43" t="str">
        <f>IFERROR(IF(VLOOKUP(B600,Baza[[№]:[Profit]],18,0)=0,"-",VLOOKUP(B600,Baza[[№]:[Profit]],18,0)),"")</f>
        <v/>
      </c>
      <c r="U600" s="41" t="str">
        <f>IFERROR(IF(VLOOKUP(B600,Baza[[№]:[Profit]],19,0)=0,"-",VLOOKUP(B600,Baza[[№]:[Profit]],19,0)),"")</f>
        <v/>
      </c>
      <c r="V600" s="41" t="str">
        <f>IFERROR(VLOOKUP(B600,Baza[[№]:[Profit]],20,0),"")</f>
        <v/>
      </c>
      <c r="W600" s="41" t="str">
        <f>IFERROR(IF(VLOOKUP(B600,Baza[[№]:[Profit]],21,0)=0,"-",VLOOKUP(B600,Baza[[№]:[Profit]],21,0)),"")</f>
        <v/>
      </c>
      <c r="X600" s="45" t="str">
        <f>IFERROR(IF(VLOOKUP(B600,Baza[[№]:[Profit]],22,0)=0,"-",VLOOKUP(B600,Baza[[№]:[Profit]],22,0)),"")</f>
        <v/>
      </c>
      <c r="Y600" s="45" t="str">
        <f>IFERROR(VLOOKUP(B600,Baza[[№]:[Profit]],23,0),"")</f>
        <v/>
      </c>
      <c r="Z600" s="44" t="str">
        <f>IFERROR(VLOOKUP(B600,Baza[[№]:[AFS]],24,0),"")</f>
        <v/>
      </c>
      <c r="AA600" s="45" t="str">
        <f>IF(Таблица2[[#This Row],[Profit]]="","#Н/Д",SUM($Y$40:Y600))</f>
        <v>#Н/Д</v>
      </c>
      <c r="AB600" s="45" t="b">
        <f>IF(Таблица2[[#This Row],[Grafik]]="#Н/Д",FALSE,TRUE)</f>
        <v>0</v>
      </c>
    </row>
    <row r="601" spans="2:28" ht="11.1" hidden="1" customHeight="1" x14ac:dyDescent="0.25">
      <c r="B601"/>
      <c r="C601" s="41" t="str">
        <f>IFERROR(VLOOKUP(B601,Baza[[№]:[Profit]],2,0),"")</f>
        <v/>
      </c>
      <c r="D60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0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01" s="43" t="str">
        <f>IFERROR(VLOOKUP(B601,Baza[[№]:[Profit]],3,0),"")</f>
        <v/>
      </c>
      <c r="G601" s="43" t="str">
        <f>IFERROR(VLOOKUP(B601,Baza[[№]:[Profit]],4,0),"")</f>
        <v/>
      </c>
      <c r="H601" s="43" t="str">
        <f>IFERROR(VLOOKUP(B601,Baza[[№]:[Profit]],5,0),"")</f>
        <v/>
      </c>
      <c r="I601" s="46" t="str">
        <f>IFERROR(VLOOKUP(B601,Baza[[№]:[Profit]],6,0),"")</f>
        <v/>
      </c>
      <c r="J601" s="49" t="str">
        <f>IFERROR(VLOOKUP(B601,Baza[[№]:[Profit]],7,0),"")</f>
        <v/>
      </c>
      <c r="K601" s="43" t="str">
        <f>IFERROR(VLOOKUP(B601,Baza[[№]:[Profit]],8,0),"")</f>
        <v/>
      </c>
      <c r="L601" s="43" t="str">
        <f>IFERROR(VLOOKUP(B601,Baza[[№]:[Profit]],9,0),"")</f>
        <v/>
      </c>
      <c r="M601" s="43" t="str">
        <f>IFERROR(VLOOKUP(B601,Baza[[№]:[Profit]],10,0),"")</f>
        <v/>
      </c>
      <c r="N601" s="43" t="str">
        <f>IFERROR(IF(VLOOKUP(B601,Baza[[№]:[Profit]],11,0)=0,"-",VLOOKUP(B601,Baza[[№]:[Profit]],11,0)),"")</f>
        <v/>
      </c>
      <c r="O601" s="43" t="str">
        <f>IFERROR(IF(VLOOKUP(B601,Baza[[№]:[Profit]],12,0)=0,"-",VLOOKUP(B601,Baza[[№]:[Profit]],12,0)),"")</f>
        <v/>
      </c>
      <c r="P601" s="43" t="str">
        <f>IFERROR(IF(VLOOKUP(B601,Baza[[№]:[Profit]],13,0)=0,"-",VLOOKUP(B601,Baza[[№]:[Profit]],13,0)),"")</f>
        <v/>
      </c>
      <c r="Q601" s="43" t="str">
        <f>IFERROR(IF(VLOOKUP(B601,Baza[[№]:[Profit]],15,0)=0,"-",VLOOKUP(B601,Baza[[№]:[Profit]],15,0)),"")</f>
        <v/>
      </c>
      <c r="R601" s="43" t="str">
        <f>IFERROR(IF(VLOOKUP(B601,Baza[[№]:[Profit]],16,0)=0,"-",VLOOKUP(B601,Baza[[№]:[Profit]],16,0)),"")</f>
        <v/>
      </c>
      <c r="S601" s="43" t="str">
        <f>IFERROR(IF(VLOOKUP(B601,Baza[[№]:[Profit]],17,0)=0,"-",VLOOKUP(B601,Baza[[№]:[Profit]],17,0)),"")</f>
        <v/>
      </c>
      <c r="T601" s="43" t="str">
        <f>IFERROR(IF(VLOOKUP(B601,Baza[[№]:[Profit]],18,0)=0,"-",VLOOKUP(B601,Baza[[№]:[Profit]],18,0)),"")</f>
        <v/>
      </c>
      <c r="U601" s="41" t="str">
        <f>IFERROR(IF(VLOOKUP(B601,Baza[[№]:[Profit]],19,0)=0,"-",VLOOKUP(B601,Baza[[№]:[Profit]],19,0)),"")</f>
        <v/>
      </c>
      <c r="V601" s="41" t="str">
        <f>IFERROR(VLOOKUP(B601,Baza[[№]:[Profit]],20,0),"")</f>
        <v/>
      </c>
      <c r="W601" s="41" t="str">
        <f>IFERROR(IF(VLOOKUP(B601,Baza[[№]:[Profit]],21,0)=0,"-",VLOOKUP(B601,Baza[[№]:[Profit]],21,0)),"")</f>
        <v/>
      </c>
      <c r="X601" s="45" t="str">
        <f>IFERROR(IF(VLOOKUP(B601,Baza[[№]:[Profit]],22,0)=0,"-",VLOOKUP(B601,Baza[[№]:[Profit]],22,0)),"")</f>
        <v/>
      </c>
      <c r="Y601" s="45" t="str">
        <f>IFERROR(VLOOKUP(B601,Baza[[№]:[Profit]],23,0),"")</f>
        <v/>
      </c>
      <c r="Z601" s="44" t="str">
        <f>IFERROR(VLOOKUP(B601,Baza[[№]:[AFS]],24,0),"")</f>
        <v/>
      </c>
      <c r="AA601" s="45" t="str">
        <f>IF(Таблица2[[#This Row],[Profit]]="","#Н/Д",SUM($Y$40:Y601))</f>
        <v>#Н/Д</v>
      </c>
      <c r="AB601" s="45" t="b">
        <f>IF(Таблица2[[#This Row],[Grafik]]="#Н/Д",FALSE,TRUE)</f>
        <v>0</v>
      </c>
    </row>
    <row r="602" spans="2:28" ht="11.1" hidden="1" customHeight="1" x14ac:dyDescent="0.25">
      <c r="B602"/>
      <c r="C602" s="41" t="str">
        <f>IFERROR(VLOOKUP(B602,Baza[[№]:[Profit]],2,0),"")</f>
        <v/>
      </c>
      <c r="D60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0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02" s="43" t="str">
        <f>IFERROR(VLOOKUP(B602,Baza[[№]:[Profit]],3,0),"")</f>
        <v/>
      </c>
      <c r="G602" s="43" t="str">
        <f>IFERROR(VLOOKUP(B602,Baza[[№]:[Profit]],4,0),"")</f>
        <v/>
      </c>
      <c r="H602" s="43" t="str">
        <f>IFERROR(VLOOKUP(B602,Baza[[№]:[Profit]],5,0),"")</f>
        <v/>
      </c>
      <c r="I602" s="46" t="str">
        <f>IFERROR(VLOOKUP(B602,Baza[[№]:[Profit]],6,0),"")</f>
        <v/>
      </c>
      <c r="J602" s="49" t="str">
        <f>IFERROR(VLOOKUP(B602,Baza[[№]:[Profit]],7,0),"")</f>
        <v/>
      </c>
      <c r="K602" s="43" t="str">
        <f>IFERROR(VLOOKUP(B602,Baza[[№]:[Profit]],8,0),"")</f>
        <v/>
      </c>
      <c r="L602" s="43" t="str">
        <f>IFERROR(VLOOKUP(B602,Baza[[№]:[Profit]],9,0),"")</f>
        <v/>
      </c>
      <c r="M602" s="43" t="str">
        <f>IFERROR(VLOOKUP(B602,Baza[[№]:[Profit]],10,0),"")</f>
        <v/>
      </c>
      <c r="N602" s="43" t="str">
        <f>IFERROR(IF(VLOOKUP(B602,Baza[[№]:[Profit]],11,0)=0,"-",VLOOKUP(B602,Baza[[№]:[Profit]],11,0)),"")</f>
        <v/>
      </c>
      <c r="O602" s="43" t="str">
        <f>IFERROR(IF(VLOOKUP(B602,Baza[[№]:[Profit]],12,0)=0,"-",VLOOKUP(B602,Baza[[№]:[Profit]],12,0)),"")</f>
        <v/>
      </c>
      <c r="P602" s="43" t="str">
        <f>IFERROR(IF(VLOOKUP(B602,Baza[[№]:[Profit]],13,0)=0,"-",VLOOKUP(B602,Baza[[№]:[Profit]],13,0)),"")</f>
        <v/>
      </c>
      <c r="Q602" s="43" t="str">
        <f>IFERROR(IF(VLOOKUP(B602,Baza[[№]:[Profit]],15,0)=0,"-",VLOOKUP(B602,Baza[[№]:[Profit]],15,0)),"")</f>
        <v/>
      </c>
      <c r="R602" s="43" t="str">
        <f>IFERROR(IF(VLOOKUP(B602,Baza[[№]:[Profit]],16,0)=0,"-",VLOOKUP(B602,Baza[[№]:[Profit]],16,0)),"")</f>
        <v/>
      </c>
      <c r="S602" s="43" t="str">
        <f>IFERROR(IF(VLOOKUP(B602,Baza[[№]:[Profit]],17,0)=0,"-",VLOOKUP(B602,Baza[[№]:[Profit]],17,0)),"")</f>
        <v/>
      </c>
      <c r="T602" s="43" t="str">
        <f>IFERROR(IF(VLOOKUP(B602,Baza[[№]:[Profit]],18,0)=0,"-",VLOOKUP(B602,Baza[[№]:[Profit]],18,0)),"")</f>
        <v/>
      </c>
      <c r="U602" s="41" t="str">
        <f>IFERROR(IF(VLOOKUP(B602,Baza[[№]:[Profit]],19,0)=0,"-",VLOOKUP(B602,Baza[[№]:[Profit]],19,0)),"")</f>
        <v/>
      </c>
      <c r="V602" s="41" t="str">
        <f>IFERROR(VLOOKUP(B602,Baza[[№]:[Profit]],20,0),"")</f>
        <v/>
      </c>
      <c r="W602" s="41" t="str">
        <f>IFERROR(IF(VLOOKUP(B602,Baza[[№]:[Profit]],21,0)=0,"-",VLOOKUP(B602,Baza[[№]:[Profit]],21,0)),"")</f>
        <v/>
      </c>
      <c r="X602" s="45" t="str">
        <f>IFERROR(IF(VLOOKUP(B602,Baza[[№]:[Profit]],22,0)=0,"-",VLOOKUP(B602,Baza[[№]:[Profit]],22,0)),"")</f>
        <v/>
      </c>
      <c r="Y602" s="45" t="str">
        <f>IFERROR(VLOOKUP(B602,Baza[[№]:[Profit]],23,0),"")</f>
        <v/>
      </c>
      <c r="Z602" s="44" t="str">
        <f>IFERROR(VLOOKUP(B602,Baza[[№]:[AFS]],24,0),"")</f>
        <v/>
      </c>
      <c r="AA602" s="45" t="str">
        <f>IF(Таблица2[[#This Row],[Profit]]="","#Н/Д",SUM($Y$40:Y602))</f>
        <v>#Н/Д</v>
      </c>
      <c r="AB602" s="45" t="b">
        <f>IF(Таблица2[[#This Row],[Grafik]]="#Н/Д",FALSE,TRUE)</f>
        <v>0</v>
      </c>
    </row>
    <row r="603" spans="2:28" ht="11.1" hidden="1" customHeight="1" x14ac:dyDescent="0.25">
      <c r="B603"/>
      <c r="C603" s="41" t="str">
        <f>IFERROR(VLOOKUP(B603,Baza[[№]:[Profit]],2,0),"")</f>
        <v/>
      </c>
      <c r="D60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0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03" s="43" t="str">
        <f>IFERROR(VLOOKUP(B603,Baza[[№]:[Profit]],3,0),"")</f>
        <v/>
      </c>
      <c r="G603" s="43" t="str">
        <f>IFERROR(VLOOKUP(B603,Baza[[№]:[Profit]],4,0),"")</f>
        <v/>
      </c>
      <c r="H603" s="43" t="str">
        <f>IFERROR(VLOOKUP(B603,Baza[[№]:[Profit]],5,0),"")</f>
        <v/>
      </c>
      <c r="I603" s="46" t="str">
        <f>IFERROR(VLOOKUP(B603,Baza[[№]:[Profit]],6,0),"")</f>
        <v/>
      </c>
      <c r="J603" s="49" t="str">
        <f>IFERROR(VLOOKUP(B603,Baza[[№]:[Profit]],7,0),"")</f>
        <v/>
      </c>
      <c r="K603" s="43" t="str">
        <f>IFERROR(VLOOKUP(B603,Baza[[№]:[Profit]],8,0),"")</f>
        <v/>
      </c>
      <c r="L603" s="43" t="str">
        <f>IFERROR(VLOOKUP(B603,Baza[[№]:[Profit]],9,0),"")</f>
        <v/>
      </c>
      <c r="M603" s="43" t="str">
        <f>IFERROR(VLOOKUP(B603,Baza[[№]:[Profit]],10,0),"")</f>
        <v/>
      </c>
      <c r="N603" s="43" t="str">
        <f>IFERROR(IF(VLOOKUP(B603,Baza[[№]:[Profit]],11,0)=0,"-",VLOOKUP(B603,Baza[[№]:[Profit]],11,0)),"")</f>
        <v/>
      </c>
      <c r="O603" s="43" t="str">
        <f>IFERROR(IF(VLOOKUP(B603,Baza[[№]:[Profit]],12,0)=0,"-",VLOOKUP(B603,Baza[[№]:[Profit]],12,0)),"")</f>
        <v/>
      </c>
      <c r="P603" s="43" t="str">
        <f>IFERROR(IF(VLOOKUP(B603,Baza[[№]:[Profit]],13,0)=0,"-",VLOOKUP(B603,Baza[[№]:[Profit]],13,0)),"")</f>
        <v/>
      </c>
      <c r="Q603" s="43" t="str">
        <f>IFERROR(IF(VLOOKUP(B603,Baza[[№]:[Profit]],15,0)=0,"-",VLOOKUP(B603,Baza[[№]:[Profit]],15,0)),"")</f>
        <v/>
      </c>
      <c r="R603" s="43" t="str">
        <f>IFERROR(IF(VLOOKUP(B603,Baza[[№]:[Profit]],16,0)=0,"-",VLOOKUP(B603,Baza[[№]:[Profit]],16,0)),"")</f>
        <v/>
      </c>
      <c r="S603" s="43" t="str">
        <f>IFERROR(IF(VLOOKUP(B603,Baza[[№]:[Profit]],17,0)=0,"-",VLOOKUP(B603,Baza[[№]:[Profit]],17,0)),"")</f>
        <v/>
      </c>
      <c r="T603" s="43" t="str">
        <f>IFERROR(IF(VLOOKUP(B603,Baza[[№]:[Profit]],18,0)=0,"-",VLOOKUP(B603,Baza[[№]:[Profit]],18,0)),"")</f>
        <v/>
      </c>
      <c r="U603" s="41" t="str">
        <f>IFERROR(IF(VLOOKUP(B603,Baza[[№]:[Profit]],19,0)=0,"-",VLOOKUP(B603,Baza[[№]:[Profit]],19,0)),"")</f>
        <v/>
      </c>
      <c r="V603" s="41" t="str">
        <f>IFERROR(VLOOKUP(B603,Baza[[№]:[Profit]],20,0),"")</f>
        <v/>
      </c>
      <c r="W603" s="41" t="str">
        <f>IFERROR(IF(VLOOKUP(B603,Baza[[№]:[Profit]],21,0)=0,"-",VLOOKUP(B603,Baza[[№]:[Profit]],21,0)),"")</f>
        <v/>
      </c>
      <c r="X603" s="45" t="str">
        <f>IFERROR(IF(VLOOKUP(B603,Baza[[№]:[Profit]],22,0)=0,"-",VLOOKUP(B603,Baza[[№]:[Profit]],22,0)),"")</f>
        <v/>
      </c>
      <c r="Y603" s="45" t="str">
        <f>IFERROR(VLOOKUP(B603,Baza[[№]:[Profit]],23,0),"")</f>
        <v/>
      </c>
      <c r="Z603" s="44" t="str">
        <f>IFERROR(VLOOKUP(B603,Baza[[№]:[AFS]],24,0),"")</f>
        <v/>
      </c>
      <c r="AA603" s="45" t="str">
        <f>IF(Таблица2[[#This Row],[Profit]]="","#Н/Д",SUM($Y$40:Y603))</f>
        <v>#Н/Д</v>
      </c>
      <c r="AB603" s="45" t="b">
        <f>IF(Таблица2[[#This Row],[Grafik]]="#Н/Д",FALSE,TRUE)</f>
        <v>0</v>
      </c>
    </row>
    <row r="604" spans="2:28" ht="11.1" hidden="1" customHeight="1" x14ac:dyDescent="0.25">
      <c r="B604"/>
      <c r="C604" s="41" t="str">
        <f>IFERROR(VLOOKUP(B604,Baza[[№]:[Profit]],2,0),"")</f>
        <v/>
      </c>
      <c r="D60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0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04" s="43" t="str">
        <f>IFERROR(VLOOKUP(B604,Baza[[№]:[Profit]],3,0),"")</f>
        <v/>
      </c>
      <c r="G604" s="43" t="str">
        <f>IFERROR(VLOOKUP(B604,Baza[[№]:[Profit]],4,0),"")</f>
        <v/>
      </c>
      <c r="H604" s="43" t="str">
        <f>IFERROR(VLOOKUP(B604,Baza[[№]:[Profit]],5,0),"")</f>
        <v/>
      </c>
      <c r="I604" s="46" t="str">
        <f>IFERROR(VLOOKUP(B604,Baza[[№]:[Profit]],6,0),"")</f>
        <v/>
      </c>
      <c r="J604" s="49" t="str">
        <f>IFERROR(VLOOKUP(B604,Baza[[№]:[Profit]],7,0),"")</f>
        <v/>
      </c>
      <c r="K604" s="43" t="str">
        <f>IFERROR(VLOOKUP(B604,Baza[[№]:[Profit]],8,0),"")</f>
        <v/>
      </c>
      <c r="L604" s="43" t="str">
        <f>IFERROR(VLOOKUP(B604,Baza[[№]:[Profit]],9,0),"")</f>
        <v/>
      </c>
      <c r="M604" s="43" t="str">
        <f>IFERROR(VLOOKUP(B604,Baza[[№]:[Profit]],10,0),"")</f>
        <v/>
      </c>
      <c r="N604" s="43" t="str">
        <f>IFERROR(IF(VLOOKUP(B604,Baza[[№]:[Profit]],11,0)=0,"-",VLOOKUP(B604,Baza[[№]:[Profit]],11,0)),"")</f>
        <v/>
      </c>
      <c r="O604" s="43" t="str">
        <f>IFERROR(IF(VLOOKUP(B604,Baza[[№]:[Profit]],12,0)=0,"-",VLOOKUP(B604,Baza[[№]:[Profit]],12,0)),"")</f>
        <v/>
      </c>
      <c r="P604" s="43" t="str">
        <f>IFERROR(IF(VLOOKUP(B604,Baza[[№]:[Profit]],13,0)=0,"-",VLOOKUP(B604,Baza[[№]:[Profit]],13,0)),"")</f>
        <v/>
      </c>
      <c r="Q604" s="43" t="str">
        <f>IFERROR(IF(VLOOKUP(B604,Baza[[№]:[Profit]],15,0)=0,"-",VLOOKUP(B604,Baza[[№]:[Profit]],15,0)),"")</f>
        <v/>
      </c>
      <c r="R604" s="43" t="str">
        <f>IFERROR(IF(VLOOKUP(B604,Baza[[№]:[Profit]],16,0)=0,"-",VLOOKUP(B604,Baza[[№]:[Profit]],16,0)),"")</f>
        <v/>
      </c>
      <c r="S604" s="43" t="str">
        <f>IFERROR(IF(VLOOKUP(B604,Baza[[№]:[Profit]],17,0)=0,"-",VLOOKUP(B604,Baza[[№]:[Profit]],17,0)),"")</f>
        <v/>
      </c>
      <c r="T604" s="43" t="str">
        <f>IFERROR(IF(VLOOKUP(B604,Baza[[№]:[Profit]],18,0)=0,"-",VLOOKUP(B604,Baza[[№]:[Profit]],18,0)),"")</f>
        <v/>
      </c>
      <c r="U604" s="41" t="str">
        <f>IFERROR(IF(VLOOKUP(B604,Baza[[№]:[Profit]],19,0)=0,"-",VLOOKUP(B604,Baza[[№]:[Profit]],19,0)),"")</f>
        <v/>
      </c>
      <c r="V604" s="41" t="str">
        <f>IFERROR(VLOOKUP(B604,Baza[[№]:[Profit]],20,0),"")</f>
        <v/>
      </c>
      <c r="W604" s="41" t="str">
        <f>IFERROR(IF(VLOOKUP(B604,Baza[[№]:[Profit]],21,0)=0,"-",VLOOKUP(B604,Baza[[№]:[Profit]],21,0)),"")</f>
        <v/>
      </c>
      <c r="X604" s="45" t="str">
        <f>IFERROR(IF(VLOOKUP(B604,Baza[[№]:[Profit]],22,0)=0,"-",VLOOKUP(B604,Baza[[№]:[Profit]],22,0)),"")</f>
        <v/>
      </c>
      <c r="Y604" s="45" t="str">
        <f>IFERROR(VLOOKUP(B604,Baza[[№]:[Profit]],23,0),"")</f>
        <v/>
      </c>
      <c r="Z604" s="44" t="str">
        <f>IFERROR(VLOOKUP(B604,Baza[[№]:[AFS]],24,0),"")</f>
        <v/>
      </c>
      <c r="AA604" s="45" t="str">
        <f>IF(Таблица2[[#This Row],[Profit]]="","#Н/Д",SUM($Y$40:Y604))</f>
        <v>#Н/Д</v>
      </c>
      <c r="AB604" s="45" t="b">
        <f>IF(Таблица2[[#This Row],[Grafik]]="#Н/Д",FALSE,TRUE)</f>
        <v>0</v>
      </c>
    </row>
    <row r="605" spans="2:28" ht="11.1" hidden="1" customHeight="1" x14ac:dyDescent="0.25">
      <c r="B605"/>
      <c r="C605" s="41" t="str">
        <f>IFERROR(VLOOKUP(B605,Baza[[№]:[Profit]],2,0),"")</f>
        <v/>
      </c>
      <c r="D60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0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05" s="43" t="str">
        <f>IFERROR(VLOOKUP(B605,Baza[[№]:[Profit]],3,0),"")</f>
        <v/>
      </c>
      <c r="G605" s="43" t="str">
        <f>IFERROR(VLOOKUP(B605,Baza[[№]:[Profit]],4,0),"")</f>
        <v/>
      </c>
      <c r="H605" s="43" t="str">
        <f>IFERROR(VLOOKUP(B605,Baza[[№]:[Profit]],5,0),"")</f>
        <v/>
      </c>
      <c r="I605" s="46" t="str">
        <f>IFERROR(VLOOKUP(B605,Baza[[№]:[Profit]],6,0),"")</f>
        <v/>
      </c>
      <c r="J605" s="49" t="str">
        <f>IFERROR(VLOOKUP(B605,Baza[[№]:[Profit]],7,0),"")</f>
        <v/>
      </c>
      <c r="K605" s="43" t="str">
        <f>IFERROR(VLOOKUP(B605,Baza[[№]:[Profit]],8,0),"")</f>
        <v/>
      </c>
      <c r="L605" s="43" t="str">
        <f>IFERROR(VLOOKUP(B605,Baza[[№]:[Profit]],9,0),"")</f>
        <v/>
      </c>
      <c r="M605" s="43" t="str">
        <f>IFERROR(VLOOKUP(B605,Baza[[№]:[Profit]],10,0),"")</f>
        <v/>
      </c>
      <c r="N605" s="43" t="str">
        <f>IFERROR(IF(VLOOKUP(B605,Baza[[№]:[Profit]],11,0)=0,"-",VLOOKUP(B605,Baza[[№]:[Profit]],11,0)),"")</f>
        <v/>
      </c>
      <c r="O605" s="43" t="str">
        <f>IFERROR(IF(VLOOKUP(B605,Baza[[№]:[Profit]],12,0)=0,"-",VLOOKUP(B605,Baza[[№]:[Profit]],12,0)),"")</f>
        <v/>
      </c>
      <c r="P605" s="43" t="str">
        <f>IFERROR(IF(VLOOKUP(B605,Baza[[№]:[Profit]],13,0)=0,"-",VLOOKUP(B605,Baza[[№]:[Profit]],13,0)),"")</f>
        <v/>
      </c>
      <c r="Q605" s="43" t="str">
        <f>IFERROR(IF(VLOOKUP(B605,Baza[[№]:[Profit]],15,0)=0,"-",VLOOKUP(B605,Baza[[№]:[Profit]],15,0)),"")</f>
        <v/>
      </c>
      <c r="R605" s="43" t="str">
        <f>IFERROR(IF(VLOOKUP(B605,Baza[[№]:[Profit]],16,0)=0,"-",VLOOKUP(B605,Baza[[№]:[Profit]],16,0)),"")</f>
        <v/>
      </c>
      <c r="S605" s="43" t="str">
        <f>IFERROR(IF(VLOOKUP(B605,Baza[[№]:[Profit]],17,0)=0,"-",VLOOKUP(B605,Baza[[№]:[Profit]],17,0)),"")</f>
        <v/>
      </c>
      <c r="T605" s="43" t="str">
        <f>IFERROR(IF(VLOOKUP(B605,Baza[[№]:[Profit]],18,0)=0,"-",VLOOKUP(B605,Baza[[№]:[Profit]],18,0)),"")</f>
        <v/>
      </c>
      <c r="U605" s="41" t="str">
        <f>IFERROR(IF(VLOOKUP(B605,Baza[[№]:[Profit]],19,0)=0,"-",VLOOKUP(B605,Baza[[№]:[Profit]],19,0)),"")</f>
        <v/>
      </c>
      <c r="V605" s="41" t="str">
        <f>IFERROR(VLOOKUP(B605,Baza[[№]:[Profit]],20,0),"")</f>
        <v/>
      </c>
      <c r="W605" s="41" t="str">
        <f>IFERROR(IF(VLOOKUP(B605,Baza[[№]:[Profit]],21,0)=0,"-",VLOOKUP(B605,Baza[[№]:[Profit]],21,0)),"")</f>
        <v/>
      </c>
      <c r="X605" s="45" t="str">
        <f>IFERROR(IF(VLOOKUP(B605,Baza[[№]:[Profit]],22,0)=0,"-",VLOOKUP(B605,Baza[[№]:[Profit]],22,0)),"")</f>
        <v/>
      </c>
      <c r="Y605" s="45" t="str">
        <f>IFERROR(VLOOKUP(B605,Baza[[№]:[Profit]],23,0),"")</f>
        <v/>
      </c>
      <c r="Z605" s="44" t="str">
        <f>IFERROR(VLOOKUP(B605,Baza[[№]:[AFS]],24,0),"")</f>
        <v/>
      </c>
      <c r="AA605" s="45" t="str">
        <f>IF(Таблица2[[#This Row],[Profit]]="","#Н/Д",SUM($Y$40:Y605))</f>
        <v>#Н/Д</v>
      </c>
      <c r="AB605" s="45" t="b">
        <f>IF(Таблица2[[#This Row],[Grafik]]="#Н/Д",FALSE,TRUE)</f>
        <v>0</v>
      </c>
    </row>
    <row r="606" spans="2:28" ht="11.1" hidden="1" customHeight="1" x14ac:dyDescent="0.25">
      <c r="B606"/>
      <c r="C606" s="41" t="str">
        <f>IFERROR(VLOOKUP(B606,Baza[[№]:[Profit]],2,0),"")</f>
        <v/>
      </c>
      <c r="D60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0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06" s="43" t="str">
        <f>IFERROR(VLOOKUP(B606,Baza[[№]:[Profit]],3,0),"")</f>
        <v/>
      </c>
      <c r="G606" s="43" t="str">
        <f>IFERROR(VLOOKUP(B606,Baza[[№]:[Profit]],4,0),"")</f>
        <v/>
      </c>
      <c r="H606" s="43" t="str">
        <f>IFERROR(VLOOKUP(B606,Baza[[№]:[Profit]],5,0),"")</f>
        <v/>
      </c>
      <c r="I606" s="46" t="str">
        <f>IFERROR(VLOOKUP(B606,Baza[[№]:[Profit]],6,0),"")</f>
        <v/>
      </c>
      <c r="J606" s="49" t="str">
        <f>IFERROR(VLOOKUP(B606,Baza[[№]:[Profit]],7,0),"")</f>
        <v/>
      </c>
      <c r="K606" s="43" t="str">
        <f>IFERROR(VLOOKUP(B606,Baza[[№]:[Profit]],8,0),"")</f>
        <v/>
      </c>
      <c r="L606" s="43" t="str">
        <f>IFERROR(VLOOKUP(B606,Baza[[№]:[Profit]],9,0),"")</f>
        <v/>
      </c>
      <c r="M606" s="43" t="str">
        <f>IFERROR(VLOOKUP(B606,Baza[[№]:[Profit]],10,0),"")</f>
        <v/>
      </c>
      <c r="N606" s="43" t="str">
        <f>IFERROR(IF(VLOOKUP(B606,Baza[[№]:[Profit]],11,0)=0,"-",VLOOKUP(B606,Baza[[№]:[Profit]],11,0)),"")</f>
        <v/>
      </c>
      <c r="O606" s="43" t="str">
        <f>IFERROR(IF(VLOOKUP(B606,Baza[[№]:[Profit]],12,0)=0,"-",VLOOKUP(B606,Baza[[№]:[Profit]],12,0)),"")</f>
        <v/>
      </c>
      <c r="P606" s="43" t="str">
        <f>IFERROR(IF(VLOOKUP(B606,Baza[[№]:[Profit]],13,0)=0,"-",VLOOKUP(B606,Baza[[№]:[Profit]],13,0)),"")</f>
        <v/>
      </c>
      <c r="Q606" s="43" t="str">
        <f>IFERROR(IF(VLOOKUP(B606,Baza[[№]:[Profit]],15,0)=0,"-",VLOOKUP(B606,Baza[[№]:[Profit]],15,0)),"")</f>
        <v/>
      </c>
      <c r="R606" s="43" t="str">
        <f>IFERROR(IF(VLOOKUP(B606,Baza[[№]:[Profit]],16,0)=0,"-",VLOOKUP(B606,Baza[[№]:[Profit]],16,0)),"")</f>
        <v/>
      </c>
      <c r="S606" s="43" t="str">
        <f>IFERROR(IF(VLOOKUP(B606,Baza[[№]:[Profit]],17,0)=0,"-",VLOOKUP(B606,Baza[[№]:[Profit]],17,0)),"")</f>
        <v/>
      </c>
      <c r="T606" s="43" t="str">
        <f>IFERROR(IF(VLOOKUP(B606,Baza[[№]:[Profit]],18,0)=0,"-",VLOOKUP(B606,Baza[[№]:[Profit]],18,0)),"")</f>
        <v/>
      </c>
      <c r="U606" s="41" t="str">
        <f>IFERROR(IF(VLOOKUP(B606,Baza[[№]:[Profit]],19,0)=0,"-",VLOOKUP(B606,Baza[[№]:[Profit]],19,0)),"")</f>
        <v/>
      </c>
      <c r="V606" s="41" t="str">
        <f>IFERROR(VLOOKUP(B606,Baza[[№]:[Profit]],20,0),"")</f>
        <v/>
      </c>
      <c r="W606" s="41" t="str">
        <f>IFERROR(IF(VLOOKUP(B606,Baza[[№]:[Profit]],21,0)=0,"-",VLOOKUP(B606,Baza[[№]:[Profit]],21,0)),"")</f>
        <v/>
      </c>
      <c r="X606" s="45" t="str">
        <f>IFERROR(IF(VLOOKUP(B606,Baza[[№]:[Profit]],22,0)=0,"-",VLOOKUP(B606,Baza[[№]:[Profit]],22,0)),"")</f>
        <v/>
      </c>
      <c r="Y606" s="45" t="str">
        <f>IFERROR(VLOOKUP(B606,Baza[[№]:[Profit]],23,0),"")</f>
        <v/>
      </c>
      <c r="Z606" s="44" t="str">
        <f>IFERROR(VLOOKUP(B606,Baza[[№]:[AFS]],24,0),"")</f>
        <v/>
      </c>
      <c r="AA606" s="45" t="str">
        <f>IF(Таблица2[[#This Row],[Profit]]="","#Н/Д",SUM($Y$40:Y606))</f>
        <v>#Н/Д</v>
      </c>
      <c r="AB606" s="45" t="b">
        <f>IF(Таблица2[[#This Row],[Grafik]]="#Н/Д",FALSE,TRUE)</f>
        <v>0</v>
      </c>
    </row>
    <row r="607" spans="2:28" ht="11.1" hidden="1" customHeight="1" x14ac:dyDescent="0.25">
      <c r="B607"/>
      <c r="C607" s="41" t="str">
        <f>IFERROR(VLOOKUP(B607,Baza[[№]:[Profit]],2,0),"")</f>
        <v/>
      </c>
      <c r="D60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0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07" s="43" t="str">
        <f>IFERROR(VLOOKUP(B607,Baza[[№]:[Profit]],3,0),"")</f>
        <v/>
      </c>
      <c r="G607" s="43" t="str">
        <f>IFERROR(VLOOKUP(B607,Baza[[№]:[Profit]],4,0),"")</f>
        <v/>
      </c>
      <c r="H607" s="43" t="str">
        <f>IFERROR(VLOOKUP(B607,Baza[[№]:[Profit]],5,0),"")</f>
        <v/>
      </c>
      <c r="I607" s="46" t="str">
        <f>IFERROR(VLOOKUP(B607,Baza[[№]:[Profit]],6,0),"")</f>
        <v/>
      </c>
      <c r="J607" s="49" t="str">
        <f>IFERROR(VLOOKUP(B607,Baza[[№]:[Profit]],7,0),"")</f>
        <v/>
      </c>
      <c r="K607" s="43" t="str">
        <f>IFERROR(VLOOKUP(B607,Baza[[№]:[Profit]],8,0),"")</f>
        <v/>
      </c>
      <c r="L607" s="43" t="str">
        <f>IFERROR(VLOOKUP(B607,Baza[[№]:[Profit]],9,0),"")</f>
        <v/>
      </c>
      <c r="M607" s="43" t="str">
        <f>IFERROR(VLOOKUP(B607,Baza[[№]:[Profit]],10,0),"")</f>
        <v/>
      </c>
      <c r="N607" s="43" t="str">
        <f>IFERROR(IF(VLOOKUP(B607,Baza[[№]:[Profit]],11,0)=0,"-",VLOOKUP(B607,Baza[[№]:[Profit]],11,0)),"")</f>
        <v/>
      </c>
      <c r="O607" s="43" t="str">
        <f>IFERROR(IF(VLOOKUP(B607,Baza[[№]:[Profit]],12,0)=0,"-",VLOOKUP(B607,Baza[[№]:[Profit]],12,0)),"")</f>
        <v/>
      </c>
      <c r="P607" s="43" t="str">
        <f>IFERROR(IF(VLOOKUP(B607,Baza[[№]:[Profit]],13,0)=0,"-",VLOOKUP(B607,Baza[[№]:[Profit]],13,0)),"")</f>
        <v/>
      </c>
      <c r="Q607" s="43" t="str">
        <f>IFERROR(IF(VLOOKUP(B607,Baza[[№]:[Profit]],15,0)=0,"-",VLOOKUP(B607,Baza[[№]:[Profit]],15,0)),"")</f>
        <v/>
      </c>
      <c r="R607" s="43" t="str">
        <f>IFERROR(IF(VLOOKUP(B607,Baza[[№]:[Profit]],16,0)=0,"-",VLOOKUP(B607,Baza[[№]:[Profit]],16,0)),"")</f>
        <v/>
      </c>
      <c r="S607" s="43" t="str">
        <f>IFERROR(IF(VLOOKUP(B607,Baza[[№]:[Profit]],17,0)=0,"-",VLOOKUP(B607,Baza[[№]:[Profit]],17,0)),"")</f>
        <v/>
      </c>
      <c r="T607" s="43" t="str">
        <f>IFERROR(IF(VLOOKUP(B607,Baza[[№]:[Profit]],18,0)=0,"-",VLOOKUP(B607,Baza[[№]:[Profit]],18,0)),"")</f>
        <v/>
      </c>
      <c r="U607" s="41" t="str">
        <f>IFERROR(IF(VLOOKUP(B607,Baza[[№]:[Profit]],19,0)=0,"-",VLOOKUP(B607,Baza[[№]:[Profit]],19,0)),"")</f>
        <v/>
      </c>
      <c r="V607" s="41" t="str">
        <f>IFERROR(VLOOKUP(B607,Baza[[№]:[Profit]],20,0),"")</f>
        <v/>
      </c>
      <c r="W607" s="41" t="str">
        <f>IFERROR(IF(VLOOKUP(B607,Baza[[№]:[Profit]],21,0)=0,"-",VLOOKUP(B607,Baza[[№]:[Profit]],21,0)),"")</f>
        <v/>
      </c>
      <c r="X607" s="45" t="str">
        <f>IFERROR(IF(VLOOKUP(B607,Baza[[№]:[Profit]],22,0)=0,"-",VLOOKUP(B607,Baza[[№]:[Profit]],22,0)),"")</f>
        <v/>
      </c>
      <c r="Y607" s="45" t="str">
        <f>IFERROR(VLOOKUP(B607,Baza[[№]:[Profit]],23,0),"")</f>
        <v/>
      </c>
      <c r="Z607" s="44" t="str">
        <f>IFERROR(VLOOKUP(B607,Baza[[№]:[AFS]],24,0),"")</f>
        <v/>
      </c>
      <c r="AA607" s="45" t="str">
        <f>IF(Таблица2[[#This Row],[Profit]]="","#Н/Д",SUM($Y$40:Y607))</f>
        <v>#Н/Д</v>
      </c>
      <c r="AB607" s="45" t="b">
        <f>IF(Таблица2[[#This Row],[Grafik]]="#Н/Д",FALSE,TRUE)</f>
        <v>0</v>
      </c>
    </row>
    <row r="608" spans="2:28" ht="11.1" hidden="1" customHeight="1" x14ac:dyDescent="0.25">
      <c r="B608"/>
      <c r="C608" s="41" t="str">
        <f>IFERROR(VLOOKUP(B608,Baza[[№]:[Profit]],2,0),"")</f>
        <v/>
      </c>
      <c r="D60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0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08" s="43" t="str">
        <f>IFERROR(VLOOKUP(B608,Baza[[№]:[Profit]],3,0),"")</f>
        <v/>
      </c>
      <c r="G608" s="43" t="str">
        <f>IFERROR(VLOOKUP(B608,Baza[[№]:[Profit]],4,0),"")</f>
        <v/>
      </c>
      <c r="H608" s="43" t="str">
        <f>IFERROR(VLOOKUP(B608,Baza[[№]:[Profit]],5,0),"")</f>
        <v/>
      </c>
      <c r="I608" s="46" t="str">
        <f>IFERROR(VLOOKUP(B608,Baza[[№]:[Profit]],6,0),"")</f>
        <v/>
      </c>
      <c r="J608" s="49" t="str">
        <f>IFERROR(VLOOKUP(B608,Baza[[№]:[Profit]],7,0),"")</f>
        <v/>
      </c>
      <c r="K608" s="43" t="str">
        <f>IFERROR(VLOOKUP(B608,Baza[[№]:[Profit]],8,0),"")</f>
        <v/>
      </c>
      <c r="L608" s="43" t="str">
        <f>IFERROR(VLOOKUP(B608,Baza[[№]:[Profit]],9,0),"")</f>
        <v/>
      </c>
      <c r="M608" s="43" t="str">
        <f>IFERROR(VLOOKUP(B608,Baza[[№]:[Profit]],10,0),"")</f>
        <v/>
      </c>
      <c r="N608" s="43" t="str">
        <f>IFERROR(IF(VLOOKUP(B608,Baza[[№]:[Profit]],11,0)=0,"-",VLOOKUP(B608,Baza[[№]:[Profit]],11,0)),"")</f>
        <v/>
      </c>
      <c r="O608" s="43" t="str">
        <f>IFERROR(IF(VLOOKUP(B608,Baza[[№]:[Profit]],12,0)=0,"-",VLOOKUP(B608,Baza[[№]:[Profit]],12,0)),"")</f>
        <v/>
      </c>
      <c r="P608" s="43" t="str">
        <f>IFERROR(IF(VLOOKUP(B608,Baza[[№]:[Profit]],13,0)=0,"-",VLOOKUP(B608,Baza[[№]:[Profit]],13,0)),"")</f>
        <v/>
      </c>
      <c r="Q608" s="43" t="str">
        <f>IFERROR(IF(VLOOKUP(B608,Baza[[№]:[Profit]],15,0)=0,"-",VLOOKUP(B608,Baza[[№]:[Profit]],15,0)),"")</f>
        <v/>
      </c>
      <c r="R608" s="43" t="str">
        <f>IFERROR(IF(VLOOKUP(B608,Baza[[№]:[Profit]],16,0)=0,"-",VLOOKUP(B608,Baza[[№]:[Profit]],16,0)),"")</f>
        <v/>
      </c>
      <c r="S608" s="43" t="str">
        <f>IFERROR(IF(VLOOKUP(B608,Baza[[№]:[Profit]],17,0)=0,"-",VLOOKUP(B608,Baza[[№]:[Profit]],17,0)),"")</f>
        <v/>
      </c>
      <c r="T608" s="43" t="str">
        <f>IFERROR(IF(VLOOKUP(B608,Baza[[№]:[Profit]],18,0)=0,"-",VLOOKUP(B608,Baza[[№]:[Profit]],18,0)),"")</f>
        <v/>
      </c>
      <c r="U608" s="41" t="str">
        <f>IFERROR(IF(VLOOKUP(B608,Baza[[№]:[Profit]],19,0)=0,"-",VLOOKUP(B608,Baza[[№]:[Profit]],19,0)),"")</f>
        <v/>
      </c>
      <c r="V608" s="41" t="str">
        <f>IFERROR(VLOOKUP(B608,Baza[[№]:[Profit]],20,0),"")</f>
        <v/>
      </c>
      <c r="W608" s="41" t="str">
        <f>IFERROR(IF(VLOOKUP(B608,Baza[[№]:[Profit]],21,0)=0,"-",VLOOKUP(B608,Baza[[№]:[Profit]],21,0)),"")</f>
        <v/>
      </c>
      <c r="X608" s="45" t="str">
        <f>IFERROR(IF(VLOOKUP(B608,Baza[[№]:[Profit]],22,0)=0,"-",VLOOKUP(B608,Baza[[№]:[Profit]],22,0)),"")</f>
        <v/>
      </c>
      <c r="Y608" s="45" t="str">
        <f>IFERROR(VLOOKUP(B608,Baza[[№]:[Profit]],23,0),"")</f>
        <v/>
      </c>
      <c r="Z608" s="44" t="str">
        <f>IFERROR(VLOOKUP(B608,Baza[[№]:[AFS]],24,0),"")</f>
        <v/>
      </c>
      <c r="AA608" s="45" t="str">
        <f>IF(Таблица2[[#This Row],[Profit]]="","#Н/Д",SUM($Y$40:Y608))</f>
        <v>#Н/Д</v>
      </c>
      <c r="AB608" s="45" t="b">
        <f>IF(Таблица2[[#This Row],[Grafik]]="#Н/Д",FALSE,TRUE)</f>
        <v>0</v>
      </c>
    </row>
    <row r="609" spans="2:28" ht="11.1" hidden="1" customHeight="1" x14ac:dyDescent="0.25">
      <c r="B609"/>
      <c r="C609" s="41" t="str">
        <f>IFERROR(VLOOKUP(B609,Baza[[№]:[Profit]],2,0),"")</f>
        <v/>
      </c>
      <c r="D60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0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09" s="43" t="str">
        <f>IFERROR(VLOOKUP(B609,Baza[[№]:[Profit]],3,0),"")</f>
        <v/>
      </c>
      <c r="G609" s="43" t="str">
        <f>IFERROR(VLOOKUP(B609,Baza[[№]:[Profit]],4,0),"")</f>
        <v/>
      </c>
      <c r="H609" s="43" t="str">
        <f>IFERROR(VLOOKUP(B609,Baza[[№]:[Profit]],5,0),"")</f>
        <v/>
      </c>
      <c r="I609" s="46" t="str">
        <f>IFERROR(VLOOKUP(B609,Baza[[№]:[Profit]],6,0),"")</f>
        <v/>
      </c>
      <c r="J609" s="49" t="str">
        <f>IFERROR(VLOOKUP(B609,Baza[[№]:[Profit]],7,0),"")</f>
        <v/>
      </c>
      <c r="K609" s="43" t="str">
        <f>IFERROR(VLOOKUP(B609,Baza[[№]:[Profit]],8,0),"")</f>
        <v/>
      </c>
      <c r="L609" s="43" t="str">
        <f>IFERROR(VLOOKUP(B609,Baza[[№]:[Profit]],9,0),"")</f>
        <v/>
      </c>
      <c r="M609" s="43" t="str">
        <f>IFERROR(VLOOKUP(B609,Baza[[№]:[Profit]],10,0),"")</f>
        <v/>
      </c>
      <c r="N609" s="43" t="str">
        <f>IFERROR(IF(VLOOKUP(B609,Baza[[№]:[Profit]],11,0)=0,"-",VLOOKUP(B609,Baza[[№]:[Profit]],11,0)),"")</f>
        <v/>
      </c>
      <c r="O609" s="43" t="str">
        <f>IFERROR(IF(VLOOKUP(B609,Baza[[№]:[Profit]],12,0)=0,"-",VLOOKUP(B609,Baza[[№]:[Profit]],12,0)),"")</f>
        <v/>
      </c>
      <c r="P609" s="43" t="str">
        <f>IFERROR(IF(VLOOKUP(B609,Baza[[№]:[Profit]],13,0)=0,"-",VLOOKUP(B609,Baza[[№]:[Profit]],13,0)),"")</f>
        <v/>
      </c>
      <c r="Q609" s="43" t="str">
        <f>IFERROR(IF(VLOOKUP(B609,Baza[[№]:[Profit]],15,0)=0,"-",VLOOKUP(B609,Baza[[№]:[Profit]],15,0)),"")</f>
        <v/>
      </c>
      <c r="R609" s="43" t="str">
        <f>IFERROR(IF(VLOOKUP(B609,Baza[[№]:[Profit]],16,0)=0,"-",VLOOKUP(B609,Baza[[№]:[Profit]],16,0)),"")</f>
        <v/>
      </c>
      <c r="S609" s="43" t="str">
        <f>IFERROR(IF(VLOOKUP(B609,Baza[[№]:[Profit]],17,0)=0,"-",VLOOKUP(B609,Baza[[№]:[Profit]],17,0)),"")</f>
        <v/>
      </c>
      <c r="T609" s="43" t="str">
        <f>IFERROR(IF(VLOOKUP(B609,Baza[[№]:[Profit]],18,0)=0,"-",VLOOKUP(B609,Baza[[№]:[Profit]],18,0)),"")</f>
        <v/>
      </c>
      <c r="U609" s="41" t="str">
        <f>IFERROR(IF(VLOOKUP(B609,Baza[[№]:[Profit]],19,0)=0,"-",VLOOKUP(B609,Baza[[№]:[Profit]],19,0)),"")</f>
        <v/>
      </c>
      <c r="V609" s="41" t="str">
        <f>IFERROR(VLOOKUP(B609,Baza[[№]:[Profit]],20,0),"")</f>
        <v/>
      </c>
      <c r="W609" s="41" t="str">
        <f>IFERROR(IF(VLOOKUP(B609,Baza[[№]:[Profit]],21,0)=0,"-",VLOOKUP(B609,Baza[[№]:[Profit]],21,0)),"")</f>
        <v/>
      </c>
      <c r="X609" s="45" t="str">
        <f>IFERROR(IF(VLOOKUP(B609,Baza[[№]:[Profit]],22,0)=0,"-",VLOOKUP(B609,Baza[[№]:[Profit]],22,0)),"")</f>
        <v/>
      </c>
      <c r="Y609" s="45" t="str">
        <f>IFERROR(VLOOKUP(B609,Baza[[№]:[Profit]],23,0),"")</f>
        <v/>
      </c>
      <c r="Z609" s="44" t="str">
        <f>IFERROR(VLOOKUP(B609,Baza[[№]:[AFS]],24,0),"")</f>
        <v/>
      </c>
      <c r="AA609" s="45" t="str">
        <f>IF(Таблица2[[#This Row],[Profit]]="","#Н/Д",SUM($Y$40:Y609))</f>
        <v>#Н/Д</v>
      </c>
      <c r="AB609" s="45" t="b">
        <f>IF(Таблица2[[#This Row],[Grafik]]="#Н/Д",FALSE,TRUE)</f>
        <v>0</v>
      </c>
    </row>
    <row r="610" spans="2:28" ht="11.1" hidden="1" customHeight="1" x14ac:dyDescent="0.25">
      <c r="B610"/>
      <c r="C610" s="41" t="str">
        <f>IFERROR(VLOOKUP(B610,Baza[[№]:[Profit]],2,0),"")</f>
        <v/>
      </c>
      <c r="D61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1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10" s="43" t="str">
        <f>IFERROR(VLOOKUP(B610,Baza[[№]:[Profit]],3,0),"")</f>
        <v/>
      </c>
      <c r="G610" s="43" t="str">
        <f>IFERROR(VLOOKUP(B610,Baza[[№]:[Profit]],4,0),"")</f>
        <v/>
      </c>
      <c r="H610" s="43" t="str">
        <f>IFERROR(VLOOKUP(B610,Baza[[№]:[Profit]],5,0),"")</f>
        <v/>
      </c>
      <c r="I610" s="46" t="str">
        <f>IFERROR(VLOOKUP(B610,Baza[[№]:[Profit]],6,0),"")</f>
        <v/>
      </c>
      <c r="J610" s="49" t="str">
        <f>IFERROR(VLOOKUP(B610,Baza[[№]:[Profit]],7,0),"")</f>
        <v/>
      </c>
      <c r="K610" s="43" t="str">
        <f>IFERROR(VLOOKUP(B610,Baza[[№]:[Profit]],8,0),"")</f>
        <v/>
      </c>
      <c r="L610" s="43" t="str">
        <f>IFERROR(VLOOKUP(B610,Baza[[№]:[Profit]],9,0),"")</f>
        <v/>
      </c>
      <c r="M610" s="43" t="str">
        <f>IFERROR(VLOOKUP(B610,Baza[[№]:[Profit]],10,0),"")</f>
        <v/>
      </c>
      <c r="N610" s="43" t="str">
        <f>IFERROR(IF(VLOOKUP(B610,Baza[[№]:[Profit]],11,0)=0,"-",VLOOKUP(B610,Baza[[№]:[Profit]],11,0)),"")</f>
        <v/>
      </c>
      <c r="O610" s="43" t="str">
        <f>IFERROR(IF(VLOOKUP(B610,Baza[[№]:[Profit]],12,0)=0,"-",VLOOKUP(B610,Baza[[№]:[Profit]],12,0)),"")</f>
        <v/>
      </c>
      <c r="P610" s="43" t="str">
        <f>IFERROR(IF(VLOOKUP(B610,Baza[[№]:[Profit]],13,0)=0,"-",VLOOKUP(B610,Baza[[№]:[Profit]],13,0)),"")</f>
        <v/>
      </c>
      <c r="Q610" s="43" t="str">
        <f>IFERROR(IF(VLOOKUP(B610,Baza[[№]:[Profit]],15,0)=0,"-",VLOOKUP(B610,Baza[[№]:[Profit]],15,0)),"")</f>
        <v/>
      </c>
      <c r="R610" s="43" t="str">
        <f>IFERROR(IF(VLOOKUP(B610,Baza[[№]:[Profit]],16,0)=0,"-",VLOOKUP(B610,Baza[[№]:[Profit]],16,0)),"")</f>
        <v/>
      </c>
      <c r="S610" s="43" t="str">
        <f>IFERROR(IF(VLOOKUP(B610,Baza[[№]:[Profit]],17,0)=0,"-",VLOOKUP(B610,Baza[[№]:[Profit]],17,0)),"")</f>
        <v/>
      </c>
      <c r="T610" s="43" t="str">
        <f>IFERROR(IF(VLOOKUP(B610,Baza[[№]:[Profit]],18,0)=0,"-",VLOOKUP(B610,Baza[[№]:[Profit]],18,0)),"")</f>
        <v/>
      </c>
      <c r="U610" s="41" t="str">
        <f>IFERROR(IF(VLOOKUP(B610,Baza[[№]:[Profit]],19,0)=0,"-",VLOOKUP(B610,Baza[[№]:[Profit]],19,0)),"")</f>
        <v/>
      </c>
      <c r="V610" s="41" t="str">
        <f>IFERROR(VLOOKUP(B610,Baza[[№]:[Profit]],20,0),"")</f>
        <v/>
      </c>
      <c r="W610" s="41" t="str">
        <f>IFERROR(IF(VLOOKUP(B610,Baza[[№]:[Profit]],21,0)=0,"-",VLOOKUP(B610,Baza[[№]:[Profit]],21,0)),"")</f>
        <v/>
      </c>
      <c r="X610" s="45" t="str">
        <f>IFERROR(IF(VLOOKUP(B610,Baza[[№]:[Profit]],22,0)=0,"-",VLOOKUP(B610,Baza[[№]:[Profit]],22,0)),"")</f>
        <v/>
      </c>
      <c r="Y610" s="45" t="str">
        <f>IFERROR(VLOOKUP(B610,Baza[[№]:[Profit]],23,0),"")</f>
        <v/>
      </c>
      <c r="Z610" s="44" t="str">
        <f>IFERROR(VLOOKUP(B610,Baza[[№]:[AFS]],24,0),"")</f>
        <v/>
      </c>
      <c r="AA610" s="45" t="str">
        <f>IF(Таблица2[[#This Row],[Profit]]="","#Н/Д",SUM($Y$40:Y610))</f>
        <v>#Н/Д</v>
      </c>
      <c r="AB610" s="45" t="b">
        <f>IF(Таблица2[[#This Row],[Grafik]]="#Н/Д",FALSE,TRUE)</f>
        <v>0</v>
      </c>
    </row>
    <row r="611" spans="2:28" ht="11.1" hidden="1" customHeight="1" x14ac:dyDescent="0.25">
      <c r="B611"/>
      <c r="C611" s="41" t="str">
        <f>IFERROR(VLOOKUP(B611,Baza[[№]:[Profit]],2,0),"")</f>
        <v/>
      </c>
      <c r="D61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1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11" s="43" t="str">
        <f>IFERROR(VLOOKUP(B611,Baza[[№]:[Profit]],3,0),"")</f>
        <v/>
      </c>
      <c r="G611" s="43" t="str">
        <f>IFERROR(VLOOKUP(B611,Baza[[№]:[Profit]],4,0),"")</f>
        <v/>
      </c>
      <c r="H611" s="43" t="str">
        <f>IFERROR(VLOOKUP(B611,Baza[[№]:[Profit]],5,0),"")</f>
        <v/>
      </c>
      <c r="I611" s="46" t="str">
        <f>IFERROR(VLOOKUP(B611,Baza[[№]:[Profit]],6,0),"")</f>
        <v/>
      </c>
      <c r="J611" s="49" t="str">
        <f>IFERROR(VLOOKUP(B611,Baza[[№]:[Profit]],7,0),"")</f>
        <v/>
      </c>
      <c r="K611" s="43" t="str">
        <f>IFERROR(VLOOKUP(B611,Baza[[№]:[Profit]],8,0),"")</f>
        <v/>
      </c>
      <c r="L611" s="43" t="str">
        <f>IFERROR(VLOOKUP(B611,Baza[[№]:[Profit]],9,0),"")</f>
        <v/>
      </c>
      <c r="M611" s="43" t="str">
        <f>IFERROR(VLOOKUP(B611,Baza[[№]:[Profit]],10,0),"")</f>
        <v/>
      </c>
      <c r="N611" s="43" t="str">
        <f>IFERROR(IF(VLOOKUP(B611,Baza[[№]:[Profit]],11,0)=0,"-",VLOOKUP(B611,Baza[[№]:[Profit]],11,0)),"")</f>
        <v/>
      </c>
      <c r="O611" s="43" t="str">
        <f>IFERROR(IF(VLOOKUP(B611,Baza[[№]:[Profit]],12,0)=0,"-",VLOOKUP(B611,Baza[[№]:[Profit]],12,0)),"")</f>
        <v/>
      </c>
      <c r="P611" s="43" t="str">
        <f>IFERROR(IF(VLOOKUP(B611,Baza[[№]:[Profit]],13,0)=0,"-",VLOOKUP(B611,Baza[[№]:[Profit]],13,0)),"")</f>
        <v/>
      </c>
      <c r="Q611" s="43" t="str">
        <f>IFERROR(IF(VLOOKUP(B611,Baza[[№]:[Profit]],15,0)=0,"-",VLOOKUP(B611,Baza[[№]:[Profit]],15,0)),"")</f>
        <v/>
      </c>
      <c r="R611" s="43" t="str">
        <f>IFERROR(IF(VLOOKUP(B611,Baza[[№]:[Profit]],16,0)=0,"-",VLOOKUP(B611,Baza[[№]:[Profit]],16,0)),"")</f>
        <v/>
      </c>
      <c r="S611" s="43" t="str">
        <f>IFERROR(IF(VLOOKUP(B611,Baza[[№]:[Profit]],17,0)=0,"-",VLOOKUP(B611,Baza[[№]:[Profit]],17,0)),"")</f>
        <v/>
      </c>
      <c r="T611" s="43" t="str">
        <f>IFERROR(IF(VLOOKUP(B611,Baza[[№]:[Profit]],18,0)=0,"-",VLOOKUP(B611,Baza[[№]:[Profit]],18,0)),"")</f>
        <v/>
      </c>
      <c r="U611" s="41" t="str">
        <f>IFERROR(IF(VLOOKUP(B611,Baza[[№]:[Profit]],19,0)=0,"-",VLOOKUP(B611,Baza[[№]:[Profit]],19,0)),"")</f>
        <v/>
      </c>
      <c r="V611" s="41" t="str">
        <f>IFERROR(VLOOKUP(B611,Baza[[№]:[Profit]],20,0),"")</f>
        <v/>
      </c>
      <c r="W611" s="41" t="str">
        <f>IFERROR(IF(VLOOKUP(B611,Baza[[№]:[Profit]],21,0)=0,"-",VLOOKUP(B611,Baza[[№]:[Profit]],21,0)),"")</f>
        <v/>
      </c>
      <c r="X611" s="45" t="str">
        <f>IFERROR(IF(VLOOKUP(B611,Baza[[№]:[Profit]],22,0)=0,"-",VLOOKUP(B611,Baza[[№]:[Profit]],22,0)),"")</f>
        <v/>
      </c>
      <c r="Y611" s="45" t="str">
        <f>IFERROR(VLOOKUP(B611,Baza[[№]:[Profit]],23,0),"")</f>
        <v/>
      </c>
      <c r="Z611" s="44" t="str">
        <f>IFERROR(VLOOKUP(B611,Baza[[№]:[AFS]],24,0),"")</f>
        <v/>
      </c>
      <c r="AA611" s="45" t="str">
        <f>IF(Таблица2[[#This Row],[Profit]]="","#Н/Д",SUM($Y$40:Y611))</f>
        <v>#Н/Д</v>
      </c>
      <c r="AB611" s="45" t="b">
        <f>IF(Таблица2[[#This Row],[Grafik]]="#Н/Д",FALSE,TRUE)</f>
        <v>0</v>
      </c>
    </row>
    <row r="612" spans="2:28" ht="11.1" hidden="1" customHeight="1" x14ac:dyDescent="0.25">
      <c r="B612"/>
      <c r="C612" s="41" t="str">
        <f>IFERROR(VLOOKUP(B612,Baza[[№]:[Profit]],2,0),"")</f>
        <v/>
      </c>
      <c r="D61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1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12" s="43" t="str">
        <f>IFERROR(VLOOKUP(B612,Baza[[№]:[Profit]],3,0),"")</f>
        <v/>
      </c>
      <c r="G612" s="43" t="str">
        <f>IFERROR(VLOOKUP(B612,Baza[[№]:[Profit]],4,0),"")</f>
        <v/>
      </c>
      <c r="H612" s="43" t="str">
        <f>IFERROR(VLOOKUP(B612,Baza[[№]:[Profit]],5,0),"")</f>
        <v/>
      </c>
      <c r="I612" s="46" t="str">
        <f>IFERROR(VLOOKUP(B612,Baza[[№]:[Profit]],6,0),"")</f>
        <v/>
      </c>
      <c r="J612" s="49" t="str">
        <f>IFERROR(VLOOKUP(B612,Baza[[№]:[Profit]],7,0),"")</f>
        <v/>
      </c>
      <c r="K612" s="43" t="str">
        <f>IFERROR(VLOOKUP(B612,Baza[[№]:[Profit]],8,0),"")</f>
        <v/>
      </c>
      <c r="L612" s="43" t="str">
        <f>IFERROR(VLOOKUP(B612,Baza[[№]:[Profit]],9,0),"")</f>
        <v/>
      </c>
      <c r="M612" s="43" t="str">
        <f>IFERROR(VLOOKUP(B612,Baza[[№]:[Profit]],10,0),"")</f>
        <v/>
      </c>
      <c r="N612" s="43" t="str">
        <f>IFERROR(IF(VLOOKUP(B612,Baza[[№]:[Profit]],11,0)=0,"-",VLOOKUP(B612,Baza[[№]:[Profit]],11,0)),"")</f>
        <v/>
      </c>
      <c r="O612" s="43" t="str">
        <f>IFERROR(IF(VLOOKUP(B612,Baza[[№]:[Profit]],12,0)=0,"-",VLOOKUP(B612,Baza[[№]:[Profit]],12,0)),"")</f>
        <v/>
      </c>
      <c r="P612" s="43" t="str">
        <f>IFERROR(IF(VLOOKUP(B612,Baza[[№]:[Profit]],13,0)=0,"-",VLOOKUP(B612,Baza[[№]:[Profit]],13,0)),"")</f>
        <v/>
      </c>
      <c r="Q612" s="43" t="str">
        <f>IFERROR(IF(VLOOKUP(B612,Baza[[№]:[Profit]],15,0)=0,"-",VLOOKUP(B612,Baza[[№]:[Profit]],15,0)),"")</f>
        <v/>
      </c>
      <c r="R612" s="43" t="str">
        <f>IFERROR(IF(VLOOKUP(B612,Baza[[№]:[Profit]],16,0)=0,"-",VLOOKUP(B612,Baza[[№]:[Profit]],16,0)),"")</f>
        <v/>
      </c>
      <c r="S612" s="43" t="str">
        <f>IFERROR(IF(VLOOKUP(B612,Baza[[№]:[Profit]],17,0)=0,"-",VLOOKUP(B612,Baza[[№]:[Profit]],17,0)),"")</f>
        <v/>
      </c>
      <c r="T612" s="43" t="str">
        <f>IFERROR(IF(VLOOKUP(B612,Baza[[№]:[Profit]],18,0)=0,"-",VLOOKUP(B612,Baza[[№]:[Profit]],18,0)),"")</f>
        <v/>
      </c>
      <c r="U612" s="41" t="str">
        <f>IFERROR(IF(VLOOKUP(B612,Baza[[№]:[Profit]],19,0)=0,"-",VLOOKUP(B612,Baza[[№]:[Profit]],19,0)),"")</f>
        <v/>
      </c>
      <c r="V612" s="41" t="str">
        <f>IFERROR(VLOOKUP(B612,Baza[[№]:[Profit]],20,0),"")</f>
        <v/>
      </c>
      <c r="W612" s="41" t="str">
        <f>IFERROR(IF(VLOOKUP(B612,Baza[[№]:[Profit]],21,0)=0,"-",VLOOKUP(B612,Baza[[№]:[Profit]],21,0)),"")</f>
        <v/>
      </c>
      <c r="X612" s="45" t="str">
        <f>IFERROR(IF(VLOOKUP(B612,Baza[[№]:[Profit]],22,0)=0,"-",VLOOKUP(B612,Baza[[№]:[Profit]],22,0)),"")</f>
        <v/>
      </c>
      <c r="Y612" s="45" t="str">
        <f>IFERROR(VLOOKUP(B612,Baza[[№]:[Profit]],23,0),"")</f>
        <v/>
      </c>
      <c r="Z612" s="44" t="str">
        <f>IFERROR(VLOOKUP(B612,Baza[[№]:[AFS]],24,0),"")</f>
        <v/>
      </c>
      <c r="AA612" s="45" t="str">
        <f>IF(Таблица2[[#This Row],[Profit]]="","#Н/Д",SUM($Y$40:Y612))</f>
        <v>#Н/Д</v>
      </c>
      <c r="AB612" s="45" t="b">
        <f>IF(Таблица2[[#This Row],[Grafik]]="#Н/Д",FALSE,TRUE)</f>
        <v>0</v>
      </c>
    </row>
    <row r="613" spans="2:28" ht="11.1" hidden="1" customHeight="1" x14ac:dyDescent="0.25">
      <c r="B613"/>
      <c r="C613" s="41" t="str">
        <f>IFERROR(VLOOKUP(B613,Baza[[№]:[Profit]],2,0),"")</f>
        <v/>
      </c>
      <c r="D61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1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13" s="43" t="str">
        <f>IFERROR(VLOOKUP(B613,Baza[[№]:[Profit]],3,0),"")</f>
        <v/>
      </c>
      <c r="G613" s="43" t="str">
        <f>IFERROR(VLOOKUP(B613,Baza[[№]:[Profit]],4,0),"")</f>
        <v/>
      </c>
      <c r="H613" s="43" t="str">
        <f>IFERROR(VLOOKUP(B613,Baza[[№]:[Profit]],5,0),"")</f>
        <v/>
      </c>
      <c r="I613" s="46" t="str">
        <f>IFERROR(VLOOKUP(B613,Baza[[№]:[Profit]],6,0),"")</f>
        <v/>
      </c>
      <c r="J613" s="49" t="str">
        <f>IFERROR(VLOOKUP(B613,Baza[[№]:[Profit]],7,0),"")</f>
        <v/>
      </c>
      <c r="K613" s="43" t="str">
        <f>IFERROR(VLOOKUP(B613,Baza[[№]:[Profit]],8,0),"")</f>
        <v/>
      </c>
      <c r="L613" s="43" t="str">
        <f>IFERROR(VLOOKUP(B613,Baza[[№]:[Profit]],9,0),"")</f>
        <v/>
      </c>
      <c r="M613" s="43" t="str">
        <f>IFERROR(VLOOKUP(B613,Baza[[№]:[Profit]],10,0),"")</f>
        <v/>
      </c>
      <c r="N613" s="43" t="str">
        <f>IFERROR(IF(VLOOKUP(B613,Baza[[№]:[Profit]],11,0)=0,"-",VLOOKUP(B613,Baza[[№]:[Profit]],11,0)),"")</f>
        <v/>
      </c>
      <c r="O613" s="43" t="str">
        <f>IFERROR(IF(VLOOKUP(B613,Baza[[№]:[Profit]],12,0)=0,"-",VLOOKUP(B613,Baza[[№]:[Profit]],12,0)),"")</f>
        <v/>
      </c>
      <c r="P613" s="43" t="str">
        <f>IFERROR(IF(VLOOKUP(B613,Baza[[№]:[Profit]],13,0)=0,"-",VLOOKUP(B613,Baza[[№]:[Profit]],13,0)),"")</f>
        <v/>
      </c>
      <c r="Q613" s="43" t="str">
        <f>IFERROR(IF(VLOOKUP(B613,Baza[[№]:[Profit]],15,0)=0,"-",VLOOKUP(B613,Baza[[№]:[Profit]],15,0)),"")</f>
        <v/>
      </c>
      <c r="R613" s="43" t="str">
        <f>IFERROR(IF(VLOOKUP(B613,Baza[[№]:[Profit]],16,0)=0,"-",VLOOKUP(B613,Baza[[№]:[Profit]],16,0)),"")</f>
        <v/>
      </c>
      <c r="S613" s="43" t="str">
        <f>IFERROR(IF(VLOOKUP(B613,Baza[[№]:[Profit]],17,0)=0,"-",VLOOKUP(B613,Baza[[№]:[Profit]],17,0)),"")</f>
        <v/>
      </c>
      <c r="T613" s="43" t="str">
        <f>IFERROR(IF(VLOOKUP(B613,Baza[[№]:[Profit]],18,0)=0,"-",VLOOKUP(B613,Baza[[№]:[Profit]],18,0)),"")</f>
        <v/>
      </c>
      <c r="U613" s="41" t="str">
        <f>IFERROR(IF(VLOOKUP(B613,Baza[[№]:[Profit]],19,0)=0,"-",VLOOKUP(B613,Baza[[№]:[Profit]],19,0)),"")</f>
        <v/>
      </c>
      <c r="V613" s="41" t="str">
        <f>IFERROR(VLOOKUP(B613,Baza[[№]:[Profit]],20,0),"")</f>
        <v/>
      </c>
      <c r="W613" s="41" t="str">
        <f>IFERROR(IF(VLOOKUP(B613,Baza[[№]:[Profit]],21,0)=0,"-",VLOOKUP(B613,Baza[[№]:[Profit]],21,0)),"")</f>
        <v/>
      </c>
      <c r="X613" s="45" t="str">
        <f>IFERROR(IF(VLOOKUP(B613,Baza[[№]:[Profit]],22,0)=0,"-",VLOOKUP(B613,Baza[[№]:[Profit]],22,0)),"")</f>
        <v/>
      </c>
      <c r="Y613" s="45" t="str">
        <f>IFERROR(VLOOKUP(B613,Baza[[№]:[Profit]],23,0),"")</f>
        <v/>
      </c>
      <c r="Z613" s="44" t="str">
        <f>IFERROR(VLOOKUP(B613,Baza[[№]:[AFS]],24,0),"")</f>
        <v/>
      </c>
      <c r="AA613" s="45" t="str">
        <f>IF(Таблица2[[#This Row],[Profit]]="","#Н/Д",SUM($Y$40:Y613))</f>
        <v>#Н/Д</v>
      </c>
      <c r="AB613" s="45" t="b">
        <f>IF(Таблица2[[#This Row],[Grafik]]="#Н/Д",FALSE,TRUE)</f>
        <v>0</v>
      </c>
    </row>
    <row r="614" spans="2:28" ht="11.1" hidden="1" customHeight="1" x14ac:dyDescent="0.25">
      <c r="B614"/>
      <c r="C614" s="41" t="str">
        <f>IFERROR(VLOOKUP(B614,Baza[[№]:[Profit]],2,0),"")</f>
        <v/>
      </c>
      <c r="D61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1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14" s="43" t="str">
        <f>IFERROR(VLOOKUP(B614,Baza[[№]:[Profit]],3,0),"")</f>
        <v/>
      </c>
      <c r="G614" s="43" t="str">
        <f>IFERROR(VLOOKUP(B614,Baza[[№]:[Profit]],4,0),"")</f>
        <v/>
      </c>
      <c r="H614" s="43" t="str">
        <f>IFERROR(VLOOKUP(B614,Baza[[№]:[Profit]],5,0),"")</f>
        <v/>
      </c>
      <c r="I614" s="46" t="str">
        <f>IFERROR(VLOOKUP(B614,Baza[[№]:[Profit]],6,0),"")</f>
        <v/>
      </c>
      <c r="J614" s="49" t="str">
        <f>IFERROR(VLOOKUP(B614,Baza[[№]:[Profit]],7,0),"")</f>
        <v/>
      </c>
      <c r="K614" s="43" t="str">
        <f>IFERROR(VLOOKUP(B614,Baza[[№]:[Profit]],8,0),"")</f>
        <v/>
      </c>
      <c r="L614" s="43" t="str">
        <f>IFERROR(VLOOKUP(B614,Baza[[№]:[Profit]],9,0),"")</f>
        <v/>
      </c>
      <c r="M614" s="43" t="str">
        <f>IFERROR(VLOOKUP(B614,Baza[[№]:[Profit]],10,0),"")</f>
        <v/>
      </c>
      <c r="N614" s="43" t="str">
        <f>IFERROR(IF(VLOOKUP(B614,Baza[[№]:[Profit]],11,0)=0,"-",VLOOKUP(B614,Baza[[№]:[Profit]],11,0)),"")</f>
        <v/>
      </c>
      <c r="O614" s="43" t="str">
        <f>IFERROR(IF(VLOOKUP(B614,Baza[[№]:[Profit]],12,0)=0,"-",VLOOKUP(B614,Baza[[№]:[Profit]],12,0)),"")</f>
        <v/>
      </c>
      <c r="P614" s="43" t="str">
        <f>IFERROR(IF(VLOOKUP(B614,Baza[[№]:[Profit]],13,0)=0,"-",VLOOKUP(B614,Baza[[№]:[Profit]],13,0)),"")</f>
        <v/>
      </c>
      <c r="Q614" s="43" t="str">
        <f>IFERROR(IF(VLOOKUP(B614,Baza[[№]:[Profit]],15,0)=0,"-",VLOOKUP(B614,Baza[[№]:[Profit]],15,0)),"")</f>
        <v/>
      </c>
      <c r="R614" s="43" t="str">
        <f>IFERROR(IF(VLOOKUP(B614,Baza[[№]:[Profit]],16,0)=0,"-",VLOOKUP(B614,Baza[[№]:[Profit]],16,0)),"")</f>
        <v/>
      </c>
      <c r="S614" s="43" t="str">
        <f>IFERROR(IF(VLOOKUP(B614,Baza[[№]:[Profit]],17,0)=0,"-",VLOOKUP(B614,Baza[[№]:[Profit]],17,0)),"")</f>
        <v/>
      </c>
      <c r="T614" s="43" t="str">
        <f>IFERROR(IF(VLOOKUP(B614,Baza[[№]:[Profit]],18,0)=0,"-",VLOOKUP(B614,Baza[[№]:[Profit]],18,0)),"")</f>
        <v/>
      </c>
      <c r="U614" s="41" t="str">
        <f>IFERROR(IF(VLOOKUP(B614,Baza[[№]:[Profit]],19,0)=0,"-",VLOOKUP(B614,Baza[[№]:[Profit]],19,0)),"")</f>
        <v/>
      </c>
      <c r="V614" s="41" t="str">
        <f>IFERROR(VLOOKUP(B614,Baza[[№]:[Profit]],20,0),"")</f>
        <v/>
      </c>
      <c r="W614" s="41" t="str">
        <f>IFERROR(IF(VLOOKUP(B614,Baza[[№]:[Profit]],21,0)=0,"-",VLOOKUP(B614,Baza[[№]:[Profit]],21,0)),"")</f>
        <v/>
      </c>
      <c r="X614" s="45" t="str">
        <f>IFERROR(IF(VLOOKUP(B614,Baza[[№]:[Profit]],22,0)=0,"-",VLOOKUP(B614,Baza[[№]:[Profit]],22,0)),"")</f>
        <v/>
      </c>
      <c r="Y614" s="45" t="str">
        <f>IFERROR(VLOOKUP(B614,Baza[[№]:[Profit]],23,0),"")</f>
        <v/>
      </c>
      <c r="Z614" s="44" t="str">
        <f>IFERROR(VLOOKUP(B614,Baza[[№]:[AFS]],24,0),"")</f>
        <v/>
      </c>
      <c r="AA614" s="45" t="str">
        <f>IF(Таблица2[[#This Row],[Profit]]="","#Н/Д",SUM($Y$40:Y614))</f>
        <v>#Н/Д</v>
      </c>
      <c r="AB614" s="45" t="b">
        <f>IF(Таблица2[[#This Row],[Grafik]]="#Н/Д",FALSE,TRUE)</f>
        <v>0</v>
      </c>
    </row>
    <row r="615" spans="2:28" ht="11.1" hidden="1" customHeight="1" x14ac:dyDescent="0.25">
      <c r="B615"/>
      <c r="C615" s="41" t="str">
        <f>IFERROR(VLOOKUP(B615,Baza[[№]:[Profit]],2,0),"")</f>
        <v/>
      </c>
      <c r="D61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1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15" s="43" t="str">
        <f>IFERROR(VLOOKUP(B615,Baza[[№]:[Profit]],3,0),"")</f>
        <v/>
      </c>
      <c r="G615" s="43" t="str">
        <f>IFERROR(VLOOKUP(B615,Baza[[№]:[Profit]],4,0),"")</f>
        <v/>
      </c>
      <c r="H615" s="43" t="str">
        <f>IFERROR(VLOOKUP(B615,Baza[[№]:[Profit]],5,0),"")</f>
        <v/>
      </c>
      <c r="I615" s="46" t="str">
        <f>IFERROR(VLOOKUP(B615,Baza[[№]:[Profit]],6,0),"")</f>
        <v/>
      </c>
      <c r="J615" s="49" t="str">
        <f>IFERROR(VLOOKUP(B615,Baza[[№]:[Profit]],7,0),"")</f>
        <v/>
      </c>
      <c r="K615" s="43" t="str">
        <f>IFERROR(VLOOKUP(B615,Baza[[№]:[Profit]],8,0),"")</f>
        <v/>
      </c>
      <c r="L615" s="43" t="str">
        <f>IFERROR(VLOOKUP(B615,Baza[[№]:[Profit]],9,0),"")</f>
        <v/>
      </c>
      <c r="M615" s="43" t="str">
        <f>IFERROR(VLOOKUP(B615,Baza[[№]:[Profit]],10,0),"")</f>
        <v/>
      </c>
      <c r="N615" s="43" t="str">
        <f>IFERROR(IF(VLOOKUP(B615,Baza[[№]:[Profit]],11,0)=0,"-",VLOOKUP(B615,Baza[[№]:[Profit]],11,0)),"")</f>
        <v/>
      </c>
      <c r="O615" s="43" t="str">
        <f>IFERROR(IF(VLOOKUP(B615,Baza[[№]:[Profit]],12,0)=0,"-",VLOOKUP(B615,Baza[[№]:[Profit]],12,0)),"")</f>
        <v/>
      </c>
      <c r="P615" s="43" t="str">
        <f>IFERROR(IF(VLOOKUP(B615,Baza[[№]:[Profit]],13,0)=0,"-",VLOOKUP(B615,Baza[[№]:[Profit]],13,0)),"")</f>
        <v/>
      </c>
      <c r="Q615" s="43" t="str">
        <f>IFERROR(IF(VLOOKUP(B615,Baza[[№]:[Profit]],15,0)=0,"-",VLOOKUP(B615,Baza[[№]:[Profit]],15,0)),"")</f>
        <v/>
      </c>
      <c r="R615" s="43" t="str">
        <f>IFERROR(IF(VLOOKUP(B615,Baza[[№]:[Profit]],16,0)=0,"-",VLOOKUP(B615,Baza[[№]:[Profit]],16,0)),"")</f>
        <v/>
      </c>
      <c r="S615" s="43" t="str">
        <f>IFERROR(IF(VLOOKUP(B615,Baza[[№]:[Profit]],17,0)=0,"-",VLOOKUP(B615,Baza[[№]:[Profit]],17,0)),"")</f>
        <v/>
      </c>
      <c r="T615" s="43" t="str">
        <f>IFERROR(IF(VLOOKUP(B615,Baza[[№]:[Profit]],18,0)=0,"-",VLOOKUP(B615,Baza[[№]:[Profit]],18,0)),"")</f>
        <v/>
      </c>
      <c r="U615" s="41" t="str">
        <f>IFERROR(IF(VLOOKUP(B615,Baza[[№]:[Profit]],19,0)=0,"-",VLOOKUP(B615,Baza[[№]:[Profit]],19,0)),"")</f>
        <v/>
      </c>
      <c r="V615" s="41" t="str">
        <f>IFERROR(VLOOKUP(B615,Baza[[№]:[Profit]],20,0),"")</f>
        <v/>
      </c>
      <c r="W615" s="41" t="str">
        <f>IFERROR(IF(VLOOKUP(B615,Baza[[№]:[Profit]],21,0)=0,"-",VLOOKUP(B615,Baza[[№]:[Profit]],21,0)),"")</f>
        <v/>
      </c>
      <c r="X615" s="45" t="str">
        <f>IFERROR(IF(VLOOKUP(B615,Baza[[№]:[Profit]],22,0)=0,"-",VLOOKUP(B615,Baza[[№]:[Profit]],22,0)),"")</f>
        <v/>
      </c>
      <c r="Y615" s="45" t="str">
        <f>IFERROR(VLOOKUP(B615,Baza[[№]:[Profit]],23,0),"")</f>
        <v/>
      </c>
      <c r="Z615" s="44" t="str">
        <f>IFERROR(VLOOKUP(B615,Baza[[№]:[AFS]],24,0),"")</f>
        <v/>
      </c>
      <c r="AA615" s="45" t="str">
        <f>IF(Таблица2[[#This Row],[Profit]]="","#Н/Д",SUM($Y$40:Y615))</f>
        <v>#Н/Д</v>
      </c>
      <c r="AB615" s="45" t="b">
        <f>IF(Таблица2[[#This Row],[Grafik]]="#Н/Д",FALSE,TRUE)</f>
        <v>0</v>
      </c>
    </row>
    <row r="616" spans="2:28" ht="11.1" hidden="1" customHeight="1" x14ac:dyDescent="0.25">
      <c r="B616"/>
      <c r="C616" s="41" t="str">
        <f>IFERROR(VLOOKUP(B616,Baza[[№]:[Profit]],2,0),"")</f>
        <v/>
      </c>
      <c r="D61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1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16" s="43" t="str">
        <f>IFERROR(VLOOKUP(B616,Baza[[№]:[Profit]],3,0),"")</f>
        <v/>
      </c>
      <c r="G616" s="43" t="str">
        <f>IFERROR(VLOOKUP(B616,Baza[[№]:[Profit]],4,0),"")</f>
        <v/>
      </c>
      <c r="H616" s="43" t="str">
        <f>IFERROR(VLOOKUP(B616,Baza[[№]:[Profit]],5,0),"")</f>
        <v/>
      </c>
      <c r="I616" s="46" t="str">
        <f>IFERROR(VLOOKUP(B616,Baza[[№]:[Profit]],6,0),"")</f>
        <v/>
      </c>
      <c r="J616" s="49" t="str">
        <f>IFERROR(VLOOKUP(B616,Baza[[№]:[Profit]],7,0),"")</f>
        <v/>
      </c>
      <c r="K616" s="43" t="str">
        <f>IFERROR(VLOOKUP(B616,Baza[[№]:[Profit]],8,0),"")</f>
        <v/>
      </c>
      <c r="L616" s="43" t="str">
        <f>IFERROR(VLOOKUP(B616,Baza[[№]:[Profit]],9,0),"")</f>
        <v/>
      </c>
      <c r="M616" s="43" t="str">
        <f>IFERROR(VLOOKUP(B616,Baza[[№]:[Profit]],10,0),"")</f>
        <v/>
      </c>
      <c r="N616" s="43" t="str">
        <f>IFERROR(IF(VLOOKUP(B616,Baza[[№]:[Profit]],11,0)=0,"-",VLOOKUP(B616,Baza[[№]:[Profit]],11,0)),"")</f>
        <v/>
      </c>
      <c r="O616" s="43" t="str">
        <f>IFERROR(IF(VLOOKUP(B616,Baza[[№]:[Profit]],12,0)=0,"-",VLOOKUP(B616,Baza[[№]:[Profit]],12,0)),"")</f>
        <v/>
      </c>
      <c r="P616" s="43" t="str">
        <f>IFERROR(IF(VLOOKUP(B616,Baza[[№]:[Profit]],13,0)=0,"-",VLOOKUP(B616,Baza[[№]:[Profit]],13,0)),"")</f>
        <v/>
      </c>
      <c r="Q616" s="43" t="str">
        <f>IFERROR(IF(VLOOKUP(B616,Baza[[№]:[Profit]],15,0)=0,"-",VLOOKUP(B616,Baza[[№]:[Profit]],15,0)),"")</f>
        <v/>
      </c>
      <c r="R616" s="43" t="str">
        <f>IFERROR(IF(VLOOKUP(B616,Baza[[№]:[Profit]],16,0)=0,"-",VLOOKUP(B616,Baza[[№]:[Profit]],16,0)),"")</f>
        <v/>
      </c>
      <c r="S616" s="43" t="str">
        <f>IFERROR(IF(VLOOKUP(B616,Baza[[№]:[Profit]],17,0)=0,"-",VLOOKUP(B616,Baza[[№]:[Profit]],17,0)),"")</f>
        <v/>
      </c>
      <c r="T616" s="43" t="str">
        <f>IFERROR(IF(VLOOKUP(B616,Baza[[№]:[Profit]],18,0)=0,"-",VLOOKUP(B616,Baza[[№]:[Profit]],18,0)),"")</f>
        <v/>
      </c>
      <c r="U616" s="41" t="str">
        <f>IFERROR(IF(VLOOKUP(B616,Baza[[№]:[Profit]],19,0)=0,"-",VLOOKUP(B616,Baza[[№]:[Profit]],19,0)),"")</f>
        <v/>
      </c>
      <c r="V616" s="41" t="str">
        <f>IFERROR(VLOOKUP(B616,Baza[[№]:[Profit]],20,0),"")</f>
        <v/>
      </c>
      <c r="W616" s="41" t="str">
        <f>IFERROR(IF(VLOOKUP(B616,Baza[[№]:[Profit]],21,0)=0,"-",VLOOKUP(B616,Baza[[№]:[Profit]],21,0)),"")</f>
        <v/>
      </c>
      <c r="X616" s="45" t="str">
        <f>IFERROR(IF(VLOOKUP(B616,Baza[[№]:[Profit]],22,0)=0,"-",VLOOKUP(B616,Baza[[№]:[Profit]],22,0)),"")</f>
        <v/>
      </c>
      <c r="Y616" s="45" t="str">
        <f>IFERROR(VLOOKUP(B616,Baza[[№]:[Profit]],23,0),"")</f>
        <v/>
      </c>
      <c r="Z616" s="44" t="str">
        <f>IFERROR(VLOOKUP(B616,Baza[[№]:[AFS]],24,0),"")</f>
        <v/>
      </c>
      <c r="AA616" s="45" t="str">
        <f>IF(Таблица2[[#This Row],[Profit]]="","#Н/Д",SUM($Y$40:Y616))</f>
        <v>#Н/Д</v>
      </c>
      <c r="AB616" s="45" t="b">
        <f>IF(Таблица2[[#This Row],[Grafik]]="#Н/Д",FALSE,TRUE)</f>
        <v>0</v>
      </c>
    </row>
    <row r="617" spans="2:28" ht="11.1" hidden="1" customHeight="1" x14ac:dyDescent="0.25">
      <c r="B617"/>
      <c r="C617" s="41" t="str">
        <f>IFERROR(VLOOKUP(B617,Baza[[№]:[Profit]],2,0),"")</f>
        <v/>
      </c>
      <c r="D61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1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17" s="43" t="str">
        <f>IFERROR(VLOOKUP(B617,Baza[[№]:[Profit]],3,0),"")</f>
        <v/>
      </c>
      <c r="G617" s="43" t="str">
        <f>IFERROR(VLOOKUP(B617,Baza[[№]:[Profit]],4,0),"")</f>
        <v/>
      </c>
      <c r="H617" s="43" t="str">
        <f>IFERROR(VLOOKUP(B617,Baza[[№]:[Profit]],5,0),"")</f>
        <v/>
      </c>
      <c r="I617" s="46" t="str">
        <f>IFERROR(VLOOKUP(B617,Baza[[№]:[Profit]],6,0),"")</f>
        <v/>
      </c>
      <c r="J617" s="49" t="str">
        <f>IFERROR(VLOOKUP(B617,Baza[[№]:[Profit]],7,0),"")</f>
        <v/>
      </c>
      <c r="K617" s="43" t="str">
        <f>IFERROR(VLOOKUP(B617,Baza[[№]:[Profit]],8,0),"")</f>
        <v/>
      </c>
      <c r="L617" s="43" t="str">
        <f>IFERROR(VLOOKUP(B617,Baza[[№]:[Profit]],9,0),"")</f>
        <v/>
      </c>
      <c r="M617" s="43" t="str">
        <f>IFERROR(VLOOKUP(B617,Baza[[№]:[Profit]],10,0),"")</f>
        <v/>
      </c>
      <c r="N617" s="43" t="str">
        <f>IFERROR(IF(VLOOKUP(B617,Baza[[№]:[Profit]],11,0)=0,"-",VLOOKUP(B617,Baza[[№]:[Profit]],11,0)),"")</f>
        <v/>
      </c>
      <c r="O617" s="43" t="str">
        <f>IFERROR(IF(VLOOKUP(B617,Baza[[№]:[Profit]],12,0)=0,"-",VLOOKUP(B617,Baza[[№]:[Profit]],12,0)),"")</f>
        <v/>
      </c>
      <c r="P617" s="43" t="str">
        <f>IFERROR(IF(VLOOKUP(B617,Baza[[№]:[Profit]],13,0)=0,"-",VLOOKUP(B617,Baza[[№]:[Profit]],13,0)),"")</f>
        <v/>
      </c>
      <c r="Q617" s="43" t="str">
        <f>IFERROR(IF(VLOOKUP(B617,Baza[[№]:[Profit]],15,0)=0,"-",VLOOKUP(B617,Baza[[№]:[Profit]],15,0)),"")</f>
        <v/>
      </c>
      <c r="R617" s="43" t="str">
        <f>IFERROR(IF(VLOOKUP(B617,Baza[[№]:[Profit]],16,0)=0,"-",VLOOKUP(B617,Baza[[№]:[Profit]],16,0)),"")</f>
        <v/>
      </c>
      <c r="S617" s="43" t="str">
        <f>IFERROR(IF(VLOOKUP(B617,Baza[[№]:[Profit]],17,0)=0,"-",VLOOKUP(B617,Baza[[№]:[Profit]],17,0)),"")</f>
        <v/>
      </c>
      <c r="T617" s="43" t="str">
        <f>IFERROR(IF(VLOOKUP(B617,Baza[[№]:[Profit]],18,0)=0,"-",VLOOKUP(B617,Baza[[№]:[Profit]],18,0)),"")</f>
        <v/>
      </c>
      <c r="U617" s="41" t="str">
        <f>IFERROR(IF(VLOOKUP(B617,Baza[[№]:[Profit]],19,0)=0,"-",VLOOKUP(B617,Baza[[№]:[Profit]],19,0)),"")</f>
        <v/>
      </c>
      <c r="V617" s="41" t="str">
        <f>IFERROR(VLOOKUP(B617,Baza[[№]:[Profit]],20,0),"")</f>
        <v/>
      </c>
      <c r="W617" s="41" t="str">
        <f>IFERROR(IF(VLOOKUP(B617,Baza[[№]:[Profit]],21,0)=0,"-",VLOOKUP(B617,Baza[[№]:[Profit]],21,0)),"")</f>
        <v/>
      </c>
      <c r="X617" s="45" t="str">
        <f>IFERROR(IF(VLOOKUP(B617,Baza[[№]:[Profit]],22,0)=0,"-",VLOOKUP(B617,Baza[[№]:[Profit]],22,0)),"")</f>
        <v/>
      </c>
      <c r="Y617" s="45" t="str">
        <f>IFERROR(VLOOKUP(B617,Baza[[№]:[Profit]],23,0),"")</f>
        <v/>
      </c>
      <c r="Z617" s="44" t="str">
        <f>IFERROR(VLOOKUP(B617,Baza[[№]:[AFS]],24,0),"")</f>
        <v/>
      </c>
      <c r="AA617" s="45" t="str">
        <f>IF(Таблица2[[#This Row],[Profit]]="","#Н/Д",SUM($Y$40:Y617))</f>
        <v>#Н/Д</v>
      </c>
      <c r="AB617" s="45" t="b">
        <f>IF(Таблица2[[#This Row],[Grafik]]="#Н/Д",FALSE,TRUE)</f>
        <v>0</v>
      </c>
    </row>
    <row r="618" spans="2:28" ht="11.1" hidden="1" customHeight="1" x14ac:dyDescent="0.25">
      <c r="B618"/>
      <c r="C618" s="41" t="str">
        <f>IFERROR(VLOOKUP(B618,Baza[[№]:[Profit]],2,0),"")</f>
        <v/>
      </c>
      <c r="D61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1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18" s="43" t="str">
        <f>IFERROR(VLOOKUP(B618,Baza[[№]:[Profit]],3,0),"")</f>
        <v/>
      </c>
      <c r="G618" s="43" t="str">
        <f>IFERROR(VLOOKUP(B618,Baza[[№]:[Profit]],4,0),"")</f>
        <v/>
      </c>
      <c r="H618" s="43" t="str">
        <f>IFERROR(VLOOKUP(B618,Baza[[№]:[Profit]],5,0),"")</f>
        <v/>
      </c>
      <c r="I618" s="46" t="str">
        <f>IFERROR(VLOOKUP(B618,Baza[[№]:[Profit]],6,0),"")</f>
        <v/>
      </c>
      <c r="J618" s="49" t="str">
        <f>IFERROR(VLOOKUP(B618,Baza[[№]:[Profit]],7,0),"")</f>
        <v/>
      </c>
      <c r="K618" s="43" t="str">
        <f>IFERROR(VLOOKUP(B618,Baza[[№]:[Profit]],8,0),"")</f>
        <v/>
      </c>
      <c r="L618" s="43" t="str">
        <f>IFERROR(VLOOKUP(B618,Baza[[№]:[Profit]],9,0),"")</f>
        <v/>
      </c>
      <c r="M618" s="43" t="str">
        <f>IFERROR(VLOOKUP(B618,Baza[[№]:[Profit]],10,0),"")</f>
        <v/>
      </c>
      <c r="N618" s="43" t="str">
        <f>IFERROR(IF(VLOOKUP(B618,Baza[[№]:[Profit]],11,0)=0,"-",VLOOKUP(B618,Baza[[№]:[Profit]],11,0)),"")</f>
        <v/>
      </c>
      <c r="O618" s="43" t="str">
        <f>IFERROR(IF(VLOOKUP(B618,Baza[[№]:[Profit]],12,0)=0,"-",VLOOKUP(B618,Baza[[№]:[Profit]],12,0)),"")</f>
        <v/>
      </c>
      <c r="P618" s="43" t="str">
        <f>IFERROR(IF(VLOOKUP(B618,Baza[[№]:[Profit]],13,0)=0,"-",VLOOKUP(B618,Baza[[№]:[Profit]],13,0)),"")</f>
        <v/>
      </c>
      <c r="Q618" s="43" t="str">
        <f>IFERROR(IF(VLOOKUP(B618,Baza[[№]:[Profit]],15,0)=0,"-",VLOOKUP(B618,Baza[[№]:[Profit]],15,0)),"")</f>
        <v/>
      </c>
      <c r="R618" s="43" t="str">
        <f>IFERROR(IF(VLOOKUP(B618,Baza[[№]:[Profit]],16,0)=0,"-",VLOOKUP(B618,Baza[[№]:[Profit]],16,0)),"")</f>
        <v/>
      </c>
      <c r="S618" s="43" t="str">
        <f>IFERROR(IF(VLOOKUP(B618,Baza[[№]:[Profit]],17,0)=0,"-",VLOOKUP(B618,Baza[[№]:[Profit]],17,0)),"")</f>
        <v/>
      </c>
      <c r="T618" s="43" t="str">
        <f>IFERROR(IF(VLOOKUP(B618,Baza[[№]:[Profit]],18,0)=0,"-",VLOOKUP(B618,Baza[[№]:[Profit]],18,0)),"")</f>
        <v/>
      </c>
      <c r="U618" s="41" t="str">
        <f>IFERROR(IF(VLOOKUP(B618,Baza[[№]:[Profit]],19,0)=0,"-",VLOOKUP(B618,Baza[[№]:[Profit]],19,0)),"")</f>
        <v/>
      </c>
      <c r="V618" s="41" t="str">
        <f>IFERROR(VLOOKUP(B618,Baza[[№]:[Profit]],20,0),"")</f>
        <v/>
      </c>
      <c r="W618" s="41" t="str">
        <f>IFERROR(IF(VLOOKUP(B618,Baza[[№]:[Profit]],21,0)=0,"-",VLOOKUP(B618,Baza[[№]:[Profit]],21,0)),"")</f>
        <v/>
      </c>
      <c r="X618" s="45" t="str">
        <f>IFERROR(IF(VLOOKUP(B618,Baza[[№]:[Profit]],22,0)=0,"-",VLOOKUP(B618,Baza[[№]:[Profit]],22,0)),"")</f>
        <v/>
      </c>
      <c r="Y618" s="45" t="str">
        <f>IFERROR(VLOOKUP(B618,Baza[[№]:[Profit]],23,0),"")</f>
        <v/>
      </c>
      <c r="Z618" s="44" t="str">
        <f>IFERROR(VLOOKUP(B618,Baza[[№]:[AFS]],24,0),"")</f>
        <v/>
      </c>
      <c r="AA618" s="45" t="str">
        <f>IF(Таблица2[[#This Row],[Profit]]="","#Н/Д",SUM($Y$40:Y618))</f>
        <v>#Н/Д</v>
      </c>
      <c r="AB618" s="45" t="b">
        <f>IF(Таблица2[[#This Row],[Grafik]]="#Н/Д",FALSE,TRUE)</f>
        <v>0</v>
      </c>
    </row>
    <row r="619" spans="2:28" ht="11.1" hidden="1" customHeight="1" x14ac:dyDescent="0.25">
      <c r="B619"/>
      <c r="C619" s="41" t="str">
        <f>IFERROR(VLOOKUP(B619,Baza[[№]:[Profit]],2,0),"")</f>
        <v/>
      </c>
      <c r="D61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1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19" s="43" t="str">
        <f>IFERROR(VLOOKUP(B619,Baza[[№]:[Profit]],3,0),"")</f>
        <v/>
      </c>
      <c r="G619" s="43" t="str">
        <f>IFERROR(VLOOKUP(B619,Baza[[№]:[Profit]],4,0),"")</f>
        <v/>
      </c>
      <c r="H619" s="43" t="str">
        <f>IFERROR(VLOOKUP(B619,Baza[[№]:[Profit]],5,0),"")</f>
        <v/>
      </c>
      <c r="I619" s="46" t="str">
        <f>IFERROR(VLOOKUP(B619,Baza[[№]:[Profit]],6,0),"")</f>
        <v/>
      </c>
      <c r="J619" s="49" t="str">
        <f>IFERROR(VLOOKUP(B619,Baza[[№]:[Profit]],7,0),"")</f>
        <v/>
      </c>
      <c r="K619" s="43" t="str">
        <f>IFERROR(VLOOKUP(B619,Baza[[№]:[Profit]],8,0),"")</f>
        <v/>
      </c>
      <c r="L619" s="43" t="str">
        <f>IFERROR(VLOOKUP(B619,Baza[[№]:[Profit]],9,0),"")</f>
        <v/>
      </c>
      <c r="M619" s="43" t="str">
        <f>IFERROR(VLOOKUP(B619,Baza[[№]:[Profit]],10,0),"")</f>
        <v/>
      </c>
      <c r="N619" s="43" t="str">
        <f>IFERROR(IF(VLOOKUP(B619,Baza[[№]:[Profit]],11,0)=0,"-",VLOOKUP(B619,Baza[[№]:[Profit]],11,0)),"")</f>
        <v/>
      </c>
      <c r="O619" s="43" t="str">
        <f>IFERROR(IF(VLOOKUP(B619,Baza[[№]:[Profit]],12,0)=0,"-",VLOOKUP(B619,Baza[[№]:[Profit]],12,0)),"")</f>
        <v/>
      </c>
      <c r="P619" s="43" t="str">
        <f>IFERROR(IF(VLOOKUP(B619,Baza[[№]:[Profit]],13,0)=0,"-",VLOOKUP(B619,Baza[[№]:[Profit]],13,0)),"")</f>
        <v/>
      </c>
      <c r="Q619" s="43" t="str">
        <f>IFERROR(IF(VLOOKUP(B619,Baza[[№]:[Profit]],15,0)=0,"-",VLOOKUP(B619,Baza[[№]:[Profit]],15,0)),"")</f>
        <v/>
      </c>
      <c r="R619" s="43" t="str">
        <f>IFERROR(IF(VLOOKUP(B619,Baza[[№]:[Profit]],16,0)=0,"-",VLOOKUP(B619,Baza[[№]:[Profit]],16,0)),"")</f>
        <v/>
      </c>
      <c r="S619" s="43" t="str">
        <f>IFERROR(IF(VLOOKUP(B619,Baza[[№]:[Profit]],17,0)=0,"-",VLOOKUP(B619,Baza[[№]:[Profit]],17,0)),"")</f>
        <v/>
      </c>
      <c r="T619" s="43" t="str">
        <f>IFERROR(IF(VLOOKUP(B619,Baza[[№]:[Profit]],18,0)=0,"-",VLOOKUP(B619,Baza[[№]:[Profit]],18,0)),"")</f>
        <v/>
      </c>
      <c r="U619" s="41" t="str">
        <f>IFERROR(IF(VLOOKUP(B619,Baza[[№]:[Profit]],19,0)=0,"-",VLOOKUP(B619,Baza[[№]:[Profit]],19,0)),"")</f>
        <v/>
      </c>
      <c r="V619" s="41" t="str">
        <f>IFERROR(VLOOKUP(B619,Baza[[№]:[Profit]],20,0),"")</f>
        <v/>
      </c>
      <c r="W619" s="41" t="str">
        <f>IFERROR(IF(VLOOKUP(B619,Baza[[№]:[Profit]],21,0)=0,"-",VLOOKUP(B619,Baza[[№]:[Profit]],21,0)),"")</f>
        <v/>
      </c>
      <c r="X619" s="45" t="str">
        <f>IFERROR(IF(VLOOKUP(B619,Baza[[№]:[Profit]],22,0)=0,"-",VLOOKUP(B619,Baza[[№]:[Profit]],22,0)),"")</f>
        <v/>
      </c>
      <c r="Y619" s="45" t="str">
        <f>IFERROR(VLOOKUP(B619,Baza[[№]:[Profit]],23,0),"")</f>
        <v/>
      </c>
      <c r="Z619" s="44" t="str">
        <f>IFERROR(VLOOKUP(B619,Baza[[№]:[AFS]],24,0),"")</f>
        <v/>
      </c>
      <c r="AA619" s="45" t="str">
        <f>IF(Таблица2[[#This Row],[Profit]]="","#Н/Д",SUM($Y$40:Y619))</f>
        <v>#Н/Д</v>
      </c>
      <c r="AB619" s="45" t="b">
        <f>IF(Таблица2[[#This Row],[Grafik]]="#Н/Д",FALSE,TRUE)</f>
        <v>0</v>
      </c>
    </row>
    <row r="620" spans="2:28" ht="11.1" hidden="1" customHeight="1" x14ac:dyDescent="0.25">
      <c r="B620"/>
      <c r="C620" s="41" t="str">
        <f>IFERROR(VLOOKUP(B620,Baza[[№]:[Profit]],2,0),"")</f>
        <v/>
      </c>
      <c r="D62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2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20" s="43" t="str">
        <f>IFERROR(VLOOKUP(B620,Baza[[№]:[Profit]],3,0),"")</f>
        <v/>
      </c>
      <c r="G620" s="43" t="str">
        <f>IFERROR(VLOOKUP(B620,Baza[[№]:[Profit]],4,0),"")</f>
        <v/>
      </c>
      <c r="H620" s="43" t="str">
        <f>IFERROR(VLOOKUP(B620,Baza[[№]:[Profit]],5,0),"")</f>
        <v/>
      </c>
      <c r="I620" s="46" t="str">
        <f>IFERROR(VLOOKUP(B620,Baza[[№]:[Profit]],6,0),"")</f>
        <v/>
      </c>
      <c r="J620" s="49" t="str">
        <f>IFERROR(VLOOKUP(B620,Baza[[№]:[Profit]],7,0),"")</f>
        <v/>
      </c>
      <c r="K620" s="43" t="str">
        <f>IFERROR(VLOOKUP(B620,Baza[[№]:[Profit]],8,0),"")</f>
        <v/>
      </c>
      <c r="L620" s="43" t="str">
        <f>IFERROR(VLOOKUP(B620,Baza[[№]:[Profit]],9,0),"")</f>
        <v/>
      </c>
      <c r="M620" s="43" t="str">
        <f>IFERROR(VLOOKUP(B620,Baza[[№]:[Profit]],10,0),"")</f>
        <v/>
      </c>
      <c r="N620" s="43" t="str">
        <f>IFERROR(IF(VLOOKUP(B620,Baza[[№]:[Profit]],11,0)=0,"-",VLOOKUP(B620,Baza[[№]:[Profit]],11,0)),"")</f>
        <v/>
      </c>
      <c r="O620" s="43" t="str">
        <f>IFERROR(IF(VLOOKUP(B620,Baza[[№]:[Profit]],12,0)=0,"-",VLOOKUP(B620,Baza[[№]:[Profit]],12,0)),"")</f>
        <v/>
      </c>
      <c r="P620" s="43" t="str">
        <f>IFERROR(IF(VLOOKUP(B620,Baza[[№]:[Profit]],13,0)=0,"-",VLOOKUP(B620,Baza[[№]:[Profit]],13,0)),"")</f>
        <v/>
      </c>
      <c r="Q620" s="43" t="str">
        <f>IFERROR(IF(VLOOKUP(B620,Baza[[№]:[Profit]],15,0)=0,"-",VLOOKUP(B620,Baza[[№]:[Profit]],15,0)),"")</f>
        <v/>
      </c>
      <c r="R620" s="43" t="str">
        <f>IFERROR(IF(VLOOKUP(B620,Baza[[№]:[Profit]],16,0)=0,"-",VLOOKUP(B620,Baza[[№]:[Profit]],16,0)),"")</f>
        <v/>
      </c>
      <c r="S620" s="43" t="str">
        <f>IFERROR(IF(VLOOKUP(B620,Baza[[№]:[Profit]],17,0)=0,"-",VLOOKUP(B620,Baza[[№]:[Profit]],17,0)),"")</f>
        <v/>
      </c>
      <c r="T620" s="43" t="str">
        <f>IFERROR(IF(VLOOKUP(B620,Baza[[№]:[Profit]],18,0)=0,"-",VLOOKUP(B620,Baza[[№]:[Profit]],18,0)),"")</f>
        <v/>
      </c>
      <c r="U620" s="41" t="str">
        <f>IFERROR(IF(VLOOKUP(B620,Baza[[№]:[Profit]],19,0)=0,"-",VLOOKUP(B620,Baza[[№]:[Profit]],19,0)),"")</f>
        <v/>
      </c>
      <c r="V620" s="41" t="str">
        <f>IFERROR(VLOOKUP(B620,Baza[[№]:[Profit]],20,0),"")</f>
        <v/>
      </c>
      <c r="W620" s="41" t="str">
        <f>IFERROR(IF(VLOOKUP(B620,Baza[[№]:[Profit]],21,0)=0,"-",VLOOKUP(B620,Baza[[№]:[Profit]],21,0)),"")</f>
        <v/>
      </c>
      <c r="X620" s="45" t="str">
        <f>IFERROR(IF(VLOOKUP(B620,Baza[[№]:[Profit]],22,0)=0,"-",VLOOKUP(B620,Baza[[№]:[Profit]],22,0)),"")</f>
        <v/>
      </c>
      <c r="Y620" s="45" t="str">
        <f>IFERROR(VLOOKUP(B620,Baza[[№]:[Profit]],23,0),"")</f>
        <v/>
      </c>
      <c r="Z620" s="44" t="str">
        <f>IFERROR(VLOOKUP(B620,Baza[[№]:[AFS]],24,0),"")</f>
        <v/>
      </c>
      <c r="AA620" s="45" t="str">
        <f>IF(Таблица2[[#This Row],[Profit]]="","#Н/Д",SUM($Y$40:Y620))</f>
        <v>#Н/Д</v>
      </c>
      <c r="AB620" s="45" t="b">
        <f>IF(Таблица2[[#This Row],[Grafik]]="#Н/Д",FALSE,TRUE)</f>
        <v>0</v>
      </c>
    </row>
    <row r="621" spans="2:28" ht="11.1" hidden="1" customHeight="1" x14ac:dyDescent="0.25">
      <c r="B621"/>
      <c r="C621" s="41" t="str">
        <f>IFERROR(VLOOKUP(B621,Baza[[№]:[Profit]],2,0),"")</f>
        <v/>
      </c>
      <c r="D62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2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21" s="43" t="str">
        <f>IFERROR(VLOOKUP(B621,Baza[[№]:[Profit]],3,0),"")</f>
        <v/>
      </c>
      <c r="G621" s="43" t="str">
        <f>IFERROR(VLOOKUP(B621,Baza[[№]:[Profit]],4,0),"")</f>
        <v/>
      </c>
      <c r="H621" s="43" t="str">
        <f>IFERROR(VLOOKUP(B621,Baza[[№]:[Profit]],5,0),"")</f>
        <v/>
      </c>
      <c r="I621" s="46" t="str">
        <f>IFERROR(VLOOKUP(B621,Baza[[№]:[Profit]],6,0),"")</f>
        <v/>
      </c>
      <c r="J621" s="49" t="str">
        <f>IFERROR(VLOOKUP(B621,Baza[[№]:[Profit]],7,0),"")</f>
        <v/>
      </c>
      <c r="K621" s="43" t="str">
        <f>IFERROR(VLOOKUP(B621,Baza[[№]:[Profit]],8,0),"")</f>
        <v/>
      </c>
      <c r="L621" s="43" t="str">
        <f>IFERROR(VLOOKUP(B621,Baza[[№]:[Profit]],9,0),"")</f>
        <v/>
      </c>
      <c r="M621" s="43" t="str">
        <f>IFERROR(VLOOKUP(B621,Baza[[№]:[Profit]],10,0),"")</f>
        <v/>
      </c>
      <c r="N621" s="43" t="str">
        <f>IFERROR(IF(VLOOKUP(B621,Baza[[№]:[Profit]],11,0)=0,"-",VLOOKUP(B621,Baza[[№]:[Profit]],11,0)),"")</f>
        <v/>
      </c>
      <c r="O621" s="43" t="str">
        <f>IFERROR(IF(VLOOKUP(B621,Baza[[№]:[Profit]],12,0)=0,"-",VLOOKUP(B621,Baza[[№]:[Profit]],12,0)),"")</f>
        <v/>
      </c>
      <c r="P621" s="43" t="str">
        <f>IFERROR(IF(VLOOKUP(B621,Baza[[№]:[Profit]],13,0)=0,"-",VLOOKUP(B621,Baza[[№]:[Profit]],13,0)),"")</f>
        <v/>
      </c>
      <c r="Q621" s="43" t="str">
        <f>IFERROR(IF(VLOOKUP(B621,Baza[[№]:[Profit]],15,0)=0,"-",VLOOKUP(B621,Baza[[№]:[Profit]],15,0)),"")</f>
        <v/>
      </c>
      <c r="R621" s="43" t="str">
        <f>IFERROR(IF(VLOOKUP(B621,Baza[[№]:[Profit]],16,0)=0,"-",VLOOKUP(B621,Baza[[№]:[Profit]],16,0)),"")</f>
        <v/>
      </c>
      <c r="S621" s="43" t="str">
        <f>IFERROR(IF(VLOOKUP(B621,Baza[[№]:[Profit]],17,0)=0,"-",VLOOKUP(B621,Baza[[№]:[Profit]],17,0)),"")</f>
        <v/>
      </c>
      <c r="T621" s="43" t="str">
        <f>IFERROR(IF(VLOOKUP(B621,Baza[[№]:[Profit]],18,0)=0,"-",VLOOKUP(B621,Baza[[№]:[Profit]],18,0)),"")</f>
        <v/>
      </c>
      <c r="U621" s="41" t="str">
        <f>IFERROR(IF(VLOOKUP(B621,Baza[[№]:[Profit]],19,0)=0,"-",VLOOKUP(B621,Baza[[№]:[Profit]],19,0)),"")</f>
        <v/>
      </c>
      <c r="V621" s="41" t="str">
        <f>IFERROR(VLOOKUP(B621,Baza[[№]:[Profit]],20,0),"")</f>
        <v/>
      </c>
      <c r="W621" s="41" t="str">
        <f>IFERROR(IF(VLOOKUP(B621,Baza[[№]:[Profit]],21,0)=0,"-",VLOOKUP(B621,Baza[[№]:[Profit]],21,0)),"")</f>
        <v/>
      </c>
      <c r="X621" s="45" t="str">
        <f>IFERROR(IF(VLOOKUP(B621,Baza[[№]:[Profit]],22,0)=0,"-",VLOOKUP(B621,Baza[[№]:[Profit]],22,0)),"")</f>
        <v/>
      </c>
      <c r="Y621" s="45" t="str">
        <f>IFERROR(VLOOKUP(B621,Baza[[№]:[Profit]],23,0),"")</f>
        <v/>
      </c>
      <c r="Z621" s="44" t="str">
        <f>IFERROR(VLOOKUP(B621,Baza[[№]:[AFS]],24,0),"")</f>
        <v/>
      </c>
      <c r="AA621" s="45" t="str">
        <f>IF(Таблица2[[#This Row],[Profit]]="","#Н/Д",SUM($Y$40:Y621))</f>
        <v>#Н/Д</v>
      </c>
      <c r="AB621" s="45" t="b">
        <f>IF(Таблица2[[#This Row],[Grafik]]="#Н/Д",FALSE,TRUE)</f>
        <v>0</v>
      </c>
    </row>
    <row r="622" spans="2:28" ht="11.1" hidden="1" customHeight="1" x14ac:dyDescent="0.25">
      <c r="B622"/>
      <c r="C622" s="41" t="str">
        <f>IFERROR(VLOOKUP(B622,Baza[[№]:[Profit]],2,0),"")</f>
        <v/>
      </c>
      <c r="D62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2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22" s="43" t="str">
        <f>IFERROR(VLOOKUP(B622,Baza[[№]:[Profit]],3,0),"")</f>
        <v/>
      </c>
      <c r="G622" s="43" t="str">
        <f>IFERROR(VLOOKUP(B622,Baza[[№]:[Profit]],4,0),"")</f>
        <v/>
      </c>
      <c r="H622" s="43" t="str">
        <f>IFERROR(VLOOKUP(B622,Baza[[№]:[Profit]],5,0),"")</f>
        <v/>
      </c>
      <c r="I622" s="46" t="str">
        <f>IFERROR(VLOOKUP(B622,Baza[[№]:[Profit]],6,0),"")</f>
        <v/>
      </c>
      <c r="J622" s="49" t="str">
        <f>IFERROR(VLOOKUP(B622,Baza[[№]:[Profit]],7,0),"")</f>
        <v/>
      </c>
      <c r="K622" s="43" t="str">
        <f>IFERROR(VLOOKUP(B622,Baza[[№]:[Profit]],8,0),"")</f>
        <v/>
      </c>
      <c r="L622" s="43" t="str">
        <f>IFERROR(VLOOKUP(B622,Baza[[№]:[Profit]],9,0),"")</f>
        <v/>
      </c>
      <c r="M622" s="43" t="str">
        <f>IFERROR(VLOOKUP(B622,Baza[[№]:[Profit]],10,0),"")</f>
        <v/>
      </c>
      <c r="N622" s="43" t="str">
        <f>IFERROR(IF(VLOOKUP(B622,Baza[[№]:[Profit]],11,0)=0,"-",VLOOKUP(B622,Baza[[№]:[Profit]],11,0)),"")</f>
        <v/>
      </c>
      <c r="O622" s="43" t="str">
        <f>IFERROR(IF(VLOOKUP(B622,Baza[[№]:[Profit]],12,0)=0,"-",VLOOKUP(B622,Baza[[№]:[Profit]],12,0)),"")</f>
        <v/>
      </c>
      <c r="P622" s="43" t="str">
        <f>IFERROR(IF(VLOOKUP(B622,Baza[[№]:[Profit]],13,0)=0,"-",VLOOKUP(B622,Baza[[№]:[Profit]],13,0)),"")</f>
        <v/>
      </c>
      <c r="Q622" s="43" t="str">
        <f>IFERROR(IF(VLOOKUP(B622,Baza[[№]:[Profit]],15,0)=0,"-",VLOOKUP(B622,Baza[[№]:[Profit]],15,0)),"")</f>
        <v/>
      </c>
      <c r="R622" s="43" t="str">
        <f>IFERROR(IF(VLOOKUP(B622,Baza[[№]:[Profit]],16,0)=0,"-",VLOOKUP(B622,Baza[[№]:[Profit]],16,0)),"")</f>
        <v/>
      </c>
      <c r="S622" s="43" t="str">
        <f>IFERROR(IF(VLOOKUP(B622,Baza[[№]:[Profit]],17,0)=0,"-",VLOOKUP(B622,Baza[[№]:[Profit]],17,0)),"")</f>
        <v/>
      </c>
      <c r="T622" s="43" t="str">
        <f>IFERROR(IF(VLOOKUP(B622,Baza[[№]:[Profit]],18,0)=0,"-",VLOOKUP(B622,Baza[[№]:[Profit]],18,0)),"")</f>
        <v/>
      </c>
      <c r="U622" s="41" t="str">
        <f>IFERROR(IF(VLOOKUP(B622,Baza[[№]:[Profit]],19,0)=0,"-",VLOOKUP(B622,Baza[[№]:[Profit]],19,0)),"")</f>
        <v/>
      </c>
      <c r="V622" s="41" t="str">
        <f>IFERROR(VLOOKUP(B622,Baza[[№]:[Profit]],20,0),"")</f>
        <v/>
      </c>
      <c r="W622" s="41" t="str">
        <f>IFERROR(IF(VLOOKUP(B622,Baza[[№]:[Profit]],21,0)=0,"-",VLOOKUP(B622,Baza[[№]:[Profit]],21,0)),"")</f>
        <v/>
      </c>
      <c r="X622" s="45" t="str">
        <f>IFERROR(IF(VLOOKUP(B622,Baza[[№]:[Profit]],22,0)=0,"-",VLOOKUP(B622,Baza[[№]:[Profit]],22,0)),"")</f>
        <v/>
      </c>
      <c r="Y622" s="45" t="str">
        <f>IFERROR(VLOOKUP(B622,Baza[[№]:[Profit]],23,0),"")</f>
        <v/>
      </c>
      <c r="Z622" s="44" t="str">
        <f>IFERROR(VLOOKUP(B622,Baza[[№]:[AFS]],24,0),"")</f>
        <v/>
      </c>
      <c r="AA622" s="45" t="str">
        <f>IF(Таблица2[[#This Row],[Profit]]="","#Н/Д",SUM($Y$40:Y622))</f>
        <v>#Н/Д</v>
      </c>
      <c r="AB622" s="45" t="b">
        <f>IF(Таблица2[[#This Row],[Grafik]]="#Н/Д",FALSE,TRUE)</f>
        <v>0</v>
      </c>
    </row>
    <row r="623" spans="2:28" ht="11.1" hidden="1" customHeight="1" x14ac:dyDescent="0.25">
      <c r="B623"/>
      <c r="C623" s="41" t="str">
        <f>IFERROR(VLOOKUP(B623,Baza[[№]:[Profit]],2,0),"")</f>
        <v/>
      </c>
      <c r="D62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2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23" s="43" t="str">
        <f>IFERROR(VLOOKUP(B623,Baza[[№]:[Profit]],3,0),"")</f>
        <v/>
      </c>
      <c r="G623" s="43" t="str">
        <f>IFERROR(VLOOKUP(B623,Baza[[№]:[Profit]],4,0),"")</f>
        <v/>
      </c>
      <c r="H623" s="43" t="str">
        <f>IFERROR(VLOOKUP(B623,Baza[[№]:[Profit]],5,0),"")</f>
        <v/>
      </c>
      <c r="I623" s="46" t="str">
        <f>IFERROR(VLOOKUP(B623,Baza[[№]:[Profit]],6,0),"")</f>
        <v/>
      </c>
      <c r="J623" s="49" t="str">
        <f>IFERROR(VLOOKUP(B623,Baza[[№]:[Profit]],7,0),"")</f>
        <v/>
      </c>
      <c r="K623" s="43" t="str">
        <f>IFERROR(VLOOKUP(B623,Baza[[№]:[Profit]],8,0),"")</f>
        <v/>
      </c>
      <c r="L623" s="43" t="str">
        <f>IFERROR(VLOOKUP(B623,Baza[[№]:[Profit]],9,0),"")</f>
        <v/>
      </c>
      <c r="M623" s="43" t="str">
        <f>IFERROR(VLOOKUP(B623,Baza[[№]:[Profit]],10,0),"")</f>
        <v/>
      </c>
      <c r="N623" s="43" t="str">
        <f>IFERROR(IF(VLOOKUP(B623,Baza[[№]:[Profit]],11,0)=0,"-",VLOOKUP(B623,Baza[[№]:[Profit]],11,0)),"")</f>
        <v/>
      </c>
      <c r="O623" s="43" t="str">
        <f>IFERROR(IF(VLOOKUP(B623,Baza[[№]:[Profit]],12,0)=0,"-",VLOOKUP(B623,Baza[[№]:[Profit]],12,0)),"")</f>
        <v/>
      </c>
      <c r="P623" s="43" t="str">
        <f>IFERROR(IF(VLOOKUP(B623,Baza[[№]:[Profit]],13,0)=0,"-",VLOOKUP(B623,Baza[[№]:[Profit]],13,0)),"")</f>
        <v/>
      </c>
      <c r="Q623" s="43" t="str">
        <f>IFERROR(IF(VLOOKUP(B623,Baza[[№]:[Profit]],15,0)=0,"-",VLOOKUP(B623,Baza[[№]:[Profit]],15,0)),"")</f>
        <v/>
      </c>
      <c r="R623" s="43" t="str">
        <f>IFERROR(IF(VLOOKUP(B623,Baza[[№]:[Profit]],16,0)=0,"-",VLOOKUP(B623,Baza[[№]:[Profit]],16,0)),"")</f>
        <v/>
      </c>
      <c r="S623" s="43" t="str">
        <f>IFERROR(IF(VLOOKUP(B623,Baza[[№]:[Profit]],17,0)=0,"-",VLOOKUP(B623,Baza[[№]:[Profit]],17,0)),"")</f>
        <v/>
      </c>
      <c r="T623" s="43" t="str">
        <f>IFERROR(IF(VLOOKUP(B623,Baza[[№]:[Profit]],18,0)=0,"-",VLOOKUP(B623,Baza[[№]:[Profit]],18,0)),"")</f>
        <v/>
      </c>
      <c r="U623" s="41" t="str">
        <f>IFERROR(IF(VLOOKUP(B623,Baza[[№]:[Profit]],19,0)=0,"-",VLOOKUP(B623,Baza[[№]:[Profit]],19,0)),"")</f>
        <v/>
      </c>
      <c r="V623" s="41" t="str">
        <f>IFERROR(VLOOKUP(B623,Baza[[№]:[Profit]],20,0),"")</f>
        <v/>
      </c>
      <c r="W623" s="41" t="str">
        <f>IFERROR(IF(VLOOKUP(B623,Baza[[№]:[Profit]],21,0)=0,"-",VLOOKUP(B623,Baza[[№]:[Profit]],21,0)),"")</f>
        <v/>
      </c>
      <c r="X623" s="45" t="str">
        <f>IFERROR(IF(VLOOKUP(B623,Baza[[№]:[Profit]],22,0)=0,"-",VLOOKUP(B623,Baza[[№]:[Profit]],22,0)),"")</f>
        <v/>
      </c>
      <c r="Y623" s="45" t="str">
        <f>IFERROR(VLOOKUP(B623,Baza[[№]:[Profit]],23,0),"")</f>
        <v/>
      </c>
      <c r="Z623" s="44" t="str">
        <f>IFERROR(VLOOKUP(B623,Baza[[№]:[AFS]],24,0),"")</f>
        <v/>
      </c>
      <c r="AA623" s="45" t="str">
        <f>IF(Таблица2[[#This Row],[Profit]]="","#Н/Д",SUM($Y$40:Y623))</f>
        <v>#Н/Д</v>
      </c>
      <c r="AB623" s="45" t="b">
        <f>IF(Таблица2[[#This Row],[Grafik]]="#Н/Д",FALSE,TRUE)</f>
        <v>0</v>
      </c>
    </row>
    <row r="624" spans="2:28" ht="11.1" hidden="1" customHeight="1" x14ac:dyDescent="0.25">
      <c r="B624"/>
      <c r="C624" s="41" t="str">
        <f>IFERROR(VLOOKUP(B624,Baza[[№]:[Profit]],2,0),"")</f>
        <v/>
      </c>
      <c r="D62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2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24" s="43" t="str">
        <f>IFERROR(VLOOKUP(B624,Baza[[№]:[Profit]],3,0),"")</f>
        <v/>
      </c>
      <c r="G624" s="43" t="str">
        <f>IFERROR(VLOOKUP(B624,Baza[[№]:[Profit]],4,0),"")</f>
        <v/>
      </c>
      <c r="H624" s="43" t="str">
        <f>IFERROR(VLOOKUP(B624,Baza[[№]:[Profit]],5,0),"")</f>
        <v/>
      </c>
      <c r="I624" s="46" t="str">
        <f>IFERROR(VLOOKUP(B624,Baza[[№]:[Profit]],6,0),"")</f>
        <v/>
      </c>
      <c r="J624" s="49" t="str">
        <f>IFERROR(VLOOKUP(B624,Baza[[№]:[Profit]],7,0),"")</f>
        <v/>
      </c>
      <c r="K624" s="43" t="str">
        <f>IFERROR(VLOOKUP(B624,Baza[[№]:[Profit]],8,0),"")</f>
        <v/>
      </c>
      <c r="L624" s="43" t="str">
        <f>IFERROR(VLOOKUP(B624,Baza[[№]:[Profit]],9,0),"")</f>
        <v/>
      </c>
      <c r="M624" s="43" t="str">
        <f>IFERROR(VLOOKUP(B624,Baza[[№]:[Profit]],10,0),"")</f>
        <v/>
      </c>
      <c r="N624" s="43" t="str">
        <f>IFERROR(IF(VLOOKUP(B624,Baza[[№]:[Profit]],11,0)=0,"-",VLOOKUP(B624,Baza[[№]:[Profit]],11,0)),"")</f>
        <v/>
      </c>
      <c r="O624" s="43" t="str">
        <f>IFERROR(IF(VLOOKUP(B624,Baza[[№]:[Profit]],12,0)=0,"-",VLOOKUP(B624,Baza[[№]:[Profit]],12,0)),"")</f>
        <v/>
      </c>
      <c r="P624" s="43" t="str">
        <f>IFERROR(IF(VLOOKUP(B624,Baza[[№]:[Profit]],13,0)=0,"-",VLOOKUP(B624,Baza[[№]:[Profit]],13,0)),"")</f>
        <v/>
      </c>
      <c r="Q624" s="43" t="str">
        <f>IFERROR(IF(VLOOKUP(B624,Baza[[№]:[Profit]],15,0)=0,"-",VLOOKUP(B624,Baza[[№]:[Profit]],15,0)),"")</f>
        <v/>
      </c>
      <c r="R624" s="43" t="str">
        <f>IFERROR(IF(VLOOKUP(B624,Baza[[№]:[Profit]],16,0)=0,"-",VLOOKUP(B624,Baza[[№]:[Profit]],16,0)),"")</f>
        <v/>
      </c>
      <c r="S624" s="43" t="str">
        <f>IFERROR(IF(VLOOKUP(B624,Baza[[№]:[Profit]],17,0)=0,"-",VLOOKUP(B624,Baza[[№]:[Profit]],17,0)),"")</f>
        <v/>
      </c>
      <c r="T624" s="43" t="str">
        <f>IFERROR(IF(VLOOKUP(B624,Baza[[№]:[Profit]],18,0)=0,"-",VLOOKUP(B624,Baza[[№]:[Profit]],18,0)),"")</f>
        <v/>
      </c>
      <c r="U624" s="41" t="str">
        <f>IFERROR(IF(VLOOKUP(B624,Baza[[№]:[Profit]],19,0)=0,"-",VLOOKUP(B624,Baza[[№]:[Profit]],19,0)),"")</f>
        <v/>
      </c>
      <c r="V624" s="41" t="str">
        <f>IFERROR(VLOOKUP(B624,Baza[[№]:[Profit]],20,0),"")</f>
        <v/>
      </c>
      <c r="W624" s="41" t="str">
        <f>IFERROR(IF(VLOOKUP(B624,Baza[[№]:[Profit]],21,0)=0,"-",VLOOKUP(B624,Baza[[№]:[Profit]],21,0)),"")</f>
        <v/>
      </c>
      <c r="X624" s="45" t="str">
        <f>IFERROR(IF(VLOOKUP(B624,Baza[[№]:[Profit]],22,0)=0,"-",VLOOKUP(B624,Baza[[№]:[Profit]],22,0)),"")</f>
        <v/>
      </c>
      <c r="Y624" s="45" t="str">
        <f>IFERROR(VLOOKUP(B624,Baza[[№]:[Profit]],23,0),"")</f>
        <v/>
      </c>
      <c r="Z624" s="44" t="str">
        <f>IFERROR(VLOOKUP(B624,Baza[[№]:[AFS]],24,0),"")</f>
        <v/>
      </c>
      <c r="AA624" s="45" t="str">
        <f>IF(Таблица2[[#This Row],[Profit]]="","#Н/Д",SUM($Y$40:Y624))</f>
        <v>#Н/Д</v>
      </c>
      <c r="AB624" s="45" t="b">
        <f>IF(Таблица2[[#This Row],[Grafik]]="#Н/Д",FALSE,TRUE)</f>
        <v>0</v>
      </c>
    </row>
    <row r="625" spans="2:28" ht="11.1" hidden="1" customHeight="1" x14ac:dyDescent="0.25">
      <c r="B625"/>
      <c r="C625" s="41" t="str">
        <f>IFERROR(VLOOKUP(B625,Baza[[№]:[Profit]],2,0),"")</f>
        <v/>
      </c>
      <c r="D62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2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25" s="43" t="str">
        <f>IFERROR(VLOOKUP(B625,Baza[[№]:[Profit]],3,0),"")</f>
        <v/>
      </c>
      <c r="G625" s="43" t="str">
        <f>IFERROR(VLOOKUP(B625,Baza[[№]:[Profit]],4,0),"")</f>
        <v/>
      </c>
      <c r="H625" s="43" t="str">
        <f>IFERROR(VLOOKUP(B625,Baza[[№]:[Profit]],5,0),"")</f>
        <v/>
      </c>
      <c r="I625" s="46" t="str">
        <f>IFERROR(VLOOKUP(B625,Baza[[№]:[Profit]],6,0),"")</f>
        <v/>
      </c>
      <c r="J625" s="49" t="str">
        <f>IFERROR(VLOOKUP(B625,Baza[[№]:[Profit]],7,0),"")</f>
        <v/>
      </c>
      <c r="K625" s="43" t="str">
        <f>IFERROR(VLOOKUP(B625,Baza[[№]:[Profit]],8,0),"")</f>
        <v/>
      </c>
      <c r="L625" s="43" t="str">
        <f>IFERROR(VLOOKUP(B625,Baza[[№]:[Profit]],9,0),"")</f>
        <v/>
      </c>
      <c r="M625" s="43" t="str">
        <f>IFERROR(VLOOKUP(B625,Baza[[№]:[Profit]],10,0),"")</f>
        <v/>
      </c>
      <c r="N625" s="43" t="str">
        <f>IFERROR(IF(VLOOKUP(B625,Baza[[№]:[Profit]],11,0)=0,"-",VLOOKUP(B625,Baza[[№]:[Profit]],11,0)),"")</f>
        <v/>
      </c>
      <c r="O625" s="43" t="str">
        <f>IFERROR(IF(VLOOKUP(B625,Baza[[№]:[Profit]],12,0)=0,"-",VLOOKUP(B625,Baza[[№]:[Profit]],12,0)),"")</f>
        <v/>
      </c>
      <c r="P625" s="43" t="str">
        <f>IFERROR(IF(VLOOKUP(B625,Baza[[№]:[Profit]],13,0)=0,"-",VLOOKUP(B625,Baza[[№]:[Profit]],13,0)),"")</f>
        <v/>
      </c>
      <c r="Q625" s="43" t="str">
        <f>IFERROR(IF(VLOOKUP(B625,Baza[[№]:[Profit]],15,0)=0,"-",VLOOKUP(B625,Baza[[№]:[Profit]],15,0)),"")</f>
        <v/>
      </c>
      <c r="R625" s="43" t="str">
        <f>IFERROR(IF(VLOOKUP(B625,Baza[[№]:[Profit]],16,0)=0,"-",VLOOKUP(B625,Baza[[№]:[Profit]],16,0)),"")</f>
        <v/>
      </c>
      <c r="S625" s="43" t="str">
        <f>IFERROR(IF(VLOOKUP(B625,Baza[[№]:[Profit]],17,0)=0,"-",VLOOKUP(B625,Baza[[№]:[Profit]],17,0)),"")</f>
        <v/>
      </c>
      <c r="T625" s="43" t="str">
        <f>IFERROR(IF(VLOOKUP(B625,Baza[[№]:[Profit]],18,0)=0,"-",VLOOKUP(B625,Baza[[№]:[Profit]],18,0)),"")</f>
        <v/>
      </c>
      <c r="U625" s="41" t="str">
        <f>IFERROR(IF(VLOOKUP(B625,Baza[[№]:[Profit]],19,0)=0,"-",VLOOKUP(B625,Baza[[№]:[Profit]],19,0)),"")</f>
        <v/>
      </c>
      <c r="V625" s="41" t="str">
        <f>IFERROR(VLOOKUP(B625,Baza[[№]:[Profit]],20,0),"")</f>
        <v/>
      </c>
      <c r="W625" s="41" t="str">
        <f>IFERROR(IF(VLOOKUP(B625,Baza[[№]:[Profit]],21,0)=0,"-",VLOOKUP(B625,Baza[[№]:[Profit]],21,0)),"")</f>
        <v/>
      </c>
      <c r="X625" s="45" t="str">
        <f>IFERROR(IF(VLOOKUP(B625,Baza[[№]:[Profit]],22,0)=0,"-",VLOOKUP(B625,Baza[[№]:[Profit]],22,0)),"")</f>
        <v/>
      </c>
      <c r="Y625" s="45" t="str">
        <f>IFERROR(VLOOKUP(B625,Baza[[№]:[Profit]],23,0),"")</f>
        <v/>
      </c>
      <c r="Z625" s="44" t="str">
        <f>IFERROR(VLOOKUP(B625,Baza[[№]:[AFS]],24,0),"")</f>
        <v/>
      </c>
      <c r="AA625" s="45" t="str">
        <f>IF(Таблица2[[#This Row],[Profit]]="","#Н/Д",SUM($Y$40:Y625))</f>
        <v>#Н/Д</v>
      </c>
      <c r="AB625" s="45" t="b">
        <f>IF(Таблица2[[#This Row],[Grafik]]="#Н/Д",FALSE,TRUE)</f>
        <v>0</v>
      </c>
    </row>
    <row r="626" spans="2:28" ht="11.1" hidden="1" customHeight="1" x14ac:dyDescent="0.25">
      <c r="B626"/>
      <c r="C626" s="41" t="str">
        <f>IFERROR(VLOOKUP(B626,Baza[[№]:[Profit]],2,0),"")</f>
        <v/>
      </c>
      <c r="D62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2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26" s="43" t="str">
        <f>IFERROR(VLOOKUP(B626,Baza[[№]:[Profit]],3,0),"")</f>
        <v/>
      </c>
      <c r="G626" s="43" t="str">
        <f>IFERROR(VLOOKUP(B626,Baza[[№]:[Profit]],4,0),"")</f>
        <v/>
      </c>
      <c r="H626" s="43" t="str">
        <f>IFERROR(VLOOKUP(B626,Baza[[№]:[Profit]],5,0),"")</f>
        <v/>
      </c>
      <c r="I626" s="46" t="str">
        <f>IFERROR(VLOOKUP(B626,Baza[[№]:[Profit]],6,0),"")</f>
        <v/>
      </c>
      <c r="J626" s="49" t="str">
        <f>IFERROR(VLOOKUP(B626,Baza[[№]:[Profit]],7,0),"")</f>
        <v/>
      </c>
      <c r="K626" s="43" t="str">
        <f>IFERROR(VLOOKUP(B626,Baza[[№]:[Profit]],8,0),"")</f>
        <v/>
      </c>
      <c r="L626" s="43" t="str">
        <f>IFERROR(VLOOKUP(B626,Baza[[№]:[Profit]],9,0),"")</f>
        <v/>
      </c>
      <c r="M626" s="43" t="str">
        <f>IFERROR(VLOOKUP(B626,Baza[[№]:[Profit]],10,0),"")</f>
        <v/>
      </c>
      <c r="N626" s="43" t="str">
        <f>IFERROR(IF(VLOOKUP(B626,Baza[[№]:[Profit]],11,0)=0,"-",VLOOKUP(B626,Baza[[№]:[Profit]],11,0)),"")</f>
        <v/>
      </c>
      <c r="O626" s="43" t="str">
        <f>IFERROR(IF(VLOOKUP(B626,Baza[[№]:[Profit]],12,0)=0,"-",VLOOKUP(B626,Baza[[№]:[Profit]],12,0)),"")</f>
        <v/>
      </c>
      <c r="P626" s="43" t="str">
        <f>IFERROR(IF(VLOOKUP(B626,Baza[[№]:[Profit]],13,0)=0,"-",VLOOKUP(B626,Baza[[№]:[Profit]],13,0)),"")</f>
        <v/>
      </c>
      <c r="Q626" s="43" t="str">
        <f>IFERROR(IF(VLOOKUP(B626,Baza[[№]:[Profit]],15,0)=0,"-",VLOOKUP(B626,Baza[[№]:[Profit]],15,0)),"")</f>
        <v/>
      </c>
      <c r="R626" s="43" t="str">
        <f>IFERROR(IF(VLOOKUP(B626,Baza[[№]:[Profit]],16,0)=0,"-",VLOOKUP(B626,Baza[[№]:[Profit]],16,0)),"")</f>
        <v/>
      </c>
      <c r="S626" s="43" t="str">
        <f>IFERROR(IF(VLOOKUP(B626,Baza[[№]:[Profit]],17,0)=0,"-",VLOOKUP(B626,Baza[[№]:[Profit]],17,0)),"")</f>
        <v/>
      </c>
      <c r="T626" s="43" t="str">
        <f>IFERROR(IF(VLOOKUP(B626,Baza[[№]:[Profit]],18,0)=0,"-",VLOOKUP(B626,Baza[[№]:[Profit]],18,0)),"")</f>
        <v/>
      </c>
      <c r="U626" s="41" t="str">
        <f>IFERROR(IF(VLOOKUP(B626,Baza[[№]:[Profit]],19,0)=0,"-",VLOOKUP(B626,Baza[[№]:[Profit]],19,0)),"")</f>
        <v/>
      </c>
      <c r="V626" s="41" t="str">
        <f>IFERROR(VLOOKUP(B626,Baza[[№]:[Profit]],20,0),"")</f>
        <v/>
      </c>
      <c r="W626" s="41" t="str">
        <f>IFERROR(IF(VLOOKUP(B626,Baza[[№]:[Profit]],21,0)=0,"-",VLOOKUP(B626,Baza[[№]:[Profit]],21,0)),"")</f>
        <v/>
      </c>
      <c r="X626" s="45" t="str">
        <f>IFERROR(IF(VLOOKUP(B626,Baza[[№]:[Profit]],22,0)=0,"-",VLOOKUP(B626,Baza[[№]:[Profit]],22,0)),"")</f>
        <v/>
      </c>
      <c r="Y626" s="45" t="str">
        <f>IFERROR(VLOOKUP(B626,Baza[[№]:[Profit]],23,0),"")</f>
        <v/>
      </c>
      <c r="Z626" s="44" t="str">
        <f>IFERROR(VLOOKUP(B626,Baza[[№]:[AFS]],24,0),"")</f>
        <v/>
      </c>
      <c r="AA626" s="45" t="str">
        <f>IF(Таблица2[[#This Row],[Profit]]="","#Н/Д",SUM($Y$40:Y626))</f>
        <v>#Н/Д</v>
      </c>
      <c r="AB626" s="45" t="b">
        <f>IF(Таблица2[[#This Row],[Grafik]]="#Н/Д",FALSE,TRUE)</f>
        <v>0</v>
      </c>
    </row>
    <row r="627" spans="2:28" ht="11.1" hidden="1" customHeight="1" x14ac:dyDescent="0.25">
      <c r="B627"/>
      <c r="C627" s="41" t="str">
        <f>IFERROR(VLOOKUP(B627,Baza[[№]:[Profit]],2,0),"")</f>
        <v/>
      </c>
      <c r="D62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2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27" s="43" t="str">
        <f>IFERROR(VLOOKUP(B627,Baza[[№]:[Profit]],3,0),"")</f>
        <v/>
      </c>
      <c r="G627" s="43" t="str">
        <f>IFERROR(VLOOKUP(B627,Baza[[№]:[Profit]],4,0),"")</f>
        <v/>
      </c>
      <c r="H627" s="43" t="str">
        <f>IFERROR(VLOOKUP(B627,Baza[[№]:[Profit]],5,0),"")</f>
        <v/>
      </c>
      <c r="I627" s="46" t="str">
        <f>IFERROR(VLOOKUP(B627,Baza[[№]:[Profit]],6,0),"")</f>
        <v/>
      </c>
      <c r="J627" s="49" t="str">
        <f>IFERROR(VLOOKUP(B627,Baza[[№]:[Profit]],7,0),"")</f>
        <v/>
      </c>
      <c r="K627" s="43" t="str">
        <f>IFERROR(VLOOKUP(B627,Baza[[№]:[Profit]],8,0),"")</f>
        <v/>
      </c>
      <c r="L627" s="43" t="str">
        <f>IFERROR(VLOOKUP(B627,Baza[[№]:[Profit]],9,0),"")</f>
        <v/>
      </c>
      <c r="M627" s="43" t="str">
        <f>IFERROR(VLOOKUP(B627,Baza[[№]:[Profit]],10,0),"")</f>
        <v/>
      </c>
      <c r="N627" s="43" t="str">
        <f>IFERROR(IF(VLOOKUP(B627,Baza[[№]:[Profit]],11,0)=0,"-",VLOOKUP(B627,Baza[[№]:[Profit]],11,0)),"")</f>
        <v/>
      </c>
      <c r="O627" s="43" t="str">
        <f>IFERROR(IF(VLOOKUP(B627,Baza[[№]:[Profit]],12,0)=0,"-",VLOOKUP(B627,Baza[[№]:[Profit]],12,0)),"")</f>
        <v/>
      </c>
      <c r="P627" s="43" t="str">
        <f>IFERROR(IF(VLOOKUP(B627,Baza[[№]:[Profit]],13,0)=0,"-",VLOOKUP(B627,Baza[[№]:[Profit]],13,0)),"")</f>
        <v/>
      </c>
      <c r="Q627" s="43" t="str">
        <f>IFERROR(IF(VLOOKUP(B627,Baza[[№]:[Profit]],15,0)=0,"-",VLOOKUP(B627,Baza[[№]:[Profit]],15,0)),"")</f>
        <v/>
      </c>
      <c r="R627" s="43" t="str">
        <f>IFERROR(IF(VLOOKUP(B627,Baza[[№]:[Profit]],16,0)=0,"-",VLOOKUP(B627,Baza[[№]:[Profit]],16,0)),"")</f>
        <v/>
      </c>
      <c r="S627" s="43" t="str">
        <f>IFERROR(IF(VLOOKUP(B627,Baza[[№]:[Profit]],17,0)=0,"-",VLOOKUP(B627,Baza[[№]:[Profit]],17,0)),"")</f>
        <v/>
      </c>
      <c r="T627" s="43" t="str">
        <f>IFERROR(IF(VLOOKUP(B627,Baza[[№]:[Profit]],18,0)=0,"-",VLOOKUP(B627,Baza[[№]:[Profit]],18,0)),"")</f>
        <v/>
      </c>
      <c r="U627" s="41" t="str">
        <f>IFERROR(IF(VLOOKUP(B627,Baza[[№]:[Profit]],19,0)=0,"-",VLOOKUP(B627,Baza[[№]:[Profit]],19,0)),"")</f>
        <v/>
      </c>
      <c r="V627" s="41" t="str">
        <f>IFERROR(VLOOKUP(B627,Baza[[№]:[Profit]],20,0),"")</f>
        <v/>
      </c>
      <c r="W627" s="41" t="str">
        <f>IFERROR(IF(VLOOKUP(B627,Baza[[№]:[Profit]],21,0)=0,"-",VLOOKUP(B627,Baza[[№]:[Profit]],21,0)),"")</f>
        <v/>
      </c>
      <c r="X627" s="45" t="str">
        <f>IFERROR(IF(VLOOKUP(B627,Baza[[№]:[Profit]],22,0)=0,"-",VLOOKUP(B627,Baza[[№]:[Profit]],22,0)),"")</f>
        <v/>
      </c>
      <c r="Y627" s="45" t="str">
        <f>IFERROR(VLOOKUP(B627,Baza[[№]:[Profit]],23,0),"")</f>
        <v/>
      </c>
      <c r="Z627" s="44" t="str">
        <f>IFERROR(VLOOKUP(B627,Baza[[№]:[AFS]],24,0),"")</f>
        <v/>
      </c>
      <c r="AA627" s="45" t="str">
        <f>IF(Таблица2[[#This Row],[Profit]]="","#Н/Д",SUM($Y$40:Y627))</f>
        <v>#Н/Д</v>
      </c>
      <c r="AB627" s="45" t="b">
        <f>IF(Таблица2[[#This Row],[Grafik]]="#Н/Д",FALSE,TRUE)</f>
        <v>0</v>
      </c>
    </row>
    <row r="628" spans="2:28" ht="11.1" hidden="1" customHeight="1" x14ac:dyDescent="0.25">
      <c r="B628"/>
      <c r="C628" s="41" t="str">
        <f>IFERROR(VLOOKUP(B628,Baza[[№]:[Profit]],2,0),"")</f>
        <v/>
      </c>
      <c r="D62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2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28" s="43" t="str">
        <f>IFERROR(VLOOKUP(B628,Baza[[№]:[Profit]],3,0),"")</f>
        <v/>
      </c>
      <c r="G628" s="43" t="str">
        <f>IFERROR(VLOOKUP(B628,Baza[[№]:[Profit]],4,0),"")</f>
        <v/>
      </c>
      <c r="H628" s="43" t="str">
        <f>IFERROR(VLOOKUP(B628,Baza[[№]:[Profit]],5,0),"")</f>
        <v/>
      </c>
      <c r="I628" s="46" t="str">
        <f>IFERROR(VLOOKUP(B628,Baza[[№]:[Profit]],6,0),"")</f>
        <v/>
      </c>
      <c r="J628" s="49" t="str">
        <f>IFERROR(VLOOKUP(B628,Baza[[№]:[Profit]],7,0),"")</f>
        <v/>
      </c>
      <c r="K628" s="43" t="str">
        <f>IFERROR(VLOOKUP(B628,Baza[[№]:[Profit]],8,0),"")</f>
        <v/>
      </c>
      <c r="L628" s="43" t="str">
        <f>IFERROR(VLOOKUP(B628,Baza[[№]:[Profit]],9,0),"")</f>
        <v/>
      </c>
      <c r="M628" s="43" t="str">
        <f>IFERROR(VLOOKUP(B628,Baza[[№]:[Profit]],10,0),"")</f>
        <v/>
      </c>
      <c r="N628" s="43" t="str">
        <f>IFERROR(IF(VLOOKUP(B628,Baza[[№]:[Profit]],11,0)=0,"-",VLOOKUP(B628,Baza[[№]:[Profit]],11,0)),"")</f>
        <v/>
      </c>
      <c r="O628" s="43" t="str">
        <f>IFERROR(IF(VLOOKUP(B628,Baza[[№]:[Profit]],12,0)=0,"-",VLOOKUP(B628,Baza[[№]:[Profit]],12,0)),"")</f>
        <v/>
      </c>
      <c r="P628" s="43" t="str">
        <f>IFERROR(IF(VLOOKUP(B628,Baza[[№]:[Profit]],13,0)=0,"-",VLOOKUP(B628,Baza[[№]:[Profit]],13,0)),"")</f>
        <v/>
      </c>
      <c r="Q628" s="43" t="str">
        <f>IFERROR(IF(VLOOKUP(B628,Baza[[№]:[Profit]],15,0)=0,"-",VLOOKUP(B628,Baza[[№]:[Profit]],15,0)),"")</f>
        <v/>
      </c>
      <c r="R628" s="43" t="str">
        <f>IFERROR(IF(VLOOKUP(B628,Baza[[№]:[Profit]],16,0)=0,"-",VLOOKUP(B628,Baza[[№]:[Profit]],16,0)),"")</f>
        <v/>
      </c>
      <c r="S628" s="43" t="str">
        <f>IFERROR(IF(VLOOKUP(B628,Baza[[№]:[Profit]],17,0)=0,"-",VLOOKUP(B628,Baza[[№]:[Profit]],17,0)),"")</f>
        <v/>
      </c>
      <c r="T628" s="43" t="str">
        <f>IFERROR(IF(VLOOKUP(B628,Baza[[№]:[Profit]],18,0)=0,"-",VLOOKUP(B628,Baza[[№]:[Profit]],18,0)),"")</f>
        <v/>
      </c>
      <c r="U628" s="41" t="str">
        <f>IFERROR(IF(VLOOKUP(B628,Baza[[№]:[Profit]],19,0)=0,"-",VLOOKUP(B628,Baza[[№]:[Profit]],19,0)),"")</f>
        <v/>
      </c>
      <c r="V628" s="41" t="str">
        <f>IFERROR(VLOOKUP(B628,Baza[[№]:[Profit]],20,0),"")</f>
        <v/>
      </c>
      <c r="W628" s="41" t="str">
        <f>IFERROR(IF(VLOOKUP(B628,Baza[[№]:[Profit]],21,0)=0,"-",VLOOKUP(B628,Baza[[№]:[Profit]],21,0)),"")</f>
        <v/>
      </c>
      <c r="X628" s="45" t="str">
        <f>IFERROR(IF(VLOOKUP(B628,Baza[[№]:[Profit]],22,0)=0,"-",VLOOKUP(B628,Baza[[№]:[Profit]],22,0)),"")</f>
        <v/>
      </c>
      <c r="Y628" s="45" t="str">
        <f>IFERROR(VLOOKUP(B628,Baza[[№]:[Profit]],23,0),"")</f>
        <v/>
      </c>
      <c r="Z628" s="44" t="str">
        <f>IFERROR(VLOOKUP(B628,Baza[[№]:[AFS]],24,0),"")</f>
        <v/>
      </c>
      <c r="AA628" s="45" t="str">
        <f>IF(Таблица2[[#This Row],[Profit]]="","#Н/Д",SUM($Y$40:Y628))</f>
        <v>#Н/Д</v>
      </c>
      <c r="AB628" s="45" t="b">
        <f>IF(Таблица2[[#This Row],[Grafik]]="#Н/Д",FALSE,TRUE)</f>
        <v>0</v>
      </c>
    </row>
    <row r="629" spans="2:28" ht="11.1" hidden="1" customHeight="1" x14ac:dyDescent="0.25">
      <c r="B629"/>
      <c r="C629" s="41" t="str">
        <f>IFERROR(VLOOKUP(B629,Baza[[№]:[Profit]],2,0),"")</f>
        <v/>
      </c>
      <c r="D62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2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29" s="43" t="str">
        <f>IFERROR(VLOOKUP(B629,Baza[[№]:[Profit]],3,0),"")</f>
        <v/>
      </c>
      <c r="G629" s="43" t="str">
        <f>IFERROR(VLOOKUP(B629,Baza[[№]:[Profit]],4,0),"")</f>
        <v/>
      </c>
      <c r="H629" s="43" t="str">
        <f>IFERROR(VLOOKUP(B629,Baza[[№]:[Profit]],5,0),"")</f>
        <v/>
      </c>
      <c r="I629" s="46" t="str">
        <f>IFERROR(VLOOKUP(B629,Baza[[№]:[Profit]],6,0),"")</f>
        <v/>
      </c>
      <c r="J629" s="49" t="str">
        <f>IFERROR(VLOOKUP(B629,Baza[[№]:[Profit]],7,0),"")</f>
        <v/>
      </c>
      <c r="K629" s="43" t="str">
        <f>IFERROR(VLOOKUP(B629,Baza[[№]:[Profit]],8,0),"")</f>
        <v/>
      </c>
      <c r="L629" s="43" t="str">
        <f>IFERROR(VLOOKUP(B629,Baza[[№]:[Profit]],9,0),"")</f>
        <v/>
      </c>
      <c r="M629" s="43" t="str">
        <f>IFERROR(VLOOKUP(B629,Baza[[№]:[Profit]],10,0),"")</f>
        <v/>
      </c>
      <c r="N629" s="43" t="str">
        <f>IFERROR(IF(VLOOKUP(B629,Baza[[№]:[Profit]],11,0)=0,"-",VLOOKUP(B629,Baza[[№]:[Profit]],11,0)),"")</f>
        <v/>
      </c>
      <c r="O629" s="43" t="str">
        <f>IFERROR(IF(VLOOKUP(B629,Baza[[№]:[Profit]],12,0)=0,"-",VLOOKUP(B629,Baza[[№]:[Profit]],12,0)),"")</f>
        <v/>
      </c>
      <c r="P629" s="43" t="str">
        <f>IFERROR(IF(VLOOKUP(B629,Baza[[№]:[Profit]],13,0)=0,"-",VLOOKUP(B629,Baza[[№]:[Profit]],13,0)),"")</f>
        <v/>
      </c>
      <c r="Q629" s="43" t="str">
        <f>IFERROR(IF(VLOOKUP(B629,Baza[[№]:[Profit]],15,0)=0,"-",VLOOKUP(B629,Baza[[№]:[Profit]],15,0)),"")</f>
        <v/>
      </c>
      <c r="R629" s="43" t="str">
        <f>IFERROR(IF(VLOOKUP(B629,Baza[[№]:[Profit]],16,0)=0,"-",VLOOKUP(B629,Baza[[№]:[Profit]],16,0)),"")</f>
        <v/>
      </c>
      <c r="S629" s="43" t="str">
        <f>IFERROR(IF(VLOOKUP(B629,Baza[[№]:[Profit]],17,0)=0,"-",VLOOKUP(B629,Baza[[№]:[Profit]],17,0)),"")</f>
        <v/>
      </c>
      <c r="T629" s="43" t="str">
        <f>IFERROR(IF(VLOOKUP(B629,Baza[[№]:[Profit]],18,0)=0,"-",VLOOKUP(B629,Baza[[№]:[Profit]],18,0)),"")</f>
        <v/>
      </c>
      <c r="U629" s="41" t="str">
        <f>IFERROR(IF(VLOOKUP(B629,Baza[[№]:[Profit]],19,0)=0,"-",VLOOKUP(B629,Baza[[№]:[Profit]],19,0)),"")</f>
        <v/>
      </c>
      <c r="V629" s="41" t="str">
        <f>IFERROR(VLOOKUP(B629,Baza[[№]:[Profit]],20,0),"")</f>
        <v/>
      </c>
      <c r="W629" s="41" t="str">
        <f>IFERROR(IF(VLOOKUP(B629,Baza[[№]:[Profit]],21,0)=0,"-",VLOOKUP(B629,Baza[[№]:[Profit]],21,0)),"")</f>
        <v/>
      </c>
      <c r="X629" s="45" t="str">
        <f>IFERROR(IF(VLOOKUP(B629,Baza[[№]:[Profit]],22,0)=0,"-",VLOOKUP(B629,Baza[[№]:[Profit]],22,0)),"")</f>
        <v/>
      </c>
      <c r="Y629" s="45" t="str">
        <f>IFERROR(VLOOKUP(B629,Baza[[№]:[Profit]],23,0),"")</f>
        <v/>
      </c>
      <c r="Z629" s="44" t="str">
        <f>IFERROR(VLOOKUP(B629,Baza[[№]:[AFS]],24,0),"")</f>
        <v/>
      </c>
      <c r="AA629" s="45" t="str">
        <f>IF(Таблица2[[#This Row],[Profit]]="","#Н/Д",SUM($Y$40:Y629))</f>
        <v>#Н/Д</v>
      </c>
      <c r="AB629" s="45" t="b">
        <f>IF(Таблица2[[#This Row],[Grafik]]="#Н/Д",FALSE,TRUE)</f>
        <v>0</v>
      </c>
    </row>
    <row r="630" spans="2:28" ht="11.1" hidden="1" customHeight="1" x14ac:dyDescent="0.25">
      <c r="B630"/>
      <c r="C630" s="41" t="str">
        <f>IFERROR(VLOOKUP(B630,Baza[[№]:[Profit]],2,0),"")</f>
        <v/>
      </c>
      <c r="D63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3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30" s="43" t="str">
        <f>IFERROR(VLOOKUP(B630,Baza[[№]:[Profit]],3,0),"")</f>
        <v/>
      </c>
      <c r="G630" s="43" t="str">
        <f>IFERROR(VLOOKUP(B630,Baza[[№]:[Profit]],4,0),"")</f>
        <v/>
      </c>
      <c r="H630" s="43" t="str">
        <f>IFERROR(VLOOKUP(B630,Baza[[№]:[Profit]],5,0),"")</f>
        <v/>
      </c>
      <c r="I630" s="46" t="str">
        <f>IFERROR(VLOOKUP(B630,Baza[[№]:[Profit]],6,0),"")</f>
        <v/>
      </c>
      <c r="J630" s="49" t="str">
        <f>IFERROR(VLOOKUP(B630,Baza[[№]:[Profit]],7,0),"")</f>
        <v/>
      </c>
      <c r="K630" s="43" t="str">
        <f>IFERROR(VLOOKUP(B630,Baza[[№]:[Profit]],8,0),"")</f>
        <v/>
      </c>
      <c r="L630" s="43" t="str">
        <f>IFERROR(VLOOKUP(B630,Baza[[№]:[Profit]],9,0),"")</f>
        <v/>
      </c>
      <c r="M630" s="43" t="str">
        <f>IFERROR(VLOOKUP(B630,Baza[[№]:[Profit]],10,0),"")</f>
        <v/>
      </c>
      <c r="N630" s="43" t="str">
        <f>IFERROR(IF(VLOOKUP(B630,Baza[[№]:[Profit]],11,0)=0,"-",VLOOKUP(B630,Baza[[№]:[Profit]],11,0)),"")</f>
        <v/>
      </c>
      <c r="O630" s="43" t="str">
        <f>IFERROR(IF(VLOOKUP(B630,Baza[[№]:[Profit]],12,0)=0,"-",VLOOKUP(B630,Baza[[№]:[Profit]],12,0)),"")</f>
        <v/>
      </c>
      <c r="P630" s="43" t="str">
        <f>IFERROR(IF(VLOOKUP(B630,Baza[[№]:[Profit]],13,0)=0,"-",VLOOKUP(B630,Baza[[№]:[Profit]],13,0)),"")</f>
        <v/>
      </c>
      <c r="Q630" s="43" t="str">
        <f>IFERROR(IF(VLOOKUP(B630,Baza[[№]:[Profit]],15,0)=0,"-",VLOOKUP(B630,Baza[[№]:[Profit]],15,0)),"")</f>
        <v/>
      </c>
      <c r="R630" s="43" t="str">
        <f>IFERROR(IF(VLOOKUP(B630,Baza[[№]:[Profit]],16,0)=0,"-",VLOOKUP(B630,Baza[[№]:[Profit]],16,0)),"")</f>
        <v/>
      </c>
      <c r="S630" s="43" t="str">
        <f>IFERROR(IF(VLOOKUP(B630,Baza[[№]:[Profit]],17,0)=0,"-",VLOOKUP(B630,Baza[[№]:[Profit]],17,0)),"")</f>
        <v/>
      </c>
      <c r="T630" s="43" t="str">
        <f>IFERROR(IF(VLOOKUP(B630,Baza[[№]:[Profit]],18,0)=0,"-",VLOOKUP(B630,Baza[[№]:[Profit]],18,0)),"")</f>
        <v/>
      </c>
      <c r="U630" s="41" t="str">
        <f>IFERROR(IF(VLOOKUP(B630,Baza[[№]:[Profit]],19,0)=0,"-",VLOOKUP(B630,Baza[[№]:[Profit]],19,0)),"")</f>
        <v/>
      </c>
      <c r="V630" s="41" t="str">
        <f>IFERROR(VLOOKUP(B630,Baza[[№]:[Profit]],20,0),"")</f>
        <v/>
      </c>
      <c r="W630" s="41" t="str">
        <f>IFERROR(IF(VLOOKUP(B630,Baza[[№]:[Profit]],21,0)=0,"-",VLOOKUP(B630,Baza[[№]:[Profit]],21,0)),"")</f>
        <v/>
      </c>
      <c r="X630" s="45" t="str">
        <f>IFERROR(IF(VLOOKUP(B630,Baza[[№]:[Profit]],22,0)=0,"-",VLOOKUP(B630,Baza[[№]:[Profit]],22,0)),"")</f>
        <v/>
      </c>
      <c r="Y630" s="45" t="str">
        <f>IFERROR(VLOOKUP(B630,Baza[[№]:[Profit]],23,0),"")</f>
        <v/>
      </c>
      <c r="Z630" s="44" t="str">
        <f>IFERROR(VLOOKUP(B630,Baza[[№]:[AFS]],24,0),"")</f>
        <v/>
      </c>
      <c r="AA630" s="45" t="str">
        <f>IF(Таблица2[[#This Row],[Profit]]="","#Н/Д",SUM($Y$40:Y630))</f>
        <v>#Н/Д</v>
      </c>
      <c r="AB630" s="45" t="b">
        <f>IF(Таблица2[[#This Row],[Grafik]]="#Н/Д",FALSE,TRUE)</f>
        <v>0</v>
      </c>
    </row>
    <row r="631" spans="2:28" ht="11.1" hidden="1" customHeight="1" x14ac:dyDescent="0.25">
      <c r="B631"/>
      <c r="C631" s="41" t="str">
        <f>IFERROR(VLOOKUP(B631,Baza[[№]:[Profit]],2,0),"")</f>
        <v/>
      </c>
      <c r="D63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3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31" s="43" t="str">
        <f>IFERROR(VLOOKUP(B631,Baza[[№]:[Profit]],3,0),"")</f>
        <v/>
      </c>
      <c r="G631" s="43" t="str">
        <f>IFERROR(VLOOKUP(B631,Baza[[№]:[Profit]],4,0),"")</f>
        <v/>
      </c>
      <c r="H631" s="43" t="str">
        <f>IFERROR(VLOOKUP(B631,Baza[[№]:[Profit]],5,0),"")</f>
        <v/>
      </c>
      <c r="I631" s="46" t="str">
        <f>IFERROR(VLOOKUP(B631,Baza[[№]:[Profit]],6,0),"")</f>
        <v/>
      </c>
      <c r="J631" s="49" t="str">
        <f>IFERROR(VLOOKUP(B631,Baza[[№]:[Profit]],7,0),"")</f>
        <v/>
      </c>
      <c r="K631" s="43" t="str">
        <f>IFERROR(VLOOKUP(B631,Baza[[№]:[Profit]],8,0),"")</f>
        <v/>
      </c>
      <c r="L631" s="43" t="str">
        <f>IFERROR(VLOOKUP(B631,Baza[[№]:[Profit]],9,0),"")</f>
        <v/>
      </c>
      <c r="M631" s="43" t="str">
        <f>IFERROR(VLOOKUP(B631,Baza[[№]:[Profit]],10,0),"")</f>
        <v/>
      </c>
      <c r="N631" s="43" t="str">
        <f>IFERROR(IF(VLOOKUP(B631,Baza[[№]:[Profit]],11,0)=0,"-",VLOOKUP(B631,Baza[[№]:[Profit]],11,0)),"")</f>
        <v/>
      </c>
      <c r="O631" s="43" t="str">
        <f>IFERROR(IF(VLOOKUP(B631,Baza[[№]:[Profit]],12,0)=0,"-",VLOOKUP(B631,Baza[[№]:[Profit]],12,0)),"")</f>
        <v/>
      </c>
      <c r="P631" s="43" t="str">
        <f>IFERROR(IF(VLOOKUP(B631,Baza[[№]:[Profit]],13,0)=0,"-",VLOOKUP(B631,Baza[[№]:[Profit]],13,0)),"")</f>
        <v/>
      </c>
      <c r="Q631" s="43" t="str">
        <f>IFERROR(IF(VLOOKUP(B631,Baza[[№]:[Profit]],15,0)=0,"-",VLOOKUP(B631,Baza[[№]:[Profit]],15,0)),"")</f>
        <v/>
      </c>
      <c r="R631" s="43" t="str">
        <f>IFERROR(IF(VLOOKUP(B631,Baza[[№]:[Profit]],16,0)=0,"-",VLOOKUP(B631,Baza[[№]:[Profit]],16,0)),"")</f>
        <v/>
      </c>
      <c r="S631" s="43" t="str">
        <f>IFERROR(IF(VLOOKUP(B631,Baza[[№]:[Profit]],17,0)=0,"-",VLOOKUP(B631,Baza[[№]:[Profit]],17,0)),"")</f>
        <v/>
      </c>
      <c r="T631" s="43" t="str">
        <f>IFERROR(IF(VLOOKUP(B631,Baza[[№]:[Profit]],18,0)=0,"-",VLOOKUP(B631,Baza[[№]:[Profit]],18,0)),"")</f>
        <v/>
      </c>
      <c r="U631" s="41" t="str">
        <f>IFERROR(IF(VLOOKUP(B631,Baza[[№]:[Profit]],19,0)=0,"-",VLOOKUP(B631,Baza[[№]:[Profit]],19,0)),"")</f>
        <v/>
      </c>
      <c r="V631" s="41" t="str">
        <f>IFERROR(VLOOKUP(B631,Baza[[№]:[Profit]],20,0),"")</f>
        <v/>
      </c>
      <c r="W631" s="41" t="str">
        <f>IFERROR(IF(VLOOKUP(B631,Baza[[№]:[Profit]],21,0)=0,"-",VLOOKUP(B631,Baza[[№]:[Profit]],21,0)),"")</f>
        <v/>
      </c>
      <c r="X631" s="45" t="str">
        <f>IFERROR(IF(VLOOKUP(B631,Baza[[№]:[Profit]],22,0)=0,"-",VLOOKUP(B631,Baza[[№]:[Profit]],22,0)),"")</f>
        <v/>
      </c>
      <c r="Y631" s="45" t="str">
        <f>IFERROR(VLOOKUP(B631,Baza[[№]:[Profit]],23,0),"")</f>
        <v/>
      </c>
      <c r="Z631" s="44" t="str">
        <f>IFERROR(VLOOKUP(B631,Baza[[№]:[AFS]],24,0),"")</f>
        <v/>
      </c>
      <c r="AA631" s="45" t="str">
        <f>IF(Таблица2[[#This Row],[Profit]]="","#Н/Д",SUM($Y$40:Y631))</f>
        <v>#Н/Д</v>
      </c>
      <c r="AB631" s="45" t="b">
        <f>IF(Таблица2[[#This Row],[Grafik]]="#Н/Д",FALSE,TRUE)</f>
        <v>0</v>
      </c>
    </row>
    <row r="632" spans="2:28" ht="11.1" hidden="1" customHeight="1" x14ac:dyDescent="0.25">
      <c r="B632"/>
      <c r="C632" s="41" t="str">
        <f>IFERROR(VLOOKUP(B632,Baza[[№]:[Profit]],2,0),"")</f>
        <v/>
      </c>
      <c r="D63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3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32" s="43" t="str">
        <f>IFERROR(VLOOKUP(B632,Baza[[№]:[Profit]],3,0),"")</f>
        <v/>
      </c>
      <c r="G632" s="43" t="str">
        <f>IFERROR(VLOOKUP(B632,Baza[[№]:[Profit]],4,0),"")</f>
        <v/>
      </c>
      <c r="H632" s="43" t="str">
        <f>IFERROR(VLOOKUP(B632,Baza[[№]:[Profit]],5,0),"")</f>
        <v/>
      </c>
      <c r="I632" s="46" t="str">
        <f>IFERROR(VLOOKUP(B632,Baza[[№]:[Profit]],6,0),"")</f>
        <v/>
      </c>
      <c r="J632" s="49" t="str">
        <f>IFERROR(VLOOKUP(B632,Baza[[№]:[Profit]],7,0),"")</f>
        <v/>
      </c>
      <c r="K632" s="43" t="str">
        <f>IFERROR(VLOOKUP(B632,Baza[[№]:[Profit]],8,0),"")</f>
        <v/>
      </c>
      <c r="L632" s="43" t="str">
        <f>IFERROR(VLOOKUP(B632,Baza[[№]:[Profit]],9,0),"")</f>
        <v/>
      </c>
      <c r="M632" s="43" t="str">
        <f>IFERROR(VLOOKUP(B632,Baza[[№]:[Profit]],10,0),"")</f>
        <v/>
      </c>
      <c r="N632" s="43" t="str">
        <f>IFERROR(IF(VLOOKUP(B632,Baza[[№]:[Profit]],11,0)=0,"-",VLOOKUP(B632,Baza[[№]:[Profit]],11,0)),"")</f>
        <v/>
      </c>
      <c r="O632" s="43" t="str">
        <f>IFERROR(IF(VLOOKUP(B632,Baza[[№]:[Profit]],12,0)=0,"-",VLOOKUP(B632,Baza[[№]:[Profit]],12,0)),"")</f>
        <v/>
      </c>
      <c r="P632" s="43" t="str">
        <f>IFERROR(IF(VLOOKUP(B632,Baza[[№]:[Profit]],13,0)=0,"-",VLOOKUP(B632,Baza[[№]:[Profit]],13,0)),"")</f>
        <v/>
      </c>
      <c r="Q632" s="43" t="str">
        <f>IFERROR(IF(VLOOKUP(B632,Baza[[№]:[Profit]],15,0)=0,"-",VLOOKUP(B632,Baza[[№]:[Profit]],15,0)),"")</f>
        <v/>
      </c>
      <c r="R632" s="43" t="str">
        <f>IFERROR(IF(VLOOKUP(B632,Baza[[№]:[Profit]],16,0)=0,"-",VLOOKUP(B632,Baza[[№]:[Profit]],16,0)),"")</f>
        <v/>
      </c>
      <c r="S632" s="43" t="str">
        <f>IFERROR(IF(VLOOKUP(B632,Baza[[№]:[Profit]],17,0)=0,"-",VLOOKUP(B632,Baza[[№]:[Profit]],17,0)),"")</f>
        <v/>
      </c>
      <c r="T632" s="43" t="str">
        <f>IFERROR(IF(VLOOKUP(B632,Baza[[№]:[Profit]],18,0)=0,"-",VLOOKUP(B632,Baza[[№]:[Profit]],18,0)),"")</f>
        <v/>
      </c>
      <c r="U632" s="41" t="str">
        <f>IFERROR(IF(VLOOKUP(B632,Baza[[№]:[Profit]],19,0)=0,"-",VLOOKUP(B632,Baza[[№]:[Profit]],19,0)),"")</f>
        <v/>
      </c>
      <c r="V632" s="41" t="str">
        <f>IFERROR(VLOOKUP(B632,Baza[[№]:[Profit]],20,0),"")</f>
        <v/>
      </c>
      <c r="W632" s="41" t="str">
        <f>IFERROR(IF(VLOOKUP(B632,Baza[[№]:[Profit]],21,0)=0,"-",VLOOKUP(B632,Baza[[№]:[Profit]],21,0)),"")</f>
        <v/>
      </c>
      <c r="X632" s="45" t="str">
        <f>IFERROR(IF(VLOOKUP(B632,Baza[[№]:[Profit]],22,0)=0,"-",VLOOKUP(B632,Baza[[№]:[Profit]],22,0)),"")</f>
        <v/>
      </c>
      <c r="Y632" s="45" t="str">
        <f>IFERROR(VLOOKUP(B632,Baza[[№]:[Profit]],23,0),"")</f>
        <v/>
      </c>
      <c r="Z632" s="44" t="str">
        <f>IFERROR(VLOOKUP(B632,Baza[[№]:[AFS]],24,0),"")</f>
        <v/>
      </c>
      <c r="AA632" s="45" t="str">
        <f>IF(Таблица2[[#This Row],[Profit]]="","#Н/Д",SUM($Y$40:Y632))</f>
        <v>#Н/Д</v>
      </c>
      <c r="AB632" s="45" t="b">
        <f>IF(Таблица2[[#This Row],[Grafik]]="#Н/Д",FALSE,TRUE)</f>
        <v>0</v>
      </c>
    </row>
    <row r="633" spans="2:28" ht="11.1" hidden="1" customHeight="1" x14ac:dyDescent="0.25">
      <c r="B633"/>
      <c r="C633" s="41" t="str">
        <f>IFERROR(VLOOKUP(B633,Baza[[№]:[Profit]],2,0),"")</f>
        <v/>
      </c>
      <c r="D63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3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33" s="43" t="str">
        <f>IFERROR(VLOOKUP(B633,Baza[[№]:[Profit]],3,0),"")</f>
        <v/>
      </c>
      <c r="G633" s="43" t="str">
        <f>IFERROR(VLOOKUP(B633,Baza[[№]:[Profit]],4,0),"")</f>
        <v/>
      </c>
      <c r="H633" s="43" t="str">
        <f>IFERROR(VLOOKUP(B633,Baza[[№]:[Profit]],5,0),"")</f>
        <v/>
      </c>
      <c r="I633" s="46" t="str">
        <f>IFERROR(VLOOKUP(B633,Baza[[№]:[Profit]],6,0),"")</f>
        <v/>
      </c>
      <c r="J633" s="49" t="str">
        <f>IFERROR(VLOOKUP(B633,Baza[[№]:[Profit]],7,0),"")</f>
        <v/>
      </c>
      <c r="K633" s="43" t="str">
        <f>IFERROR(VLOOKUP(B633,Baza[[№]:[Profit]],8,0),"")</f>
        <v/>
      </c>
      <c r="L633" s="43" t="str">
        <f>IFERROR(VLOOKUP(B633,Baza[[№]:[Profit]],9,0),"")</f>
        <v/>
      </c>
      <c r="M633" s="43" t="str">
        <f>IFERROR(VLOOKUP(B633,Baza[[№]:[Profit]],10,0),"")</f>
        <v/>
      </c>
      <c r="N633" s="43" t="str">
        <f>IFERROR(IF(VLOOKUP(B633,Baza[[№]:[Profit]],11,0)=0,"-",VLOOKUP(B633,Baza[[№]:[Profit]],11,0)),"")</f>
        <v/>
      </c>
      <c r="O633" s="43" t="str">
        <f>IFERROR(IF(VLOOKUP(B633,Baza[[№]:[Profit]],12,0)=0,"-",VLOOKUP(B633,Baza[[№]:[Profit]],12,0)),"")</f>
        <v/>
      </c>
      <c r="P633" s="43" t="str">
        <f>IFERROR(IF(VLOOKUP(B633,Baza[[№]:[Profit]],13,0)=0,"-",VLOOKUP(B633,Baza[[№]:[Profit]],13,0)),"")</f>
        <v/>
      </c>
      <c r="Q633" s="43" t="str">
        <f>IFERROR(IF(VLOOKUP(B633,Baza[[№]:[Profit]],15,0)=0,"-",VLOOKUP(B633,Baza[[№]:[Profit]],15,0)),"")</f>
        <v/>
      </c>
      <c r="R633" s="43" t="str">
        <f>IFERROR(IF(VLOOKUP(B633,Baza[[№]:[Profit]],16,0)=0,"-",VLOOKUP(B633,Baza[[№]:[Profit]],16,0)),"")</f>
        <v/>
      </c>
      <c r="S633" s="43" t="str">
        <f>IFERROR(IF(VLOOKUP(B633,Baza[[№]:[Profit]],17,0)=0,"-",VLOOKUP(B633,Baza[[№]:[Profit]],17,0)),"")</f>
        <v/>
      </c>
      <c r="T633" s="43" t="str">
        <f>IFERROR(IF(VLOOKUP(B633,Baza[[№]:[Profit]],18,0)=0,"-",VLOOKUP(B633,Baza[[№]:[Profit]],18,0)),"")</f>
        <v/>
      </c>
      <c r="U633" s="41" t="str">
        <f>IFERROR(IF(VLOOKUP(B633,Baza[[№]:[Profit]],19,0)=0,"-",VLOOKUP(B633,Baza[[№]:[Profit]],19,0)),"")</f>
        <v/>
      </c>
      <c r="V633" s="41" t="str">
        <f>IFERROR(VLOOKUP(B633,Baza[[№]:[Profit]],20,0),"")</f>
        <v/>
      </c>
      <c r="W633" s="41" t="str">
        <f>IFERROR(IF(VLOOKUP(B633,Baza[[№]:[Profit]],21,0)=0,"-",VLOOKUP(B633,Baza[[№]:[Profit]],21,0)),"")</f>
        <v/>
      </c>
      <c r="X633" s="45" t="str">
        <f>IFERROR(IF(VLOOKUP(B633,Baza[[№]:[Profit]],22,0)=0,"-",VLOOKUP(B633,Baza[[№]:[Profit]],22,0)),"")</f>
        <v/>
      </c>
      <c r="Y633" s="45" t="str">
        <f>IFERROR(VLOOKUP(B633,Baza[[№]:[Profit]],23,0),"")</f>
        <v/>
      </c>
      <c r="Z633" s="44" t="str">
        <f>IFERROR(VLOOKUP(B633,Baza[[№]:[AFS]],24,0),"")</f>
        <v/>
      </c>
      <c r="AA633" s="45" t="str">
        <f>IF(Таблица2[[#This Row],[Profit]]="","#Н/Д",SUM($Y$40:Y633))</f>
        <v>#Н/Д</v>
      </c>
      <c r="AB633" s="45" t="b">
        <f>IF(Таблица2[[#This Row],[Grafik]]="#Н/Д",FALSE,TRUE)</f>
        <v>0</v>
      </c>
    </row>
    <row r="634" spans="2:28" ht="11.1" hidden="1" customHeight="1" x14ac:dyDescent="0.25">
      <c r="B634"/>
      <c r="C634" s="41" t="str">
        <f>IFERROR(VLOOKUP(B634,Baza[[№]:[Profit]],2,0),"")</f>
        <v/>
      </c>
      <c r="D63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3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34" s="43" t="str">
        <f>IFERROR(VLOOKUP(B634,Baza[[№]:[Profit]],3,0),"")</f>
        <v/>
      </c>
      <c r="G634" s="43" t="str">
        <f>IFERROR(VLOOKUP(B634,Baza[[№]:[Profit]],4,0),"")</f>
        <v/>
      </c>
      <c r="H634" s="43" t="str">
        <f>IFERROR(VLOOKUP(B634,Baza[[№]:[Profit]],5,0),"")</f>
        <v/>
      </c>
      <c r="I634" s="46" t="str">
        <f>IFERROR(VLOOKUP(B634,Baza[[№]:[Profit]],6,0),"")</f>
        <v/>
      </c>
      <c r="J634" s="49" t="str">
        <f>IFERROR(VLOOKUP(B634,Baza[[№]:[Profit]],7,0),"")</f>
        <v/>
      </c>
      <c r="K634" s="43" t="str">
        <f>IFERROR(VLOOKUP(B634,Baza[[№]:[Profit]],8,0),"")</f>
        <v/>
      </c>
      <c r="L634" s="43" t="str">
        <f>IFERROR(VLOOKUP(B634,Baza[[№]:[Profit]],9,0),"")</f>
        <v/>
      </c>
      <c r="M634" s="43" t="str">
        <f>IFERROR(VLOOKUP(B634,Baza[[№]:[Profit]],10,0),"")</f>
        <v/>
      </c>
      <c r="N634" s="43" t="str">
        <f>IFERROR(IF(VLOOKUP(B634,Baza[[№]:[Profit]],11,0)=0,"-",VLOOKUP(B634,Baza[[№]:[Profit]],11,0)),"")</f>
        <v/>
      </c>
      <c r="O634" s="43" t="str">
        <f>IFERROR(IF(VLOOKUP(B634,Baza[[№]:[Profit]],12,0)=0,"-",VLOOKUP(B634,Baza[[№]:[Profit]],12,0)),"")</f>
        <v/>
      </c>
      <c r="P634" s="43" t="str">
        <f>IFERROR(IF(VLOOKUP(B634,Baza[[№]:[Profit]],13,0)=0,"-",VLOOKUP(B634,Baza[[№]:[Profit]],13,0)),"")</f>
        <v/>
      </c>
      <c r="Q634" s="43" t="str">
        <f>IFERROR(IF(VLOOKUP(B634,Baza[[№]:[Profit]],15,0)=0,"-",VLOOKUP(B634,Baza[[№]:[Profit]],15,0)),"")</f>
        <v/>
      </c>
      <c r="R634" s="43" t="str">
        <f>IFERROR(IF(VLOOKUP(B634,Baza[[№]:[Profit]],16,0)=0,"-",VLOOKUP(B634,Baza[[№]:[Profit]],16,0)),"")</f>
        <v/>
      </c>
      <c r="S634" s="43" t="str">
        <f>IFERROR(IF(VLOOKUP(B634,Baza[[№]:[Profit]],17,0)=0,"-",VLOOKUP(B634,Baza[[№]:[Profit]],17,0)),"")</f>
        <v/>
      </c>
      <c r="T634" s="43" t="str">
        <f>IFERROR(IF(VLOOKUP(B634,Baza[[№]:[Profit]],18,0)=0,"-",VLOOKUP(B634,Baza[[№]:[Profit]],18,0)),"")</f>
        <v/>
      </c>
      <c r="U634" s="41" t="str">
        <f>IFERROR(IF(VLOOKUP(B634,Baza[[№]:[Profit]],19,0)=0,"-",VLOOKUP(B634,Baza[[№]:[Profit]],19,0)),"")</f>
        <v/>
      </c>
      <c r="V634" s="41" t="str">
        <f>IFERROR(VLOOKUP(B634,Baza[[№]:[Profit]],20,0),"")</f>
        <v/>
      </c>
      <c r="W634" s="41" t="str">
        <f>IFERROR(IF(VLOOKUP(B634,Baza[[№]:[Profit]],21,0)=0,"-",VLOOKUP(B634,Baza[[№]:[Profit]],21,0)),"")</f>
        <v/>
      </c>
      <c r="X634" s="45" t="str">
        <f>IFERROR(IF(VLOOKUP(B634,Baza[[№]:[Profit]],22,0)=0,"-",VLOOKUP(B634,Baza[[№]:[Profit]],22,0)),"")</f>
        <v/>
      </c>
      <c r="Y634" s="45" t="str">
        <f>IFERROR(VLOOKUP(B634,Baza[[№]:[Profit]],23,0),"")</f>
        <v/>
      </c>
      <c r="Z634" s="44" t="str">
        <f>IFERROR(VLOOKUP(B634,Baza[[№]:[AFS]],24,0),"")</f>
        <v/>
      </c>
      <c r="AA634" s="45" t="str">
        <f>IF(Таблица2[[#This Row],[Profit]]="","#Н/Д",SUM($Y$40:Y634))</f>
        <v>#Н/Д</v>
      </c>
      <c r="AB634" s="45" t="b">
        <f>IF(Таблица2[[#This Row],[Grafik]]="#Н/Д",FALSE,TRUE)</f>
        <v>0</v>
      </c>
    </row>
    <row r="635" spans="2:28" ht="11.1" hidden="1" customHeight="1" x14ac:dyDescent="0.25">
      <c r="B635"/>
      <c r="C635" s="41" t="str">
        <f>IFERROR(VLOOKUP(B635,Baza[[№]:[Profit]],2,0),"")</f>
        <v/>
      </c>
      <c r="D63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3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35" s="43" t="str">
        <f>IFERROR(VLOOKUP(B635,Baza[[№]:[Profit]],3,0),"")</f>
        <v/>
      </c>
      <c r="G635" s="43" t="str">
        <f>IFERROR(VLOOKUP(B635,Baza[[№]:[Profit]],4,0),"")</f>
        <v/>
      </c>
      <c r="H635" s="43" t="str">
        <f>IFERROR(VLOOKUP(B635,Baza[[№]:[Profit]],5,0),"")</f>
        <v/>
      </c>
      <c r="I635" s="46" t="str">
        <f>IFERROR(VLOOKUP(B635,Baza[[№]:[Profit]],6,0),"")</f>
        <v/>
      </c>
      <c r="J635" s="49" t="str">
        <f>IFERROR(VLOOKUP(B635,Baza[[№]:[Profit]],7,0),"")</f>
        <v/>
      </c>
      <c r="K635" s="43" t="str">
        <f>IFERROR(VLOOKUP(B635,Baza[[№]:[Profit]],8,0),"")</f>
        <v/>
      </c>
      <c r="L635" s="43" t="str">
        <f>IFERROR(VLOOKUP(B635,Baza[[№]:[Profit]],9,0),"")</f>
        <v/>
      </c>
      <c r="M635" s="43" t="str">
        <f>IFERROR(VLOOKUP(B635,Baza[[№]:[Profit]],10,0),"")</f>
        <v/>
      </c>
      <c r="N635" s="43" t="str">
        <f>IFERROR(IF(VLOOKUP(B635,Baza[[№]:[Profit]],11,0)=0,"-",VLOOKUP(B635,Baza[[№]:[Profit]],11,0)),"")</f>
        <v/>
      </c>
      <c r="O635" s="43" t="str">
        <f>IFERROR(IF(VLOOKUP(B635,Baza[[№]:[Profit]],12,0)=0,"-",VLOOKUP(B635,Baza[[№]:[Profit]],12,0)),"")</f>
        <v/>
      </c>
      <c r="P635" s="43" t="str">
        <f>IFERROR(IF(VLOOKUP(B635,Baza[[№]:[Profit]],13,0)=0,"-",VLOOKUP(B635,Baza[[№]:[Profit]],13,0)),"")</f>
        <v/>
      </c>
      <c r="Q635" s="43" t="str">
        <f>IFERROR(IF(VLOOKUP(B635,Baza[[№]:[Profit]],15,0)=0,"-",VLOOKUP(B635,Baza[[№]:[Profit]],15,0)),"")</f>
        <v/>
      </c>
      <c r="R635" s="43" t="str">
        <f>IFERROR(IF(VLOOKUP(B635,Baza[[№]:[Profit]],16,0)=0,"-",VLOOKUP(B635,Baza[[№]:[Profit]],16,0)),"")</f>
        <v/>
      </c>
      <c r="S635" s="43" t="str">
        <f>IFERROR(IF(VLOOKUP(B635,Baza[[№]:[Profit]],17,0)=0,"-",VLOOKUP(B635,Baza[[№]:[Profit]],17,0)),"")</f>
        <v/>
      </c>
      <c r="T635" s="43" t="str">
        <f>IFERROR(IF(VLOOKUP(B635,Baza[[№]:[Profit]],18,0)=0,"-",VLOOKUP(B635,Baza[[№]:[Profit]],18,0)),"")</f>
        <v/>
      </c>
      <c r="U635" s="41" t="str">
        <f>IFERROR(IF(VLOOKUP(B635,Baza[[№]:[Profit]],19,0)=0,"-",VLOOKUP(B635,Baza[[№]:[Profit]],19,0)),"")</f>
        <v/>
      </c>
      <c r="V635" s="41" t="str">
        <f>IFERROR(VLOOKUP(B635,Baza[[№]:[Profit]],20,0),"")</f>
        <v/>
      </c>
      <c r="W635" s="41" t="str">
        <f>IFERROR(IF(VLOOKUP(B635,Baza[[№]:[Profit]],21,0)=0,"-",VLOOKUP(B635,Baza[[№]:[Profit]],21,0)),"")</f>
        <v/>
      </c>
      <c r="X635" s="45" t="str">
        <f>IFERROR(IF(VLOOKUP(B635,Baza[[№]:[Profit]],22,0)=0,"-",VLOOKUP(B635,Baza[[№]:[Profit]],22,0)),"")</f>
        <v/>
      </c>
      <c r="Y635" s="45" t="str">
        <f>IFERROR(VLOOKUP(B635,Baza[[№]:[Profit]],23,0),"")</f>
        <v/>
      </c>
      <c r="Z635" s="44" t="str">
        <f>IFERROR(VLOOKUP(B635,Baza[[№]:[AFS]],24,0),"")</f>
        <v/>
      </c>
      <c r="AA635" s="45" t="str">
        <f>IF(Таблица2[[#This Row],[Profit]]="","#Н/Д",SUM($Y$40:Y635))</f>
        <v>#Н/Д</v>
      </c>
      <c r="AB635" s="45" t="b">
        <f>IF(Таблица2[[#This Row],[Grafik]]="#Н/Д",FALSE,TRUE)</f>
        <v>0</v>
      </c>
    </row>
    <row r="636" spans="2:28" ht="11.1" hidden="1" customHeight="1" x14ac:dyDescent="0.25">
      <c r="B636"/>
      <c r="C636" s="41" t="str">
        <f>IFERROR(VLOOKUP(B636,Baza[[№]:[Profit]],2,0),"")</f>
        <v/>
      </c>
      <c r="D63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3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36" s="43" t="str">
        <f>IFERROR(VLOOKUP(B636,Baza[[№]:[Profit]],3,0),"")</f>
        <v/>
      </c>
      <c r="G636" s="43" t="str">
        <f>IFERROR(VLOOKUP(B636,Baza[[№]:[Profit]],4,0),"")</f>
        <v/>
      </c>
      <c r="H636" s="43" t="str">
        <f>IFERROR(VLOOKUP(B636,Baza[[№]:[Profit]],5,0),"")</f>
        <v/>
      </c>
      <c r="I636" s="46" t="str">
        <f>IFERROR(VLOOKUP(B636,Baza[[№]:[Profit]],6,0),"")</f>
        <v/>
      </c>
      <c r="J636" s="49" t="str">
        <f>IFERROR(VLOOKUP(B636,Baza[[№]:[Profit]],7,0),"")</f>
        <v/>
      </c>
      <c r="K636" s="43" t="str">
        <f>IFERROR(VLOOKUP(B636,Baza[[№]:[Profit]],8,0),"")</f>
        <v/>
      </c>
      <c r="L636" s="43" t="str">
        <f>IFERROR(VLOOKUP(B636,Baza[[№]:[Profit]],9,0),"")</f>
        <v/>
      </c>
      <c r="M636" s="43" t="str">
        <f>IFERROR(VLOOKUP(B636,Baza[[№]:[Profit]],10,0),"")</f>
        <v/>
      </c>
      <c r="N636" s="43" t="str">
        <f>IFERROR(IF(VLOOKUP(B636,Baza[[№]:[Profit]],11,0)=0,"-",VLOOKUP(B636,Baza[[№]:[Profit]],11,0)),"")</f>
        <v/>
      </c>
      <c r="O636" s="43" t="str">
        <f>IFERROR(IF(VLOOKUP(B636,Baza[[№]:[Profit]],12,0)=0,"-",VLOOKUP(B636,Baza[[№]:[Profit]],12,0)),"")</f>
        <v/>
      </c>
      <c r="P636" s="43" t="str">
        <f>IFERROR(IF(VLOOKUP(B636,Baza[[№]:[Profit]],13,0)=0,"-",VLOOKUP(B636,Baza[[№]:[Profit]],13,0)),"")</f>
        <v/>
      </c>
      <c r="Q636" s="43" t="str">
        <f>IFERROR(IF(VLOOKUP(B636,Baza[[№]:[Profit]],15,0)=0,"-",VLOOKUP(B636,Baza[[№]:[Profit]],15,0)),"")</f>
        <v/>
      </c>
      <c r="R636" s="43" t="str">
        <f>IFERROR(IF(VLOOKUP(B636,Baza[[№]:[Profit]],16,0)=0,"-",VLOOKUP(B636,Baza[[№]:[Profit]],16,0)),"")</f>
        <v/>
      </c>
      <c r="S636" s="43" t="str">
        <f>IFERROR(IF(VLOOKUP(B636,Baza[[№]:[Profit]],17,0)=0,"-",VLOOKUP(B636,Baza[[№]:[Profit]],17,0)),"")</f>
        <v/>
      </c>
      <c r="T636" s="43" t="str">
        <f>IFERROR(IF(VLOOKUP(B636,Baza[[№]:[Profit]],18,0)=0,"-",VLOOKUP(B636,Baza[[№]:[Profit]],18,0)),"")</f>
        <v/>
      </c>
      <c r="U636" s="41" t="str">
        <f>IFERROR(IF(VLOOKUP(B636,Baza[[№]:[Profit]],19,0)=0,"-",VLOOKUP(B636,Baza[[№]:[Profit]],19,0)),"")</f>
        <v/>
      </c>
      <c r="V636" s="41" t="str">
        <f>IFERROR(VLOOKUP(B636,Baza[[№]:[Profit]],20,0),"")</f>
        <v/>
      </c>
      <c r="W636" s="41" t="str">
        <f>IFERROR(IF(VLOOKUP(B636,Baza[[№]:[Profit]],21,0)=0,"-",VLOOKUP(B636,Baza[[№]:[Profit]],21,0)),"")</f>
        <v/>
      </c>
      <c r="X636" s="45" t="str">
        <f>IFERROR(IF(VLOOKUP(B636,Baza[[№]:[Profit]],22,0)=0,"-",VLOOKUP(B636,Baza[[№]:[Profit]],22,0)),"")</f>
        <v/>
      </c>
      <c r="Y636" s="45" t="str">
        <f>IFERROR(VLOOKUP(B636,Baza[[№]:[Profit]],23,0),"")</f>
        <v/>
      </c>
      <c r="Z636" s="44" t="str">
        <f>IFERROR(VLOOKUP(B636,Baza[[№]:[AFS]],24,0),"")</f>
        <v/>
      </c>
      <c r="AA636" s="45" t="str">
        <f>IF(Таблица2[[#This Row],[Profit]]="","#Н/Д",SUM($Y$40:Y636))</f>
        <v>#Н/Д</v>
      </c>
      <c r="AB636" s="45" t="b">
        <f>IF(Таблица2[[#This Row],[Grafik]]="#Н/Д",FALSE,TRUE)</f>
        <v>0</v>
      </c>
    </row>
    <row r="637" spans="2:28" ht="11.1" hidden="1" customHeight="1" x14ac:dyDescent="0.25">
      <c r="B637"/>
      <c r="C637" s="41" t="str">
        <f>IFERROR(VLOOKUP(B637,Baza[[№]:[Profit]],2,0),"")</f>
        <v/>
      </c>
      <c r="D63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3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37" s="43" t="str">
        <f>IFERROR(VLOOKUP(B637,Baza[[№]:[Profit]],3,0),"")</f>
        <v/>
      </c>
      <c r="G637" s="43" t="str">
        <f>IFERROR(VLOOKUP(B637,Baza[[№]:[Profit]],4,0),"")</f>
        <v/>
      </c>
      <c r="H637" s="43" t="str">
        <f>IFERROR(VLOOKUP(B637,Baza[[№]:[Profit]],5,0),"")</f>
        <v/>
      </c>
      <c r="I637" s="46" t="str">
        <f>IFERROR(VLOOKUP(B637,Baza[[№]:[Profit]],6,0),"")</f>
        <v/>
      </c>
      <c r="J637" s="49" t="str">
        <f>IFERROR(VLOOKUP(B637,Baza[[№]:[Profit]],7,0),"")</f>
        <v/>
      </c>
      <c r="K637" s="43" t="str">
        <f>IFERROR(VLOOKUP(B637,Baza[[№]:[Profit]],8,0),"")</f>
        <v/>
      </c>
      <c r="L637" s="43" t="str">
        <f>IFERROR(VLOOKUP(B637,Baza[[№]:[Profit]],9,0),"")</f>
        <v/>
      </c>
      <c r="M637" s="43" t="str">
        <f>IFERROR(VLOOKUP(B637,Baza[[№]:[Profit]],10,0),"")</f>
        <v/>
      </c>
      <c r="N637" s="43" t="str">
        <f>IFERROR(IF(VLOOKUP(B637,Baza[[№]:[Profit]],11,0)=0,"-",VLOOKUP(B637,Baza[[№]:[Profit]],11,0)),"")</f>
        <v/>
      </c>
      <c r="O637" s="43" t="str">
        <f>IFERROR(IF(VLOOKUP(B637,Baza[[№]:[Profit]],12,0)=0,"-",VLOOKUP(B637,Baza[[№]:[Profit]],12,0)),"")</f>
        <v/>
      </c>
      <c r="P637" s="43" t="str">
        <f>IFERROR(IF(VLOOKUP(B637,Baza[[№]:[Profit]],13,0)=0,"-",VLOOKUP(B637,Baza[[№]:[Profit]],13,0)),"")</f>
        <v/>
      </c>
      <c r="Q637" s="43" t="str">
        <f>IFERROR(IF(VLOOKUP(B637,Baza[[№]:[Profit]],15,0)=0,"-",VLOOKUP(B637,Baza[[№]:[Profit]],15,0)),"")</f>
        <v/>
      </c>
      <c r="R637" s="43" t="str">
        <f>IFERROR(IF(VLOOKUP(B637,Baza[[№]:[Profit]],16,0)=0,"-",VLOOKUP(B637,Baza[[№]:[Profit]],16,0)),"")</f>
        <v/>
      </c>
      <c r="S637" s="43" t="str">
        <f>IFERROR(IF(VLOOKUP(B637,Baza[[№]:[Profit]],17,0)=0,"-",VLOOKUP(B637,Baza[[№]:[Profit]],17,0)),"")</f>
        <v/>
      </c>
      <c r="T637" s="43" t="str">
        <f>IFERROR(IF(VLOOKUP(B637,Baza[[№]:[Profit]],18,0)=0,"-",VLOOKUP(B637,Baza[[№]:[Profit]],18,0)),"")</f>
        <v/>
      </c>
      <c r="U637" s="41" t="str">
        <f>IFERROR(IF(VLOOKUP(B637,Baza[[№]:[Profit]],19,0)=0,"-",VLOOKUP(B637,Baza[[№]:[Profit]],19,0)),"")</f>
        <v/>
      </c>
      <c r="V637" s="41" t="str">
        <f>IFERROR(VLOOKUP(B637,Baza[[№]:[Profit]],20,0),"")</f>
        <v/>
      </c>
      <c r="W637" s="41" t="str">
        <f>IFERROR(IF(VLOOKUP(B637,Baza[[№]:[Profit]],21,0)=0,"-",VLOOKUP(B637,Baza[[№]:[Profit]],21,0)),"")</f>
        <v/>
      </c>
      <c r="X637" s="45" t="str">
        <f>IFERROR(IF(VLOOKUP(B637,Baza[[№]:[Profit]],22,0)=0,"-",VLOOKUP(B637,Baza[[№]:[Profit]],22,0)),"")</f>
        <v/>
      </c>
      <c r="Y637" s="45" t="str">
        <f>IFERROR(VLOOKUP(B637,Baza[[№]:[Profit]],23,0),"")</f>
        <v/>
      </c>
      <c r="Z637" s="44" t="str">
        <f>IFERROR(VLOOKUP(B637,Baza[[№]:[AFS]],24,0),"")</f>
        <v/>
      </c>
      <c r="AA637" s="45" t="str">
        <f>IF(Таблица2[[#This Row],[Profit]]="","#Н/Д",SUM($Y$40:Y637))</f>
        <v>#Н/Д</v>
      </c>
      <c r="AB637" s="45" t="b">
        <f>IF(Таблица2[[#This Row],[Grafik]]="#Н/Д",FALSE,TRUE)</f>
        <v>0</v>
      </c>
    </row>
    <row r="638" spans="2:28" ht="11.1" hidden="1" customHeight="1" x14ac:dyDescent="0.25">
      <c r="B638"/>
      <c r="C638" s="41" t="str">
        <f>IFERROR(VLOOKUP(B638,Baza[[№]:[Profit]],2,0),"")</f>
        <v/>
      </c>
      <c r="D63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3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38" s="43" t="str">
        <f>IFERROR(VLOOKUP(B638,Baza[[№]:[Profit]],3,0),"")</f>
        <v/>
      </c>
      <c r="G638" s="43" t="str">
        <f>IFERROR(VLOOKUP(B638,Baza[[№]:[Profit]],4,0),"")</f>
        <v/>
      </c>
      <c r="H638" s="43" t="str">
        <f>IFERROR(VLOOKUP(B638,Baza[[№]:[Profit]],5,0),"")</f>
        <v/>
      </c>
      <c r="I638" s="46" t="str">
        <f>IFERROR(VLOOKUP(B638,Baza[[№]:[Profit]],6,0),"")</f>
        <v/>
      </c>
      <c r="J638" s="49" t="str">
        <f>IFERROR(VLOOKUP(B638,Baza[[№]:[Profit]],7,0),"")</f>
        <v/>
      </c>
      <c r="K638" s="43" t="str">
        <f>IFERROR(VLOOKUP(B638,Baza[[№]:[Profit]],8,0),"")</f>
        <v/>
      </c>
      <c r="L638" s="43" t="str">
        <f>IFERROR(VLOOKUP(B638,Baza[[№]:[Profit]],9,0),"")</f>
        <v/>
      </c>
      <c r="M638" s="43" t="str">
        <f>IFERROR(VLOOKUP(B638,Baza[[№]:[Profit]],10,0),"")</f>
        <v/>
      </c>
      <c r="N638" s="43" t="str">
        <f>IFERROR(IF(VLOOKUP(B638,Baza[[№]:[Profit]],11,0)=0,"-",VLOOKUP(B638,Baza[[№]:[Profit]],11,0)),"")</f>
        <v/>
      </c>
      <c r="O638" s="43" t="str">
        <f>IFERROR(IF(VLOOKUP(B638,Baza[[№]:[Profit]],12,0)=0,"-",VLOOKUP(B638,Baza[[№]:[Profit]],12,0)),"")</f>
        <v/>
      </c>
      <c r="P638" s="43" t="str">
        <f>IFERROR(IF(VLOOKUP(B638,Baza[[№]:[Profit]],13,0)=0,"-",VLOOKUP(B638,Baza[[№]:[Profit]],13,0)),"")</f>
        <v/>
      </c>
      <c r="Q638" s="43" t="str">
        <f>IFERROR(IF(VLOOKUP(B638,Baza[[№]:[Profit]],15,0)=0,"-",VLOOKUP(B638,Baza[[№]:[Profit]],15,0)),"")</f>
        <v/>
      </c>
      <c r="R638" s="43" t="str">
        <f>IFERROR(IF(VLOOKUP(B638,Baza[[№]:[Profit]],16,0)=0,"-",VLOOKUP(B638,Baza[[№]:[Profit]],16,0)),"")</f>
        <v/>
      </c>
      <c r="S638" s="43" t="str">
        <f>IFERROR(IF(VLOOKUP(B638,Baza[[№]:[Profit]],17,0)=0,"-",VLOOKUP(B638,Baza[[№]:[Profit]],17,0)),"")</f>
        <v/>
      </c>
      <c r="T638" s="43" t="str">
        <f>IFERROR(IF(VLOOKUP(B638,Baza[[№]:[Profit]],18,0)=0,"-",VLOOKUP(B638,Baza[[№]:[Profit]],18,0)),"")</f>
        <v/>
      </c>
      <c r="U638" s="41" t="str">
        <f>IFERROR(IF(VLOOKUP(B638,Baza[[№]:[Profit]],19,0)=0,"-",VLOOKUP(B638,Baza[[№]:[Profit]],19,0)),"")</f>
        <v/>
      </c>
      <c r="V638" s="41" t="str">
        <f>IFERROR(VLOOKUP(B638,Baza[[№]:[Profit]],20,0),"")</f>
        <v/>
      </c>
      <c r="W638" s="41" t="str">
        <f>IFERROR(IF(VLOOKUP(B638,Baza[[№]:[Profit]],21,0)=0,"-",VLOOKUP(B638,Baza[[№]:[Profit]],21,0)),"")</f>
        <v/>
      </c>
      <c r="X638" s="45" t="str">
        <f>IFERROR(IF(VLOOKUP(B638,Baza[[№]:[Profit]],22,0)=0,"-",VLOOKUP(B638,Baza[[№]:[Profit]],22,0)),"")</f>
        <v/>
      </c>
      <c r="Y638" s="45" t="str">
        <f>IFERROR(VLOOKUP(B638,Baza[[№]:[Profit]],23,0),"")</f>
        <v/>
      </c>
      <c r="Z638" s="44" t="str">
        <f>IFERROR(VLOOKUP(B638,Baza[[№]:[AFS]],24,0),"")</f>
        <v/>
      </c>
      <c r="AA638" s="45" t="str">
        <f>IF(Таблица2[[#This Row],[Profit]]="","#Н/Д",SUM($Y$40:Y638))</f>
        <v>#Н/Д</v>
      </c>
      <c r="AB638" s="45" t="b">
        <f>IF(Таблица2[[#This Row],[Grafik]]="#Н/Д",FALSE,TRUE)</f>
        <v>0</v>
      </c>
    </row>
    <row r="639" spans="2:28" ht="11.1" hidden="1" customHeight="1" x14ac:dyDescent="0.25">
      <c r="B639"/>
      <c r="C639" s="41" t="str">
        <f>IFERROR(VLOOKUP(B639,Baza[[№]:[Profit]],2,0),"")</f>
        <v/>
      </c>
      <c r="D63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3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39" s="43" t="str">
        <f>IFERROR(VLOOKUP(B639,Baza[[№]:[Profit]],3,0),"")</f>
        <v/>
      </c>
      <c r="G639" s="43" t="str">
        <f>IFERROR(VLOOKUP(B639,Baza[[№]:[Profit]],4,0),"")</f>
        <v/>
      </c>
      <c r="H639" s="43" t="str">
        <f>IFERROR(VLOOKUP(B639,Baza[[№]:[Profit]],5,0),"")</f>
        <v/>
      </c>
      <c r="I639" s="46" t="str">
        <f>IFERROR(VLOOKUP(B639,Baza[[№]:[Profit]],6,0),"")</f>
        <v/>
      </c>
      <c r="J639" s="49" t="str">
        <f>IFERROR(VLOOKUP(B639,Baza[[№]:[Profit]],7,0),"")</f>
        <v/>
      </c>
      <c r="K639" s="43" t="str">
        <f>IFERROR(VLOOKUP(B639,Baza[[№]:[Profit]],8,0),"")</f>
        <v/>
      </c>
      <c r="L639" s="43" t="str">
        <f>IFERROR(VLOOKUP(B639,Baza[[№]:[Profit]],9,0),"")</f>
        <v/>
      </c>
      <c r="M639" s="43" t="str">
        <f>IFERROR(VLOOKUP(B639,Baza[[№]:[Profit]],10,0),"")</f>
        <v/>
      </c>
      <c r="N639" s="43" t="str">
        <f>IFERROR(IF(VLOOKUP(B639,Baza[[№]:[Profit]],11,0)=0,"-",VLOOKUP(B639,Baza[[№]:[Profit]],11,0)),"")</f>
        <v/>
      </c>
      <c r="O639" s="43" t="str">
        <f>IFERROR(IF(VLOOKUP(B639,Baza[[№]:[Profit]],12,0)=0,"-",VLOOKUP(B639,Baza[[№]:[Profit]],12,0)),"")</f>
        <v/>
      </c>
      <c r="P639" s="43" t="str">
        <f>IFERROR(IF(VLOOKUP(B639,Baza[[№]:[Profit]],13,0)=0,"-",VLOOKUP(B639,Baza[[№]:[Profit]],13,0)),"")</f>
        <v/>
      </c>
      <c r="Q639" s="43" t="str">
        <f>IFERROR(IF(VLOOKUP(B639,Baza[[№]:[Profit]],15,0)=0,"-",VLOOKUP(B639,Baza[[№]:[Profit]],15,0)),"")</f>
        <v/>
      </c>
      <c r="R639" s="43" t="str">
        <f>IFERROR(IF(VLOOKUP(B639,Baza[[№]:[Profit]],16,0)=0,"-",VLOOKUP(B639,Baza[[№]:[Profit]],16,0)),"")</f>
        <v/>
      </c>
      <c r="S639" s="43" t="str">
        <f>IFERROR(IF(VLOOKUP(B639,Baza[[№]:[Profit]],17,0)=0,"-",VLOOKUP(B639,Baza[[№]:[Profit]],17,0)),"")</f>
        <v/>
      </c>
      <c r="T639" s="43" t="str">
        <f>IFERROR(IF(VLOOKUP(B639,Baza[[№]:[Profit]],18,0)=0,"-",VLOOKUP(B639,Baza[[№]:[Profit]],18,0)),"")</f>
        <v/>
      </c>
      <c r="U639" s="41" t="str">
        <f>IFERROR(IF(VLOOKUP(B639,Baza[[№]:[Profit]],19,0)=0,"-",VLOOKUP(B639,Baza[[№]:[Profit]],19,0)),"")</f>
        <v/>
      </c>
      <c r="V639" s="41" t="str">
        <f>IFERROR(VLOOKUP(B639,Baza[[№]:[Profit]],20,0),"")</f>
        <v/>
      </c>
      <c r="W639" s="41" t="str">
        <f>IFERROR(IF(VLOOKUP(B639,Baza[[№]:[Profit]],21,0)=0,"-",VLOOKUP(B639,Baza[[№]:[Profit]],21,0)),"")</f>
        <v/>
      </c>
      <c r="X639" s="45" t="str">
        <f>IFERROR(IF(VLOOKUP(B639,Baza[[№]:[Profit]],22,0)=0,"-",VLOOKUP(B639,Baza[[№]:[Profit]],22,0)),"")</f>
        <v/>
      </c>
      <c r="Y639" s="45" t="str">
        <f>IFERROR(VLOOKUP(B639,Baza[[№]:[Profit]],23,0),"")</f>
        <v/>
      </c>
      <c r="Z639" s="44" t="str">
        <f>IFERROR(VLOOKUP(B639,Baza[[№]:[AFS]],24,0),"")</f>
        <v/>
      </c>
      <c r="AA639" s="45" t="str">
        <f>IF(Таблица2[[#This Row],[Profit]]="","#Н/Д",SUM($Y$40:Y639))</f>
        <v>#Н/Д</v>
      </c>
      <c r="AB639" s="45" t="b">
        <f>IF(Таблица2[[#This Row],[Grafik]]="#Н/Д",FALSE,TRUE)</f>
        <v>0</v>
      </c>
    </row>
    <row r="640" spans="2:28" ht="11.1" hidden="1" customHeight="1" x14ac:dyDescent="0.25">
      <c r="B640"/>
      <c r="C640" s="41" t="str">
        <f>IFERROR(VLOOKUP(B640,Baza[[№]:[Profit]],2,0),"")</f>
        <v/>
      </c>
      <c r="D64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4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40" s="43" t="str">
        <f>IFERROR(VLOOKUP(B640,Baza[[№]:[Profit]],3,0),"")</f>
        <v/>
      </c>
      <c r="G640" s="43" t="str">
        <f>IFERROR(VLOOKUP(B640,Baza[[№]:[Profit]],4,0),"")</f>
        <v/>
      </c>
      <c r="H640" s="43" t="str">
        <f>IFERROR(VLOOKUP(B640,Baza[[№]:[Profit]],5,0),"")</f>
        <v/>
      </c>
      <c r="I640" s="46" t="str">
        <f>IFERROR(VLOOKUP(B640,Baza[[№]:[Profit]],6,0),"")</f>
        <v/>
      </c>
      <c r="J640" s="49" t="str">
        <f>IFERROR(VLOOKUP(B640,Baza[[№]:[Profit]],7,0),"")</f>
        <v/>
      </c>
      <c r="K640" s="43" t="str">
        <f>IFERROR(VLOOKUP(B640,Baza[[№]:[Profit]],8,0),"")</f>
        <v/>
      </c>
      <c r="L640" s="43" t="str">
        <f>IFERROR(VLOOKUP(B640,Baza[[№]:[Profit]],9,0),"")</f>
        <v/>
      </c>
      <c r="M640" s="43" t="str">
        <f>IFERROR(VLOOKUP(B640,Baza[[№]:[Profit]],10,0),"")</f>
        <v/>
      </c>
      <c r="N640" s="43" t="str">
        <f>IFERROR(IF(VLOOKUP(B640,Baza[[№]:[Profit]],11,0)=0,"-",VLOOKUP(B640,Baza[[№]:[Profit]],11,0)),"")</f>
        <v/>
      </c>
      <c r="O640" s="43" t="str">
        <f>IFERROR(IF(VLOOKUP(B640,Baza[[№]:[Profit]],12,0)=0,"-",VLOOKUP(B640,Baza[[№]:[Profit]],12,0)),"")</f>
        <v/>
      </c>
      <c r="P640" s="43" t="str">
        <f>IFERROR(IF(VLOOKUP(B640,Baza[[№]:[Profit]],13,0)=0,"-",VLOOKUP(B640,Baza[[№]:[Profit]],13,0)),"")</f>
        <v/>
      </c>
      <c r="Q640" s="43" t="str">
        <f>IFERROR(IF(VLOOKUP(B640,Baza[[№]:[Profit]],15,0)=0,"-",VLOOKUP(B640,Baza[[№]:[Profit]],15,0)),"")</f>
        <v/>
      </c>
      <c r="R640" s="43" t="str">
        <f>IFERROR(IF(VLOOKUP(B640,Baza[[№]:[Profit]],16,0)=0,"-",VLOOKUP(B640,Baza[[№]:[Profit]],16,0)),"")</f>
        <v/>
      </c>
      <c r="S640" s="43" t="str">
        <f>IFERROR(IF(VLOOKUP(B640,Baza[[№]:[Profit]],17,0)=0,"-",VLOOKUP(B640,Baza[[№]:[Profit]],17,0)),"")</f>
        <v/>
      </c>
      <c r="T640" s="43" t="str">
        <f>IFERROR(IF(VLOOKUP(B640,Baza[[№]:[Profit]],18,0)=0,"-",VLOOKUP(B640,Baza[[№]:[Profit]],18,0)),"")</f>
        <v/>
      </c>
      <c r="U640" s="41" t="str">
        <f>IFERROR(IF(VLOOKUP(B640,Baza[[№]:[Profit]],19,0)=0,"-",VLOOKUP(B640,Baza[[№]:[Profit]],19,0)),"")</f>
        <v/>
      </c>
      <c r="V640" s="41" t="str">
        <f>IFERROR(VLOOKUP(B640,Baza[[№]:[Profit]],20,0),"")</f>
        <v/>
      </c>
      <c r="W640" s="41" t="str">
        <f>IFERROR(IF(VLOOKUP(B640,Baza[[№]:[Profit]],21,0)=0,"-",VLOOKUP(B640,Baza[[№]:[Profit]],21,0)),"")</f>
        <v/>
      </c>
      <c r="X640" s="45" t="str">
        <f>IFERROR(IF(VLOOKUP(B640,Baza[[№]:[Profit]],22,0)=0,"-",VLOOKUP(B640,Baza[[№]:[Profit]],22,0)),"")</f>
        <v/>
      </c>
      <c r="Y640" s="45" t="str">
        <f>IFERROR(VLOOKUP(B640,Baza[[№]:[Profit]],23,0),"")</f>
        <v/>
      </c>
      <c r="Z640" s="44" t="str">
        <f>IFERROR(VLOOKUP(B640,Baza[[№]:[AFS]],24,0),"")</f>
        <v/>
      </c>
      <c r="AA640" s="45" t="str">
        <f>IF(Таблица2[[#This Row],[Profit]]="","#Н/Д",SUM($Y$40:Y640))</f>
        <v>#Н/Д</v>
      </c>
      <c r="AB640" s="45" t="b">
        <f>IF(Таблица2[[#This Row],[Grafik]]="#Н/Д",FALSE,TRUE)</f>
        <v>0</v>
      </c>
    </row>
    <row r="641" spans="2:28" ht="11.1" hidden="1" customHeight="1" x14ac:dyDescent="0.25">
      <c r="B641"/>
      <c r="C641" s="41" t="str">
        <f>IFERROR(VLOOKUP(B641,Baza[[№]:[Profit]],2,0),"")</f>
        <v/>
      </c>
      <c r="D64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4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41" s="43" t="str">
        <f>IFERROR(VLOOKUP(B641,Baza[[№]:[Profit]],3,0),"")</f>
        <v/>
      </c>
      <c r="G641" s="43" t="str">
        <f>IFERROR(VLOOKUP(B641,Baza[[№]:[Profit]],4,0),"")</f>
        <v/>
      </c>
      <c r="H641" s="43" t="str">
        <f>IFERROR(VLOOKUP(B641,Baza[[№]:[Profit]],5,0),"")</f>
        <v/>
      </c>
      <c r="I641" s="46" t="str">
        <f>IFERROR(VLOOKUP(B641,Baza[[№]:[Profit]],6,0),"")</f>
        <v/>
      </c>
      <c r="J641" s="49" t="str">
        <f>IFERROR(VLOOKUP(B641,Baza[[№]:[Profit]],7,0),"")</f>
        <v/>
      </c>
      <c r="K641" s="43" t="str">
        <f>IFERROR(VLOOKUP(B641,Baza[[№]:[Profit]],8,0),"")</f>
        <v/>
      </c>
      <c r="L641" s="43" t="str">
        <f>IFERROR(VLOOKUP(B641,Baza[[№]:[Profit]],9,0),"")</f>
        <v/>
      </c>
      <c r="M641" s="43" t="str">
        <f>IFERROR(VLOOKUP(B641,Baza[[№]:[Profit]],10,0),"")</f>
        <v/>
      </c>
      <c r="N641" s="43" t="str">
        <f>IFERROR(IF(VLOOKUP(B641,Baza[[№]:[Profit]],11,0)=0,"-",VLOOKUP(B641,Baza[[№]:[Profit]],11,0)),"")</f>
        <v/>
      </c>
      <c r="O641" s="43" t="str">
        <f>IFERROR(IF(VLOOKUP(B641,Baza[[№]:[Profit]],12,0)=0,"-",VLOOKUP(B641,Baza[[№]:[Profit]],12,0)),"")</f>
        <v/>
      </c>
      <c r="P641" s="43" t="str">
        <f>IFERROR(IF(VLOOKUP(B641,Baza[[№]:[Profit]],13,0)=0,"-",VLOOKUP(B641,Baza[[№]:[Profit]],13,0)),"")</f>
        <v/>
      </c>
      <c r="Q641" s="43" t="str">
        <f>IFERROR(IF(VLOOKUP(B641,Baza[[№]:[Profit]],15,0)=0,"-",VLOOKUP(B641,Baza[[№]:[Profit]],15,0)),"")</f>
        <v/>
      </c>
      <c r="R641" s="43" t="str">
        <f>IFERROR(IF(VLOOKUP(B641,Baza[[№]:[Profit]],16,0)=0,"-",VLOOKUP(B641,Baza[[№]:[Profit]],16,0)),"")</f>
        <v/>
      </c>
      <c r="S641" s="43" t="str">
        <f>IFERROR(IF(VLOOKUP(B641,Baza[[№]:[Profit]],17,0)=0,"-",VLOOKUP(B641,Baza[[№]:[Profit]],17,0)),"")</f>
        <v/>
      </c>
      <c r="T641" s="43" t="str">
        <f>IFERROR(IF(VLOOKUP(B641,Baza[[№]:[Profit]],18,0)=0,"-",VLOOKUP(B641,Baza[[№]:[Profit]],18,0)),"")</f>
        <v/>
      </c>
      <c r="U641" s="41" t="str">
        <f>IFERROR(IF(VLOOKUP(B641,Baza[[№]:[Profit]],19,0)=0,"-",VLOOKUP(B641,Baza[[№]:[Profit]],19,0)),"")</f>
        <v/>
      </c>
      <c r="V641" s="41" t="str">
        <f>IFERROR(VLOOKUP(B641,Baza[[№]:[Profit]],20,0),"")</f>
        <v/>
      </c>
      <c r="W641" s="41" t="str">
        <f>IFERROR(IF(VLOOKUP(B641,Baza[[№]:[Profit]],21,0)=0,"-",VLOOKUP(B641,Baza[[№]:[Profit]],21,0)),"")</f>
        <v/>
      </c>
      <c r="X641" s="45" t="str">
        <f>IFERROR(IF(VLOOKUP(B641,Baza[[№]:[Profit]],22,0)=0,"-",VLOOKUP(B641,Baza[[№]:[Profit]],22,0)),"")</f>
        <v/>
      </c>
      <c r="Y641" s="45" t="str">
        <f>IFERROR(VLOOKUP(B641,Baza[[№]:[Profit]],23,0),"")</f>
        <v/>
      </c>
      <c r="Z641" s="44" t="str">
        <f>IFERROR(VLOOKUP(B641,Baza[[№]:[AFS]],24,0),"")</f>
        <v/>
      </c>
      <c r="AA641" s="45" t="str">
        <f>IF(Таблица2[[#This Row],[Profit]]="","#Н/Д",SUM($Y$40:Y641))</f>
        <v>#Н/Д</v>
      </c>
      <c r="AB641" s="45" t="b">
        <f>IF(Таблица2[[#This Row],[Grafik]]="#Н/Д",FALSE,TRUE)</f>
        <v>0</v>
      </c>
    </row>
    <row r="642" spans="2:28" ht="11.1" hidden="1" customHeight="1" x14ac:dyDescent="0.25">
      <c r="B642"/>
      <c r="C642" s="41" t="str">
        <f>IFERROR(VLOOKUP(B642,Baza[[№]:[Profit]],2,0),"")</f>
        <v/>
      </c>
      <c r="D64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4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42" s="43" t="str">
        <f>IFERROR(VLOOKUP(B642,Baza[[№]:[Profit]],3,0),"")</f>
        <v/>
      </c>
      <c r="G642" s="43" t="str">
        <f>IFERROR(VLOOKUP(B642,Baza[[№]:[Profit]],4,0),"")</f>
        <v/>
      </c>
      <c r="H642" s="43" t="str">
        <f>IFERROR(VLOOKUP(B642,Baza[[№]:[Profit]],5,0),"")</f>
        <v/>
      </c>
      <c r="I642" s="46" t="str">
        <f>IFERROR(VLOOKUP(B642,Baza[[№]:[Profit]],6,0),"")</f>
        <v/>
      </c>
      <c r="J642" s="49" t="str">
        <f>IFERROR(VLOOKUP(B642,Baza[[№]:[Profit]],7,0),"")</f>
        <v/>
      </c>
      <c r="K642" s="43" t="str">
        <f>IFERROR(VLOOKUP(B642,Baza[[№]:[Profit]],8,0),"")</f>
        <v/>
      </c>
      <c r="L642" s="43" t="str">
        <f>IFERROR(VLOOKUP(B642,Baza[[№]:[Profit]],9,0),"")</f>
        <v/>
      </c>
      <c r="M642" s="43" t="str">
        <f>IFERROR(VLOOKUP(B642,Baza[[№]:[Profit]],10,0),"")</f>
        <v/>
      </c>
      <c r="N642" s="43" t="str">
        <f>IFERROR(IF(VLOOKUP(B642,Baza[[№]:[Profit]],11,0)=0,"-",VLOOKUP(B642,Baza[[№]:[Profit]],11,0)),"")</f>
        <v/>
      </c>
      <c r="O642" s="43" t="str">
        <f>IFERROR(IF(VLOOKUP(B642,Baza[[№]:[Profit]],12,0)=0,"-",VLOOKUP(B642,Baza[[№]:[Profit]],12,0)),"")</f>
        <v/>
      </c>
      <c r="P642" s="43" t="str">
        <f>IFERROR(IF(VLOOKUP(B642,Baza[[№]:[Profit]],13,0)=0,"-",VLOOKUP(B642,Baza[[№]:[Profit]],13,0)),"")</f>
        <v/>
      </c>
      <c r="Q642" s="43" t="str">
        <f>IFERROR(IF(VLOOKUP(B642,Baza[[№]:[Profit]],15,0)=0,"-",VLOOKUP(B642,Baza[[№]:[Profit]],15,0)),"")</f>
        <v/>
      </c>
      <c r="R642" s="43" t="str">
        <f>IFERROR(IF(VLOOKUP(B642,Baza[[№]:[Profit]],16,0)=0,"-",VLOOKUP(B642,Baza[[№]:[Profit]],16,0)),"")</f>
        <v/>
      </c>
      <c r="S642" s="43" t="str">
        <f>IFERROR(IF(VLOOKUP(B642,Baza[[№]:[Profit]],17,0)=0,"-",VLOOKUP(B642,Baza[[№]:[Profit]],17,0)),"")</f>
        <v/>
      </c>
      <c r="T642" s="43" t="str">
        <f>IFERROR(IF(VLOOKUP(B642,Baza[[№]:[Profit]],18,0)=0,"-",VLOOKUP(B642,Baza[[№]:[Profit]],18,0)),"")</f>
        <v/>
      </c>
      <c r="U642" s="41" t="str">
        <f>IFERROR(IF(VLOOKUP(B642,Baza[[№]:[Profit]],19,0)=0,"-",VLOOKUP(B642,Baza[[№]:[Profit]],19,0)),"")</f>
        <v/>
      </c>
      <c r="V642" s="41" t="str">
        <f>IFERROR(VLOOKUP(B642,Baza[[№]:[Profit]],20,0),"")</f>
        <v/>
      </c>
      <c r="W642" s="41" t="str">
        <f>IFERROR(IF(VLOOKUP(B642,Baza[[№]:[Profit]],21,0)=0,"-",VLOOKUP(B642,Baza[[№]:[Profit]],21,0)),"")</f>
        <v/>
      </c>
      <c r="X642" s="45" t="str">
        <f>IFERROR(IF(VLOOKUP(B642,Baza[[№]:[Profit]],22,0)=0,"-",VLOOKUP(B642,Baza[[№]:[Profit]],22,0)),"")</f>
        <v/>
      </c>
      <c r="Y642" s="45" t="str">
        <f>IFERROR(VLOOKUP(B642,Baza[[№]:[Profit]],23,0),"")</f>
        <v/>
      </c>
      <c r="Z642" s="44" t="str">
        <f>IFERROR(VLOOKUP(B642,Baza[[№]:[AFS]],24,0),"")</f>
        <v/>
      </c>
      <c r="AA642" s="45" t="str">
        <f>IF(Таблица2[[#This Row],[Profit]]="","#Н/Д",SUM($Y$40:Y642))</f>
        <v>#Н/Д</v>
      </c>
      <c r="AB642" s="45" t="b">
        <f>IF(Таблица2[[#This Row],[Grafik]]="#Н/Д",FALSE,TRUE)</f>
        <v>0</v>
      </c>
    </row>
    <row r="643" spans="2:28" ht="11.1" hidden="1" customHeight="1" x14ac:dyDescent="0.25">
      <c r="B643"/>
      <c r="C643" s="41" t="str">
        <f>IFERROR(VLOOKUP(B643,Baza[[№]:[Profit]],2,0),"")</f>
        <v/>
      </c>
      <c r="D64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4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43" s="43" t="str">
        <f>IFERROR(VLOOKUP(B643,Baza[[№]:[Profit]],3,0),"")</f>
        <v/>
      </c>
      <c r="G643" s="43" t="str">
        <f>IFERROR(VLOOKUP(B643,Baza[[№]:[Profit]],4,0),"")</f>
        <v/>
      </c>
      <c r="H643" s="43" t="str">
        <f>IFERROR(VLOOKUP(B643,Baza[[№]:[Profit]],5,0),"")</f>
        <v/>
      </c>
      <c r="I643" s="46" t="str">
        <f>IFERROR(VLOOKUP(B643,Baza[[№]:[Profit]],6,0),"")</f>
        <v/>
      </c>
      <c r="J643" s="49" t="str">
        <f>IFERROR(VLOOKUP(B643,Baza[[№]:[Profit]],7,0),"")</f>
        <v/>
      </c>
      <c r="K643" s="43" t="str">
        <f>IFERROR(VLOOKUP(B643,Baza[[№]:[Profit]],8,0),"")</f>
        <v/>
      </c>
      <c r="L643" s="43" t="str">
        <f>IFERROR(VLOOKUP(B643,Baza[[№]:[Profit]],9,0),"")</f>
        <v/>
      </c>
      <c r="M643" s="43" t="str">
        <f>IFERROR(VLOOKUP(B643,Baza[[№]:[Profit]],10,0),"")</f>
        <v/>
      </c>
      <c r="N643" s="43" t="str">
        <f>IFERROR(IF(VLOOKUP(B643,Baza[[№]:[Profit]],11,0)=0,"-",VLOOKUP(B643,Baza[[№]:[Profit]],11,0)),"")</f>
        <v/>
      </c>
      <c r="O643" s="43" t="str">
        <f>IFERROR(IF(VLOOKUP(B643,Baza[[№]:[Profit]],12,0)=0,"-",VLOOKUP(B643,Baza[[№]:[Profit]],12,0)),"")</f>
        <v/>
      </c>
      <c r="P643" s="43" t="str">
        <f>IFERROR(IF(VLOOKUP(B643,Baza[[№]:[Profit]],13,0)=0,"-",VLOOKUP(B643,Baza[[№]:[Profit]],13,0)),"")</f>
        <v/>
      </c>
      <c r="Q643" s="43" t="str">
        <f>IFERROR(IF(VLOOKUP(B643,Baza[[№]:[Profit]],15,0)=0,"-",VLOOKUP(B643,Baza[[№]:[Profit]],15,0)),"")</f>
        <v/>
      </c>
      <c r="R643" s="43" t="str">
        <f>IFERROR(IF(VLOOKUP(B643,Baza[[№]:[Profit]],16,0)=0,"-",VLOOKUP(B643,Baza[[№]:[Profit]],16,0)),"")</f>
        <v/>
      </c>
      <c r="S643" s="43" t="str">
        <f>IFERROR(IF(VLOOKUP(B643,Baza[[№]:[Profit]],17,0)=0,"-",VLOOKUP(B643,Baza[[№]:[Profit]],17,0)),"")</f>
        <v/>
      </c>
      <c r="T643" s="43" t="str">
        <f>IFERROR(IF(VLOOKUP(B643,Baza[[№]:[Profit]],18,0)=0,"-",VLOOKUP(B643,Baza[[№]:[Profit]],18,0)),"")</f>
        <v/>
      </c>
      <c r="U643" s="41" t="str">
        <f>IFERROR(IF(VLOOKUP(B643,Baza[[№]:[Profit]],19,0)=0,"-",VLOOKUP(B643,Baza[[№]:[Profit]],19,0)),"")</f>
        <v/>
      </c>
      <c r="V643" s="41" t="str">
        <f>IFERROR(VLOOKUP(B643,Baza[[№]:[Profit]],20,0),"")</f>
        <v/>
      </c>
      <c r="W643" s="41" t="str">
        <f>IFERROR(IF(VLOOKUP(B643,Baza[[№]:[Profit]],21,0)=0,"-",VLOOKUP(B643,Baza[[№]:[Profit]],21,0)),"")</f>
        <v/>
      </c>
      <c r="X643" s="45" t="str">
        <f>IFERROR(IF(VLOOKUP(B643,Baza[[№]:[Profit]],22,0)=0,"-",VLOOKUP(B643,Baza[[№]:[Profit]],22,0)),"")</f>
        <v/>
      </c>
      <c r="Y643" s="45" t="str">
        <f>IFERROR(VLOOKUP(B643,Baza[[№]:[Profit]],23,0),"")</f>
        <v/>
      </c>
      <c r="Z643" s="44" t="str">
        <f>IFERROR(VLOOKUP(B643,Baza[[№]:[AFS]],24,0),"")</f>
        <v/>
      </c>
      <c r="AA643" s="45" t="str">
        <f>IF(Таблица2[[#This Row],[Profit]]="","#Н/Д",SUM($Y$40:Y643))</f>
        <v>#Н/Д</v>
      </c>
      <c r="AB643" s="45" t="b">
        <f>IF(Таблица2[[#This Row],[Grafik]]="#Н/Д",FALSE,TRUE)</f>
        <v>0</v>
      </c>
    </row>
    <row r="644" spans="2:28" ht="11.1" hidden="1" customHeight="1" x14ac:dyDescent="0.25">
      <c r="B644"/>
      <c r="C644" s="41" t="str">
        <f>IFERROR(VLOOKUP(B644,Baza[[№]:[Profit]],2,0),"")</f>
        <v/>
      </c>
      <c r="D64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4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44" s="43" t="str">
        <f>IFERROR(VLOOKUP(B644,Baza[[№]:[Profit]],3,0),"")</f>
        <v/>
      </c>
      <c r="G644" s="43" t="str">
        <f>IFERROR(VLOOKUP(B644,Baza[[№]:[Profit]],4,0),"")</f>
        <v/>
      </c>
      <c r="H644" s="43" t="str">
        <f>IFERROR(VLOOKUP(B644,Baza[[№]:[Profit]],5,0),"")</f>
        <v/>
      </c>
      <c r="I644" s="46" t="str">
        <f>IFERROR(VLOOKUP(B644,Baza[[№]:[Profit]],6,0),"")</f>
        <v/>
      </c>
      <c r="J644" s="49" t="str">
        <f>IFERROR(VLOOKUP(B644,Baza[[№]:[Profit]],7,0),"")</f>
        <v/>
      </c>
      <c r="K644" s="43" t="str">
        <f>IFERROR(VLOOKUP(B644,Baza[[№]:[Profit]],8,0),"")</f>
        <v/>
      </c>
      <c r="L644" s="43" t="str">
        <f>IFERROR(VLOOKUP(B644,Baza[[№]:[Profit]],9,0),"")</f>
        <v/>
      </c>
      <c r="M644" s="43" t="str">
        <f>IFERROR(VLOOKUP(B644,Baza[[№]:[Profit]],10,0),"")</f>
        <v/>
      </c>
      <c r="N644" s="43" t="str">
        <f>IFERROR(IF(VLOOKUP(B644,Baza[[№]:[Profit]],11,0)=0,"-",VLOOKUP(B644,Baza[[№]:[Profit]],11,0)),"")</f>
        <v/>
      </c>
      <c r="O644" s="43" t="str">
        <f>IFERROR(IF(VLOOKUP(B644,Baza[[№]:[Profit]],12,0)=0,"-",VLOOKUP(B644,Baza[[№]:[Profit]],12,0)),"")</f>
        <v/>
      </c>
      <c r="P644" s="43" t="str">
        <f>IFERROR(IF(VLOOKUP(B644,Baza[[№]:[Profit]],13,0)=0,"-",VLOOKUP(B644,Baza[[№]:[Profit]],13,0)),"")</f>
        <v/>
      </c>
      <c r="Q644" s="43" t="str">
        <f>IFERROR(IF(VLOOKUP(B644,Baza[[№]:[Profit]],15,0)=0,"-",VLOOKUP(B644,Baza[[№]:[Profit]],15,0)),"")</f>
        <v/>
      </c>
      <c r="R644" s="43" t="str">
        <f>IFERROR(IF(VLOOKUP(B644,Baza[[№]:[Profit]],16,0)=0,"-",VLOOKUP(B644,Baza[[№]:[Profit]],16,0)),"")</f>
        <v/>
      </c>
      <c r="S644" s="43" t="str">
        <f>IFERROR(IF(VLOOKUP(B644,Baza[[№]:[Profit]],17,0)=0,"-",VLOOKUP(B644,Baza[[№]:[Profit]],17,0)),"")</f>
        <v/>
      </c>
      <c r="T644" s="43" t="str">
        <f>IFERROR(IF(VLOOKUP(B644,Baza[[№]:[Profit]],18,0)=0,"-",VLOOKUP(B644,Baza[[№]:[Profit]],18,0)),"")</f>
        <v/>
      </c>
      <c r="U644" s="41" t="str">
        <f>IFERROR(IF(VLOOKUP(B644,Baza[[№]:[Profit]],19,0)=0,"-",VLOOKUP(B644,Baza[[№]:[Profit]],19,0)),"")</f>
        <v/>
      </c>
      <c r="V644" s="41" t="str">
        <f>IFERROR(VLOOKUP(B644,Baza[[№]:[Profit]],20,0),"")</f>
        <v/>
      </c>
      <c r="W644" s="41" t="str">
        <f>IFERROR(IF(VLOOKUP(B644,Baza[[№]:[Profit]],21,0)=0,"-",VLOOKUP(B644,Baza[[№]:[Profit]],21,0)),"")</f>
        <v/>
      </c>
      <c r="X644" s="45" t="str">
        <f>IFERROR(IF(VLOOKUP(B644,Baza[[№]:[Profit]],22,0)=0,"-",VLOOKUP(B644,Baza[[№]:[Profit]],22,0)),"")</f>
        <v/>
      </c>
      <c r="Y644" s="45" t="str">
        <f>IFERROR(VLOOKUP(B644,Baza[[№]:[Profit]],23,0),"")</f>
        <v/>
      </c>
      <c r="Z644" s="44" t="str">
        <f>IFERROR(VLOOKUP(B644,Baza[[№]:[AFS]],24,0),"")</f>
        <v/>
      </c>
      <c r="AA644" s="45" t="str">
        <f>IF(Таблица2[[#This Row],[Profit]]="","#Н/Д",SUM($Y$40:Y644))</f>
        <v>#Н/Д</v>
      </c>
      <c r="AB644" s="45" t="b">
        <f>IF(Таблица2[[#This Row],[Grafik]]="#Н/Д",FALSE,TRUE)</f>
        <v>0</v>
      </c>
    </row>
    <row r="645" spans="2:28" ht="11.1" hidden="1" customHeight="1" x14ac:dyDescent="0.25">
      <c r="B645"/>
      <c r="C645" s="41" t="str">
        <f>IFERROR(VLOOKUP(B645,Baza[[№]:[Profit]],2,0),"")</f>
        <v/>
      </c>
      <c r="D64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4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45" s="43" t="str">
        <f>IFERROR(VLOOKUP(B645,Baza[[№]:[Profit]],3,0),"")</f>
        <v/>
      </c>
      <c r="G645" s="43" t="str">
        <f>IFERROR(VLOOKUP(B645,Baza[[№]:[Profit]],4,0),"")</f>
        <v/>
      </c>
      <c r="H645" s="43" t="str">
        <f>IFERROR(VLOOKUP(B645,Baza[[№]:[Profit]],5,0),"")</f>
        <v/>
      </c>
      <c r="I645" s="46" t="str">
        <f>IFERROR(VLOOKUP(B645,Baza[[№]:[Profit]],6,0),"")</f>
        <v/>
      </c>
      <c r="J645" s="49" t="str">
        <f>IFERROR(VLOOKUP(B645,Baza[[№]:[Profit]],7,0),"")</f>
        <v/>
      </c>
      <c r="K645" s="43" t="str">
        <f>IFERROR(VLOOKUP(B645,Baza[[№]:[Profit]],8,0),"")</f>
        <v/>
      </c>
      <c r="L645" s="43" t="str">
        <f>IFERROR(VLOOKUP(B645,Baza[[№]:[Profit]],9,0),"")</f>
        <v/>
      </c>
      <c r="M645" s="43" t="str">
        <f>IFERROR(VLOOKUP(B645,Baza[[№]:[Profit]],10,0),"")</f>
        <v/>
      </c>
      <c r="N645" s="43" t="str">
        <f>IFERROR(IF(VLOOKUP(B645,Baza[[№]:[Profit]],11,0)=0,"-",VLOOKUP(B645,Baza[[№]:[Profit]],11,0)),"")</f>
        <v/>
      </c>
      <c r="O645" s="43" t="str">
        <f>IFERROR(IF(VLOOKUP(B645,Baza[[№]:[Profit]],12,0)=0,"-",VLOOKUP(B645,Baza[[№]:[Profit]],12,0)),"")</f>
        <v/>
      </c>
      <c r="P645" s="43" t="str">
        <f>IFERROR(IF(VLOOKUP(B645,Baza[[№]:[Profit]],13,0)=0,"-",VLOOKUP(B645,Baza[[№]:[Profit]],13,0)),"")</f>
        <v/>
      </c>
      <c r="Q645" s="43" t="str">
        <f>IFERROR(IF(VLOOKUP(B645,Baza[[№]:[Profit]],15,0)=0,"-",VLOOKUP(B645,Baza[[№]:[Profit]],15,0)),"")</f>
        <v/>
      </c>
      <c r="R645" s="43" t="str">
        <f>IFERROR(IF(VLOOKUP(B645,Baza[[№]:[Profit]],16,0)=0,"-",VLOOKUP(B645,Baza[[№]:[Profit]],16,0)),"")</f>
        <v/>
      </c>
      <c r="S645" s="43" t="str">
        <f>IFERROR(IF(VLOOKUP(B645,Baza[[№]:[Profit]],17,0)=0,"-",VLOOKUP(B645,Baza[[№]:[Profit]],17,0)),"")</f>
        <v/>
      </c>
      <c r="T645" s="43" t="str">
        <f>IFERROR(IF(VLOOKUP(B645,Baza[[№]:[Profit]],18,0)=0,"-",VLOOKUP(B645,Baza[[№]:[Profit]],18,0)),"")</f>
        <v/>
      </c>
      <c r="U645" s="41" t="str">
        <f>IFERROR(IF(VLOOKUP(B645,Baza[[№]:[Profit]],19,0)=0,"-",VLOOKUP(B645,Baza[[№]:[Profit]],19,0)),"")</f>
        <v/>
      </c>
      <c r="V645" s="41" t="str">
        <f>IFERROR(VLOOKUP(B645,Baza[[№]:[Profit]],20,0),"")</f>
        <v/>
      </c>
      <c r="W645" s="41" t="str">
        <f>IFERROR(IF(VLOOKUP(B645,Baza[[№]:[Profit]],21,0)=0,"-",VLOOKUP(B645,Baza[[№]:[Profit]],21,0)),"")</f>
        <v/>
      </c>
      <c r="X645" s="45" t="str">
        <f>IFERROR(IF(VLOOKUP(B645,Baza[[№]:[Profit]],22,0)=0,"-",VLOOKUP(B645,Baza[[№]:[Profit]],22,0)),"")</f>
        <v/>
      </c>
      <c r="Y645" s="45" t="str">
        <f>IFERROR(VLOOKUP(B645,Baza[[№]:[Profit]],23,0),"")</f>
        <v/>
      </c>
      <c r="Z645" s="44" t="str">
        <f>IFERROR(VLOOKUP(B645,Baza[[№]:[AFS]],24,0),"")</f>
        <v/>
      </c>
      <c r="AA645" s="45" t="str">
        <f>IF(Таблица2[[#This Row],[Profit]]="","#Н/Д",SUM($Y$40:Y645))</f>
        <v>#Н/Д</v>
      </c>
      <c r="AB645" s="45" t="b">
        <f>IF(Таблица2[[#This Row],[Grafik]]="#Н/Д",FALSE,TRUE)</f>
        <v>0</v>
      </c>
    </row>
    <row r="646" spans="2:28" ht="11.1" hidden="1" customHeight="1" x14ac:dyDescent="0.25">
      <c r="B646"/>
      <c r="C646" s="41" t="str">
        <f>IFERROR(VLOOKUP(B646,Baza[[№]:[Profit]],2,0),"")</f>
        <v/>
      </c>
      <c r="D64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4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46" s="43" t="str">
        <f>IFERROR(VLOOKUP(B646,Baza[[№]:[Profit]],3,0),"")</f>
        <v/>
      </c>
      <c r="G646" s="43" t="str">
        <f>IFERROR(VLOOKUP(B646,Baza[[№]:[Profit]],4,0),"")</f>
        <v/>
      </c>
      <c r="H646" s="43" t="str">
        <f>IFERROR(VLOOKUP(B646,Baza[[№]:[Profit]],5,0),"")</f>
        <v/>
      </c>
      <c r="I646" s="46" t="str">
        <f>IFERROR(VLOOKUP(B646,Baza[[№]:[Profit]],6,0),"")</f>
        <v/>
      </c>
      <c r="J646" s="49" t="str">
        <f>IFERROR(VLOOKUP(B646,Baza[[№]:[Profit]],7,0),"")</f>
        <v/>
      </c>
      <c r="K646" s="43" t="str">
        <f>IFERROR(VLOOKUP(B646,Baza[[№]:[Profit]],8,0),"")</f>
        <v/>
      </c>
      <c r="L646" s="43" t="str">
        <f>IFERROR(VLOOKUP(B646,Baza[[№]:[Profit]],9,0),"")</f>
        <v/>
      </c>
      <c r="M646" s="43" t="str">
        <f>IFERROR(VLOOKUP(B646,Baza[[№]:[Profit]],10,0),"")</f>
        <v/>
      </c>
      <c r="N646" s="43" t="str">
        <f>IFERROR(IF(VLOOKUP(B646,Baza[[№]:[Profit]],11,0)=0,"-",VLOOKUP(B646,Baza[[№]:[Profit]],11,0)),"")</f>
        <v/>
      </c>
      <c r="O646" s="43" t="str">
        <f>IFERROR(IF(VLOOKUP(B646,Baza[[№]:[Profit]],12,0)=0,"-",VLOOKUP(B646,Baza[[№]:[Profit]],12,0)),"")</f>
        <v/>
      </c>
      <c r="P646" s="43" t="str">
        <f>IFERROR(IF(VLOOKUP(B646,Baza[[№]:[Profit]],13,0)=0,"-",VLOOKUP(B646,Baza[[№]:[Profit]],13,0)),"")</f>
        <v/>
      </c>
      <c r="Q646" s="43" t="str">
        <f>IFERROR(IF(VLOOKUP(B646,Baza[[№]:[Profit]],15,0)=0,"-",VLOOKUP(B646,Baza[[№]:[Profit]],15,0)),"")</f>
        <v/>
      </c>
      <c r="R646" s="43" t="str">
        <f>IFERROR(IF(VLOOKUP(B646,Baza[[№]:[Profit]],16,0)=0,"-",VLOOKUP(B646,Baza[[№]:[Profit]],16,0)),"")</f>
        <v/>
      </c>
      <c r="S646" s="43" t="str">
        <f>IFERROR(IF(VLOOKUP(B646,Baza[[№]:[Profit]],17,0)=0,"-",VLOOKUP(B646,Baza[[№]:[Profit]],17,0)),"")</f>
        <v/>
      </c>
      <c r="T646" s="43" t="str">
        <f>IFERROR(IF(VLOOKUP(B646,Baza[[№]:[Profit]],18,0)=0,"-",VLOOKUP(B646,Baza[[№]:[Profit]],18,0)),"")</f>
        <v/>
      </c>
      <c r="U646" s="41" t="str">
        <f>IFERROR(IF(VLOOKUP(B646,Baza[[№]:[Profit]],19,0)=0,"-",VLOOKUP(B646,Baza[[№]:[Profit]],19,0)),"")</f>
        <v/>
      </c>
      <c r="V646" s="41" t="str">
        <f>IFERROR(VLOOKUP(B646,Baza[[№]:[Profit]],20,0),"")</f>
        <v/>
      </c>
      <c r="W646" s="41" t="str">
        <f>IFERROR(IF(VLOOKUP(B646,Baza[[№]:[Profit]],21,0)=0,"-",VLOOKUP(B646,Baza[[№]:[Profit]],21,0)),"")</f>
        <v/>
      </c>
      <c r="X646" s="45" t="str">
        <f>IFERROR(IF(VLOOKUP(B646,Baza[[№]:[Profit]],22,0)=0,"-",VLOOKUP(B646,Baza[[№]:[Profit]],22,0)),"")</f>
        <v/>
      </c>
      <c r="Y646" s="45" t="str">
        <f>IFERROR(VLOOKUP(B646,Baza[[№]:[Profit]],23,0),"")</f>
        <v/>
      </c>
      <c r="Z646" s="44" t="str">
        <f>IFERROR(VLOOKUP(B646,Baza[[№]:[AFS]],24,0),"")</f>
        <v/>
      </c>
      <c r="AA646" s="45" t="str">
        <f>IF(Таблица2[[#This Row],[Profit]]="","#Н/Д",SUM($Y$40:Y646))</f>
        <v>#Н/Д</v>
      </c>
      <c r="AB646" s="45" t="b">
        <f>IF(Таблица2[[#This Row],[Grafik]]="#Н/Д",FALSE,TRUE)</f>
        <v>0</v>
      </c>
    </row>
    <row r="647" spans="2:28" ht="11.1" hidden="1" customHeight="1" x14ac:dyDescent="0.25">
      <c r="B647"/>
      <c r="C647" s="41" t="str">
        <f>IFERROR(VLOOKUP(B647,Baza[[№]:[Profit]],2,0),"")</f>
        <v/>
      </c>
      <c r="D64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4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47" s="43" t="str">
        <f>IFERROR(VLOOKUP(B647,Baza[[№]:[Profit]],3,0),"")</f>
        <v/>
      </c>
      <c r="G647" s="43" t="str">
        <f>IFERROR(VLOOKUP(B647,Baza[[№]:[Profit]],4,0),"")</f>
        <v/>
      </c>
      <c r="H647" s="43" t="str">
        <f>IFERROR(VLOOKUP(B647,Baza[[№]:[Profit]],5,0),"")</f>
        <v/>
      </c>
      <c r="I647" s="46" t="str">
        <f>IFERROR(VLOOKUP(B647,Baza[[№]:[Profit]],6,0),"")</f>
        <v/>
      </c>
      <c r="J647" s="49" t="str">
        <f>IFERROR(VLOOKUP(B647,Baza[[№]:[Profit]],7,0),"")</f>
        <v/>
      </c>
      <c r="K647" s="43" t="str">
        <f>IFERROR(VLOOKUP(B647,Baza[[№]:[Profit]],8,0),"")</f>
        <v/>
      </c>
      <c r="L647" s="43" t="str">
        <f>IFERROR(VLOOKUP(B647,Baza[[№]:[Profit]],9,0),"")</f>
        <v/>
      </c>
      <c r="M647" s="43" t="str">
        <f>IFERROR(VLOOKUP(B647,Baza[[№]:[Profit]],10,0),"")</f>
        <v/>
      </c>
      <c r="N647" s="43" t="str">
        <f>IFERROR(IF(VLOOKUP(B647,Baza[[№]:[Profit]],11,0)=0,"-",VLOOKUP(B647,Baza[[№]:[Profit]],11,0)),"")</f>
        <v/>
      </c>
      <c r="O647" s="43" t="str">
        <f>IFERROR(IF(VLOOKUP(B647,Baza[[№]:[Profit]],12,0)=0,"-",VLOOKUP(B647,Baza[[№]:[Profit]],12,0)),"")</f>
        <v/>
      </c>
      <c r="P647" s="43" t="str">
        <f>IFERROR(IF(VLOOKUP(B647,Baza[[№]:[Profit]],13,0)=0,"-",VLOOKUP(B647,Baza[[№]:[Profit]],13,0)),"")</f>
        <v/>
      </c>
      <c r="Q647" s="43" t="str">
        <f>IFERROR(IF(VLOOKUP(B647,Baza[[№]:[Profit]],15,0)=0,"-",VLOOKUP(B647,Baza[[№]:[Profit]],15,0)),"")</f>
        <v/>
      </c>
      <c r="R647" s="43" t="str">
        <f>IFERROR(IF(VLOOKUP(B647,Baza[[№]:[Profit]],16,0)=0,"-",VLOOKUP(B647,Baza[[№]:[Profit]],16,0)),"")</f>
        <v/>
      </c>
      <c r="S647" s="43" t="str">
        <f>IFERROR(IF(VLOOKUP(B647,Baza[[№]:[Profit]],17,0)=0,"-",VLOOKUP(B647,Baza[[№]:[Profit]],17,0)),"")</f>
        <v/>
      </c>
      <c r="T647" s="43" t="str">
        <f>IFERROR(IF(VLOOKUP(B647,Baza[[№]:[Profit]],18,0)=0,"-",VLOOKUP(B647,Baza[[№]:[Profit]],18,0)),"")</f>
        <v/>
      </c>
      <c r="U647" s="41" t="str">
        <f>IFERROR(IF(VLOOKUP(B647,Baza[[№]:[Profit]],19,0)=0,"-",VLOOKUP(B647,Baza[[№]:[Profit]],19,0)),"")</f>
        <v/>
      </c>
      <c r="V647" s="41" t="str">
        <f>IFERROR(VLOOKUP(B647,Baza[[№]:[Profit]],20,0),"")</f>
        <v/>
      </c>
      <c r="W647" s="41" t="str">
        <f>IFERROR(IF(VLOOKUP(B647,Baza[[№]:[Profit]],21,0)=0,"-",VLOOKUP(B647,Baza[[№]:[Profit]],21,0)),"")</f>
        <v/>
      </c>
      <c r="X647" s="45" t="str">
        <f>IFERROR(IF(VLOOKUP(B647,Baza[[№]:[Profit]],22,0)=0,"-",VLOOKUP(B647,Baza[[№]:[Profit]],22,0)),"")</f>
        <v/>
      </c>
      <c r="Y647" s="45" t="str">
        <f>IFERROR(VLOOKUP(B647,Baza[[№]:[Profit]],23,0),"")</f>
        <v/>
      </c>
      <c r="Z647" s="44" t="str">
        <f>IFERROR(VLOOKUP(B647,Baza[[№]:[AFS]],24,0),"")</f>
        <v/>
      </c>
      <c r="AA647" s="45" t="str">
        <f>IF(Таблица2[[#This Row],[Profit]]="","#Н/Д",SUM($Y$40:Y647))</f>
        <v>#Н/Д</v>
      </c>
      <c r="AB647" s="45" t="b">
        <f>IF(Таблица2[[#This Row],[Grafik]]="#Н/Д",FALSE,TRUE)</f>
        <v>0</v>
      </c>
    </row>
    <row r="648" spans="2:28" ht="11.1" hidden="1" customHeight="1" x14ac:dyDescent="0.25">
      <c r="B648"/>
      <c r="C648" s="41" t="str">
        <f>IFERROR(VLOOKUP(B648,Baza[[№]:[Profit]],2,0),"")</f>
        <v/>
      </c>
      <c r="D64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4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48" s="43" t="str">
        <f>IFERROR(VLOOKUP(B648,Baza[[№]:[Profit]],3,0),"")</f>
        <v/>
      </c>
      <c r="G648" s="43" t="str">
        <f>IFERROR(VLOOKUP(B648,Baza[[№]:[Profit]],4,0),"")</f>
        <v/>
      </c>
      <c r="H648" s="43" t="str">
        <f>IFERROR(VLOOKUP(B648,Baza[[№]:[Profit]],5,0),"")</f>
        <v/>
      </c>
      <c r="I648" s="46" t="str">
        <f>IFERROR(VLOOKUP(B648,Baza[[№]:[Profit]],6,0),"")</f>
        <v/>
      </c>
      <c r="J648" s="49" t="str">
        <f>IFERROR(VLOOKUP(B648,Baza[[№]:[Profit]],7,0),"")</f>
        <v/>
      </c>
      <c r="K648" s="43" t="str">
        <f>IFERROR(VLOOKUP(B648,Baza[[№]:[Profit]],8,0),"")</f>
        <v/>
      </c>
      <c r="L648" s="43" t="str">
        <f>IFERROR(VLOOKUP(B648,Baza[[№]:[Profit]],9,0),"")</f>
        <v/>
      </c>
      <c r="M648" s="43" t="str">
        <f>IFERROR(VLOOKUP(B648,Baza[[№]:[Profit]],10,0),"")</f>
        <v/>
      </c>
      <c r="N648" s="43" t="str">
        <f>IFERROR(IF(VLOOKUP(B648,Baza[[№]:[Profit]],11,0)=0,"-",VLOOKUP(B648,Baza[[№]:[Profit]],11,0)),"")</f>
        <v/>
      </c>
      <c r="O648" s="43" t="str">
        <f>IFERROR(IF(VLOOKUP(B648,Baza[[№]:[Profit]],12,0)=0,"-",VLOOKUP(B648,Baza[[№]:[Profit]],12,0)),"")</f>
        <v/>
      </c>
      <c r="P648" s="43" t="str">
        <f>IFERROR(IF(VLOOKUP(B648,Baza[[№]:[Profit]],13,0)=0,"-",VLOOKUP(B648,Baza[[№]:[Profit]],13,0)),"")</f>
        <v/>
      </c>
      <c r="Q648" s="43" t="str">
        <f>IFERROR(IF(VLOOKUP(B648,Baza[[№]:[Profit]],15,0)=0,"-",VLOOKUP(B648,Baza[[№]:[Profit]],15,0)),"")</f>
        <v/>
      </c>
      <c r="R648" s="43" t="str">
        <f>IFERROR(IF(VLOOKUP(B648,Baza[[№]:[Profit]],16,0)=0,"-",VLOOKUP(B648,Baza[[№]:[Profit]],16,0)),"")</f>
        <v/>
      </c>
      <c r="S648" s="43" t="str">
        <f>IFERROR(IF(VLOOKUP(B648,Baza[[№]:[Profit]],17,0)=0,"-",VLOOKUP(B648,Baza[[№]:[Profit]],17,0)),"")</f>
        <v/>
      </c>
      <c r="T648" s="43" t="str">
        <f>IFERROR(IF(VLOOKUP(B648,Baza[[№]:[Profit]],18,0)=0,"-",VLOOKUP(B648,Baza[[№]:[Profit]],18,0)),"")</f>
        <v/>
      </c>
      <c r="U648" s="41" t="str">
        <f>IFERROR(IF(VLOOKUP(B648,Baza[[№]:[Profit]],19,0)=0,"-",VLOOKUP(B648,Baza[[№]:[Profit]],19,0)),"")</f>
        <v/>
      </c>
      <c r="V648" s="41" t="str">
        <f>IFERROR(VLOOKUP(B648,Baza[[№]:[Profit]],20,0),"")</f>
        <v/>
      </c>
      <c r="W648" s="41" t="str">
        <f>IFERROR(IF(VLOOKUP(B648,Baza[[№]:[Profit]],21,0)=0,"-",VLOOKUP(B648,Baza[[№]:[Profit]],21,0)),"")</f>
        <v/>
      </c>
      <c r="X648" s="45" t="str">
        <f>IFERROR(IF(VLOOKUP(B648,Baza[[№]:[Profit]],22,0)=0,"-",VLOOKUP(B648,Baza[[№]:[Profit]],22,0)),"")</f>
        <v/>
      </c>
      <c r="Y648" s="45" t="str">
        <f>IFERROR(VLOOKUP(B648,Baza[[№]:[Profit]],23,0),"")</f>
        <v/>
      </c>
      <c r="Z648" s="44" t="str">
        <f>IFERROR(VLOOKUP(B648,Baza[[№]:[AFS]],24,0),"")</f>
        <v/>
      </c>
      <c r="AA648" s="45" t="str">
        <f>IF(Таблица2[[#This Row],[Profit]]="","#Н/Д",SUM($Y$40:Y648))</f>
        <v>#Н/Д</v>
      </c>
      <c r="AB648" s="45" t="b">
        <f>IF(Таблица2[[#This Row],[Grafik]]="#Н/Д",FALSE,TRUE)</f>
        <v>0</v>
      </c>
    </row>
    <row r="649" spans="2:28" ht="11.1" hidden="1" customHeight="1" x14ac:dyDescent="0.25">
      <c r="B649"/>
      <c r="C649" s="41" t="str">
        <f>IFERROR(VLOOKUP(B649,Baza[[№]:[Profit]],2,0),"")</f>
        <v/>
      </c>
      <c r="D64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4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49" s="43" t="str">
        <f>IFERROR(VLOOKUP(B649,Baza[[№]:[Profit]],3,0),"")</f>
        <v/>
      </c>
      <c r="G649" s="43" t="str">
        <f>IFERROR(VLOOKUP(B649,Baza[[№]:[Profit]],4,0),"")</f>
        <v/>
      </c>
      <c r="H649" s="43" t="str">
        <f>IFERROR(VLOOKUP(B649,Baza[[№]:[Profit]],5,0),"")</f>
        <v/>
      </c>
      <c r="I649" s="46" t="str">
        <f>IFERROR(VLOOKUP(B649,Baza[[№]:[Profit]],6,0),"")</f>
        <v/>
      </c>
      <c r="J649" s="49" t="str">
        <f>IFERROR(VLOOKUP(B649,Baza[[№]:[Profit]],7,0),"")</f>
        <v/>
      </c>
      <c r="K649" s="43" t="str">
        <f>IFERROR(VLOOKUP(B649,Baza[[№]:[Profit]],8,0),"")</f>
        <v/>
      </c>
      <c r="L649" s="43" t="str">
        <f>IFERROR(VLOOKUP(B649,Baza[[№]:[Profit]],9,0),"")</f>
        <v/>
      </c>
      <c r="M649" s="43" t="str">
        <f>IFERROR(VLOOKUP(B649,Baza[[№]:[Profit]],10,0),"")</f>
        <v/>
      </c>
      <c r="N649" s="43" t="str">
        <f>IFERROR(IF(VLOOKUP(B649,Baza[[№]:[Profit]],11,0)=0,"-",VLOOKUP(B649,Baza[[№]:[Profit]],11,0)),"")</f>
        <v/>
      </c>
      <c r="O649" s="43" t="str">
        <f>IFERROR(IF(VLOOKUP(B649,Baza[[№]:[Profit]],12,0)=0,"-",VLOOKUP(B649,Baza[[№]:[Profit]],12,0)),"")</f>
        <v/>
      </c>
      <c r="P649" s="43" t="str">
        <f>IFERROR(IF(VLOOKUP(B649,Baza[[№]:[Profit]],13,0)=0,"-",VLOOKUP(B649,Baza[[№]:[Profit]],13,0)),"")</f>
        <v/>
      </c>
      <c r="Q649" s="43" t="str">
        <f>IFERROR(IF(VLOOKUP(B649,Baza[[№]:[Profit]],15,0)=0,"-",VLOOKUP(B649,Baza[[№]:[Profit]],15,0)),"")</f>
        <v/>
      </c>
      <c r="R649" s="43" t="str">
        <f>IFERROR(IF(VLOOKUP(B649,Baza[[№]:[Profit]],16,0)=0,"-",VLOOKUP(B649,Baza[[№]:[Profit]],16,0)),"")</f>
        <v/>
      </c>
      <c r="S649" s="43" t="str">
        <f>IFERROR(IF(VLOOKUP(B649,Baza[[№]:[Profit]],17,0)=0,"-",VLOOKUP(B649,Baza[[№]:[Profit]],17,0)),"")</f>
        <v/>
      </c>
      <c r="T649" s="43" t="str">
        <f>IFERROR(IF(VLOOKUP(B649,Baza[[№]:[Profit]],18,0)=0,"-",VLOOKUP(B649,Baza[[№]:[Profit]],18,0)),"")</f>
        <v/>
      </c>
      <c r="U649" s="41" t="str">
        <f>IFERROR(IF(VLOOKUP(B649,Baza[[№]:[Profit]],19,0)=0,"-",VLOOKUP(B649,Baza[[№]:[Profit]],19,0)),"")</f>
        <v/>
      </c>
      <c r="V649" s="41" t="str">
        <f>IFERROR(VLOOKUP(B649,Baza[[№]:[Profit]],20,0),"")</f>
        <v/>
      </c>
      <c r="W649" s="41" t="str">
        <f>IFERROR(IF(VLOOKUP(B649,Baza[[№]:[Profit]],21,0)=0,"-",VLOOKUP(B649,Baza[[№]:[Profit]],21,0)),"")</f>
        <v/>
      </c>
      <c r="X649" s="45" t="str">
        <f>IFERROR(IF(VLOOKUP(B649,Baza[[№]:[Profit]],22,0)=0,"-",VLOOKUP(B649,Baza[[№]:[Profit]],22,0)),"")</f>
        <v/>
      </c>
      <c r="Y649" s="45" t="str">
        <f>IFERROR(VLOOKUP(B649,Baza[[№]:[Profit]],23,0),"")</f>
        <v/>
      </c>
      <c r="Z649" s="44" t="str">
        <f>IFERROR(VLOOKUP(B649,Baza[[№]:[AFS]],24,0),"")</f>
        <v/>
      </c>
      <c r="AA649" s="45" t="str">
        <f>IF(Таблица2[[#This Row],[Profit]]="","#Н/Д",SUM($Y$40:Y649))</f>
        <v>#Н/Д</v>
      </c>
      <c r="AB649" s="45" t="b">
        <f>IF(Таблица2[[#This Row],[Grafik]]="#Н/Д",FALSE,TRUE)</f>
        <v>0</v>
      </c>
    </row>
    <row r="650" spans="2:28" ht="11.1" hidden="1" customHeight="1" x14ac:dyDescent="0.25">
      <c r="B650"/>
      <c r="C650" s="41" t="str">
        <f>IFERROR(VLOOKUP(B650,Baza[[№]:[Profit]],2,0),"")</f>
        <v/>
      </c>
      <c r="D65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5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50" s="43" t="str">
        <f>IFERROR(VLOOKUP(B650,Baza[[№]:[Profit]],3,0),"")</f>
        <v/>
      </c>
      <c r="G650" s="43" t="str">
        <f>IFERROR(VLOOKUP(B650,Baza[[№]:[Profit]],4,0),"")</f>
        <v/>
      </c>
      <c r="H650" s="43" t="str">
        <f>IFERROR(VLOOKUP(B650,Baza[[№]:[Profit]],5,0),"")</f>
        <v/>
      </c>
      <c r="I650" s="46" t="str">
        <f>IFERROR(VLOOKUP(B650,Baza[[№]:[Profit]],6,0),"")</f>
        <v/>
      </c>
      <c r="J650" s="49" t="str">
        <f>IFERROR(VLOOKUP(B650,Baza[[№]:[Profit]],7,0),"")</f>
        <v/>
      </c>
      <c r="K650" s="43" t="str">
        <f>IFERROR(VLOOKUP(B650,Baza[[№]:[Profit]],8,0),"")</f>
        <v/>
      </c>
      <c r="L650" s="43" t="str">
        <f>IFERROR(VLOOKUP(B650,Baza[[№]:[Profit]],9,0),"")</f>
        <v/>
      </c>
      <c r="M650" s="43" t="str">
        <f>IFERROR(VLOOKUP(B650,Baza[[№]:[Profit]],10,0),"")</f>
        <v/>
      </c>
      <c r="N650" s="43" t="str">
        <f>IFERROR(IF(VLOOKUP(B650,Baza[[№]:[Profit]],11,0)=0,"-",VLOOKUP(B650,Baza[[№]:[Profit]],11,0)),"")</f>
        <v/>
      </c>
      <c r="O650" s="43" t="str">
        <f>IFERROR(IF(VLOOKUP(B650,Baza[[№]:[Profit]],12,0)=0,"-",VLOOKUP(B650,Baza[[№]:[Profit]],12,0)),"")</f>
        <v/>
      </c>
      <c r="P650" s="43" t="str">
        <f>IFERROR(IF(VLOOKUP(B650,Baza[[№]:[Profit]],13,0)=0,"-",VLOOKUP(B650,Baza[[№]:[Profit]],13,0)),"")</f>
        <v/>
      </c>
      <c r="Q650" s="43" t="str">
        <f>IFERROR(IF(VLOOKUP(B650,Baza[[№]:[Profit]],15,0)=0,"-",VLOOKUP(B650,Baza[[№]:[Profit]],15,0)),"")</f>
        <v/>
      </c>
      <c r="R650" s="43" t="str">
        <f>IFERROR(IF(VLOOKUP(B650,Baza[[№]:[Profit]],16,0)=0,"-",VLOOKUP(B650,Baza[[№]:[Profit]],16,0)),"")</f>
        <v/>
      </c>
      <c r="S650" s="43" t="str">
        <f>IFERROR(IF(VLOOKUP(B650,Baza[[№]:[Profit]],17,0)=0,"-",VLOOKUP(B650,Baza[[№]:[Profit]],17,0)),"")</f>
        <v/>
      </c>
      <c r="T650" s="43" t="str">
        <f>IFERROR(IF(VLOOKUP(B650,Baza[[№]:[Profit]],18,0)=0,"-",VLOOKUP(B650,Baza[[№]:[Profit]],18,0)),"")</f>
        <v/>
      </c>
      <c r="U650" s="41" t="str">
        <f>IFERROR(IF(VLOOKUP(B650,Baza[[№]:[Profit]],19,0)=0,"-",VLOOKUP(B650,Baza[[№]:[Profit]],19,0)),"")</f>
        <v/>
      </c>
      <c r="V650" s="41" t="str">
        <f>IFERROR(VLOOKUP(B650,Baza[[№]:[Profit]],20,0),"")</f>
        <v/>
      </c>
      <c r="W650" s="41" t="str">
        <f>IFERROR(IF(VLOOKUP(B650,Baza[[№]:[Profit]],21,0)=0,"-",VLOOKUP(B650,Baza[[№]:[Profit]],21,0)),"")</f>
        <v/>
      </c>
      <c r="X650" s="45" t="str">
        <f>IFERROR(IF(VLOOKUP(B650,Baza[[№]:[Profit]],22,0)=0,"-",VLOOKUP(B650,Baza[[№]:[Profit]],22,0)),"")</f>
        <v/>
      </c>
      <c r="Y650" s="45" t="str">
        <f>IFERROR(VLOOKUP(B650,Baza[[№]:[Profit]],23,0),"")</f>
        <v/>
      </c>
      <c r="Z650" s="44" t="str">
        <f>IFERROR(VLOOKUP(B650,Baza[[№]:[AFS]],24,0),"")</f>
        <v/>
      </c>
      <c r="AA650" s="45" t="str">
        <f>IF(Таблица2[[#This Row],[Profit]]="","#Н/Д",SUM($Y$40:Y650))</f>
        <v>#Н/Д</v>
      </c>
      <c r="AB650" s="45" t="b">
        <f>IF(Таблица2[[#This Row],[Grafik]]="#Н/Д",FALSE,TRUE)</f>
        <v>0</v>
      </c>
    </row>
    <row r="651" spans="2:28" ht="11.1" hidden="1" customHeight="1" x14ac:dyDescent="0.25">
      <c r="B651"/>
      <c r="C651" s="41" t="str">
        <f>IFERROR(VLOOKUP(B651,Baza[[№]:[Profit]],2,0),"")</f>
        <v/>
      </c>
      <c r="D65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5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51" s="43" t="str">
        <f>IFERROR(VLOOKUP(B651,Baza[[№]:[Profit]],3,0),"")</f>
        <v/>
      </c>
      <c r="G651" s="43" t="str">
        <f>IFERROR(VLOOKUP(B651,Baza[[№]:[Profit]],4,0),"")</f>
        <v/>
      </c>
      <c r="H651" s="43" t="str">
        <f>IFERROR(VLOOKUP(B651,Baza[[№]:[Profit]],5,0),"")</f>
        <v/>
      </c>
      <c r="I651" s="46" t="str">
        <f>IFERROR(VLOOKUP(B651,Baza[[№]:[Profit]],6,0),"")</f>
        <v/>
      </c>
      <c r="J651" s="49" t="str">
        <f>IFERROR(VLOOKUP(B651,Baza[[№]:[Profit]],7,0),"")</f>
        <v/>
      </c>
      <c r="K651" s="43" t="str">
        <f>IFERROR(VLOOKUP(B651,Baza[[№]:[Profit]],8,0),"")</f>
        <v/>
      </c>
      <c r="L651" s="43" t="str">
        <f>IFERROR(VLOOKUP(B651,Baza[[№]:[Profit]],9,0),"")</f>
        <v/>
      </c>
      <c r="M651" s="43" t="str">
        <f>IFERROR(VLOOKUP(B651,Baza[[№]:[Profit]],10,0),"")</f>
        <v/>
      </c>
      <c r="N651" s="43" t="str">
        <f>IFERROR(IF(VLOOKUP(B651,Baza[[№]:[Profit]],11,0)=0,"-",VLOOKUP(B651,Baza[[№]:[Profit]],11,0)),"")</f>
        <v/>
      </c>
      <c r="O651" s="43" t="str">
        <f>IFERROR(IF(VLOOKUP(B651,Baza[[№]:[Profit]],12,0)=0,"-",VLOOKUP(B651,Baza[[№]:[Profit]],12,0)),"")</f>
        <v/>
      </c>
      <c r="P651" s="43" t="str">
        <f>IFERROR(IF(VLOOKUP(B651,Baza[[№]:[Profit]],13,0)=0,"-",VLOOKUP(B651,Baza[[№]:[Profit]],13,0)),"")</f>
        <v/>
      </c>
      <c r="Q651" s="43" t="str">
        <f>IFERROR(IF(VLOOKUP(B651,Baza[[№]:[Profit]],15,0)=0,"-",VLOOKUP(B651,Baza[[№]:[Profit]],15,0)),"")</f>
        <v/>
      </c>
      <c r="R651" s="43" t="str">
        <f>IFERROR(IF(VLOOKUP(B651,Baza[[№]:[Profit]],16,0)=0,"-",VLOOKUP(B651,Baza[[№]:[Profit]],16,0)),"")</f>
        <v/>
      </c>
      <c r="S651" s="43" t="str">
        <f>IFERROR(IF(VLOOKUP(B651,Baza[[№]:[Profit]],17,0)=0,"-",VLOOKUP(B651,Baza[[№]:[Profit]],17,0)),"")</f>
        <v/>
      </c>
      <c r="T651" s="43" t="str">
        <f>IFERROR(IF(VLOOKUP(B651,Baza[[№]:[Profit]],18,0)=0,"-",VLOOKUP(B651,Baza[[№]:[Profit]],18,0)),"")</f>
        <v/>
      </c>
      <c r="U651" s="41" t="str">
        <f>IFERROR(IF(VLOOKUP(B651,Baza[[№]:[Profit]],19,0)=0,"-",VLOOKUP(B651,Baza[[№]:[Profit]],19,0)),"")</f>
        <v/>
      </c>
      <c r="V651" s="41" t="str">
        <f>IFERROR(VLOOKUP(B651,Baza[[№]:[Profit]],20,0),"")</f>
        <v/>
      </c>
      <c r="W651" s="41" t="str">
        <f>IFERROR(IF(VLOOKUP(B651,Baza[[№]:[Profit]],21,0)=0,"-",VLOOKUP(B651,Baza[[№]:[Profit]],21,0)),"")</f>
        <v/>
      </c>
      <c r="X651" s="45" t="str">
        <f>IFERROR(IF(VLOOKUP(B651,Baza[[№]:[Profit]],22,0)=0,"-",VLOOKUP(B651,Baza[[№]:[Profit]],22,0)),"")</f>
        <v/>
      </c>
      <c r="Y651" s="45" t="str">
        <f>IFERROR(VLOOKUP(B651,Baza[[№]:[Profit]],23,0),"")</f>
        <v/>
      </c>
      <c r="Z651" s="44" t="str">
        <f>IFERROR(VLOOKUP(B651,Baza[[№]:[AFS]],24,0),"")</f>
        <v/>
      </c>
      <c r="AA651" s="45" t="str">
        <f>IF(Таблица2[[#This Row],[Profit]]="","#Н/Д",SUM($Y$40:Y651))</f>
        <v>#Н/Д</v>
      </c>
      <c r="AB651" s="45" t="b">
        <f>IF(Таблица2[[#This Row],[Grafik]]="#Н/Д",FALSE,TRUE)</f>
        <v>0</v>
      </c>
    </row>
    <row r="652" spans="2:28" ht="11.1" hidden="1" customHeight="1" x14ac:dyDescent="0.25">
      <c r="B652"/>
      <c r="C652" s="41" t="str">
        <f>IFERROR(VLOOKUP(B652,Baza[[№]:[Profit]],2,0),"")</f>
        <v/>
      </c>
      <c r="D65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5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52" s="43" t="str">
        <f>IFERROR(VLOOKUP(B652,Baza[[№]:[Profit]],3,0),"")</f>
        <v/>
      </c>
      <c r="G652" s="43" t="str">
        <f>IFERROR(VLOOKUP(B652,Baza[[№]:[Profit]],4,0),"")</f>
        <v/>
      </c>
      <c r="H652" s="43" t="str">
        <f>IFERROR(VLOOKUP(B652,Baza[[№]:[Profit]],5,0),"")</f>
        <v/>
      </c>
      <c r="I652" s="46" t="str">
        <f>IFERROR(VLOOKUP(B652,Baza[[№]:[Profit]],6,0),"")</f>
        <v/>
      </c>
      <c r="J652" s="49" t="str">
        <f>IFERROR(VLOOKUP(B652,Baza[[№]:[Profit]],7,0),"")</f>
        <v/>
      </c>
      <c r="K652" s="43" t="str">
        <f>IFERROR(VLOOKUP(B652,Baza[[№]:[Profit]],8,0),"")</f>
        <v/>
      </c>
      <c r="L652" s="43" t="str">
        <f>IFERROR(VLOOKUP(B652,Baza[[№]:[Profit]],9,0),"")</f>
        <v/>
      </c>
      <c r="M652" s="43" t="str">
        <f>IFERROR(VLOOKUP(B652,Baza[[№]:[Profit]],10,0),"")</f>
        <v/>
      </c>
      <c r="N652" s="43" t="str">
        <f>IFERROR(IF(VLOOKUP(B652,Baza[[№]:[Profit]],11,0)=0,"-",VLOOKUP(B652,Baza[[№]:[Profit]],11,0)),"")</f>
        <v/>
      </c>
      <c r="O652" s="43" t="str">
        <f>IFERROR(IF(VLOOKUP(B652,Baza[[№]:[Profit]],12,0)=0,"-",VLOOKUP(B652,Baza[[№]:[Profit]],12,0)),"")</f>
        <v/>
      </c>
      <c r="P652" s="43" t="str">
        <f>IFERROR(IF(VLOOKUP(B652,Baza[[№]:[Profit]],13,0)=0,"-",VLOOKUP(B652,Baza[[№]:[Profit]],13,0)),"")</f>
        <v/>
      </c>
      <c r="Q652" s="43" t="str">
        <f>IFERROR(IF(VLOOKUP(B652,Baza[[№]:[Profit]],15,0)=0,"-",VLOOKUP(B652,Baza[[№]:[Profit]],15,0)),"")</f>
        <v/>
      </c>
      <c r="R652" s="43" t="str">
        <f>IFERROR(IF(VLOOKUP(B652,Baza[[№]:[Profit]],16,0)=0,"-",VLOOKUP(B652,Baza[[№]:[Profit]],16,0)),"")</f>
        <v/>
      </c>
      <c r="S652" s="43" t="str">
        <f>IFERROR(IF(VLOOKUP(B652,Baza[[№]:[Profit]],17,0)=0,"-",VLOOKUP(B652,Baza[[№]:[Profit]],17,0)),"")</f>
        <v/>
      </c>
      <c r="T652" s="43" t="str">
        <f>IFERROR(IF(VLOOKUP(B652,Baza[[№]:[Profit]],18,0)=0,"-",VLOOKUP(B652,Baza[[№]:[Profit]],18,0)),"")</f>
        <v/>
      </c>
      <c r="U652" s="41" t="str">
        <f>IFERROR(IF(VLOOKUP(B652,Baza[[№]:[Profit]],19,0)=0,"-",VLOOKUP(B652,Baza[[№]:[Profit]],19,0)),"")</f>
        <v/>
      </c>
      <c r="V652" s="41" t="str">
        <f>IFERROR(VLOOKUP(B652,Baza[[№]:[Profit]],20,0),"")</f>
        <v/>
      </c>
      <c r="W652" s="41" t="str">
        <f>IFERROR(IF(VLOOKUP(B652,Baza[[№]:[Profit]],21,0)=0,"-",VLOOKUP(B652,Baza[[№]:[Profit]],21,0)),"")</f>
        <v/>
      </c>
      <c r="X652" s="45" t="str">
        <f>IFERROR(IF(VLOOKUP(B652,Baza[[№]:[Profit]],22,0)=0,"-",VLOOKUP(B652,Baza[[№]:[Profit]],22,0)),"")</f>
        <v/>
      </c>
      <c r="Y652" s="45" t="str">
        <f>IFERROR(VLOOKUP(B652,Baza[[№]:[Profit]],23,0),"")</f>
        <v/>
      </c>
      <c r="Z652" s="44" t="str">
        <f>IFERROR(VLOOKUP(B652,Baza[[№]:[AFS]],24,0),"")</f>
        <v/>
      </c>
      <c r="AA652" s="45" t="str">
        <f>IF(Таблица2[[#This Row],[Profit]]="","#Н/Д",SUM($Y$40:Y652))</f>
        <v>#Н/Д</v>
      </c>
      <c r="AB652" s="45" t="b">
        <f>IF(Таблица2[[#This Row],[Grafik]]="#Н/Д",FALSE,TRUE)</f>
        <v>0</v>
      </c>
    </row>
    <row r="653" spans="2:28" ht="11.1" hidden="1" customHeight="1" x14ac:dyDescent="0.25">
      <c r="B653"/>
      <c r="C653" s="41" t="str">
        <f>IFERROR(VLOOKUP(B653,Baza[[№]:[Profit]],2,0),"")</f>
        <v/>
      </c>
      <c r="D65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5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53" s="43" t="str">
        <f>IFERROR(VLOOKUP(B653,Baza[[№]:[Profit]],3,0),"")</f>
        <v/>
      </c>
      <c r="G653" s="43" t="str">
        <f>IFERROR(VLOOKUP(B653,Baza[[№]:[Profit]],4,0),"")</f>
        <v/>
      </c>
      <c r="H653" s="43" t="str">
        <f>IFERROR(VLOOKUP(B653,Baza[[№]:[Profit]],5,0),"")</f>
        <v/>
      </c>
      <c r="I653" s="46" t="str">
        <f>IFERROR(VLOOKUP(B653,Baza[[№]:[Profit]],6,0),"")</f>
        <v/>
      </c>
      <c r="J653" s="49" t="str">
        <f>IFERROR(VLOOKUP(B653,Baza[[№]:[Profit]],7,0),"")</f>
        <v/>
      </c>
      <c r="K653" s="43" t="str">
        <f>IFERROR(VLOOKUP(B653,Baza[[№]:[Profit]],8,0),"")</f>
        <v/>
      </c>
      <c r="L653" s="43" t="str">
        <f>IFERROR(VLOOKUP(B653,Baza[[№]:[Profit]],9,0),"")</f>
        <v/>
      </c>
      <c r="M653" s="43" t="str">
        <f>IFERROR(VLOOKUP(B653,Baza[[№]:[Profit]],10,0),"")</f>
        <v/>
      </c>
      <c r="N653" s="43" t="str">
        <f>IFERROR(IF(VLOOKUP(B653,Baza[[№]:[Profit]],11,0)=0,"-",VLOOKUP(B653,Baza[[№]:[Profit]],11,0)),"")</f>
        <v/>
      </c>
      <c r="O653" s="43" t="str">
        <f>IFERROR(IF(VLOOKUP(B653,Baza[[№]:[Profit]],12,0)=0,"-",VLOOKUP(B653,Baza[[№]:[Profit]],12,0)),"")</f>
        <v/>
      </c>
      <c r="P653" s="43" t="str">
        <f>IFERROR(IF(VLOOKUP(B653,Baza[[№]:[Profit]],13,0)=0,"-",VLOOKUP(B653,Baza[[№]:[Profit]],13,0)),"")</f>
        <v/>
      </c>
      <c r="Q653" s="43" t="str">
        <f>IFERROR(IF(VLOOKUP(B653,Baza[[№]:[Profit]],15,0)=0,"-",VLOOKUP(B653,Baza[[№]:[Profit]],15,0)),"")</f>
        <v/>
      </c>
      <c r="R653" s="43" t="str">
        <f>IFERROR(IF(VLOOKUP(B653,Baza[[№]:[Profit]],16,0)=0,"-",VLOOKUP(B653,Baza[[№]:[Profit]],16,0)),"")</f>
        <v/>
      </c>
      <c r="S653" s="43" t="str">
        <f>IFERROR(IF(VLOOKUP(B653,Baza[[№]:[Profit]],17,0)=0,"-",VLOOKUP(B653,Baza[[№]:[Profit]],17,0)),"")</f>
        <v/>
      </c>
      <c r="T653" s="43" t="str">
        <f>IFERROR(IF(VLOOKUP(B653,Baza[[№]:[Profit]],18,0)=0,"-",VLOOKUP(B653,Baza[[№]:[Profit]],18,0)),"")</f>
        <v/>
      </c>
      <c r="U653" s="41" t="str">
        <f>IFERROR(IF(VLOOKUP(B653,Baza[[№]:[Profit]],19,0)=0,"-",VLOOKUP(B653,Baza[[№]:[Profit]],19,0)),"")</f>
        <v/>
      </c>
      <c r="V653" s="41" t="str">
        <f>IFERROR(VLOOKUP(B653,Baza[[№]:[Profit]],20,0),"")</f>
        <v/>
      </c>
      <c r="W653" s="41" t="str">
        <f>IFERROR(IF(VLOOKUP(B653,Baza[[№]:[Profit]],21,0)=0,"-",VLOOKUP(B653,Baza[[№]:[Profit]],21,0)),"")</f>
        <v/>
      </c>
      <c r="X653" s="45" t="str">
        <f>IFERROR(IF(VLOOKUP(B653,Baza[[№]:[Profit]],22,0)=0,"-",VLOOKUP(B653,Baza[[№]:[Profit]],22,0)),"")</f>
        <v/>
      </c>
      <c r="Y653" s="45" t="str">
        <f>IFERROR(VLOOKUP(B653,Baza[[№]:[Profit]],23,0),"")</f>
        <v/>
      </c>
      <c r="Z653" s="44" t="str">
        <f>IFERROR(VLOOKUP(B653,Baza[[№]:[AFS]],24,0),"")</f>
        <v/>
      </c>
      <c r="AA653" s="45" t="str">
        <f>IF(Таблица2[[#This Row],[Profit]]="","#Н/Д",SUM($Y$40:Y653))</f>
        <v>#Н/Д</v>
      </c>
      <c r="AB653" s="45" t="b">
        <f>IF(Таблица2[[#This Row],[Grafik]]="#Н/Д",FALSE,TRUE)</f>
        <v>0</v>
      </c>
    </row>
    <row r="654" spans="2:28" ht="11.1" hidden="1" customHeight="1" x14ac:dyDescent="0.25">
      <c r="B654"/>
      <c r="C654" s="41" t="str">
        <f>IFERROR(VLOOKUP(B654,Baza[[№]:[Profit]],2,0),"")</f>
        <v/>
      </c>
      <c r="D65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5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54" s="43" t="str">
        <f>IFERROR(VLOOKUP(B654,Baza[[№]:[Profit]],3,0),"")</f>
        <v/>
      </c>
      <c r="G654" s="43" t="str">
        <f>IFERROR(VLOOKUP(B654,Baza[[№]:[Profit]],4,0),"")</f>
        <v/>
      </c>
      <c r="H654" s="43" t="str">
        <f>IFERROR(VLOOKUP(B654,Baza[[№]:[Profit]],5,0),"")</f>
        <v/>
      </c>
      <c r="I654" s="46" t="str">
        <f>IFERROR(VLOOKUP(B654,Baza[[№]:[Profit]],6,0),"")</f>
        <v/>
      </c>
      <c r="J654" s="49" t="str">
        <f>IFERROR(VLOOKUP(B654,Baza[[№]:[Profit]],7,0),"")</f>
        <v/>
      </c>
      <c r="K654" s="43" t="str">
        <f>IFERROR(VLOOKUP(B654,Baza[[№]:[Profit]],8,0),"")</f>
        <v/>
      </c>
      <c r="L654" s="43" t="str">
        <f>IFERROR(VLOOKUP(B654,Baza[[№]:[Profit]],9,0),"")</f>
        <v/>
      </c>
      <c r="M654" s="43" t="str">
        <f>IFERROR(VLOOKUP(B654,Baza[[№]:[Profit]],10,0),"")</f>
        <v/>
      </c>
      <c r="N654" s="43" t="str">
        <f>IFERROR(IF(VLOOKUP(B654,Baza[[№]:[Profit]],11,0)=0,"-",VLOOKUP(B654,Baza[[№]:[Profit]],11,0)),"")</f>
        <v/>
      </c>
      <c r="O654" s="43" t="str">
        <f>IFERROR(IF(VLOOKUP(B654,Baza[[№]:[Profit]],12,0)=0,"-",VLOOKUP(B654,Baza[[№]:[Profit]],12,0)),"")</f>
        <v/>
      </c>
      <c r="P654" s="43" t="str">
        <f>IFERROR(IF(VLOOKUP(B654,Baza[[№]:[Profit]],13,0)=0,"-",VLOOKUP(B654,Baza[[№]:[Profit]],13,0)),"")</f>
        <v/>
      </c>
      <c r="Q654" s="43" t="str">
        <f>IFERROR(IF(VLOOKUP(B654,Baza[[№]:[Profit]],15,0)=0,"-",VLOOKUP(B654,Baza[[№]:[Profit]],15,0)),"")</f>
        <v/>
      </c>
      <c r="R654" s="43" t="str">
        <f>IFERROR(IF(VLOOKUP(B654,Baza[[№]:[Profit]],16,0)=0,"-",VLOOKUP(B654,Baza[[№]:[Profit]],16,0)),"")</f>
        <v/>
      </c>
      <c r="S654" s="43" t="str">
        <f>IFERROR(IF(VLOOKUP(B654,Baza[[№]:[Profit]],17,0)=0,"-",VLOOKUP(B654,Baza[[№]:[Profit]],17,0)),"")</f>
        <v/>
      </c>
      <c r="T654" s="43" t="str">
        <f>IFERROR(IF(VLOOKUP(B654,Baza[[№]:[Profit]],18,0)=0,"-",VLOOKUP(B654,Baza[[№]:[Profit]],18,0)),"")</f>
        <v/>
      </c>
      <c r="U654" s="41" t="str">
        <f>IFERROR(IF(VLOOKUP(B654,Baza[[№]:[Profit]],19,0)=0,"-",VLOOKUP(B654,Baza[[№]:[Profit]],19,0)),"")</f>
        <v/>
      </c>
      <c r="V654" s="41" t="str">
        <f>IFERROR(VLOOKUP(B654,Baza[[№]:[Profit]],20,0),"")</f>
        <v/>
      </c>
      <c r="W654" s="41" t="str">
        <f>IFERROR(IF(VLOOKUP(B654,Baza[[№]:[Profit]],21,0)=0,"-",VLOOKUP(B654,Baza[[№]:[Profit]],21,0)),"")</f>
        <v/>
      </c>
      <c r="X654" s="45" t="str">
        <f>IFERROR(IF(VLOOKUP(B654,Baza[[№]:[Profit]],22,0)=0,"-",VLOOKUP(B654,Baza[[№]:[Profit]],22,0)),"")</f>
        <v/>
      </c>
      <c r="Y654" s="45" t="str">
        <f>IFERROR(VLOOKUP(B654,Baza[[№]:[Profit]],23,0),"")</f>
        <v/>
      </c>
      <c r="Z654" s="44" t="str">
        <f>IFERROR(VLOOKUP(B654,Baza[[№]:[AFS]],24,0),"")</f>
        <v/>
      </c>
      <c r="AA654" s="45" t="str">
        <f>IF(Таблица2[[#This Row],[Profit]]="","#Н/Д",SUM($Y$40:Y654))</f>
        <v>#Н/Д</v>
      </c>
      <c r="AB654" s="45" t="b">
        <f>IF(Таблица2[[#This Row],[Grafik]]="#Н/Д",FALSE,TRUE)</f>
        <v>0</v>
      </c>
    </row>
    <row r="655" spans="2:28" ht="11.1" hidden="1" customHeight="1" x14ac:dyDescent="0.25">
      <c r="B655"/>
      <c r="C655" s="41" t="str">
        <f>IFERROR(VLOOKUP(B655,Baza[[№]:[Profit]],2,0),"")</f>
        <v/>
      </c>
      <c r="D65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5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55" s="43" t="str">
        <f>IFERROR(VLOOKUP(B655,Baza[[№]:[Profit]],3,0),"")</f>
        <v/>
      </c>
      <c r="G655" s="43" t="str">
        <f>IFERROR(VLOOKUP(B655,Baza[[№]:[Profit]],4,0),"")</f>
        <v/>
      </c>
      <c r="H655" s="43" t="str">
        <f>IFERROR(VLOOKUP(B655,Baza[[№]:[Profit]],5,0),"")</f>
        <v/>
      </c>
      <c r="I655" s="46" t="str">
        <f>IFERROR(VLOOKUP(B655,Baza[[№]:[Profit]],6,0),"")</f>
        <v/>
      </c>
      <c r="J655" s="49" t="str">
        <f>IFERROR(VLOOKUP(B655,Baza[[№]:[Profit]],7,0),"")</f>
        <v/>
      </c>
      <c r="K655" s="43" t="str">
        <f>IFERROR(VLOOKUP(B655,Baza[[№]:[Profit]],8,0),"")</f>
        <v/>
      </c>
      <c r="L655" s="43" t="str">
        <f>IFERROR(VLOOKUP(B655,Baza[[№]:[Profit]],9,0),"")</f>
        <v/>
      </c>
      <c r="M655" s="43" t="str">
        <f>IFERROR(VLOOKUP(B655,Baza[[№]:[Profit]],10,0),"")</f>
        <v/>
      </c>
      <c r="N655" s="43" t="str">
        <f>IFERROR(IF(VLOOKUP(B655,Baza[[№]:[Profit]],11,0)=0,"-",VLOOKUP(B655,Baza[[№]:[Profit]],11,0)),"")</f>
        <v/>
      </c>
      <c r="O655" s="43" t="str">
        <f>IFERROR(IF(VLOOKUP(B655,Baza[[№]:[Profit]],12,0)=0,"-",VLOOKUP(B655,Baza[[№]:[Profit]],12,0)),"")</f>
        <v/>
      </c>
      <c r="P655" s="43" t="str">
        <f>IFERROR(IF(VLOOKUP(B655,Baza[[№]:[Profit]],13,0)=0,"-",VLOOKUP(B655,Baza[[№]:[Profit]],13,0)),"")</f>
        <v/>
      </c>
      <c r="Q655" s="43" t="str">
        <f>IFERROR(IF(VLOOKUP(B655,Baza[[№]:[Profit]],15,0)=0,"-",VLOOKUP(B655,Baza[[№]:[Profit]],15,0)),"")</f>
        <v/>
      </c>
      <c r="R655" s="43" t="str">
        <f>IFERROR(IF(VLOOKUP(B655,Baza[[№]:[Profit]],16,0)=0,"-",VLOOKUP(B655,Baza[[№]:[Profit]],16,0)),"")</f>
        <v/>
      </c>
      <c r="S655" s="43" t="str">
        <f>IFERROR(IF(VLOOKUP(B655,Baza[[№]:[Profit]],17,0)=0,"-",VLOOKUP(B655,Baza[[№]:[Profit]],17,0)),"")</f>
        <v/>
      </c>
      <c r="T655" s="43" t="str">
        <f>IFERROR(IF(VLOOKUP(B655,Baza[[№]:[Profit]],18,0)=0,"-",VLOOKUP(B655,Baza[[№]:[Profit]],18,0)),"")</f>
        <v/>
      </c>
      <c r="U655" s="41" t="str">
        <f>IFERROR(IF(VLOOKUP(B655,Baza[[№]:[Profit]],19,0)=0,"-",VLOOKUP(B655,Baza[[№]:[Profit]],19,0)),"")</f>
        <v/>
      </c>
      <c r="V655" s="41" t="str">
        <f>IFERROR(VLOOKUP(B655,Baza[[№]:[Profit]],20,0),"")</f>
        <v/>
      </c>
      <c r="W655" s="41" t="str">
        <f>IFERROR(IF(VLOOKUP(B655,Baza[[№]:[Profit]],21,0)=0,"-",VLOOKUP(B655,Baza[[№]:[Profit]],21,0)),"")</f>
        <v/>
      </c>
      <c r="X655" s="45" t="str">
        <f>IFERROR(IF(VLOOKUP(B655,Baza[[№]:[Profit]],22,0)=0,"-",VLOOKUP(B655,Baza[[№]:[Profit]],22,0)),"")</f>
        <v/>
      </c>
      <c r="Y655" s="45" t="str">
        <f>IFERROR(VLOOKUP(B655,Baza[[№]:[Profit]],23,0),"")</f>
        <v/>
      </c>
      <c r="Z655" s="44" t="str">
        <f>IFERROR(VLOOKUP(B655,Baza[[№]:[AFS]],24,0),"")</f>
        <v/>
      </c>
      <c r="AA655" s="45" t="str">
        <f>IF(Таблица2[[#This Row],[Profit]]="","#Н/Д",SUM($Y$40:Y655))</f>
        <v>#Н/Д</v>
      </c>
      <c r="AB655" s="45" t="b">
        <f>IF(Таблица2[[#This Row],[Grafik]]="#Н/Д",FALSE,TRUE)</f>
        <v>0</v>
      </c>
    </row>
    <row r="656" spans="2:28" ht="11.1" hidden="1" customHeight="1" x14ac:dyDescent="0.25">
      <c r="B656"/>
      <c r="C656" s="41" t="str">
        <f>IFERROR(VLOOKUP(B656,Baza[[№]:[Profit]],2,0),"")</f>
        <v/>
      </c>
      <c r="D65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5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56" s="43" t="str">
        <f>IFERROR(VLOOKUP(B656,Baza[[№]:[Profit]],3,0),"")</f>
        <v/>
      </c>
      <c r="G656" s="43" t="str">
        <f>IFERROR(VLOOKUP(B656,Baza[[№]:[Profit]],4,0),"")</f>
        <v/>
      </c>
      <c r="H656" s="43" t="str">
        <f>IFERROR(VLOOKUP(B656,Baza[[№]:[Profit]],5,0),"")</f>
        <v/>
      </c>
      <c r="I656" s="46" t="str">
        <f>IFERROR(VLOOKUP(B656,Baza[[№]:[Profit]],6,0),"")</f>
        <v/>
      </c>
      <c r="J656" s="49" t="str">
        <f>IFERROR(VLOOKUP(B656,Baza[[№]:[Profit]],7,0),"")</f>
        <v/>
      </c>
      <c r="K656" s="43" t="str">
        <f>IFERROR(VLOOKUP(B656,Baza[[№]:[Profit]],8,0),"")</f>
        <v/>
      </c>
      <c r="L656" s="43" t="str">
        <f>IFERROR(VLOOKUP(B656,Baza[[№]:[Profit]],9,0),"")</f>
        <v/>
      </c>
      <c r="M656" s="43" t="str">
        <f>IFERROR(VLOOKUP(B656,Baza[[№]:[Profit]],10,0),"")</f>
        <v/>
      </c>
      <c r="N656" s="43" t="str">
        <f>IFERROR(IF(VLOOKUP(B656,Baza[[№]:[Profit]],11,0)=0,"-",VLOOKUP(B656,Baza[[№]:[Profit]],11,0)),"")</f>
        <v/>
      </c>
      <c r="O656" s="43" t="str">
        <f>IFERROR(IF(VLOOKUP(B656,Baza[[№]:[Profit]],12,0)=0,"-",VLOOKUP(B656,Baza[[№]:[Profit]],12,0)),"")</f>
        <v/>
      </c>
      <c r="P656" s="43" t="str">
        <f>IFERROR(IF(VLOOKUP(B656,Baza[[№]:[Profit]],13,0)=0,"-",VLOOKUP(B656,Baza[[№]:[Profit]],13,0)),"")</f>
        <v/>
      </c>
      <c r="Q656" s="43" t="str">
        <f>IFERROR(IF(VLOOKUP(B656,Baza[[№]:[Profit]],15,0)=0,"-",VLOOKUP(B656,Baza[[№]:[Profit]],15,0)),"")</f>
        <v/>
      </c>
      <c r="R656" s="43" t="str">
        <f>IFERROR(IF(VLOOKUP(B656,Baza[[№]:[Profit]],16,0)=0,"-",VLOOKUP(B656,Baza[[№]:[Profit]],16,0)),"")</f>
        <v/>
      </c>
      <c r="S656" s="43" t="str">
        <f>IFERROR(IF(VLOOKUP(B656,Baza[[№]:[Profit]],17,0)=0,"-",VLOOKUP(B656,Baza[[№]:[Profit]],17,0)),"")</f>
        <v/>
      </c>
      <c r="T656" s="43" t="str">
        <f>IFERROR(IF(VLOOKUP(B656,Baza[[№]:[Profit]],18,0)=0,"-",VLOOKUP(B656,Baza[[№]:[Profit]],18,0)),"")</f>
        <v/>
      </c>
      <c r="U656" s="41" t="str">
        <f>IFERROR(IF(VLOOKUP(B656,Baza[[№]:[Profit]],19,0)=0,"-",VLOOKUP(B656,Baza[[№]:[Profit]],19,0)),"")</f>
        <v/>
      </c>
      <c r="V656" s="41" t="str">
        <f>IFERROR(VLOOKUP(B656,Baza[[№]:[Profit]],20,0),"")</f>
        <v/>
      </c>
      <c r="W656" s="41" t="str">
        <f>IFERROR(IF(VLOOKUP(B656,Baza[[№]:[Profit]],21,0)=0,"-",VLOOKUP(B656,Baza[[№]:[Profit]],21,0)),"")</f>
        <v/>
      </c>
      <c r="X656" s="45" t="str">
        <f>IFERROR(IF(VLOOKUP(B656,Baza[[№]:[Profit]],22,0)=0,"-",VLOOKUP(B656,Baza[[№]:[Profit]],22,0)),"")</f>
        <v/>
      </c>
      <c r="Y656" s="45" t="str">
        <f>IFERROR(VLOOKUP(B656,Baza[[№]:[Profit]],23,0),"")</f>
        <v/>
      </c>
      <c r="Z656" s="44" t="str">
        <f>IFERROR(VLOOKUP(B656,Baza[[№]:[AFS]],24,0),"")</f>
        <v/>
      </c>
      <c r="AA656" s="45" t="str">
        <f>IF(Таблица2[[#This Row],[Profit]]="","#Н/Д",SUM($Y$40:Y656))</f>
        <v>#Н/Д</v>
      </c>
      <c r="AB656" s="45" t="b">
        <f>IF(Таблица2[[#This Row],[Grafik]]="#Н/Д",FALSE,TRUE)</f>
        <v>0</v>
      </c>
    </row>
    <row r="657" spans="2:28" ht="11.1" hidden="1" customHeight="1" x14ac:dyDescent="0.25">
      <c r="B657"/>
      <c r="C657" s="41" t="str">
        <f>IFERROR(VLOOKUP(B657,Baza[[№]:[Profit]],2,0),"")</f>
        <v/>
      </c>
      <c r="D65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5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57" s="43" t="str">
        <f>IFERROR(VLOOKUP(B657,Baza[[№]:[Profit]],3,0),"")</f>
        <v/>
      </c>
      <c r="G657" s="43" t="str">
        <f>IFERROR(VLOOKUP(B657,Baza[[№]:[Profit]],4,0),"")</f>
        <v/>
      </c>
      <c r="H657" s="43" t="str">
        <f>IFERROR(VLOOKUP(B657,Baza[[№]:[Profit]],5,0),"")</f>
        <v/>
      </c>
      <c r="I657" s="46" t="str">
        <f>IFERROR(VLOOKUP(B657,Baza[[№]:[Profit]],6,0),"")</f>
        <v/>
      </c>
      <c r="J657" s="49" t="str">
        <f>IFERROR(VLOOKUP(B657,Baza[[№]:[Profit]],7,0),"")</f>
        <v/>
      </c>
      <c r="K657" s="43" t="str">
        <f>IFERROR(VLOOKUP(B657,Baza[[№]:[Profit]],8,0),"")</f>
        <v/>
      </c>
      <c r="L657" s="43" t="str">
        <f>IFERROR(VLOOKUP(B657,Baza[[№]:[Profit]],9,0),"")</f>
        <v/>
      </c>
      <c r="M657" s="43" t="str">
        <f>IFERROR(VLOOKUP(B657,Baza[[№]:[Profit]],10,0),"")</f>
        <v/>
      </c>
      <c r="N657" s="43" t="str">
        <f>IFERROR(IF(VLOOKUP(B657,Baza[[№]:[Profit]],11,0)=0,"-",VLOOKUP(B657,Baza[[№]:[Profit]],11,0)),"")</f>
        <v/>
      </c>
      <c r="O657" s="43" t="str">
        <f>IFERROR(IF(VLOOKUP(B657,Baza[[№]:[Profit]],12,0)=0,"-",VLOOKUP(B657,Baza[[№]:[Profit]],12,0)),"")</f>
        <v/>
      </c>
      <c r="P657" s="43" t="str">
        <f>IFERROR(IF(VLOOKUP(B657,Baza[[№]:[Profit]],13,0)=0,"-",VLOOKUP(B657,Baza[[№]:[Profit]],13,0)),"")</f>
        <v/>
      </c>
      <c r="Q657" s="43" t="str">
        <f>IFERROR(IF(VLOOKUP(B657,Baza[[№]:[Profit]],15,0)=0,"-",VLOOKUP(B657,Baza[[№]:[Profit]],15,0)),"")</f>
        <v/>
      </c>
      <c r="R657" s="43" t="str">
        <f>IFERROR(IF(VLOOKUP(B657,Baza[[№]:[Profit]],16,0)=0,"-",VLOOKUP(B657,Baza[[№]:[Profit]],16,0)),"")</f>
        <v/>
      </c>
      <c r="S657" s="43" t="str">
        <f>IFERROR(IF(VLOOKUP(B657,Baza[[№]:[Profit]],17,0)=0,"-",VLOOKUP(B657,Baza[[№]:[Profit]],17,0)),"")</f>
        <v/>
      </c>
      <c r="T657" s="43" t="str">
        <f>IFERROR(IF(VLOOKUP(B657,Baza[[№]:[Profit]],18,0)=0,"-",VLOOKUP(B657,Baza[[№]:[Profit]],18,0)),"")</f>
        <v/>
      </c>
      <c r="U657" s="41" t="str">
        <f>IFERROR(IF(VLOOKUP(B657,Baza[[№]:[Profit]],19,0)=0,"-",VLOOKUP(B657,Baza[[№]:[Profit]],19,0)),"")</f>
        <v/>
      </c>
      <c r="V657" s="41" t="str">
        <f>IFERROR(VLOOKUP(B657,Baza[[№]:[Profit]],20,0),"")</f>
        <v/>
      </c>
      <c r="W657" s="41" t="str">
        <f>IFERROR(IF(VLOOKUP(B657,Baza[[№]:[Profit]],21,0)=0,"-",VLOOKUP(B657,Baza[[№]:[Profit]],21,0)),"")</f>
        <v/>
      </c>
      <c r="X657" s="45" t="str">
        <f>IFERROR(IF(VLOOKUP(B657,Baza[[№]:[Profit]],22,0)=0,"-",VLOOKUP(B657,Baza[[№]:[Profit]],22,0)),"")</f>
        <v/>
      </c>
      <c r="Y657" s="45" t="str">
        <f>IFERROR(VLOOKUP(B657,Baza[[№]:[Profit]],23,0),"")</f>
        <v/>
      </c>
      <c r="Z657" s="44" t="str">
        <f>IFERROR(VLOOKUP(B657,Baza[[№]:[AFS]],24,0),"")</f>
        <v/>
      </c>
      <c r="AA657" s="45" t="str">
        <f>IF(Таблица2[[#This Row],[Profit]]="","#Н/Д",SUM($Y$40:Y657))</f>
        <v>#Н/Д</v>
      </c>
      <c r="AB657" s="45" t="b">
        <f>IF(Таблица2[[#This Row],[Grafik]]="#Н/Д",FALSE,TRUE)</f>
        <v>0</v>
      </c>
    </row>
    <row r="658" spans="2:28" ht="11.1" hidden="1" customHeight="1" x14ac:dyDescent="0.25">
      <c r="B658"/>
      <c r="C658" s="41" t="str">
        <f>IFERROR(VLOOKUP(B658,Baza[[№]:[Profit]],2,0),"")</f>
        <v/>
      </c>
      <c r="D65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5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58" s="43" t="str">
        <f>IFERROR(VLOOKUP(B658,Baza[[№]:[Profit]],3,0),"")</f>
        <v/>
      </c>
      <c r="G658" s="43" t="str">
        <f>IFERROR(VLOOKUP(B658,Baza[[№]:[Profit]],4,0),"")</f>
        <v/>
      </c>
      <c r="H658" s="43" t="str">
        <f>IFERROR(VLOOKUP(B658,Baza[[№]:[Profit]],5,0),"")</f>
        <v/>
      </c>
      <c r="I658" s="46" t="str">
        <f>IFERROR(VLOOKUP(B658,Baza[[№]:[Profit]],6,0),"")</f>
        <v/>
      </c>
      <c r="J658" s="49" t="str">
        <f>IFERROR(VLOOKUP(B658,Baza[[№]:[Profit]],7,0),"")</f>
        <v/>
      </c>
      <c r="K658" s="43" t="str">
        <f>IFERROR(VLOOKUP(B658,Baza[[№]:[Profit]],8,0),"")</f>
        <v/>
      </c>
      <c r="L658" s="43" t="str">
        <f>IFERROR(VLOOKUP(B658,Baza[[№]:[Profit]],9,0),"")</f>
        <v/>
      </c>
      <c r="M658" s="43" t="str">
        <f>IFERROR(VLOOKUP(B658,Baza[[№]:[Profit]],10,0),"")</f>
        <v/>
      </c>
      <c r="N658" s="43" t="str">
        <f>IFERROR(IF(VLOOKUP(B658,Baza[[№]:[Profit]],11,0)=0,"-",VLOOKUP(B658,Baza[[№]:[Profit]],11,0)),"")</f>
        <v/>
      </c>
      <c r="O658" s="43" t="str">
        <f>IFERROR(IF(VLOOKUP(B658,Baza[[№]:[Profit]],12,0)=0,"-",VLOOKUP(B658,Baza[[№]:[Profit]],12,0)),"")</f>
        <v/>
      </c>
      <c r="P658" s="43" t="str">
        <f>IFERROR(IF(VLOOKUP(B658,Baza[[№]:[Profit]],13,0)=0,"-",VLOOKUP(B658,Baza[[№]:[Profit]],13,0)),"")</f>
        <v/>
      </c>
      <c r="Q658" s="43" t="str">
        <f>IFERROR(IF(VLOOKUP(B658,Baza[[№]:[Profit]],15,0)=0,"-",VLOOKUP(B658,Baza[[№]:[Profit]],15,0)),"")</f>
        <v/>
      </c>
      <c r="R658" s="43" t="str">
        <f>IFERROR(IF(VLOOKUP(B658,Baza[[№]:[Profit]],16,0)=0,"-",VLOOKUP(B658,Baza[[№]:[Profit]],16,0)),"")</f>
        <v/>
      </c>
      <c r="S658" s="43" t="str">
        <f>IFERROR(IF(VLOOKUP(B658,Baza[[№]:[Profit]],17,0)=0,"-",VLOOKUP(B658,Baza[[№]:[Profit]],17,0)),"")</f>
        <v/>
      </c>
      <c r="T658" s="43" t="str">
        <f>IFERROR(IF(VLOOKUP(B658,Baza[[№]:[Profit]],18,0)=0,"-",VLOOKUP(B658,Baza[[№]:[Profit]],18,0)),"")</f>
        <v/>
      </c>
      <c r="U658" s="41" t="str">
        <f>IFERROR(IF(VLOOKUP(B658,Baza[[№]:[Profit]],19,0)=0,"-",VLOOKUP(B658,Baza[[№]:[Profit]],19,0)),"")</f>
        <v/>
      </c>
      <c r="V658" s="41" t="str">
        <f>IFERROR(VLOOKUP(B658,Baza[[№]:[Profit]],20,0),"")</f>
        <v/>
      </c>
      <c r="W658" s="41" t="str">
        <f>IFERROR(IF(VLOOKUP(B658,Baza[[№]:[Profit]],21,0)=0,"-",VLOOKUP(B658,Baza[[№]:[Profit]],21,0)),"")</f>
        <v/>
      </c>
      <c r="X658" s="45" t="str">
        <f>IFERROR(IF(VLOOKUP(B658,Baza[[№]:[Profit]],22,0)=0,"-",VLOOKUP(B658,Baza[[№]:[Profit]],22,0)),"")</f>
        <v/>
      </c>
      <c r="Y658" s="45" t="str">
        <f>IFERROR(VLOOKUP(B658,Baza[[№]:[Profit]],23,0),"")</f>
        <v/>
      </c>
      <c r="Z658" s="44" t="str">
        <f>IFERROR(VLOOKUP(B658,Baza[[№]:[AFS]],24,0),"")</f>
        <v/>
      </c>
      <c r="AA658" s="45" t="str">
        <f>IF(Таблица2[[#This Row],[Profit]]="","#Н/Д",SUM($Y$40:Y658))</f>
        <v>#Н/Д</v>
      </c>
      <c r="AB658" s="45" t="b">
        <f>IF(Таблица2[[#This Row],[Grafik]]="#Н/Д",FALSE,TRUE)</f>
        <v>0</v>
      </c>
    </row>
    <row r="659" spans="2:28" ht="11.1" hidden="1" customHeight="1" x14ac:dyDescent="0.25">
      <c r="B659"/>
      <c r="C659" s="41" t="str">
        <f>IFERROR(VLOOKUP(B659,Baza[[№]:[Profit]],2,0),"")</f>
        <v/>
      </c>
      <c r="D65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5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59" s="43" t="str">
        <f>IFERROR(VLOOKUP(B659,Baza[[№]:[Profit]],3,0),"")</f>
        <v/>
      </c>
      <c r="G659" s="43" t="str">
        <f>IFERROR(VLOOKUP(B659,Baza[[№]:[Profit]],4,0),"")</f>
        <v/>
      </c>
      <c r="H659" s="43" t="str">
        <f>IFERROR(VLOOKUP(B659,Baza[[№]:[Profit]],5,0),"")</f>
        <v/>
      </c>
      <c r="I659" s="46" t="str">
        <f>IFERROR(VLOOKUP(B659,Baza[[№]:[Profit]],6,0),"")</f>
        <v/>
      </c>
      <c r="J659" s="49" t="str">
        <f>IFERROR(VLOOKUP(B659,Baza[[№]:[Profit]],7,0),"")</f>
        <v/>
      </c>
      <c r="K659" s="43" t="str">
        <f>IFERROR(VLOOKUP(B659,Baza[[№]:[Profit]],8,0),"")</f>
        <v/>
      </c>
      <c r="L659" s="43" t="str">
        <f>IFERROR(VLOOKUP(B659,Baza[[№]:[Profit]],9,0),"")</f>
        <v/>
      </c>
      <c r="M659" s="43" t="str">
        <f>IFERROR(VLOOKUP(B659,Baza[[№]:[Profit]],10,0),"")</f>
        <v/>
      </c>
      <c r="N659" s="43" t="str">
        <f>IFERROR(IF(VLOOKUP(B659,Baza[[№]:[Profit]],11,0)=0,"-",VLOOKUP(B659,Baza[[№]:[Profit]],11,0)),"")</f>
        <v/>
      </c>
      <c r="O659" s="43" t="str">
        <f>IFERROR(IF(VLOOKUP(B659,Baza[[№]:[Profit]],12,0)=0,"-",VLOOKUP(B659,Baza[[№]:[Profit]],12,0)),"")</f>
        <v/>
      </c>
      <c r="P659" s="43" t="str">
        <f>IFERROR(IF(VLOOKUP(B659,Baza[[№]:[Profit]],13,0)=0,"-",VLOOKUP(B659,Baza[[№]:[Profit]],13,0)),"")</f>
        <v/>
      </c>
      <c r="Q659" s="43" t="str">
        <f>IFERROR(IF(VLOOKUP(B659,Baza[[№]:[Profit]],15,0)=0,"-",VLOOKUP(B659,Baza[[№]:[Profit]],15,0)),"")</f>
        <v/>
      </c>
      <c r="R659" s="43" t="str">
        <f>IFERROR(IF(VLOOKUP(B659,Baza[[№]:[Profit]],16,0)=0,"-",VLOOKUP(B659,Baza[[№]:[Profit]],16,0)),"")</f>
        <v/>
      </c>
      <c r="S659" s="43" t="str">
        <f>IFERROR(IF(VLOOKUP(B659,Baza[[№]:[Profit]],17,0)=0,"-",VLOOKUP(B659,Baza[[№]:[Profit]],17,0)),"")</f>
        <v/>
      </c>
      <c r="T659" s="43" t="str">
        <f>IFERROR(IF(VLOOKUP(B659,Baza[[№]:[Profit]],18,0)=0,"-",VLOOKUP(B659,Baza[[№]:[Profit]],18,0)),"")</f>
        <v/>
      </c>
      <c r="U659" s="41" t="str">
        <f>IFERROR(IF(VLOOKUP(B659,Baza[[№]:[Profit]],19,0)=0,"-",VLOOKUP(B659,Baza[[№]:[Profit]],19,0)),"")</f>
        <v/>
      </c>
      <c r="V659" s="41" t="str">
        <f>IFERROR(VLOOKUP(B659,Baza[[№]:[Profit]],20,0),"")</f>
        <v/>
      </c>
      <c r="W659" s="41" t="str">
        <f>IFERROR(IF(VLOOKUP(B659,Baza[[№]:[Profit]],21,0)=0,"-",VLOOKUP(B659,Baza[[№]:[Profit]],21,0)),"")</f>
        <v/>
      </c>
      <c r="X659" s="45" t="str">
        <f>IFERROR(IF(VLOOKUP(B659,Baza[[№]:[Profit]],22,0)=0,"-",VLOOKUP(B659,Baza[[№]:[Profit]],22,0)),"")</f>
        <v/>
      </c>
      <c r="Y659" s="45" t="str">
        <f>IFERROR(VLOOKUP(B659,Baza[[№]:[Profit]],23,0),"")</f>
        <v/>
      </c>
      <c r="Z659" s="44" t="str">
        <f>IFERROR(VLOOKUP(B659,Baza[[№]:[AFS]],24,0),"")</f>
        <v/>
      </c>
      <c r="AA659" s="45" t="str">
        <f>IF(Таблица2[[#This Row],[Profit]]="","#Н/Д",SUM($Y$40:Y659))</f>
        <v>#Н/Д</v>
      </c>
      <c r="AB659" s="45" t="b">
        <f>IF(Таблица2[[#This Row],[Grafik]]="#Н/Д",FALSE,TRUE)</f>
        <v>0</v>
      </c>
    </row>
    <row r="660" spans="2:28" ht="11.1" hidden="1" customHeight="1" x14ac:dyDescent="0.25">
      <c r="B660"/>
      <c r="C660" s="41" t="str">
        <f>IFERROR(VLOOKUP(B660,Baza[[№]:[Profit]],2,0),"")</f>
        <v/>
      </c>
      <c r="D66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6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60" s="43" t="str">
        <f>IFERROR(VLOOKUP(B660,Baza[[№]:[Profit]],3,0),"")</f>
        <v/>
      </c>
      <c r="G660" s="43" t="str">
        <f>IFERROR(VLOOKUP(B660,Baza[[№]:[Profit]],4,0),"")</f>
        <v/>
      </c>
      <c r="H660" s="43" t="str">
        <f>IFERROR(VLOOKUP(B660,Baza[[№]:[Profit]],5,0),"")</f>
        <v/>
      </c>
      <c r="I660" s="46" t="str">
        <f>IFERROR(VLOOKUP(B660,Baza[[№]:[Profit]],6,0),"")</f>
        <v/>
      </c>
      <c r="J660" s="49" t="str">
        <f>IFERROR(VLOOKUP(B660,Baza[[№]:[Profit]],7,0),"")</f>
        <v/>
      </c>
      <c r="K660" s="43" t="str">
        <f>IFERROR(VLOOKUP(B660,Baza[[№]:[Profit]],8,0),"")</f>
        <v/>
      </c>
      <c r="L660" s="43" t="str">
        <f>IFERROR(VLOOKUP(B660,Baza[[№]:[Profit]],9,0),"")</f>
        <v/>
      </c>
      <c r="M660" s="43" t="str">
        <f>IFERROR(VLOOKUP(B660,Baza[[№]:[Profit]],10,0),"")</f>
        <v/>
      </c>
      <c r="N660" s="43" t="str">
        <f>IFERROR(IF(VLOOKUP(B660,Baza[[№]:[Profit]],11,0)=0,"-",VLOOKUP(B660,Baza[[№]:[Profit]],11,0)),"")</f>
        <v/>
      </c>
      <c r="O660" s="43" t="str">
        <f>IFERROR(IF(VLOOKUP(B660,Baza[[№]:[Profit]],12,0)=0,"-",VLOOKUP(B660,Baza[[№]:[Profit]],12,0)),"")</f>
        <v/>
      </c>
      <c r="P660" s="43" t="str">
        <f>IFERROR(IF(VLOOKUP(B660,Baza[[№]:[Profit]],13,0)=0,"-",VLOOKUP(B660,Baza[[№]:[Profit]],13,0)),"")</f>
        <v/>
      </c>
      <c r="Q660" s="43" t="str">
        <f>IFERROR(IF(VLOOKUP(B660,Baza[[№]:[Profit]],15,0)=0,"-",VLOOKUP(B660,Baza[[№]:[Profit]],15,0)),"")</f>
        <v/>
      </c>
      <c r="R660" s="43" t="str">
        <f>IFERROR(IF(VLOOKUP(B660,Baza[[№]:[Profit]],16,0)=0,"-",VLOOKUP(B660,Baza[[№]:[Profit]],16,0)),"")</f>
        <v/>
      </c>
      <c r="S660" s="43" t="str">
        <f>IFERROR(IF(VLOOKUP(B660,Baza[[№]:[Profit]],17,0)=0,"-",VLOOKUP(B660,Baza[[№]:[Profit]],17,0)),"")</f>
        <v/>
      </c>
      <c r="T660" s="43" t="str">
        <f>IFERROR(IF(VLOOKUP(B660,Baza[[№]:[Profit]],18,0)=0,"-",VLOOKUP(B660,Baza[[№]:[Profit]],18,0)),"")</f>
        <v/>
      </c>
      <c r="U660" s="41" t="str">
        <f>IFERROR(IF(VLOOKUP(B660,Baza[[№]:[Profit]],19,0)=0,"-",VLOOKUP(B660,Baza[[№]:[Profit]],19,0)),"")</f>
        <v/>
      </c>
      <c r="V660" s="41" t="str">
        <f>IFERROR(VLOOKUP(B660,Baza[[№]:[Profit]],20,0),"")</f>
        <v/>
      </c>
      <c r="W660" s="41" t="str">
        <f>IFERROR(IF(VLOOKUP(B660,Baza[[№]:[Profit]],21,0)=0,"-",VLOOKUP(B660,Baza[[№]:[Profit]],21,0)),"")</f>
        <v/>
      </c>
      <c r="X660" s="45" t="str">
        <f>IFERROR(IF(VLOOKUP(B660,Baza[[№]:[Profit]],22,0)=0,"-",VLOOKUP(B660,Baza[[№]:[Profit]],22,0)),"")</f>
        <v/>
      </c>
      <c r="Y660" s="45" t="str">
        <f>IFERROR(VLOOKUP(B660,Baza[[№]:[Profit]],23,0),"")</f>
        <v/>
      </c>
      <c r="Z660" s="44" t="str">
        <f>IFERROR(VLOOKUP(B660,Baza[[№]:[AFS]],24,0),"")</f>
        <v/>
      </c>
      <c r="AA660" s="45" t="str">
        <f>IF(Таблица2[[#This Row],[Profit]]="","#Н/Д",SUM($Y$40:Y660))</f>
        <v>#Н/Д</v>
      </c>
      <c r="AB660" s="45" t="b">
        <f>IF(Таблица2[[#This Row],[Grafik]]="#Н/Д",FALSE,TRUE)</f>
        <v>0</v>
      </c>
    </row>
    <row r="661" spans="2:28" ht="11.1" hidden="1" customHeight="1" x14ac:dyDescent="0.25">
      <c r="B661"/>
      <c r="C661" s="41" t="str">
        <f>IFERROR(VLOOKUP(B661,Baza[[№]:[Profit]],2,0),"")</f>
        <v/>
      </c>
      <c r="D66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6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61" s="43" t="str">
        <f>IFERROR(VLOOKUP(B661,Baza[[№]:[Profit]],3,0),"")</f>
        <v/>
      </c>
      <c r="G661" s="43" t="str">
        <f>IFERROR(VLOOKUP(B661,Baza[[№]:[Profit]],4,0),"")</f>
        <v/>
      </c>
      <c r="H661" s="43" t="str">
        <f>IFERROR(VLOOKUP(B661,Baza[[№]:[Profit]],5,0),"")</f>
        <v/>
      </c>
      <c r="I661" s="46" t="str">
        <f>IFERROR(VLOOKUP(B661,Baza[[№]:[Profit]],6,0),"")</f>
        <v/>
      </c>
      <c r="J661" s="49" t="str">
        <f>IFERROR(VLOOKUP(B661,Baza[[№]:[Profit]],7,0),"")</f>
        <v/>
      </c>
      <c r="K661" s="43" t="str">
        <f>IFERROR(VLOOKUP(B661,Baza[[№]:[Profit]],8,0),"")</f>
        <v/>
      </c>
      <c r="L661" s="43" t="str">
        <f>IFERROR(VLOOKUP(B661,Baza[[№]:[Profit]],9,0),"")</f>
        <v/>
      </c>
      <c r="M661" s="43" t="str">
        <f>IFERROR(VLOOKUP(B661,Baza[[№]:[Profit]],10,0),"")</f>
        <v/>
      </c>
      <c r="N661" s="43" t="str">
        <f>IFERROR(IF(VLOOKUP(B661,Baza[[№]:[Profit]],11,0)=0,"-",VLOOKUP(B661,Baza[[№]:[Profit]],11,0)),"")</f>
        <v/>
      </c>
      <c r="O661" s="43" t="str">
        <f>IFERROR(IF(VLOOKUP(B661,Baza[[№]:[Profit]],12,0)=0,"-",VLOOKUP(B661,Baza[[№]:[Profit]],12,0)),"")</f>
        <v/>
      </c>
      <c r="P661" s="43" t="str">
        <f>IFERROR(IF(VLOOKUP(B661,Baza[[№]:[Profit]],13,0)=0,"-",VLOOKUP(B661,Baza[[№]:[Profit]],13,0)),"")</f>
        <v/>
      </c>
      <c r="Q661" s="43" t="str">
        <f>IFERROR(IF(VLOOKUP(B661,Baza[[№]:[Profit]],15,0)=0,"-",VLOOKUP(B661,Baza[[№]:[Profit]],15,0)),"")</f>
        <v/>
      </c>
      <c r="R661" s="43" t="str">
        <f>IFERROR(IF(VLOOKUP(B661,Baza[[№]:[Profit]],16,0)=0,"-",VLOOKUP(B661,Baza[[№]:[Profit]],16,0)),"")</f>
        <v/>
      </c>
      <c r="S661" s="43" t="str">
        <f>IFERROR(IF(VLOOKUP(B661,Baza[[№]:[Profit]],17,0)=0,"-",VLOOKUP(B661,Baza[[№]:[Profit]],17,0)),"")</f>
        <v/>
      </c>
      <c r="T661" s="43" t="str">
        <f>IFERROR(IF(VLOOKUP(B661,Baza[[№]:[Profit]],18,0)=0,"-",VLOOKUP(B661,Baza[[№]:[Profit]],18,0)),"")</f>
        <v/>
      </c>
      <c r="U661" s="41" t="str">
        <f>IFERROR(IF(VLOOKUP(B661,Baza[[№]:[Profit]],19,0)=0,"-",VLOOKUP(B661,Baza[[№]:[Profit]],19,0)),"")</f>
        <v/>
      </c>
      <c r="V661" s="41" t="str">
        <f>IFERROR(VLOOKUP(B661,Baza[[№]:[Profit]],20,0),"")</f>
        <v/>
      </c>
      <c r="W661" s="41" t="str">
        <f>IFERROR(IF(VLOOKUP(B661,Baza[[№]:[Profit]],21,0)=0,"-",VLOOKUP(B661,Baza[[№]:[Profit]],21,0)),"")</f>
        <v/>
      </c>
      <c r="X661" s="45" t="str">
        <f>IFERROR(IF(VLOOKUP(B661,Baza[[№]:[Profit]],22,0)=0,"-",VLOOKUP(B661,Baza[[№]:[Profit]],22,0)),"")</f>
        <v/>
      </c>
      <c r="Y661" s="45" t="str">
        <f>IFERROR(VLOOKUP(B661,Baza[[№]:[Profit]],23,0),"")</f>
        <v/>
      </c>
      <c r="Z661" s="44" t="str">
        <f>IFERROR(VLOOKUP(B661,Baza[[№]:[AFS]],24,0),"")</f>
        <v/>
      </c>
      <c r="AA661" s="45" t="str">
        <f>IF(Таблица2[[#This Row],[Profit]]="","#Н/Д",SUM($Y$40:Y661))</f>
        <v>#Н/Д</v>
      </c>
      <c r="AB661" s="45" t="b">
        <f>IF(Таблица2[[#This Row],[Grafik]]="#Н/Д",FALSE,TRUE)</f>
        <v>0</v>
      </c>
    </row>
    <row r="662" spans="2:28" ht="11.1" hidden="1" customHeight="1" x14ac:dyDescent="0.25">
      <c r="B662"/>
      <c r="C662" s="41" t="str">
        <f>IFERROR(VLOOKUP(B662,Baza[[№]:[Profit]],2,0),"")</f>
        <v/>
      </c>
      <c r="D66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6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62" s="43" t="str">
        <f>IFERROR(VLOOKUP(B662,Baza[[№]:[Profit]],3,0),"")</f>
        <v/>
      </c>
      <c r="G662" s="43" t="str">
        <f>IFERROR(VLOOKUP(B662,Baza[[№]:[Profit]],4,0),"")</f>
        <v/>
      </c>
      <c r="H662" s="43" t="str">
        <f>IFERROR(VLOOKUP(B662,Baza[[№]:[Profit]],5,0),"")</f>
        <v/>
      </c>
      <c r="I662" s="46" t="str">
        <f>IFERROR(VLOOKUP(B662,Baza[[№]:[Profit]],6,0),"")</f>
        <v/>
      </c>
      <c r="J662" s="49" t="str">
        <f>IFERROR(VLOOKUP(B662,Baza[[№]:[Profit]],7,0),"")</f>
        <v/>
      </c>
      <c r="K662" s="43" t="str">
        <f>IFERROR(VLOOKUP(B662,Baza[[№]:[Profit]],8,0),"")</f>
        <v/>
      </c>
      <c r="L662" s="43" t="str">
        <f>IFERROR(VLOOKUP(B662,Baza[[№]:[Profit]],9,0),"")</f>
        <v/>
      </c>
      <c r="M662" s="43" t="str">
        <f>IFERROR(VLOOKUP(B662,Baza[[№]:[Profit]],10,0),"")</f>
        <v/>
      </c>
      <c r="N662" s="43" t="str">
        <f>IFERROR(IF(VLOOKUP(B662,Baza[[№]:[Profit]],11,0)=0,"-",VLOOKUP(B662,Baza[[№]:[Profit]],11,0)),"")</f>
        <v/>
      </c>
      <c r="O662" s="43" t="str">
        <f>IFERROR(IF(VLOOKUP(B662,Baza[[№]:[Profit]],12,0)=0,"-",VLOOKUP(B662,Baza[[№]:[Profit]],12,0)),"")</f>
        <v/>
      </c>
      <c r="P662" s="43" t="str">
        <f>IFERROR(IF(VLOOKUP(B662,Baza[[№]:[Profit]],13,0)=0,"-",VLOOKUP(B662,Baza[[№]:[Profit]],13,0)),"")</f>
        <v/>
      </c>
      <c r="Q662" s="43" t="str">
        <f>IFERROR(IF(VLOOKUP(B662,Baza[[№]:[Profit]],15,0)=0,"-",VLOOKUP(B662,Baza[[№]:[Profit]],15,0)),"")</f>
        <v/>
      </c>
      <c r="R662" s="43" t="str">
        <f>IFERROR(IF(VLOOKUP(B662,Baza[[№]:[Profit]],16,0)=0,"-",VLOOKUP(B662,Baza[[№]:[Profit]],16,0)),"")</f>
        <v/>
      </c>
      <c r="S662" s="43" t="str">
        <f>IFERROR(IF(VLOOKUP(B662,Baza[[№]:[Profit]],17,0)=0,"-",VLOOKUP(B662,Baza[[№]:[Profit]],17,0)),"")</f>
        <v/>
      </c>
      <c r="T662" s="43" t="str">
        <f>IFERROR(IF(VLOOKUP(B662,Baza[[№]:[Profit]],18,0)=0,"-",VLOOKUP(B662,Baza[[№]:[Profit]],18,0)),"")</f>
        <v/>
      </c>
      <c r="U662" s="41" t="str">
        <f>IFERROR(IF(VLOOKUP(B662,Baza[[№]:[Profit]],19,0)=0,"-",VLOOKUP(B662,Baza[[№]:[Profit]],19,0)),"")</f>
        <v/>
      </c>
      <c r="V662" s="41" t="str">
        <f>IFERROR(VLOOKUP(B662,Baza[[№]:[Profit]],20,0),"")</f>
        <v/>
      </c>
      <c r="W662" s="41" t="str">
        <f>IFERROR(IF(VLOOKUP(B662,Baza[[№]:[Profit]],21,0)=0,"-",VLOOKUP(B662,Baza[[№]:[Profit]],21,0)),"")</f>
        <v/>
      </c>
      <c r="X662" s="45" t="str">
        <f>IFERROR(IF(VLOOKUP(B662,Baza[[№]:[Profit]],22,0)=0,"-",VLOOKUP(B662,Baza[[№]:[Profit]],22,0)),"")</f>
        <v/>
      </c>
      <c r="Y662" s="45" t="str">
        <f>IFERROR(VLOOKUP(B662,Baza[[№]:[Profit]],23,0),"")</f>
        <v/>
      </c>
      <c r="Z662" s="44" t="str">
        <f>IFERROR(VLOOKUP(B662,Baza[[№]:[AFS]],24,0),"")</f>
        <v/>
      </c>
      <c r="AA662" s="45" t="str">
        <f>IF(Таблица2[[#This Row],[Profit]]="","#Н/Д",SUM($Y$40:Y662))</f>
        <v>#Н/Д</v>
      </c>
      <c r="AB662" s="45" t="b">
        <f>IF(Таблица2[[#This Row],[Grafik]]="#Н/Д",FALSE,TRUE)</f>
        <v>0</v>
      </c>
    </row>
    <row r="663" spans="2:28" ht="11.1" hidden="1" customHeight="1" x14ac:dyDescent="0.25">
      <c r="B663"/>
      <c r="C663" s="41" t="str">
        <f>IFERROR(VLOOKUP(B663,Baza[[№]:[Profit]],2,0),"")</f>
        <v/>
      </c>
      <c r="D66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6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63" s="43" t="str">
        <f>IFERROR(VLOOKUP(B663,Baza[[№]:[Profit]],3,0),"")</f>
        <v/>
      </c>
      <c r="G663" s="43" t="str">
        <f>IFERROR(VLOOKUP(B663,Baza[[№]:[Profit]],4,0),"")</f>
        <v/>
      </c>
      <c r="H663" s="43" t="str">
        <f>IFERROR(VLOOKUP(B663,Baza[[№]:[Profit]],5,0),"")</f>
        <v/>
      </c>
      <c r="I663" s="46" t="str">
        <f>IFERROR(VLOOKUP(B663,Baza[[№]:[Profit]],6,0),"")</f>
        <v/>
      </c>
      <c r="J663" s="49" t="str">
        <f>IFERROR(VLOOKUP(B663,Baza[[№]:[Profit]],7,0),"")</f>
        <v/>
      </c>
      <c r="K663" s="43" t="str">
        <f>IFERROR(VLOOKUP(B663,Baza[[№]:[Profit]],8,0),"")</f>
        <v/>
      </c>
      <c r="L663" s="43" t="str">
        <f>IFERROR(VLOOKUP(B663,Baza[[№]:[Profit]],9,0),"")</f>
        <v/>
      </c>
      <c r="M663" s="43" t="str">
        <f>IFERROR(VLOOKUP(B663,Baza[[№]:[Profit]],10,0),"")</f>
        <v/>
      </c>
      <c r="N663" s="43" t="str">
        <f>IFERROR(IF(VLOOKUP(B663,Baza[[№]:[Profit]],11,0)=0,"-",VLOOKUP(B663,Baza[[№]:[Profit]],11,0)),"")</f>
        <v/>
      </c>
      <c r="O663" s="43" t="str">
        <f>IFERROR(IF(VLOOKUP(B663,Baza[[№]:[Profit]],12,0)=0,"-",VLOOKUP(B663,Baza[[№]:[Profit]],12,0)),"")</f>
        <v/>
      </c>
      <c r="P663" s="43" t="str">
        <f>IFERROR(IF(VLOOKUP(B663,Baza[[№]:[Profit]],13,0)=0,"-",VLOOKUP(B663,Baza[[№]:[Profit]],13,0)),"")</f>
        <v/>
      </c>
      <c r="Q663" s="43" t="str">
        <f>IFERROR(IF(VLOOKUP(B663,Baza[[№]:[Profit]],15,0)=0,"-",VLOOKUP(B663,Baza[[№]:[Profit]],15,0)),"")</f>
        <v/>
      </c>
      <c r="R663" s="43" t="str">
        <f>IFERROR(IF(VLOOKUP(B663,Baza[[№]:[Profit]],16,0)=0,"-",VLOOKUP(B663,Baza[[№]:[Profit]],16,0)),"")</f>
        <v/>
      </c>
      <c r="S663" s="43" t="str">
        <f>IFERROR(IF(VLOOKUP(B663,Baza[[№]:[Profit]],17,0)=0,"-",VLOOKUP(B663,Baza[[№]:[Profit]],17,0)),"")</f>
        <v/>
      </c>
      <c r="T663" s="43" t="str">
        <f>IFERROR(IF(VLOOKUP(B663,Baza[[№]:[Profit]],18,0)=0,"-",VLOOKUP(B663,Baza[[№]:[Profit]],18,0)),"")</f>
        <v/>
      </c>
      <c r="U663" s="41" t="str">
        <f>IFERROR(IF(VLOOKUP(B663,Baza[[№]:[Profit]],19,0)=0,"-",VLOOKUP(B663,Baza[[№]:[Profit]],19,0)),"")</f>
        <v/>
      </c>
      <c r="V663" s="41" t="str">
        <f>IFERROR(VLOOKUP(B663,Baza[[№]:[Profit]],20,0),"")</f>
        <v/>
      </c>
      <c r="W663" s="41" t="str">
        <f>IFERROR(IF(VLOOKUP(B663,Baza[[№]:[Profit]],21,0)=0,"-",VLOOKUP(B663,Baza[[№]:[Profit]],21,0)),"")</f>
        <v/>
      </c>
      <c r="X663" s="45" t="str">
        <f>IFERROR(IF(VLOOKUP(B663,Baza[[№]:[Profit]],22,0)=0,"-",VLOOKUP(B663,Baza[[№]:[Profit]],22,0)),"")</f>
        <v/>
      </c>
      <c r="Y663" s="45" t="str">
        <f>IFERROR(VLOOKUP(B663,Baza[[№]:[Profit]],23,0),"")</f>
        <v/>
      </c>
      <c r="Z663" s="44" t="str">
        <f>IFERROR(VLOOKUP(B663,Baza[[№]:[AFS]],24,0),"")</f>
        <v/>
      </c>
      <c r="AA663" s="45" t="str">
        <f>IF(Таблица2[[#This Row],[Profit]]="","#Н/Д",SUM($Y$40:Y663))</f>
        <v>#Н/Д</v>
      </c>
      <c r="AB663" s="45" t="b">
        <f>IF(Таблица2[[#This Row],[Grafik]]="#Н/Д",FALSE,TRUE)</f>
        <v>0</v>
      </c>
    </row>
    <row r="664" spans="2:28" ht="11.1" hidden="1" customHeight="1" x14ac:dyDescent="0.25">
      <c r="B664"/>
      <c r="C664" s="41" t="str">
        <f>IFERROR(VLOOKUP(B664,Baza[[№]:[Profit]],2,0),"")</f>
        <v/>
      </c>
      <c r="D66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6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64" s="43" t="str">
        <f>IFERROR(VLOOKUP(B664,Baza[[№]:[Profit]],3,0),"")</f>
        <v/>
      </c>
      <c r="G664" s="43" t="str">
        <f>IFERROR(VLOOKUP(B664,Baza[[№]:[Profit]],4,0),"")</f>
        <v/>
      </c>
      <c r="H664" s="43" t="str">
        <f>IFERROR(VLOOKUP(B664,Baza[[№]:[Profit]],5,0),"")</f>
        <v/>
      </c>
      <c r="I664" s="46" t="str">
        <f>IFERROR(VLOOKUP(B664,Baza[[№]:[Profit]],6,0),"")</f>
        <v/>
      </c>
      <c r="J664" s="49" t="str">
        <f>IFERROR(VLOOKUP(B664,Baza[[№]:[Profit]],7,0),"")</f>
        <v/>
      </c>
      <c r="K664" s="43" t="str">
        <f>IFERROR(VLOOKUP(B664,Baza[[№]:[Profit]],8,0),"")</f>
        <v/>
      </c>
      <c r="L664" s="43" t="str">
        <f>IFERROR(VLOOKUP(B664,Baza[[№]:[Profit]],9,0),"")</f>
        <v/>
      </c>
      <c r="M664" s="43" t="str">
        <f>IFERROR(VLOOKUP(B664,Baza[[№]:[Profit]],10,0),"")</f>
        <v/>
      </c>
      <c r="N664" s="43" t="str">
        <f>IFERROR(IF(VLOOKUP(B664,Baza[[№]:[Profit]],11,0)=0,"-",VLOOKUP(B664,Baza[[№]:[Profit]],11,0)),"")</f>
        <v/>
      </c>
      <c r="O664" s="43" t="str">
        <f>IFERROR(IF(VLOOKUP(B664,Baza[[№]:[Profit]],12,0)=0,"-",VLOOKUP(B664,Baza[[№]:[Profit]],12,0)),"")</f>
        <v/>
      </c>
      <c r="P664" s="43" t="str">
        <f>IFERROR(IF(VLOOKUP(B664,Baza[[№]:[Profit]],13,0)=0,"-",VLOOKUP(B664,Baza[[№]:[Profit]],13,0)),"")</f>
        <v/>
      </c>
      <c r="Q664" s="43" t="str">
        <f>IFERROR(IF(VLOOKUP(B664,Baza[[№]:[Profit]],15,0)=0,"-",VLOOKUP(B664,Baza[[№]:[Profit]],15,0)),"")</f>
        <v/>
      </c>
      <c r="R664" s="43" t="str">
        <f>IFERROR(IF(VLOOKUP(B664,Baza[[№]:[Profit]],16,0)=0,"-",VLOOKUP(B664,Baza[[№]:[Profit]],16,0)),"")</f>
        <v/>
      </c>
      <c r="S664" s="43" t="str">
        <f>IFERROR(IF(VLOOKUP(B664,Baza[[№]:[Profit]],17,0)=0,"-",VLOOKUP(B664,Baza[[№]:[Profit]],17,0)),"")</f>
        <v/>
      </c>
      <c r="T664" s="43" t="str">
        <f>IFERROR(IF(VLOOKUP(B664,Baza[[№]:[Profit]],18,0)=0,"-",VLOOKUP(B664,Baza[[№]:[Profit]],18,0)),"")</f>
        <v/>
      </c>
      <c r="U664" s="41" t="str">
        <f>IFERROR(IF(VLOOKUP(B664,Baza[[№]:[Profit]],19,0)=0,"-",VLOOKUP(B664,Baza[[№]:[Profit]],19,0)),"")</f>
        <v/>
      </c>
      <c r="V664" s="41" t="str">
        <f>IFERROR(VLOOKUP(B664,Baza[[№]:[Profit]],20,0),"")</f>
        <v/>
      </c>
      <c r="W664" s="41" t="str">
        <f>IFERROR(IF(VLOOKUP(B664,Baza[[№]:[Profit]],21,0)=0,"-",VLOOKUP(B664,Baza[[№]:[Profit]],21,0)),"")</f>
        <v/>
      </c>
      <c r="X664" s="45" t="str">
        <f>IFERROR(IF(VLOOKUP(B664,Baza[[№]:[Profit]],22,0)=0,"-",VLOOKUP(B664,Baza[[№]:[Profit]],22,0)),"")</f>
        <v/>
      </c>
      <c r="Y664" s="45" t="str">
        <f>IFERROR(VLOOKUP(B664,Baza[[№]:[Profit]],23,0),"")</f>
        <v/>
      </c>
      <c r="Z664" s="44" t="str">
        <f>IFERROR(VLOOKUP(B664,Baza[[№]:[AFS]],24,0),"")</f>
        <v/>
      </c>
      <c r="AA664" s="45" t="str">
        <f>IF(Таблица2[[#This Row],[Profit]]="","#Н/Д",SUM($Y$40:Y664))</f>
        <v>#Н/Д</v>
      </c>
      <c r="AB664" s="45" t="b">
        <f>IF(Таблица2[[#This Row],[Grafik]]="#Н/Д",FALSE,TRUE)</f>
        <v>0</v>
      </c>
    </row>
    <row r="665" spans="2:28" ht="11.1" hidden="1" customHeight="1" x14ac:dyDescent="0.25">
      <c r="B665"/>
      <c r="C665" s="41" t="str">
        <f>IFERROR(VLOOKUP(B665,Baza[[№]:[Profit]],2,0),"")</f>
        <v/>
      </c>
      <c r="D66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6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65" s="43" t="str">
        <f>IFERROR(VLOOKUP(B665,Baza[[№]:[Profit]],3,0),"")</f>
        <v/>
      </c>
      <c r="G665" s="43" t="str">
        <f>IFERROR(VLOOKUP(B665,Baza[[№]:[Profit]],4,0),"")</f>
        <v/>
      </c>
      <c r="H665" s="43" t="str">
        <f>IFERROR(VLOOKUP(B665,Baza[[№]:[Profit]],5,0),"")</f>
        <v/>
      </c>
      <c r="I665" s="46" t="str">
        <f>IFERROR(VLOOKUP(B665,Baza[[№]:[Profit]],6,0),"")</f>
        <v/>
      </c>
      <c r="J665" s="49" t="str">
        <f>IFERROR(VLOOKUP(B665,Baza[[№]:[Profit]],7,0),"")</f>
        <v/>
      </c>
      <c r="K665" s="43" t="str">
        <f>IFERROR(VLOOKUP(B665,Baza[[№]:[Profit]],8,0),"")</f>
        <v/>
      </c>
      <c r="L665" s="43" t="str">
        <f>IFERROR(VLOOKUP(B665,Baza[[№]:[Profit]],9,0),"")</f>
        <v/>
      </c>
      <c r="M665" s="43" t="str">
        <f>IFERROR(VLOOKUP(B665,Baza[[№]:[Profit]],10,0),"")</f>
        <v/>
      </c>
      <c r="N665" s="43" t="str">
        <f>IFERROR(IF(VLOOKUP(B665,Baza[[№]:[Profit]],11,0)=0,"-",VLOOKUP(B665,Baza[[№]:[Profit]],11,0)),"")</f>
        <v/>
      </c>
      <c r="O665" s="43" t="str">
        <f>IFERROR(IF(VLOOKUP(B665,Baza[[№]:[Profit]],12,0)=0,"-",VLOOKUP(B665,Baza[[№]:[Profit]],12,0)),"")</f>
        <v/>
      </c>
      <c r="P665" s="43" t="str">
        <f>IFERROR(IF(VLOOKUP(B665,Baza[[№]:[Profit]],13,0)=0,"-",VLOOKUP(B665,Baza[[№]:[Profit]],13,0)),"")</f>
        <v/>
      </c>
      <c r="Q665" s="43" t="str">
        <f>IFERROR(IF(VLOOKUP(B665,Baza[[№]:[Profit]],15,0)=0,"-",VLOOKUP(B665,Baza[[№]:[Profit]],15,0)),"")</f>
        <v/>
      </c>
      <c r="R665" s="43" t="str">
        <f>IFERROR(IF(VLOOKUP(B665,Baza[[№]:[Profit]],16,0)=0,"-",VLOOKUP(B665,Baza[[№]:[Profit]],16,0)),"")</f>
        <v/>
      </c>
      <c r="S665" s="43" t="str">
        <f>IFERROR(IF(VLOOKUP(B665,Baza[[№]:[Profit]],17,0)=0,"-",VLOOKUP(B665,Baza[[№]:[Profit]],17,0)),"")</f>
        <v/>
      </c>
      <c r="T665" s="43" t="str">
        <f>IFERROR(IF(VLOOKUP(B665,Baza[[№]:[Profit]],18,0)=0,"-",VLOOKUP(B665,Baza[[№]:[Profit]],18,0)),"")</f>
        <v/>
      </c>
      <c r="U665" s="41" t="str">
        <f>IFERROR(IF(VLOOKUP(B665,Baza[[№]:[Profit]],19,0)=0,"-",VLOOKUP(B665,Baza[[№]:[Profit]],19,0)),"")</f>
        <v/>
      </c>
      <c r="V665" s="41" t="str">
        <f>IFERROR(VLOOKUP(B665,Baza[[№]:[Profit]],20,0),"")</f>
        <v/>
      </c>
      <c r="W665" s="41" t="str">
        <f>IFERROR(IF(VLOOKUP(B665,Baza[[№]:[Profit]],21,0)=0,"-",VLOOKUP(B665,Baza[[№]:[Profit]],21,0)),"")</f>
        <v/>
      </c>
      <c r="X665" s="45" t="str">
        <f>IFERROR(IF(VLOOKUP(B665,Baza[[№]:[Profit]],22,0)=0,"-",VLOOKUP(B665,Baza[[№]:[Profit]],22,0)),"")</f>
        <v/>
      </c>
      <c r="Y665" s="45" t="str">
        <f>IFERROR(VLOOKUP(B665,Baza[[№]:[Profit]],23,0),"")</f>
        <v/>
      </c>
      <c r="Z665" s="44" t="str">
        <f>IFERROR(VLOOKUP(B665,Baza[[№]:[AFS]],24,0),"")</f>
        <v/>
      </c>
      <c r="AA665" s="45" t="str">
        <f>IF(Таблица2[[#This Row],[Profit]]="","#Н/Д",SUM($Y$40:Y665))</f>
        <v>#Н/Д</v>
      </c>
      <c r="AB665" s="45" t="b">
        <f>IF(Таблица2[[#This Row],[Grafik]]="#Н/Д",FALSE,TRUE)</f>
        <v>0</v>
      </c>
    </row>
    <row r="666" spans="2:28" ht="11.1" hidden="1" customHeight="1" x14ac:dyDescent="0.25">
      <c r="B666"/>
      <c r="C666" s="41" t="str">
        <f>IFERROR(VLOOKUP(B666,Baza[[№]:[Profit]],2,0),"")</f>
        <v/>
      </c>
      <c r="D66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6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66" s="43" t="str">
        <f>IFERROR(VLOOKUP(B666,Baza[[№]:[Profit]],3,0),"")</f>
        <v/>
      </c>
      <c r="G666" s="43" t="str">
        <f>IFERROR(VLOOKUP(B666,Baza[[№]:[Profit]],4,0),"")</f>
        <v/>
      </c>
      <c r="H666" s="43" t="str">
        <f>IFERROR(VLOOKUP(B666,Baza[[№]:[Profit]],5,0),"")</f>
        <v/>
      </c>
      <c r="I666" s="46" t="str">
        <f>IFERROR(VLOOKUP(B666,Baza[[№]:[Profit]],6,0),"")</f>
        <v/>
      </c>
      <c r="J666" s="49" t="str">
        <f>IFERROR(VLOOKUP(B666,Baza[[№]:[Profit]],7,0),"")</f>
        <v/>
      </c>
      <c r="K666" s="43" t="str">
        <f>IFERROR(VLOOKUP(B666,Baza[[№]:[Profit]],8,0),"")</f>
        <v/>
      </c>
      <c r="L666" s="43" t="str">
        <f>IFERROR(VLOOKUP(B666,Baza[[№]:[Profit]],9,0),"")</f>
        <v/>
      </c>
      <c r="M666" s="43" t="str">
        <f>IFERROR(VLOOKUP(B666,Baza[[№]:[Profit]],10,0),"")</f>
        <v/>
      </c>
      <c r="N666" s="43" t="str">
        <f>IFERROR(IF(VLOOKUP(B666,Baza[[№]:[Profit]],11,0)=0,"-",VLOOKUP(B666,Baza[[№]:[Profit]],11,0)),"")</f>
        <v/>
      </c>
      <c r="O666" s="43" t="str">
        <f>IFERROR(IF(VLOOKUP(B666,Baza[[№]:[Profit]],12,0)=0,"-",VLOOKUP(B666,Baza[[№]:[Profit]],12,0)),"")</f>
        <v/>
      </c>
      <c r="P666" s="43" t="str">
        <f>IFERROR(IF(VLOOKUP(B666,Baza[[№]:[Profit]],13,0)=0,"-",VLOOKUP(B666,Baza[[№]:[Profit]],13,0)),"")</f>
        <v/>
      </c>
      <c r="Q666" s="43" t="str">
        <f>IFERROR(IF(VLOOKUP(B666,Baza[[№]:[Profit]],15,0)=0,"-",VLOOKUP(B666,Baza[[№]:[Profit]],15,0)),"")</f>
        <v/>
      </c>
      <c r="R666" s="43" t="str">
        <f>IFERROR(IF(VLOOKUP(B666,Baza[[№]:[Profit]],16,0)=0,"-",VLOOKUP(B666,Baza[[№]:[Profit]],16,0)),"")</f>
        <v/>
      </c>
      <c r="S666" s="43" t="str">
        <f>IFERROR(IF(VLOOKUP(B666,Baza[[№]:[Profit]],17,0)=0,"-",VLOOKUP(B666,Baza[[№]:[Profit]],17,0)),"")</f>
        <v/>
      </c>
      <c r="T666" s="43" t="str">
        <f>IFERROR(IF(VLOOKUP(B666,Baza[[№]:[Profit]],18,0)=0,"-",VLOOKUP(B666,Baza[[№]:[Profit]],18,0)),"")</f>
        <v/>
      </c>
      <c r="U666" s="41" t="str">
        <f>IFERROR(IF(VLOOKUP(B666,Baza[[№]:[Profit]],19,0)=0,"-",VLOOKUP(B666,Baza[[№]:[Profit]],19,0)),"")</f>
        <v/>
      </c>
      <c r="V666" s="41" t="str">
        <f>IFERROR(VLOOKUP(B666,Baza[[№]:[Profit]],20,0),"")</f>
        <v/>
      </c>
      <c r="W666" s="41" t="str">
        <f>IFERROR(IF(VLOOKUP(B666,Baza[[№]:[Profit]],21,0)=0,"-",VLOOKUP(B666,Baza[[№]:[Profit]],21,0)),"")</f>
        <v/>
      </c>
      <c r="X666" s="45" t="str">
        <f>IFERROR(IF(VLOOKUP(B666,Baza[[№]:[Profit]],22,0)=0,"-",VLOOKUP(B666,Baza[[№]:[Profit]],22,0)),"")</f>
        <v/>
      </c>
      <c r="Y666" s="45" t="str">
        <f>IFERROR(VLOOKUP(B666,Baza[[№]:[Profit]],23,0),"")</f>
        <v/>
      </c>
      <c r="Z666" s="44" t="str">
        <f>IFERROR(VLOOKUP(B666,Baza[[№]:[AFS]],24,0),"")</f>
        <v/>
      </c>
      <c r="AA666" s="45" t="str">
        <f>IF(Таблица2[[#This Row],[Profit]]="","#Н/Д",SUM($Y$40:Y666))</f>
        <v>#Н/Д</v>
      </c>
      <c r="AB666" s="45" t="b">
        <f>IF(Таблица2[[#This Row],[Grafik]]="#Н/Д",FALSE,TRUE)</f>
        <v>0</v>
      </c>
    </row>
    <row r="667" spans="2:28" ht="11.1" hidden="1" customHeight="1" x14ac:dyDescent="0.25">
      <c r="B667"/>
      <c r="C667" s="41" t="str">
        <f>IFERROR(VLOOKUP(B667,Baza[[№]:[Profit]],2,0),"")</f>
        <v/>
      </c>
      <c r="D66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6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67" s="43" t="str">
        <f>IFERROR(VLOOKUP(B667,Baza[[№]:[Profit]],3,0),"")</f>
        <v/>
      </c>
      <c r="G667" s="43" t="str">
        <f>IFERROR(VLOOKUP(B667,Baza[[№]:[Profit]],4,0),"")</f>
        <v/>
      </c>
      <c r="H667" s="43" t="str">
        <f>IFERROR(VLOOKUP(B667,Baza[[№]:[Profit]],5,0),"")</f>
        <v/>
      </c>
      <c r="I667" s="46" t="str">
        <f>IFERROR(VLOOKUP(B667,Baza[[№]:[Profit]],6,0),"")</f>
        <v/>
      </c>
      <c r="J667" s="49" t="str">
        <f>IFERROR(VLOOKUP(B667,Baza[[№]:[Profit]],7,0),"")</f>
        <v/>
      </c>
      <c r="K667" s="43" t="str">
        <f>IFERROR(VLOOKUP(B667,Baza[[№]:[Profit]],8,0),"")</f>
        <v/>
      </c>
      <c r="L667" s="43" t="str">
        <f>IFERROR(VLOOKUP(B667,Baza[[№]:[Profit]],9,0),"")</f>
        <v/>
      </c>
      <c r="M667" s="43" t="str">
        <f>IFERROR(VLOOKUP(B667,Baza[[№]:[Profit]],10,0),"")</f>
        <v/>
      </c>
      <c r="N667" s="43" t="str">
        <f>IFERROR(IF(VLOOKUP(B667,Baza[[№]:[Profit]],11,0)=0,"-",VLOOKUP(B667,Baza[[№]:[Profit]],11,0)),"")</f>
        <v/>
      </c>
      <c r="O667" s="43" t="str">
        <f>IFERROR(IF(VLOOKUP(B667,Baza[[№]:[Profit]],12,0)=0,"-",VLOOKUP(B667,Baza[[№]:[Profit]],12,0)),"")</f>
        <v/>
      </c>
      <c r="P667" s="43" t="str">
        <f>IFERROR(IF(VLOOKUP(B667,Baza[[№]:[Profit]],13,0)=0,"-",VLOOKUP(B667,Baza[[№]:[Profit]],13,0)),"")</f>
        <v/>
      </c>
      <c r="Q667" s="43" t="str">
        <f>IFERROR(IF(VLOOKUP(B667,Baza[[№]:[Profit]],15,0)=0,"-",VLOOKUP(B667,Baza[[№]:[Profit]],15,0)),"")</f>
        <v/>
      </c>
      <c r="R667" s="43" t="str">
        <f>IFERROR(IF(VLOOKUP(B667,Baza[[№]:[Profit]],16,0)=0,"-",VLOOKUP(B667,Baza[[№]:[Profit]],16,0)),"")</f>
        <v/>
      </c>
      <c r="S667" s="43" t="str">
        <f>IFERROR(IF(VLOOKUP(B667,Baza[[№]:[Profit]],17,0)=0,"-",VLOOKUP(B667,Baza[[№]:[Profit]],17,0)),"")</f>
        <v/>
      </c>
      <c r="T667" s="43" t="str">
        <f>IFERROR(IF(VLOOKUP(B667,Baza[[№]:[Profit]],18,0)=0,"-",VLOOKUP(B667,Baza[[№]:[Profit]],18,0)),"")</f>
        <v/>
      </c>
      <c r="U667" s="41" t="str">
        <f>IFERROR(IF(VLOOKUP(B667,Baza[[№]:[Profit]],19,0)=0,"-",VLOOKUP(B667,Baza[[№]:[Profit]],19,0)),"")</f>
        <v/>
      </c>
      <c r="V667" s="41" t="str">
        <f>IFERROR(VLOOKUP(B667,Baza[[№]:[Profit]],20,0),"")</f>
        <v/>
      </c>
      <c r="W667" s="41" t="str">
        <f>IFERROR(IF(VLOOKUP(B667,Baza[[№]:[Profit]],21,0)=0,"-",VLOOKUP(B667,Baza[[№]:[Profit]],21,0)),"")</f>
        <v/>
      </c>
      <c r="X667" s="45" t="str">
        <f>IFERROR(IF(VLOOKUP(B667,Baza[[№]:[Profit]],22,0)=0,"-",VLOOKUP(B667,Baza[[№]:[Profit]],22,0)),"")</f>
        <v/>
      </c>
      <c r="Y667" s="45" t="str">
        <f>IFERROR(VLOOKUP(B667,Baza[[№]:[Profit]],23,0),"")</f>
        <v/>
      </c>
      <c r="Z667" s="44" t="str">
        <f>IFERROR(VLOOKUP(B667,Baza[[№]:[AFS]],24,0),"")</f>
        <v/>
      </c>
      <c r="AA667" s="45" t="str">
        <f>IF(Таблица2[[#This Row],[Profit]]="","#Н/Д",SUM($Y$40:Y667))</f>
        <v>#Н/Д</v>
      </c>
      <c r="AB667" s="45" t="b">
        <f>IF(Таблица2[[#This Row],[Grafik]]="#Н/Д",FALSE,TRUE)</f>
        <v>0</v>
      </c>
    </row>
    <row r="668" spans="2:28" ht="11.1" hidden="1" customHeight="1" x14ac:dyDescent="0.25">
      <c r="B668"/>
      <c r="C668" s="41" t="str">
        <f>IFERROR(VLOOKUP(B668,Baza[[№]:[Profit]],2,0),"")</f>
        <v/>
      </c>
      <c r="D66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6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68" s="43" t="str">
        <f>IFERROR(VLOOKUP(B668,Baza[[№]:[Profit]],3,0),"")</f>
        <v/>
      </c>
      <c r="G668" s="43" t="str">
        <f>IFERROR(VLOOKUP(B668,Baza[[№]:[Profit]],4,0),"")</f>
        <v/>
      </c>
      <c r="H668" s="43" t="str">
        <f>IFERROR(VLOOKUP(B668,Baza[[№]:[Profit]],5,0),"")</f>
        <v/>
      </c>
      <c r="I668" s="46" t="str">
        <f>IFERROR(VLOOKUP(B668,Baza[[№]:[Profit]],6,0),"")</f>
        <v/>
      </c>
      <c r="J668" s="49" t="str">
        <f>IFERROR(VLOOKUP(B668,Baza[[№]:[Profit]],7,0),"")</f>
        <v/>
      </c>
      <c r="K668" s="43" t="str">
        <f>IFERROR(VLOOKUP(B668,Baza[[№]:[Profit]],8,0),"")</f>
        <v/>
      </c>
      <c r="L668" s="43" t="str">
        <f>IFERROR(VLOOKUP(B668,Baza[[№]:[Profit]],9,0),"")</f>
        <v/>
      </c>
      <c r="M668" s="43" t="str">
        <f>IFERROR(VLOOKUP(B668,Baza[[№]:[Profit]],10,0),"")</f>
        <v/>
      </c>
      <c r="N668" s="43" t="str">
        <f>IFERROR(IF(VLOOKUP(B668,Baza[[№]:[Profit]],11,0)=0,"-",VLOOKUP(B668,Baza[[№]:[Profit]],11,0)),"")</f>
        <v/>
      </c>
      <c r="O668" s="43" t="str">
        <f>IFERROR(IF(VLOOKUP(B668,Baza[[№]:[Profit]],12,0)=0,"-",VLOOKUP(B668,Baza[[№]:[Profit]],12,0)),"")</f>
        <v/>
      </c>
      <c r="P668" s="43" t="str">
        <f>IFERROR(IF(VLOOKUP(B668,Baza[[№]:[Profit]],13,0)=0,"-",VLOOKUP(B668,Baza[[№]:[Profit]],13,0)),"")</f>
        <v/>
      </c>
      <c r="Q668" s="43" t="str">
        <f>IFERROR(IF(VLOOKUP(B668,Baza[[№]:[Profit]],15,0)=0,"-",VLOOKUP(B668,Baza[[№]:[Profit]],15,0)),"")</f>
        <v/>
      </c>
      <c r="R668" s="43" t="str">
        <f>IFERROR(IF(VLOOKUP(B668,Baza[[№]:[Profit]],16,0)=0,"-",VLOOKUP(B668,Baza[[№]:[Profit]],16,0)),"")</f>
        <v/>
      </c>
      <c r="S668" s="43" t="str">
        <f>IFERROR(IF(VLOOKUP(B668,Baza[[№]:[Profit]],17,0)=0,"-",VLOOKUP(B668,Baza[[№]:[Profit]],17,0)),"")</f>
        <v/>
      </c>
      <c r="T668" s="43" t="str">
        <f>IFERROR(IF(VLOOKUP(B668,Baza[[№]:[Profit]],18,0)=0,"-",VLOOKUP(B668,Baza[[№]:[Profit]],18,0)),"")</f>
        <v/>
      </c>
      <c r="U668" s="41" t="str">
        <f>IFERROR(IF(VLOOKUP(B668,Baza[[№]:[Profit]],19,0)=0,"-",VLOOKUP(B668,Baza[[№]:[Profit]],19,0)),"")</f>
        <v/>
      </c>
      <c r="V668" s="41" t="str">
        <f>IFERROR(VLOOKUP(B668,Baza[[№]:[Profit]],20,0),"")</f>
        <v/>
      </c>
      <c r="W668" s="41" t="str">
        <f>IFERROR(IF(VLOOKUP(B668,Baza[[№]:[Profit]],21,0)=0,"-",VLOOKUP(B668,Baza[[№]:[Profit]],21,0)),"")</f>
        <v/>
      </c>
      <c r="X668" s="45" t="str">
        <f>IFERROR(IF(VLOOKUP(B668,Baza[[№]:[Profit]],22,0)=0,"-",VLOOKUP(B668,Baza[[№]:[Profit]],22,0)),"")</f>
        <v/>
      </c>
      <c r="Y668" s="45" t="str">
        <f>IFERROR(VLOOKUP(B668,Baza[[№]:[Profit]],23,0),"")</f>
        <v/>
      </c>
      <c r="Z668" s="44" t="str">
        <f>IFERROR(VLOOKUP(B668,Baza[[№]:[AFS]],24,0),"")</f>
        <v/>
      </c>
      <c r="AA668" s="45" t="str">
        <f>IF(Таблица2[[#This Row],[Profit]]="","#Н/Д",SUM($Y$40:Y668))</f>
        <v>#Н/Д</v>
      </c>
      <c r="AB668" s="45" t="b">
        <f>IF(Таблица2[[#This Row],[Grafik]]="#Н/Д",FALSE,TRUE)</f>
        <v>0</v>
      </c>
    </row>
    <row r="669" spans="2:28" ht="11.1" hidden="1" customHeight="1" x14ac:dyDescent="0.25">
      <c r="B669"/>
      <c r="C669" s="41" t="str">
        <f>IFERROR(VLOOKUP(B669,Baza[[№]:[Profit]],2,0),"")</f>
        <v/>
      </c>
      <c r="D66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6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69" s="43" t="str">
        <f>IFERROR(VLOOKUP(B669,Baza[[№]:[Profit]],3,0),"")</f>
        <v/>
      </c>
      <c r="G669" s="43" t="str">
        <f>IFERROR(VLOOKUP(B669,Baza[[№]:[Profit]],4,0),"")</f>
        <v/>
      </c>
      <c r="H669" s="43" t="str">
        <f>IFERROR(VLOOKUP(B669,Baza[[№]:[Profit]],5,0),"")</f>
        <v/>
      </c>
      <c r="I669" s="46" t="str">
        <f>IFERROR(VLOOKUP(B669,Baza[[№]:[Profit]],6,0),"")</f>
        <v/>
      </c>
      <c r="J669" s="49" t="str">
        <f>IFERROR(VLOOKUP(B669,Baza[[№]:[Profit]],7,0),"")</f>
        <v/>
      </c>
      <c r="K669" s="43" t="str">
        <f>IFERROR(VLOOKUP(B669,Baza[[№]:[Profit]],8,0),"")</f>
        <v/>
      </c>
      <c r="L669" s="43" t="str">
        <f>IFERROR(VLOOKUP(B669,Baza[[№]:[Profit]],9,0),"")</f>
        <v/>
      </c>
      <c r="M669" s="43" t="str">
        <f>IFERROR(VLOOKUP(B669,Baza[[№]:[Profit]],10,0),"")</f>
        <v/>
      </c>
      <c r="N669" s="43" t="str">
        <f>IFERROR(IF(VLOOKUP(B669,Baza[[№]:[Profit]],11,0)=0,"-",VLOOKUP(B669,Baza[[№]:[Profit]],11,0)),"")</f>
        <v/>
      </c>
      <c r="O669" s="43" t="str">
        <f>IFERROR(IF(VLOOKUP(B669,Baza[[№]:[Profit]],12,0)=0,"-",VLOOKUP(B669,Baza[[№]:[Profit]],12,0)),"")</f>
        <v/>
      </c>
      <c r="P669" s="43" t="str">
        <f>IFERROR(IF(VLOOKUP(B669,Baza[[№]:[Profit]],13,0)=0,"-",VLOOKUP(B669,Baza[[№]:[Profit]],13,0)),"")</f>
        <v/>
      </c>
      <c r="Q669" s="43" t="str">
        <f>IFERROR(IF(VLOOKUP(B669,Baza[[№]:[Profit]],15,0)=0,"-",VLOOKUP(B669,Baza[[№]:[Profit]],15,0)),"")</f>
        <v/>
      </c>
      <c r="R669" s="43" t="str">
        <f>IFERROR(IF(VLOOKUP(B669,Baza[[№]:[Profit]],16,0)=0,"-",VLOOKUP(B669,Baza[[№]:[Profit]],16,0)),"")</f>
        <v/>
      </c>
      <c r="S669" s="43" t="str">
        <f>IFERROR(IF(VLOOKUP(B669,Baza[[№]:[Profit]],17,0)=0,"-",VLOOKUP(B669,Baza[[№]:[Profit]],17,0)),"")</f>
        <v/>
      </c>
      <c r="T669" s="43" t="str">
        <f>IFERROR(IF(VLOOKUP(B669,Baza[[№]:[Profit]],18,0)=0,"-",VLOOKUP(B669,Baza[[№]:[Profit]],18,0)),"")</f>
        <v/>
      </c>
      <c r="U669" s="41" t="str">
        <f>IFERROR(IF(VLOOKUP(B669,Baza[[№]:[Profit]],19,0)=0,"-",VLOOKUP(B669,Baza[[№]:[Profit]],19,0)),"")</f>
        <v/>
      </c>
      <c r="V669" s="41" t="str">
        <f>IFERROR(VLOOKUP(B669,Baza[[№]:[Profit]],20,0),"")</f>
        <v/>
      </c>
      <c r="W669" s="41" t="str">
        <f>IFERROR(IF(VLOOKUP(B669,Baza[[№]:[Profit]],21,0)=0,"-",VLOOKUP(B669,Baza[[№]:[Profit]],21,0)),"")</f>
        <v/>
      </c>
      <c r="X669" s="45" t="str">
        <f>IFERROR(IF(VLOOKUP(B669,Baza[[№]:[Profit]],22,0)=0,"-",VLOOKUP(B669,Baza[[№]:[Profit]],22,0)),"")</f>
        <v/>
      </c>
      <c r="Y669" s="45" t="str">
        <f>IFERROR(VLOOKUP(B669,Baza[[№]:[Profit]],23,0),"")</f>
        <v/>
      </c>
      <c r="Z669" s="44" t="str">
        <f>IFERROR(VLOOKUP(B669,Baza[[№]:[AFS]],24,0),"")</f>
        <v/>
      </c>
      <c r="AA669" s="45" t="str">
        <f>IF(Таблица2[[#This Row],[Profit]]="","#Н/Д",SUM($Y$40:Y669))</f>
        <v>#Н/Д</v>
      </c>
      <c r="AB669" s="45" t="b">
        <f>IF(Таблица2[[#This Row],[Grafik]]="#Н/Д",FALSE,TRUE)</f>
        <v>0</v>
      </c>
    </row>
    <row r="670" spans="2:28" ht="11.1" hidden="1" customHeight="1" x14ac:dyDescent="0.25">
      <c r="B670"/>
      <c r="C670" s="41" t="str">
        <f>IFERROR(VLOOKUP(B670,Baza[[№]:[Profit]],2,0),"")</f>
        <v/>
      </c>
      <c r="D67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7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70" s="43" t="str">
        <f>IFERROR(VLOOKUP(B670,Baza[[№]:[Profit]],3,0),"")</f>
        <v/>
      </c>
      <c r="G670" s="43" t="str">
        <f>IFERROR(VLOOKUP(B670,Baza[[№]:[Profit]],4,0),"")</f>
        <v/>
      </c>
      <c r="H670" s="43" t="str">
        <f>IFERROR(VLOOKUP(B670,Baza[[№]:[Profit]],5,0),"")</f>
        <v/>
      </c>
      <c r="I670" s="46" t="str">
        <f>IFERROR(VLOOKUP(B670,Baza[[№]:[Profit]],6,0),"")</f>
        <v/>
      </c>
      <c r="J670" s="49" t="str">
        <f>IFERROR(VLOOKUP(B670,Baza[[№]:[Profit]],7,0),"")</f>
        <v/>
      </c>
      <c r="K670" s="43" t="str">
        <f>IFERROR(VLOOKUP(B670,Baza[[№]:[Profit]],8,0),"")</f>
        <v/>
      </c>
      <c r="L670" s="43" t="str">
        <f>IFERROR(VLOOKUP(B670,Baza[[№]:[Profit]],9,0),"")</f>
        <v/>
      </c>
      <c r="M670" s="43" t="str">
        <f>IFERROR(VLOOKUP(B670,Baza[[№]:[Profit]],10,0),"")</f>
        <v/>
      </c>
      <c r="N670" s="43" t="str">
        <f>IFERROR(IF(VLOOKUP(B670,Baza[[№]:[Profit]],11,0)=0,"-",VLOOKUP(B670,Baza[[№]:[Profit]],11,0)),"")</f>
        <v/>
      </c>
      <c r="O670" s="43" t="str">
        <f>IFERROR(IF(VLOOKUP(B670,Baza[[№]:[Profit]],12,0)=0,"-",VLOOKUP(B670,Baza[[№]:[Profit]],12,0)),"")</f>
        <v/>
      </c>
      <c r="P670" s="43" t="str">
        <f>IFERROR(IF(VLOOKUP(B670,Baza[[№]:[Profit]],13,0)=0,"-",VLOOKUP(B670,Baza[[№]:[Profit]],13,0)),"")</f>
        <v/>
      </c>
      <c r="Q670" s="43" t="str">
        <f>IFERROR(IF(VLOOKUP(B670,Baza[[№]:[Profit]],15,0)=0,"-",VLOOKUP(B670,Baza[[№]:[Profit]],15,0)),"")</f>
        <v/>
      </c>
      <c r="R670" s="43" t="str">
        <f>IFERROR(IF(VLOOKUP(B670,Baza[[№]:[Profit]],16,0)=0,"-",VLOOKUP(B670,Baza[[№]:[Profit]],16,0)),"")</f>
        <v/>
      </c>
      <c r="S670" s="43" t="str">
        <f>IFERROR(IF(VLOOKUP(B670,Baza[[№]:[Profit]],17,0)=0,"-",VLOOKUP(B670,Baza[[№]:[Profit]],17,0)),"")</f>
        <v/>
      </c>
      <c r="T670" s="43" t="str">
        <f>IFERROR(IF(VLOOKUP(B670,Baza[[№]:[Profit]],18,0)=0,"-",VLOOKUP(B670,Baza[[№]:[Profit]],18,0)),"")</f>
        <v/>
      </c>
      <c r="U670" s="41" t="str">
        <f>IFERROR(IF(VLOOKUP(B670,Baza[[№]:[Profit]],19,0)=0,"-",VLOOKUP(B670,Baza[[№]:[Profit]],19,0)),"")</f>
        <v/>
      </c>
      <c r="V670" s="41" t="str">
        <f>IFERROR(VLOOKUP(B670,Baza[[№]:[Profit]],20,0),"")</f>
        <v/>
      </c>
      <c r="W670" s="41" t="str">
        <f>IFERROR(IF(VLOOKUP(B670,Baza[[№]:[Profit]],21,0)=0,"-",VLOOKUP(B670,Baza[[№]:[Profit]],21,0)),"")</f>
        <v/>
      </c>
      <c r="X670" s="45" t="str">
        <f>IFERROR(IF(VLOOKUP(B670,Baza[[№]:[Profit]],22,0)=0,"-",VLOOKUP(B670,Baza[[№]:[Profit]],22,0)),"")</f>
        <v/>
      </c>
      <c r="Y670" s="45" t="str">
        <f>IFERROR(VLOOKUP(B670,Baza[[№]:[Profit]],23,0),"")</f>
        <v/>
      </c>
      <c r="Z670" s="44" t="str">
        <f>IFERROR(VLOOKUP(B670,Baza[[№]:[AFS]],24,0),"")</f>
        <v/>
      </c>
      <c r="AA670" s="45" t="str">
        <f>IF(Таблица2[[#This Row],[Profit]]="","#Н/Д",SUM($Y$40:Y670))</f>
        <v>#Н/Д</v>
      </c>
      <c r="AB670" s="45" t="b">
        <f>IF(Таблица2[[#This Row],[Grafik]]="#Н/Д",FALSE,TRUE)</f>
        <v>0</v>
      </c>
    </row>
    <row r="671" spans="2:28" ht="11.1" hidden="1" customHeight="1" x14ac:dyDescent="0.25">
      <c r="B671"/>
      <c r="C671" s="41" t="str">
        <f>IFERROR(VLOOKUP(B671,Baza[[№]:[Profit]],2,0),"")</f>
        <v/>
      </c>
      <c r="D67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7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71" s="43" t="str">
        <f>IFERROR(VLOOKUP(B671,Baza[[№]:[Profit]],3,0),"")</f>
        <v/>
      </c>
      <c r="G671" s="43" t="str">
        <f>IFERROR(VLOOKUP(B671,Baza[[№]:[Profit]],4,0),"")</f>
        <v/>
      </c>
      <c r="H671" s="43" t="str">
        <f>IFERROR(VLOOKUP(B671,Baza[[№]:[Profit]],5,0),"")</f>
        <v/>
      </c>
      <c r="I671" s="46" t="str">
        <f>IFERROR(VLOOKUP(B671,Baza[[№]:[Profit]],6,0),"")</f>
        <v/>
      </c>
      <c r="J671" s="49" t="str">
        <f>IFERROR(VLOOKUP(B671,Baza[[№]:[Profit]],7,0),"")</f>
        <v/>
      </c>
      <c r="K671" s="43" t="str">
        <f>IFERROR(VLOOKUP(B671,Baza[[№]:[Profit]],8,0),"")</f>
        <v/>
      </c>
      <c r="L671" s="43" t="str">
        <f>IFERROR(VLOOKUP(B671,Baza[[№]:[Profit]],9,0),"")</f>
        <v/>
      </c>
      <c r="M671" s="43" t="str">
        <f>IFERROR(VLOOKUP(B671,Baza[[№]:[Profit]],10,0),"")</f>
        <v/>
      </c>
      <c r="N671" s="43" t="str">
        <f>IFERROR(IF(VLOOKUP(B671,Baza[[№]:[Profit]],11,0)=0,"-",VLOOKUP(B671,Baza[[№]:[Profit]],11,0)),"")</f>
        <v/>
      </c>
      <c r="O671" s="43" t="str">
        <f>IFERROR(IF(VLOOKUP(B671,Baza[[№]:[Profit]],12,0)=0,"-",VLOOKUP(B671,Baza[[№]:[Profit]],12,0)),"")</f>
        <v/>
      </c>
      <c r="P671" s="43" t="str">
        <f>IFERROR(IF(VLOOKUP(B671,Baza[[№]:[Profit]],13,0)=0,"-",VLOOKUP(B671,Baza[[№]:[Profit]],13,0)),"")</f>
        <v/>
      </c>
      <c r="Q671" s="43" t="str">
        <f>IFERROR(IF(VLOOKUP(B671,Baza[[№]:[Profit]],15,0)=0,"-",VLOOKUP(B671,Baza[[№]:[Profit]],15,0)),"")</f>
        <v/>
      </c>
      <c r="R671" s="43" t="str">
        <f>IFERROR(IF(VLOOKUP(B671,Baza[[№]:[Profit]],16,0)=0,"-",VLOOKUP(B671,Baza[[№]:[Profit]],16,0)),"")</f>
        <v/>
      </c>
      <c r="S671" s="43" t="str">
        <f>IFERROR(IF(VLOOKUP(B671,Baza[[№]:[Profit]],17,0)=0,"-",VLOOKUP(B671,Baza[[№]:[Profit]],17,0)),"")</f>
        <v/>
      </c>
      <c r="T671" s="43" t="str">
        <f>IFERROR(IF(VLOOKUP(B671,Baza[[№]:[Profit]],18,0)=0,"-",VLOOKUP(B671,Baza[[№]:[Profit]],18,0)),"")</f>
        <v/>
      </c>
      <c r="U671" s="41" t="str">
        <f>IFERROR(IF(VLOOKUP(B671,Baza[[№]:[Profit]],19,0)=0,"-",VLOOKUP(B671,Baza[[№]:[Profit]],19,0)),"")</f>
        <v/>
      </c>
      <c r="V671" s="41" t="str">
        <f>IFERROR(VLOOKUP(B671,Baza[[№]:[Profit]],20,0),"")</f>
        <v/>
      </c>
      <c r="W671" s="41" t="str">
        <f>IFERROR(IF(VLOOKUP(B671,Baza[[№]:[Profit]],21,0)=0,"-",VLOOKUP(B671,Baza[[№]:[Profit]],21,0)),"")</f>
        <v/>
      </c>
      <c r="X671" s="45" t="str">
        <f>IFERROR(IF(VLOOKUP(B671,Baza[[№]:[Profit]],22,0)=0,"-",VLOOKUP(B671,Baza[[№]:[Profit]],22,0)),"")</f>
        <v/>
      </c>
      <c r="Y671" s="45" t="str">
        <f>IFERROR(VLOOKUP(B671,Baza[[№]:[Profit]],23,0),"")</f>
        <v/>
      </c>
      <c r="Z671" s="44" t="str">
        <f>IFERROR(VLOOKUP(B671,Baza[[№]:[AFS]],24,0),"")</f>
        <v/>
      </c>
      <c r="AA671" s="45" t="str">
        <f>IF(Таблица2[[#This Row],[Profit]]="","#Н/Д",SUM($Y$40:Y671))</f>
        <v>#Н/Д</v>
      </c>
      <c r="AB671" s="45" t="b">
        <f>IF(Таблица2[[#This Row],[Grafik]]="#Н/Д",FALSE,TRUE)</f>
        <v>0</v>
      </c>
    </row>
    <row r="672" spans="2:28" ht="11.1" hidden="1" customHeight="1" x14ac:dyDescent="0.25">
      <c r="B672"/>
      <c r="C672" s="41" t="str">
        <f>IFERROR(VLOOKUP(B672,Baza[[№]:[Profit]],2,0),"")</f>
        <v/>
      </c>
      <c r="D67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7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72" s="43" t="str">
        <f>IFERROR(VLOOKUP(B672,Baza[[№]:[Profit]],3,0),"")</f>
        <v/>
      </c>
      <c r="G672" s="43" t="str">
        <f>IFERROR(VLOOKUP(B672,Baza[[№]:[Profit]],4,0),"")</f>
        <v/>
      </c>
      <c r="H672" s="43" t="str">
        <f>IFERROR(VLOOKUP(B672,Baza[[№]:[Profit]],5,0),"")</f>
        <v/>
      </c>
      <c r="I672" s="46" t="str">
        <f>IFERROR(VLOOKUP(B672,Baza[[№]:[Profit]],6,0),"")</f>
        <v/>
      </c>
      <c r="J672" s="49" t="str">
        <f>IFERROR(VLOOKUP(B672,Baza[[№]:[Profit]],7,0),"")</f>
        <v/>
      </c>
      <c r="K672" s="43" t="str">
        <f>IFERROR(VLOOKUP(B672,Baza[[№]:[Profit]],8,0),"")</f>
        <v/>
      </c>
      <c r="L672" s="43" t="str">
        <f>IFERROR(VLOOKUP(B672,Baza[[№]:[Profit]],9,0),"")</f>
        <v/>
      </c>
      <c r="M672" s="43" t="str">
        <f>IFERROR(VLOOKUP(B672,Baza[[№]:[Profit]],10,0),"")</f>
        <v/>
      </c>
      <c r="N672" s="43" t="str">
        <f>IFERROR(IF(VLOOKUP(B672,Baza[[№]:[Profit]],11,0)=0,"-",VLOOKUP(B672,Baza[[№]:[Profit]],11,0)),"")</f>
        <v/>
      </c>
      <c r="O672" s="43" t="str">
        <f>IFERROR(IF(VLOOKUP(B672,Baza[[№]:[Profit]],12,0)=0,"-",VLOOKUP(B672,Baza[[№]:[Profit]],12,0)),"")</f>
        <v/>
      </c>
      <c r="P672" s="43" t="str">
        <f>IFERROR(IF(VLOOKUP(B672,Baza[[№]:[Profit]],13,0)=0,"-",VLOOKUP(B672,Baza[[№]:[Profit]],13,0)),"")</f>
        <v/>
      </c>
      <c r="Q672" s="43" t="str">
        <f>IFERROR(IF(VLOOKUP(B672,Baza[[№]:[Profit]],15,0)=0,"-",VLOOKUP(B672,Baza[[№]:[Profit]],15,0)),"")</f>
        <v/>
      </c>
      <c r="R672" s="43" t="str">
        <f>IFERROR(IF(VLOOKUP(B672,Baza[[№]:[Profit]],16,0)=0,"-",VLOOKUP(B672,Baza[[№]:[Profit]],16,0)),"")</f>
        <v/>
      </c>
      <c r="S672" s="43" t="str">
        <f>IFERROR(IF(VLOOKUP(B672,Baza[[№]:[Profit]],17,0)=0,"-",VLOOKUP(B672,Baza[[№]:[Profit]],17,0)),"")</f>
        <v/>
      </c>
      <c r="T672" s="43" t="str">
        <f>IFERROR(IF(VLOOKUP(B672,Baza[[№]:[Profit]],18,0)=0,"-",VLOOKUP(B672,Baza[[№]:[Profit]],18,0)),"")</f>
        <v/>
      </c>
      <c r="U672" s="41" t="str">
        <f>IFERROR(IF(VLOOKUP(B672,Baza[[№]:[Profit]],19,0)=0,"-",VLOOKUP(B672,Baza[[№]:[Profit]],19,0)),"")</f>
        <v/>
      </c>
      <c r="V672" s="41" t="str">
        <f>IFERROR(VLOOKUP(B672,Baza[[№]:[Profit]],20,0),"")</f>
        <v/>
      </c>
      <c r="W672" s="41" t="str">
        <f>IFERROR(IF(VLOOKUP(B672,Baza[[№]:[Profit]],21,0)=0,"-",VLOOKUP(B672,Baza[[№]:[Profit]],21,0)),"")</f>
        <v/>
      </c>
      <c r="X672" s="45" t="str">
        <f>IFERROR(IF(VLOOKUP(B672,Baza[[№]:[Profit]],22,0)=0,"-",VLOOKUP(B672,Baza[[№]:[Profit]],22,0)),"")</f>
        <v/>
      </c>
      <c r="Y672" s="45" t="str">
        <f>IFERROR(VLOOKUP(B672,Baza[[№]:[Profit]],23,0),"")</f>
        <v/>
      </c>
      <c r="Z672" s="44" t="str">
        <f>IFERROR(VLOOKUP(B672,Baza[[№]:[AFS]],24,0),"")</f>
        <v/>
      </c>
      <c r="AA672" s="45" t="str">
        <f>IF(Таблица2[[#This Row],[Profit]]="","#Н/Д",SUM($Y$40:Y672))</f>
        <v>#Н/Д</v>
      </c>
      <c r="AB672" s="45" t="b">
        <f>IF(Таблица2[[#This Row],[Grafik]]="#Н/Д",FALSE,TRUE)</f>
        <v>0</v>
      </c>
    </row>
    <row r="673" spans="2:28" ht="11.1" hidden="1" customHeight="1" x14ac:dyDescent="0.25">
      <c r="B673"/>
      <c r="C673" s="41" t="str">
        <f>IFERROR(VLOOKUP(B673,Baza[[№]:[Profit]],2,0),"")</f>
        <v/>
      </c>
      <c r="D67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7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73" s="43" t="str">
        <f>IFERROR(VLOOKUP(B673,Baza[[№]:[Profit]],3,0),"")</f>
        <v/>
      </c>
      <c r="G673" s="43" t="str">
        <f>IFERROR(VLOOKUP(B673,Baza[[№]:[Profit]],4,0),"")</f>
        <v/>
      </c>
      <c r="H673" s="43" t="str">
        <f>IFERROR(VLOOKUP(B673,Baza[[№]:[Profit]],5,0),"")</f>
        <v/>
      </c>
      <c r="I673" s="46" t="str">
        <f>IFERROR(VLOOKUP(B673,Baza[[№]:[Profit]],6,0),"")</f>
        <v/>
      </c>
      <c r="J673" s="49" t="str">
        <f>IFERROR(VLOOKUP(B673,Baza[[№]:[Profit]],7,0),"")</f>
        <v/>
      </c>
      <c r="K673" s="43" t="str">
        <f>IFERROR(VLOOKUP(B673,Baza[[№]:[Profit]],8,0),"")</f>
        <v/>
      </c>
      <c r="L673" s="43" t="str">
        <f>IFERROR(VLOOKUP(B673,Baza[[№]:[Profit]],9,0),"")</f>
        <v/>
      </c>
      <c r="M673" s="43" t="str">
        <f>IFERROR(VLOOKUP(B673,Baza[[№]:[Profit]],10,0),"")</f>
        <v/>
      </c>
      <c r="N673" s="43" t="str">
        <f>IFERROR(IF(VLOOKUP(B673,Baza[[№]:[Profit]],11,0)=0,"-",VLOOKUP(B673,Baza[[№]:[Profit]],11,0)),"")</f>
        <v/>
      </c>
      <c r="O673" s="43" t="str">
        <f>IFERROR(IF(VLOOKUP(B673,Baza[[№]:[Profit]],12,0)=0,"-",VLOOKUP(B673,Baza[[№]:[Profit]],12,0)),"")</f>
        <v/>
      </c>
      <c r="P673" s="43" t="str">
        <f>IFERROR(IF(VLOOKUP(B673,Baza[[№]:[Profit]],13,0)=0,"-",VLOOKUP(B673,Baza[[№]:[Profit]],13,0)),"")</f>
        <v/>
      </c>
      <c r="Q673" s="43" t="str">
        <f>IFERROR(IF(VLOOKUP(B673,Baza[[№]:[Profit]],15,0)=0,"-",VLOOKUP(B673,Baza[[№]:[Profit]],15,0)),"")</f>
        <v/>
      </c>
      <c r="R673" s="43" t="str">
        <f>IFERROR(IF(VLOOKUP(B673,Baza[[№]:[Profit]],16,0)=0,"-",VLOOKUP(B673,Baza[[№]:[Profit]],16,0)),"")</f>
        <v/>
      </c>
      <c r="S673" s="43" t="str">
        <f>IFERROR(IF(VLOOKUP(B673,Baza[[№]:[Profit]],17,0)=0,"-",VLOOKUP(B673,Baza[[№]:[Profit]],17,0)),"")</f>
        <v/>
      </c>
      <c r="T673" s="43" t="str">
        <f>IFERROR(IF(VLOOKUP(B673,Baza[[№]:[Profit]],18,0)=0,"-",VLOOKUP(B673,Baza[[№]:[Profit]],18,0)),"")</f>
        <v/>
      </c>
      <c r="U673" s="41" t="str">
        <f>IFERROR(IF(VLOOKUP(B673,Baza[[№]:[Profit]],19,0)=0,"-",VLOOKUP(B673,Baza[[№]:[Profit]],19,0)),"")</f>
        <v/>
      </c>
      <c r="V673" s="41" t="str">
        <f>IFERROR(VLOOKUP(B673,Baza[[№]:[Profit]],20,0),"")</f>
        <v/>
      </c>
      <c r="W673" s="41" t="str">
        <f>IFERROR(IF(VLOOKUP(B673,Baza[[№]:[Profit]],21,0)=0,"-",VLOOKUP(B673,Baza[[№]:[Profit]],21,0)),"")</f>
        <v/>
      </c>
      <c r="X673" s="45" t="str">
        <f>IFERROR(IF(VLOOKUP(B673,Baza[[№]:[Profit]],22,0)=0,"-",VLOOKUP(B673,Baza[[№]:[Profit]],22,0)),"")</f>
        <v/>
      </c>
      <c r="Y673" s="45" t="str">
        <f>IFERROR(VLOOKUP(B673,Baza[[№]:[Profit]],23,0),"")</f>
        <v/>
      </c>
      <c r="Z673" s="44" t="str">
        <f>IFERROR(VLOOKUP(B673,Baza[[№]:[AFS]],24,0),"")</f>
        <v/>
      </c>
      <c r="AA673" s="45" t="str">
        <f>IF(Таблица2[[#This Row],[Profit]]="","#Н/Д",SUM($Y$40:Y673))</f>
        <v>#Н/Д</v>
      </c>
      <c r="AB673" s="45" t="b">
        <f>IF(Таблица2[[#This Row],[Grafik]]="#Н/Д",FALSE,TRUE)</f>
        <v>0</v>
      </c>
    </row>
    <row r="674" spans="2:28" ht="11.1" hidden="1" customHeight="1" x14ac:dyDescent="0.25">
      <c r="B674"/>
      <c r="C674" s="41" t="str">
        <f>IFERROR(VLOOKUP(B674,Baza[[№]:[Profit]],2,0),"")</f>
        <v/>
      </c>
      <c r="D67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7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74" s="43" t="str">
        <f>IFERROR(VLOOKUP(B674,Baza[[№]:[Profit]],3,0),"")</f>
        <v/>
      </c>
      <c r="G674" s="43" t="str">
        <f>IFERROR(VLOOKUP(B674,Baza[[№]:[Profit]],4,0),"")</f>
        <v/>
      </c>
      <c r="H674" s="43" t="str">
        <f>IFERROR(VLOOKUP(B674,Baza[[№]:[Profit]],5,0),"")</f>
        <v/>
      </c>
      <c r="I674" s="46" t="str">
        <f>IFERROR(VLOOKUP(B674,Baza[[№]:[Profit]],6,0),"")</f>
        <v/>
      </c>
      <c r="J674" s="49" t="str">
        <f>IFERROR(VLOOKUP(B674,Baza[[№]:[Profit]],7,0),"")</f>
        <v/>
      </c>
      <c r="K674" s="43" t="str">
        <f>IFERROR(VLOOKUP(B674,Baza[[№]:[Profit]],8,0),"")</f>
        <v/>
      </c>
      <c r="L674" s="43" t="str">
        <f>IFERROR(VLOOKUP(B674,Baza[[№]:[Profit]],9,0),"")</f>
        <v/>
      </c>
      <c r="M674" s="43" t="str">
        <f>IFERROR(VLOOKUP(B674,Baza[[№]:[Profit]],10,0),"")</f>
        <v/>
      </c>
      <c r="N674" s="43" t="str">
        <f>IFERROR(IF(VLOOKUP(B674,Baza[[№]:[Profit]],11,0)=0,"-",VLOOKUP(B674,Baza[[№]:[Profit]],11,0)),"")</f>
        <v/>
      </c>
      <c r="O674" s="43" t="str">
        <f>IFERROR(IF(VLOOKUP(B674,Baza[[№]:[Profit]],12,0)=0,"-",VLOOKUP(B674,Baza[[№]:[Profit]],12,0)),"")</f>
        <v/>
      </c>
      <c r="P674" s="43" t="str">
        <f>IFERROR(IF(VLOOKUP(B674,Baza[[№]:[Profit]],13,0)=0,"-",VLOOKUP(B674,Baza[[№]:[Profit]],13,0)),"")</f>
        <v/>
      </c>
      <c r="Q674" s="43" t="str">
        <f>IFERROR(IF(VLOOKUP(B674,Baza[[№]:[Profit]],15,0)=0,"-",VLOOKUP(B674,Baza[[№]:[Profit]],15,0)),"")</f>
        <v/>
      </c>
      <c r="R674" s="43" t="str">
        <f>IFERROR(IF(VLOOKUP(B674,Baza[[№]:[Profit]],16,0)=0,"-",VLOOKUP(B674,Baza[[№]:[Profit]],16,0)),"")</f>
        <v/>
      </c>
      <c r="S674" s="43" t="str">
        <f>IFERROR(IF(VLOOKUP(B674,Baza[[№]:[Profit]],17,0)=0,"-",VLOOKUP(B674,Baza[[№]:[Profit]],17,0)),"")</f>
        <v/>
      </c>
      <c r="T674" s="43" t="str">
        <f>IFERROR(IF(VLOOKUP(B674,Baza[[№]:[Profit]],18,0)=0,"-",VLOOKUP(B674,Baza[[№]:[Profit]],18,0)),"")</f>
        <v/>
      </c>
      <c r="U674" s="41" t="str">
        <f>IFERROR(IF(VLOOKUP(B674,Baza[[№]:[Profit]],19,0)=0,"-",VLOOKUP(B674,Baza[[№]:[Profit]],19,0)),"")</f>
        <v/>
      </c>
      <c r="V674" s="41" t="str">
        <f>IFERROR(VLOOKUP(B674,Baza[[№]:[Profit]],20,0),"")</f>
        <v/>
      </c>
      <c r="W674" s="41" t="str">
        <f>IFERROR(IF(VLOOKUP(B674,Baza[[№]:[Profit]],21,0)=0,"-",VLOOKUP(B674,Baza[[№]:[Profit]],21,0)),"")</f>
        <v/>
      </c>
      <c r="X674" s="45" t="str">
        <f>IFERROR(IF(VLOOKUP(B674,Baza[[№]:[Profit]],22,0)=0,"-",VLOOKUP(B674,Baza[[№]:[Profit]],22,0)),"")</f>
        <v/>
      </c>
      <c r="Y674" s="45" t="str">
        <f>IFERROR(VLOOKUP(B674,Baza[[№]:[Profit]],23,0),"")</f>
        <v/>
      </c>
      <c r="Z674" s="44" t="str">
        <f>IFERROR(VLOOKUP(B674,Baza[[№]:[AFS]],24,0),"")</f>
        <v/>
      </c>
      <c r="AA674" s="45" t="str">
        <f>IF(Таблица2[[#This Row],[Profit]]="","#Н/Д",SUM($Y$40:Y674))</f>
        <v>#Н/Д</v>
      </c>
      <c r="AB674" s="45" t="b">
        <f>IF(Таблица2[[#This Row],[Grafik]]="#Н/Д",FALSE,TRUE)</f>
        <v>0</v>
      </c>
    </row>
    <row r="675" spans="2:28" ht="11.1" hidden="1" customHeight="1" x14ac:dyDescent="0.25">
      <c r="B675"/>
      <c r="C675" s="41" t="str">
        <f>IFERROR(VLOOKUP(B675,Baza[[№]:[Profit]],2,0),"")</f>
        <v/>
      </c>
      <c r="D67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7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75" s="43" t="str">
        <f>IFERROR(VLOOKUP(B675,Baza[[№]:[Profit]],3,0),"")</f>
        <v/>
      </c>
      <c r="G675" s="43" t="str">
        <f>IFERROR(VLOOKUP(B675,Baza[[№]:[Profit]],4,0),"")</f>
        <v/>
      </c>
      <c r="H675" s="43" t="str">
        <f>IFERROR(VLOOKUP(B675,Baza[[№]:[Profit]],5,0),"")</f>
        <v/>
      </c>
      <c r="I675" s="46" t="str">
        <f>IFERROR(VLOOKUP(B675,Baza[[№]:[Profit]],6,0),"")</f>
        <v/>
      </c>
      <c r="J675" s="49" t="str">
        <f>IFERROR(VLOOKUP(B675,Baza[[№]:[Profit]],7,0),"")</f>
        <v/>
      </c>
      <c r="K675" s="43" t="str">
        <f>IFERROR(VLOOKUP(B675,Baza[[№]:[Profit]],8,0),"")</f>
        <v/>
      </c>
      <c r="L675" s="43" t="str">
        <f>IFERROR(VLOOKUP(B675,Baza[[№]:[Profit]],9,0),"")</f>
        <v/>
      </c>
      <c r="M675" s="43" t="str">
        <f>IFERROR(VLOOKUP(B675,Baza[[№]:[Profit]],10,0),"")</f>
        <v/>
      </c>
      <c r="N675" s="43" t="str">
        <f>IFERROR(IF(VLOOKUP(B675,Baza[[№]:[Profit]],11,0)=0,"-",VLOOKUP(B675,Baza[[№]:[Profit]],11,0)),"")</f>
        <v/>
      </c>
      <c r="O675" s="43" t="str">
        <f>IFERROR(IF(VLOOKUP(B675,Baza[[№]:[Profit]],12,0)=0,"-",VLOOKUP(B675,Baza[[№]:[Profit]],12,0)),"")</f>
        <v/>
      </c>
      <c r="P675" s="43" t="str">
        <f>IFERROR(IF(VLOOKUP(B675,Baza[[№]:[Profit]],13,0)=0,"-",VLOOKUP(B675,Baza[[№]:[Profit]],13,0)),"")</f>
        <v/>
      </c>
      <c r="Q675" s="43" t="str">
        <f>IFERROR(IF(VLOOKUP(B675,Baza[[№]:[Profit]],15,0)=0,"-",VLOOKUP(B675,Baza[[№]:[Profit]],15,0)),"")</f>
        <v/>
      </c>
      <c r="R675" s="43" t="str">
        <f>IFERROR(IF(VLOOKUP(B675,Baza[[№]:[Profit]],16,0)=0,"-",VLOOKUP(B675,Baza[[№]:[Profit]],16,0)),"")</f>
        <v/>
      </c>
      <c r="S675" s="43" t="str">
        <f>IFERROR(IF(VLOOKUP(B675,Baza[[№]:[Profit]],17,0)=0,"-",VLOOKUP(B675,Baza[[№]:[Profit]],17,0)),"")</f>
        <v/>
      </c>
      <c r="T675" s="43" t="str">
        <f>IFERROR(IF(VLOOKUP(B675,Baza[[№]:[Profit]],18,0)=0,"-",VLOOKUP(B675,Baza[[№]:[Profit]],18,0)),"")</f>
        <v/>
      </c>
      <c r="U675" s="41" t="str">
        <f>IFERROR(IF(VLOOKUP(B675,Baza[[№]:[Profit]],19,0)=0,"-",VLOOKUP(B675,Baza[[№]:[Profit]],19,0)),"")</f>
        <v/>
      </c>
      <c r="V675" s="41" t="str">
        <f>IFERROR(VLOOKUP(B675,Baza[[№]:[Profit]],20,0),"")</f>
        <v/>
      </c>
      <c r="W675" s="41" t="str">
        <f>IFERROR(IF(VLOOKUP(B675,Baza[[№]:[Profit]],21,0)=0,"-",VLOOKUP(B675,Baza[[№]:[Profit]],21,0)),"")</f>
        <v/>
      </c>
      <c r="X675" s="45" t="str">
        <f>IFERROR(IF(VLOOKUP(B675,Baza[[№]:[Profit]],22,0)=0,"-",VLOOKUP(B675,Baza[[№]:[Profit]],22,0)),"")</f>
        <v/>
      </c>
      <c r="Y675" s="45" t="str">
        <f>IFERROR(VLOOKUP(B675,Baza[[№]:[Profit]],23,0),"")</f>
        <v/>
      </c>
      <c r="Z675" s="44" t="str">
        <f>IFERROR(VLOOKUP(B675,Baza[[№]:[AFS]],24,0),"")</f>
        <v/>
      </c>
      <c r="AA675" s="45" t="str">
        <f>IF(Таблица2[[#This Row],[Profit]]="","#Н/Д",SUM($Y$40:Y675))</f>
        <v>#Н/Д</v>
      </c>
      <c r="AB675" s="45" t="b">
        <f>IF(Таблица2[[#This Row],[Grafik]]="#Н/Д",FALSE,TRUE)</f>
        <v>0</v>
      </c>
    </row>
    <row r="676" spans="2:28" ht="11.1" hidden="1" customHeight="1" x14ac:dyDescent="0.25">
      <c r="B676"/>
      <c r="C676" s="41" t="str">
        <f>IFERROR(VLOOKUP(B676,Baza[[№]:[Profit]],2,0),"")</f>
        <v/>
      </c>
      <c r="D67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7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76" s="43" t="str">
        <f>IFERROR(VLOOKUP(B676,Baza[[№]:[Profit]],3,0),"")</f>
        <v/>
      </c>
      <c r="G676" s="43" t="str">
        <f>IFERROR(VLOOKUP(B676,Baza[[№]:[Profit]],4,0),"")</f>
        <v/>
      </c>
      <c r="H676" s="43" t="str">
        <f>IFERROR(VLOOKUP(B676,Baza[[№]:[Profit]],5,0),"")</f>
        <v/>
      </c>
      <c r="I676" s="46" t="str">
        <f>IFERROR(VLOOKUP(B676,Baza[[№]:[Profit]],6,0),"")</f>
        <v/>
      </c>
      <c r="J676" s="49" t="str">
        <f>IFERROR(VLOOKUP(B676,Baza[[№]:[Profit]],7,0),"")</f>
        <v/>
      </c>
      <c r="K676" s="43" t="str">
        <f>IFERROR(VLOOKUP(B676,Baza[[№]:[Profit]],8,0),"")</f>
        <v/>
      </c>
      <c r="L676" s="43" t="str">
        <f>IFERROR(VLOOKUP(B676,Baza[[№]:[Profit]],9,0),"")</f>
        <v/>
      </c>
      <c r="M676" s="43" t="str">
        <f>IFERROR(VLOOKUP(B676,Baza[[№]:[Profit]],10,0),"")</f>
        <v/>
      </c>
      <c r="N676" s="43" t="str">
        <f>IFERROR(IF(VLOOKUP(B676,Baza[[№]:[Profit]],11,0)=0,"-",VLOOKUP(B676,Baza[[№]:[Profit]],11,0)),"")</f>
        <v/>
      </c>
      <c r="O676" s="43" t="str">
        <f>IFERROR(IF(VLOOKUP(B676,Baza[[№]:[Profit]],12,0)=0,"-",VLOOKUP(B676,Baza[[№]:[Profit]],12,0)),"")</f>
        <v/>
      </c>
      <c r="P676" s="43" t="str">
        <f>IFERROR(IF(VLOOKUP(B676,Baza[[№]:[Profit]],13,0)=0,"-",VLOOKUP(B676,Baza[[№]:[Profit]],13,0)),"")</f>
        <v/>
      </c>
      <c r="Q676" s="43" t="str">
        <f>IFERROR(IF(VLOOKUP(B676,Baza[[№]:[Profit]],15,0)=0,"-",VLOOKUP(B676,Baza[[№]:[Profit]],15,0)),"")</f>
        <v/>
      </c>
      <c r="R676" s="43" t="str">
        <f>IFERROR(IF(VLOOKUP(B676,Baza[[№]:[Profit]],16,0)=0,"-",VLOOKUP(B676,Baza[[№]:[Profit]],16,0)),"")</f>
        <v/>
      </c>
      <c r="S676" s="43" t="str">
        <f>IFERROR(IF(VLOOKUP(B676,Baza[[№]:[Profit]],17,0)=0,"-",VLOOKUP(B676,Baza[[№]:[Profit]],17,0)),"")</f>
        <v/>
      </c>
      <c r="T676" s="43" t="str">
        <f>IFERROR(IF(VLOOKUP(B676,Baza[[№]:[Profit]],18,0)=0,"-",VLOOKUP(B676,Baza[[№]:[Profit]],18,0)),"")</f>
        <v/>
      </c>
      <c r="U676" s="41" t="str">
        <f>IFERROR(IF(VLOOKUP(B676,Baza[[№]:[Profit]],19,0)=0,"-",VLOOKUP(B676,Baza[[№]:[Profit]],19,0)),"")</f>
        <v/>
      </c>
      <c r="V676" s="41" t="str">
        <f>IFERROR(VLOOKUP(B676,Baza[[№]:[Profit]],20,0),"")</f>
        <v/>
      </c>
      <c r="W676" s="41" t="str">
        <f>IFERROR(IF(VLOOKUP(B676,Baza[[№]:[Profit]],21,0)=0,"-",VLOOKUP(B676,Baza[[№]:[Profit]],21,0)),"")</f>
        <v/>
      </c>
      <c r="X676" s="45" t="str">
        <f>IFERROR(IF(VLOOKUP(B676,Baza[[№]:[Profit]],22,0)=0,"-",VLOOKUP(B676,Baza[[№]:[Profit]],22,0)),"")</f>
        <v/>
      </c>
      <c r="Y676" s="45" t="str">
        <f>IFERROR(VLOOKUP(B676,Baza[[№]:[Profit]],23,0),"")</f>
        <v/>
      </c>
      <c r="Z676" s="44" t="str">
        <f>IFERROR(VLOOKUP(B676,Baza[[№]:[AFS]],24,0),"")</f>
        <v/>
      </c>
      <c r="AA676" s="45" t="str">
        <f>IF(Таблица2[[#This Row],[Profit]]="","#Н/Д",SUM($Y$40:Y676))</f>
        <v>#Н/Д</v>
      </c>
      <c r="AB676" s="45" t="b">
        <f>IF(Таблица2[[#This Row],[Grafik]]="#Н/Д",FALSE,TRUE)</f>
        <v>0</v>
      </c>
    </row>
    <row r="677" spans="2:28" ht="11.1" hidden="1" customHeight="1" x14ac:dyDescent="0.25">
      <c r="B677"/>
      <c r="C677" s="41" t="str">
        <f>IFERROR(VLOOKUP(B677,Baza[[№]:[Profit]],2,0),"")</f>
        <v/>
      </c>
      <c r="D67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7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77" s="43" t="str">
        <f>IFERROR(VLOOKUP(B677,Baza[[№]:[Profit]],3,0),"")</f>
        <v/>
      </c>
      <c r="G677" s="43" t="str">
        <f>IFERROR(VLOOKUP(B677,Baza[[№]:[Profit]],4,0),"")</f>
        <v/>
      </c>
      <c r="H677" s="43" t="str">
        <f>IFERROR(VLOOKUP(B677,Baza[[№]:[Profit]],5,0),"")</f>
        <v/>
      </c>
      <c r="I677" s="46" t="str">
        <f>IFERROR(VLOOKUP(B677,Baza[[№]:[Profit]],6,0),"")</f>
        <v/>
      </c>
      <c r="J677" s="49" t="str">
        <f>IFERROR(VLOOKUP(B677,Baza[[№]:[Profit]],7,0),"")</f>
        <v/>
      </c>
      <c r="K677" s="43" t="str">
        <f>IFERROR(VLOOKUP(B677,Baza[[№]:[Profit]],8,0),"")</f>
        <v/>
      </c>
      <c r="L677" s="43" t="str">
        <f>IFERROR(VLOOKUP(B677,Baza[[№]:[Profit]],9,0),"")</f>
        <v/>
      </c>
      <c r="M677" s="43" t="str">
        <f>IFERROR(VLOOKUP(B677,Baza[[№]:[Profit]],10,0),"")</f>
        <v/>
      </c>
      <c r="N677" s="43" t="str">
        <f>IFERROR(IF(VLOOKUP(B677,Baza[[№]:[Profit]],11,0)=0,"-",VLOOKUP(B677,Baza[[№]:[Profit]],11,0)),"")</f>
        <v/>
      </c>
      <c r="O677" s="43" t="str">
        <f>IFERROR(IF(VLOOKUP(B677,Baza[[№]:[Profit]],12,0)=0,"-",VLOOKUP(B677,Baza[[№]:[Profit]],12,0)),"")</f>
        <v/>
      </c>
      <c r="P677" s="43" t="str">
        <f>IFERROR(IF(VLOOKUP(B677,Baza[[№]:[Profit]],13,0)=0,"-",VLOOKUP(B677,Baza[[№]:[Profit]],13,0)),"")</f>
        <v/>
      </c>
      <c r="Q677" s="43" t="str">
        <f>IFERROR(IF(VLOOKUP(B677,Baza[[№]:[Profit]],15,0)=0,"-",VLOOKUP(B677,Baza[[№]:[Profit]],15,0)),"")</f>
        <v/>
      </c>
      <c r="R677" s="43" t="str">
        <f>IFERROR(IF(VLOOKUP(B677,Baza[[№]:[Profit]],16,0)=0,"-",VLOOKUP(B677,Baza[[№]:[Profit]],16,0)),"")</f>
        <v/>
      </c>
      <c r="S677" s="43" t="str">
        <f>IFERROR(IF(VLOOKUP(B677,Baza[[№]:[Profit]],17,0)=0,"-",VLOOKUP(B677,Baza[[№]:[Profit]],17,0)),"")</f>
        <v/>
      </c>
      <c r="T677" s="43" t="str">
        <f>IFERROR(IF(VLOOKUP(B677,Baza[[№]:[Profit]],18,0)=0,"-",VLOOKUP(B677,Baza[[№]:[Profit]],18,0)),"")</f>
        <v/>
      </c>
      <c r="U677" s="41" t="str">
        <f>IFERROR(IF(VLOOKUP(B677,Baza[[№]:[Profit]],19,0)=0,"-",VLOOKUP(B677,Baza[[№]:[Profit]],19,0)),"")</f>
        <v/>
      </c>
      <c r="V677" s="41" t="str">
        <f>IFERROR(VLOOKUP(B677,Baza[[№]:[Profit]],20,0),"")</f>
        <v/>
      </c>
      <c r="W677" s="41" t="str">
        <f>IFERROR(IF(VLOOKUP(B677,Baza[[№]:[Profit]],21,0)=0,"-",VLOOKUP(B677,Baza[[№]:[Profit]],21,0)),"")</f>
        <v/>
      </c>
      <c r="X677" s="45" t="str">
        <f>IFERROR(IF(VLOOKUP(B677,Baza[[№]:[Profit]],22,0)=0,"-",VLOOKUP(B677,Baza[[№]:[Profit]],22,0)),"")</f>
        <v/>
      </c>
      <c r="Y677" s="45" t="str">
        <f>IFERROR(VLOOKUP(B677,Baza[[№]:[Profit]],23,0),"")</f>
        <v/>
      </c>
      <c r="Z677" s="44" t="str">
        <f>IFERROR(VLOOKUP(B677,Baza[[№]:[AFS]],24,0),"")</f>
        <v/>
      </c>
      <c r="AA677" s="45" t="str">
        <f>IF(Таблица2[[#This Row],[Profit]]="","#Н/Д",SUM($Y$40:Y677))</f>
        <v>#Н/Д</v>
      </c>
      <c r="AB677" s="45" t="b">
        <f>IF(Таблица2[[#This Row],[Grafik]]="#Н/Д",FALSE,TRUE)</f>
        <v>0</v>
      </c>
    </row>
    <row r="678" spans="2:28" ht="11.1" hidden="1" customHeight="1" x14ac:dyDescent="0.25">
      <c r="B678"/>
      <c r="C678" s="41" t="str">
        <f>IFERROR(VLOOKUP(B678,Baza[[№]:[Profit]],2,0),"")</f>
        <v/>
      </c>
      <c r="D67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7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78" s="43" t="str">
        <f>IFERROR(VLOOKUP(B678,Baza[[№]:[Profit]],3,0),"")</f>
        <v/>
      </c>
      <c r="G678" s="43" t="str">
        <f>IFERROR(VLOOKUP(B678,Baza[[№]:[Profit]],4,0),"")</f>
        <v/>
      </c>
      <c r="H678" s="43" t="str">
        <f>IFERROR(VLOOKUP(B678,Baza[[№]:[Profit]],5,0),"")</f>
        <v/>
      </c>
      <c r="I678" s="46" t="str">
        <f>IFERROR(VLOOKUP(B678,Baza[[№]:[Profit]],6,0),"")</f>
        <v/>
      </c>
      <c r="J678" s="49" t="str">
        <f>IFERROR(VLOOKUP(B678,Baza[[№]:[Profit]],7,0),"")</f>
        <v/>
      </c>
      <c r="K678" s="43" t="str">
        <f>IFERROR(VLOOKUP(B678,Baza[[№]:[Profit]],8,0),"")</f>
        <v/>
      </c>
      <c r="L678" s="43" t="str">
        <f>IFERROR(VLOOKUP(B678,Baza[[№]:[Profit]],9,0),"")</f>
        <v/>
      </c>
      <c r="M678" s="43" t="str">
        <f>IFERROR(VLOOKUP(B678,Baza[[№]:[Profit]],10,0),"")</f>
        <v/>
      </c>
      <c r="N678" s="43" t="str">
        <f>IFERROR(IF(VLOOKUP(B678,Baza[[№]:[Profit]],11,0)=0,"-",VLOOKUP(B678,Baza[[№]:[Profit]],11,0)),"")</f>
        <v/>
      </c>
      <c r="O678" s="43" t="str">
        <f>IFERROR(IF(VLOOKUP(B678,Baza[[№]:[Profit]],12,0)=0,"-",VLOOKUP(B678,Baza[[№]:[Profit]],12,0)),"")</f>
        <v/>
      </c>
      <c r="P678" s="43" t="str">
        <f>IFERROR(IF(VLOOKUP(B678,Baza[[№]:[Profit]],13,0)=0,"-",VLOOKUP(B678,Baza[[№]:[Profit]],13,0)),"")</f>
        <v/>
      </c>
      <c r="Q678" s="43" t="str">
        <f>IFERROR(IF(VLOOKUP(B678,Baza[[№]:[Profit]],15,0)=0,"-",VLOOKUP(B678,Baza[[№]:[Profit]],15,0)),"")</f>
        <v/>
      </c>
      <c r="R678" s="43" t="str">
        <f>IFERROR(IF(VLOOKUP(B678,Baza[[№]:[Profit]],16,0)=0,"-",VLOOKUP(B678,Baza[[№]:[Profit]],16,0)),"")</f>
        <v/>
      </c>
      <c r="S678" s="43" t="str">
        <f>IFERROR(IF(VLOOKUP(B678,Baza[[№]:[Profit]],17,0)=0,"-",VLOOKUP(B678,Baza[[№]:[Profit]],17,0)),"")</f>
        <v/>
      </c>
      <c r="T678" s="43" t="str">
        <f>IFERROR(IF(VLOOKUP(B678,Baza[[№]:[Profit]],18,0)=0,"-",VLOOKUP(B678,Baza[[№]:[Profit]],18,0)),"")</f>
        <v/>
      </c>
      <c r="U678" s="41" t="str">
        <f>IFERROR(IF(VLOOKUP(B678,Baza[[№]:[Profit]],19,0)=0,"-",VLOOKUP(B678,Baza[[№]:[Profit]],19,0)),"")</f>
        <v/>
      </c>
      <c r="V678" s="41" t="str">
        <f>IFERROR(VLOOKUP(B678,Baza[[№]:[Profit]],20,0),"")</f>
        <v/>
      </c>
      <c r="W678" s="41" t="str">
        <f>IFERROR(IF(VLOOKUP(B678,Baza[[№]:[Profit]],21,0)=0,"-",VLOOKUP(B678,Baza[[№]:[Profit]],21,0)),"")</f>
        <v/>
      </c>
      <c r="X678" s="45" t="str">
        <f>IFERROR(IF(VLOOKUP(B678,Baza[[№]:[Profit]],22,0)=0,"-",VLOOKUP(B678,Baza[[№]:[Profit]],22,0)),"")</f>
        <v/>
      </c>
      <c r="Y678" s="45" t="str">
        <f>IFERROR(VLOOKUP(B678,Baza[[№]:[Profit]],23,0),"")</f>
        <v/>
      </c>
      <c r="Z678" s="44" t="str">
        <f>IFERROR(VLOOKUP(B678,Baza[[№]:[AFS]],24,0),"")</f>
        <v/>
      </c>
      <c r="AA678" s="45" t="str">
        <f>IF(Таблица2[[#This Row],[Profit]]="","#Н/Д",SUM($Y$40:Y678))</f>
        <v>#Н/Д</v>
      </c>
      <c r="AB678" s="45" t="b">
        <f>IF(Таблица2[[#This Row],[Grafik]]="#Н/Д",FALSE,TRUE)</f>
        <v>0</v>
      </c>
    </row>
    <row r="679" spans="2:28" ht="11.1" hidden="1" customHeight="1" x14ac:dyDescent="0.25">
      <c r="B679"/>
      <c r="C679" s="41" t="str">
        <f>IFERROR(VLOOKUP(B679,Baza[[№]:[Profit]],2,0),"")</f>
        <v/>
      </c>
      <c r="D67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7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79" s="43" t="str">
        <f>IFERROR(VLOOKUP(B679,Baza[[№]:[Profit]],3,0),"")</f>
        <v/>
      </c>
      <c r="G679" s="43" t="str">
        <f>IFERROR(VLOOKUP(B679,Baza[[№]:[Profit]],4,0),"")</f>
        <v/>
      </c>
      <c r="H679" s="43" t="str">
        <f>IFERROR(VLOOKUP(B679,Baza[[№]:[Profit]],5,0),"")</f>
        <v/>
      </c>
      <c r="I679" s="46" t="str">
        <f>IFERROR(VLOOKUP(B679,Baza[[№]:[Profit]],6,0),"")</f>
        <v/>
      </c>
      <c r="J679" s="49" t="str">
        <f>IFERROR(VLOOKUP(B679,Baza[[№]:[Profit]],7,0),"")</f>
        <v/>
      </c>
      <c r="K679" s="43" t="str">
        <f>IFERROR(VLOOKUP(B679,Baza[[№]:[Profit]],8,0),"")</f>
        <v/>
      </c>
      <c r="L679" s="43" t="str">
        <f>IFERROR(VLOOKUP(B679,Baza[[№]:[Profit]],9,0),"")</f>
        <v/>
      </c>
      <c r="M679" s="43" t="str">
        <f>IFERROR(VLOOKUP(B679,Baza[[№]:[Profit]],10,0),"")</f>
        <v/>
      </c>
      <c r="N679" s="43" t="str">
        <f>IFERROR(IF(VLOOKUP(B679,Baza[[№]:[Profit]],11,0)=0,"-",VLOOKUP(B679,Baza[[№]:[Profit]],11,0)),"")</f>
        <v/>
      </c>
      <c r="O679" s="43" t="str">
        <f>IFERROR(IF(VLOOKUP(B679,Baza[[№]:[Profit]],12,0)=0,"-",VLOOKUP(B679,Baza[[№]:[Profit]],12,0)),"")</f>
        <v/>
      </c>
      <c r="P679" s="43" t="str">
        <f>IFERROR(IF(VLOOKUP(B679,Baza[[№]:[Profit]],13,0)=0,"-",VLOOKUP(B679,Baza[[№]:[Profit]],13,0)),"")</f>
        <v/>
      </c>
      <c r="Q679" s="43" t="str">
        <f>IFERROR(IF(VLOOKUP(B679,Baza[[№]:[Profit]],15,0)=0,"-",VLOOKUP(B679,Baza[[№]:[Profit]],15,0)),"")</f>
        <v/>
      </c>
      <c r="R679" s="43" t="str">
        <f>IFERROR(IF(VLOOKUP(B679,Baza[[№]:[Profit]],16,0)=0,"-",VLOOKUP(B679,Baza[[№]:[Profit]],16,0)),"")</f>
        <v/>
      </c>
      <c r="S679" s="43" t="str">
        <f>IFERROR(IF(VLOOKUP(B679,Baza[[№]:[Profit]],17,0)=0,"-",VLOOKUP(B679,Baza[[№]:[Profit]],17,0)),"")</f>
        <v/>
      </c>
      <c r="T679" s="43" t="str">
        <f>IFERROR(IF(VLOOKUP(B679,Baza[[№]:[Profit]],18,0)=0,"-",VLOOKUP(B679,Baza[[№]:[Profit]],18,0)),"")</f>
        <v/>
      </c>
      <c r="U679" s="41" t="str">
        <f>IFERROR(IF(VLOOKUP(B679,Baza[[№]:[Profit]],19,0)=0,"-",VLOOKUP(B679,Baza[[№]:[Profit]],19,0)),"")</f>
        <v/>
      </c>
      <c r="V679" s="41" t="str">
        <f>IFERROR(VLOOKUP(B679,Baza[[№]:[Profit]],20,0),"")</f>
        <v/>
      </c>
      <c r="W679" s="41" t="str">
        <f>IFERROR(IF(VLOOKUP(B679,Baza[[№]:[Profit]],21,0)=0,"-",VLOOKUP(B679,Baza[[№]:[Profit]],21,0)),"")</f>
        <v/>
      </c>
      <c r="X679" s="45" t="str">
        <f>IFERROR(IF(VLOOKUP(B679,Baza[[№]:[Profit]],22,0)=0,"-",VLOOKUP(B679,Baza[[№]:[Profit]],22,0)),"")</f>
        <v/>
      </c>
      <c r="Y679" s="45" t="str">
        <f>IFERROR(VLOOKUP(B679,Baza[[№]:[Profit]],23,0),"")</f>
        <v/>
      </c>
      <c r="Z679" s="44" t="str">
        <f>IFERROR(VLOOKUP(B679,Baza[[№]:[AFS]],24,0),"")</f>
        <v/>
      </c>
      <c r="AA679" s="45" t="str">
        <f>IF(Таблица2[[#This Row],[Profit]]="","#Н/Д",SUM($Y$40:Y679))</f>
        <v>#Н/Д</v>
      </c>
      <c r="AB679" s="45" t="b">
        <f>IF(Таблица2[[#This Row],[Grafik]]="#Н/Д",FALSE,TRUE)</f>
        <v>0</v>
      </c>
    </row>
    <row r="680" spans="2:28" ht="11.1" hidden="1" customHeight="1" x14ac:dyDescent="0.25">
      <c r="B680"/>
      <c r="C680" s="41" t="str">
        <f>IFERROR(VLOOKUP(B680,Baza[[№]:[Profit]],2,0),"")</f>
        <v/>
      </c>
      <c r="D68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8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80" s="43" t="str">
        <f>IFERROR(VLOOKUP(B680,Baza[[№]:[Profit]],3,0),"")</f>
        <v/>
      </c>
      <c r="G680" s="43" t="str">
        <f>IFERROR(VLOOKUP(B680,Baza[[№]:[Profit]],4,0),"")</f>
        <v/>
      </c>
      <c r="H680" s="43" t="str">
        <f>IFERROR(VLOOKUP(B680,Baza[[№]:[Profit]],5,0),"")</f>
        <v/>
      </c>
      <c r="I680" s="46" t="str">
        <f>IFERROR(VLOOKUP(B680,Baza[[№]:[Profit]],6,0),"")</f>
        <v/>
      </c>
      <c r="J680" s="49" t="str">
        <f>IFERROR(VLOOKUP(B680,Baza[[№]:[Profit]],7,0),"")</f>
        <v/>
      </c>
      <c r="K680" s="43" t="str">
        <f>IFERROR(VLOOKUP(B680,Baza[[№]:[Profit]],8,0),"")</f>
        <v/>
      </c>
      <c r="L680" s="43" t="str">
        <f>IFERROR(VLOOKUP(B680,Baza[[№]:[Profit]],9,0),"")</f>
        <v/>
      </c>
      <c r="M680" s="43" t="str">
        <f>IFERROR(VLOOKUP(B680,Baza[[№]:[Profit]],10,0),"")</f>
        <v/>
      </c>
      <c r="N680" s="43" t="str">
        <f>IFERROR(IF(VLOOKUP(B680,Baza[[№]:[Profit]],11,0)=0,"-",VLOOKUP(B680,Baza[[№]:[Profit]],11,0)),"")</f>
        <v/>
      </c>
      <c r="O680" s="43" t="str">
        <f>IFERROR(IF(VLOOKUP(B680,Baza[[№]:[Profit]],12,0)=0,"-",VLOOKUP(B680,Baza[[№]:[Profit]],12,0)),"")</f>
        <v/>
      </c>
      <c r="P680" s="43" t="str">
        <f>IFERROR(IF(VLOOKUP(B680,Baza[[№]:[Profit]],13,0)=0,"-",VLOOKUP(B680,Baza[[№]:[Profit]],13,0)),"")</f>
        <v/>
      </c>
      <c r="Q680" s="43" t="str">
        <f>IFERROR(IF(VLOOKUP(B680,Baza[[№]:[Profit]],15,0)=0,"-",VLOOKUP(B680,Baza[[№]:[Profit]],15,0)),"")</f>
        <v/>
      </c>
      <c r="R680" s="43" t="str">
        <f>IFERROR(IF(VLOOKUP(B680,Baza[[№]:[Profit]],16,0)=0,"-",VLOOKUP(B680,Baza[[№]:[Profit]],16,0)),"")</f>
        <v/>
      </c>
      <c r="S680" s="43" t="str">
        <f>IFERROR(IF(VLOOKUP(B680,Baza[[№]:[Profit]],17,0)=0,"-",VLOOKUP(B680,Baza[[№]:[Profit]],17,0)),"")</f>
        <v/>
      </c>
      <c r="T680" s="43" t="str">
        <f>IFERROR(IF(VLOOKUP(B680,Baza[[№]:[Profit]],18,0)=0,"-",VLOOKUP(B680,Baza[[№]:[Profit]],18,0)),"")</f>
        <v/>
      </c>
      <c r="U680" s="41" t="str">
        <f>IFERROR(IF(VLOOKUP(B680,Baza[[№]:[Profit]],19,0)=0,"-",VLOOKUP(B680,Baza[[№]:[Profit]],19,0)),"")</f>
        <v/>
      </c>
      <c r="V680" s="41" t="str">
        <f>IFERROR(VLOOKUP(B680,Baza[[№]:[Profit]],20,0),"")</f>
        <v/>
      </c>
      <c r="W680" s="41" t="str">
        <f>IFERROR(IF(VLOOKUP(B680,Baza[[№]:[Profit]],21,0)=0,"-",VLOOKUP(B680,Baza[[№]:[Profit]],21,0)),"")</f>
        <v/>
      </c>
      <c r="X680" s="45" t="str">
        <f>IFERROR(IF(VLOOKUP(B680,Baza[[№]:[Profit]],22,0)=0,"-",VLOOKUP(B680,Baza[[№]:[Profit]],22,0)),"")</f>
        <v/>
      </c>
      <c r="Y680" s="45" t="str">
        <f>IFERROR(VLOOKUP(B680,Baza[[№]:[Profit]],23,0),"")</f>
        <v/>
      </c>
      <c r="Z680" s="44" t="str">
        <f>IFERROR(VLOOKUP(B680,Baza[[№]:[AFS]],24,0),"")</f>
        <v/>
      </c>
      <c r="AA680" s="45" t="str">
        <f>IF(Таблица2[[#This Row],[Profit]]="","#Н/Д",SUM($Y$40:Y680))</f>
        <v>#Н/Д</v>
      </c>
      <c r="AB680" s="45" t="b">
        <f>IF(Таблица2[[#This Row],[Grafik]]="#Н/Д",FALSE,TRUE)</f>
        <v>0</v>
      </c>
    </row>
    <row r="681" spans="2:28" ht="11.1" hidden="1" customHeight="1" x14ac:dyDescent="0.25">
      <c r="B681"/>
      <c r="C681" s="41" t="str">
        <f>IFERROR(VLOOKUP(B681,Baza[[№]:[Profit]],2,0),"")</f>
        <v/>
      </c>
      <c r="D68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8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81" s="43" t="str">
        <f>IFERROR(VLOOKUP(B681,Baza[[№]:[Profit]],3,0),"")</f>
        <v/>
      </c>
      <c r="G681" s="43" t="str">
        <f>IFERROR(VLOOKUP(B681,Baza[[№]:[Profit]],4,0),"")</f>
        <v/>
      </c>
      <c r="H681" s="43" t="str">
        <f>IFERROR(VLOOKUP(B681,Baza[[№]:[Profit]],5,0),"")</f>
        <v/>
      </c>
      <c r="I681" s="46" t="str">
        <f>IFERROR(VLOOKUP(B681,Baza[[№]:[Profit]],6,0),"")</f>
        <v/>
      </c>
      <c r="J681" s="49" t="str">
        <f>IFERROR(VLOOKUP(B681,Baza[[№]:[Profit]],7,0),"")</f>
        <v/>
      </c>
      <c r="K681" s="43" t="str">
        <f>IFERROR(VLOOKUP(B681,Baza[[№]:[Profit]],8,0),"")</f>
        <v/>
      </c>
      <c r="L681" s="43" t="str">
        <f>IFERROR(VLOOKUP(B681,Baza[[№]:[Profit]],9,0),"")</f>
        <v/>
      </c>
      <c r="M681" s="43" t="str">
        <f>IFERROR(VLOOKUP(B681,Baza[[№]:[Profit]],10,0),"")</f>
        <v/>
      </c>
      <c r="N681" s="43" t="str">
        <f>IFERROR(IF(VLOOKUP(B681,Baza[[№]:[Profit]],11,0)=0,"-",VLOOKUP(B681,Baza[[№]:[Profit]],11,0)),"")</f>
        <v/>
      </c>
      <c r="O681" s="43" t="str">
        <f>IFERROR(IF(VLOOKUP(B681,Baza[[№]:[Profit]],12,0)=0,"-",VLOOKUP(B681,Baza[[№]:[Profit]],12,0)),"")</f>
        <v/>
      </c>
      <c r="P681" s="43" t="str">
        <f>IFERROR(IF(VLOOKUP(B681,Baza[[№]:[Profit]],13,0)=0,"-",VLOOKUP(B681,Baza[[№]:[Profit]],13,0)),"")</f>
        <v/>
      </c>
      <c r="Q681" s="43" t="str">
        <f>IFERROR(IF(VLOOKUP(B681,Baza[[№]:[Profit]],15,0)=0,"-",VLOOKUP(B681,Baza[[№]:[Profit]],15,0)),"")</f>
        <v/>
      </c>
      <c r="R681" s="43" t="str">
        <f>IFERROR(IF(VLOOKUP(B681,Baza[[№]:[Profit]],16,0)=0,"-",VLOOKUP(B681,Baza[[№]:[Profit]],16,0)),"")</f>
        <v/>
      </c>
      <c r="S681" s="43" t="str">
        <f>IFERROR(IF(VLOOKUP(B681,Baza[[№]:[Profit]],17,0)=0,"-",VLOOKUP(B681,Baza[[№]:[Profit]],17,0)),"")</f>
        <v/>
      </c>
      <c r="T681" s="43" t="str">
        <f>IFERROR(IF(VLOOKUP(B681,Baza[[№]:[Profit]],18,0)=0,"-",VLOOKUP(B681,Baza[[№]:[Profit]],18,0)),"")</f>
        <v/>
      </c>
      <c r="U681" s="41" t="str">
        <f>IFERROR(IF(VLOOKUP(B681,Baza[[№]:[Profit]],19,0)=0,"-",VLOOKUP(B681,Baza[[№]:[Profit]],19,0)),"")</f>
        <v/>
      </c>
      <c r="V681" s="41" t="str">
        <f>IFERROR(VLOOKUP(B681,Baza[[№]:[Profit]],20,0),"")</f>
        <v/>
      </c>
      <c r="W681" s="41" t="str">
        <f>IFERROR(IF(VLOOKUP(B681,Baza[[№]:[Profit]],21,0)=0,"-",VLOOKUP(B681,Baza[[№]:[Profit]],21,0)),"")</f>
        <v/>
      </c>
      <c r="X681" s="45" t="str">
        <f>IFERROR(IF(VLOOKUP(B681,Baza[[№]:[Profit]],22,0)=0,"-",VLOOKUP(B681,Baza[[№]:[Profit]],22,0)),"")</f>
        <v/>
      </c>
      <c r="Y681" s="45" t="str">
        <f>IFERROR(VLOOKUP(B681,Baza[[№]:[Profit]],23,0),"")</f>
        <v/>
      </c>
      <c r="Z681" s="44" t="str">
        <f>IFERROR(VLOOKUP(B681,Baza[[№]:[AFS]],24,0),"")</f>
        <v/>
      </c>
      <c r="AA681" s="45" t="str">
        <f>IF(Таблица2[[#This Row],[Profit]]="","#Н/Д",SUM($Y$40:Y681))</f>
        <v>#Н/Д</v>
      </c>
      <c r="AB681" s="45" t="b">
        <f>IF(Таблица2[[#This Row],[Grafik]]="#Н/Д",FALSE,TRUE)</f>
        <v>0</v>
      </c>
    </row>
    <row r="682" spans="2:28" ht="11.1" hidden="1" customHeight="1" x14ac:dyDescent="0.25">
      <c r="B682"/>
      <c r="C682" s="41" t="str">
        <f>IFERROR(VLOOKUP(B682,Baza[[№]:[Profit]],2,0),"")</f>
        <v/>
      </c>
      <c r="D68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8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82" s="43" t="str">
        <f>IFERROR(VLOOKUP(B682,Baza[[№]:[Profit]],3,0),"")</f>
        <v/>
      </c>
      <c r="G682" s="43" t="str">
        <f>IFERROR(VLOOKUP(B682,Baza[[№]:[Profit]],4,0),"")</f>
        <v/>
      </c>
      <c r="H682" s="43" t="str">
        <f>IFERROR(VLOOKUP(B682,Baza[[№]:[Profit]],5,0),"")</f>
        <v/>
      </c>
      <c r="I682" s="46" t="str">
        <f>IFERROR(VLOOKUP(B682,Baza[[№]:[Profit]],6,0),"")</f>
        <v/>
      </c>
      <c r="J682" s="49" t="str">
        <f>IFERROR(VLOOKUP(B682,Baza[[№]:[Profit]],7,0),"")</f>
        <v/>
      </c>
      <c r="K682" s="43" t="str">
        <f>IFERROR(VLOOKUP(B682,Baza[[№]:[Profit]],8,0),"")</f>
        <v/>
      </c>
      <c r="L682" s="43" t="str">
        <f>IFERROR(VLOOKUP(B682,Baza[[№]:[Profit]],9,0),"")</f>
        <v/>
      </c>
      <c r="M682" s="43" t="str">
        <f>IFERROR(VLOOKUP(B682,Baza[[№]:[Profit]],10,0),"")</f>
        <v/>
      </c>
      <c r="N682" s="43" t="str">
        <f>IFERROR(IF(VLOOKUP(B682,Baza[[№]:[Profit]],11,0)=0,"-",VLOOKUP(B682,Baza[[№]:[Profit]],11,0)),"")</f>
        <v/>
      </c>
      <c r="O682" s="43" t="str">
        <f>IFERROR(IF(VLOOKUP(B682,Baza[[№]:[Profit]],12,0)=0,"-",VLOOKUP(B682,Baza[[№]:[Profit]],12,0)),"")</f>
        <v/>
      </c>
      <c r="P682" s="43" t="str">
        <f>IFERROR(IF(VLOOKUP(B682,Baza[[№]:[Profit]],13,0)=0,"-",VLOOKUP(B682,Baza[[№]:[Profit]],13,0)),"")</f>
        <v/>
      </c>
      <c r="Q682" s="43" t="str">
        <f>IFERROR(IF(VLOOKUP(B682,Baza[[№]:[Profit]],15,0)=0,"-",VLOOKUP(B682,Baza[[№]:[Profit]],15,0)),"")</f>
        <v/>
      </c>
      <c r="R682" s="43" t="str">
        <f>IFERROR(IF(VLOOKUP(B682,Baza[[№]:[Profit]],16,0)=0,"-",VLOOKUP(B682,Baza[[№]:[Profit]],16,0)),"")</f>
        <v/>
      </c>
      <c r="S682" s="43" t="str">
        <f>IFERROR(IF(VLOOKUP(B682,Baza[[№]:[Profit]],17,0)=0,"-",VLOOKUP(B682,Baza[[№]:[Profit]],17,0)),"")</f>
        <v/>
      </c>
      <c r="T682" s="43" t="str">
        <f>IFERROR(IF(VLOOKUP(B682,Baza[[№]:[Profit]],18,0)=0,"-",VLOOKUP(B682,Baza[[№]:[Profit]],18,0)),"")</f>
        <v/>
      </c>
      <c r="U682" s="41" t="str">
        <f>IFERROR(IF(VLOOKUP(B682,Baza[[№]:[Profit]],19,0)=0,"-",VLOOKUP(B682,Baza[[№]:[Profit]],19,0)),"")</f>
        <v/>
      </c>
      <c r="V682" s="41" t="str">
        <f>IFERROR(VLOOKUP(B682,Baza[[№]:[Profit]],20,0),"")</f>
        <v/>
      </c>
      <c r="W682" s="41" t="str">
        <f>IFERROR(IF(VLOOKUP(B682,Baza[[№]:[Profit]],21,0)=0,"-",VLOOKUP(B682,Baza[[№]:[Profit]],21,0)),"")</f>
        <v/>
      </c>
      <c r="X682" s="45" t="str">
        <f>IFERROR(IF(VLOOKUP(B682,Baza[[№]:[Profit]],22,0)=0,"-",VLOOKUP(B682,Baza[[№]:[Profit]],22,0)),"")</f>
        <v/>
      </c>
      <c r="Y682" s="45" t="str">
        <f>IFERROR(VLOOKUP(B682,Baza[[№]:[Profit]],23,0),"")</f>
        <v/>
      </c>
      <c r="Z682" s="44" t="str">
        <f>IFERROR(VLOOKUP(B682,Baza[[№]:[AFS]],24,0),"")</f>
        <v/>
      </c>
      <c r="AA682" s="45" t="str">
        <f>IF(Таблица2[[#This Row],[Profit]]="","#Н/Д",SUM($Y$40:Y682))</f>
        <v>#Н/Д</v>
      </c>
      <c r="AB682" s="45" t="b">
        <f>IF(Таблица2[[#This Row],[Grafik]]="#Н/Д",FALSE,TRUE)</f>
        <v>0</v>
      </c>
    </row>
    <row r="683" spans="2:28" ht="11.1" hidden="1" customHeight="1" x14ac:dyDescent="0.25">
      <c r="B683"/>
      <c r="C683" s="41" t="str">
        <f>IFERROR(VLOOKUP(B683,Baza[[№]:[Profit]],2,0),"")</f>
        <v/>
      </c>
      <c r="D68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8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83" s="43" t="str">
        <f>IFERROR(VLOOKUP(B683,Baza[[№]:[Profit]],3,0),"")</f>
        <v/>
      </c>
      <c r="G683" s="43" t="str">
        <f>IFERROR(VLOOKUP(B683,Baza[[№]:[Profit]],4,0),"")</f>
        <v/>
      </c>
      <c r="H683" s="43" t="str">
        <f>IFERROR(VLOOKUP(B683,Baza[[№]:[Profit]],5,0),"")</f>
        <v/>
      </c>
      <c r="I683" s="46" t="str">
        <f>IFERROR(VLOOKUP(B683,Baza[[№]:[Profit]],6,0),"")</f>
        <v/>
      </c>
      <c r="J683" s="49" t="str">
        <f>IFERROR(VLOOKUP(B683,Baza[[№]:[Profit]],7,0),"")</f>
        <v/>
      </c>
      <c r="K683" s="43" t="str">
        <f>IFERROR(VLOOKUP(B683,Baza[[№]:[Profit]],8,0),"")</f>
        <v/>
      </c>
      <c r="L683" s="43" t="str">
        <f>IFERROR(VLOOKUP(B683,Baza[[№]:[Profit]],9,0),"")</f>
        <v/>
      </c>
      <c r="M683" s="43" t="str">
        <f>IFERROR(VLOOKUP(B683,Baza[[№]:[Profit]],10,0),"")</f>
        <v/>
      </c>
      <c r="N683" s="43" t="str">
        <f>IFERROR(IF(VLOOKUP(B683,Baza[[№]:[Profit]],11,0)=0,"-",VLOOKUP(B683,Baza[[№]:[Profit]],11,0)),"")</f>
        <v/>
      </c>
      <c r="O683" s="43" t="str">
        <f>IFERROR(IF(VLOOKUP(B683,Baza[[№]:[Profit]],12,0)=0,"-",VLOOKUP(B683,Baza[[№]:[Profit]],12,0)),"")</f>
        <v/>
      </c>
      <c r="P683" s="43" t="str">
        <f>IFERROR(IF(VLOOKUP(B683,Baza[[№]:[Profit]],13,0)=0,"-",VLOOKUP(B683,Baza[[№]:[Profit]],13,0)),"")</f>
        <v/>
      </c>
      <c r="Q683" s="43" t="str">
        <f>IFERROR(IF(VLOOKUP(B683,Baza[[№]:[Profit]],15,0)=0,"-",VLOOKUP(B683,Baza[[№]:[Profit]],15,0)),"")</f>
        <v/>
      </c>
      <c r="R683" s="43" t="str">
        <f>IFERROR(IF(VLOOKUP(B683,Baza[[№]:[Profit]],16,0)=0,"-",VLOOKUP(B683,Baza[[№]:[Profit]],16,0)),"")</f>
        <v/>
      </c>
      <c r="S683" s="43" t="str">
        <f>IFERROR(IF(VLOOKUP(B683,Baza[[№]:[Profit]],17,0)=0,"-",VLOOKUP(B683,Baza[[№]:[Profit]],17,0)),"")</f>
        <v/>
      </c>
      <c r="T683" s="43" t="str">
        <f>IFERROR(IF(VLOOKUP(B683,Baza[[№]:[Profit]],18,0)=0,"-",VLOOKUP(B683,Baza[[№]:[Profit]],18,0)),"")</f>
        <v/>
      </c>
      <c r="U683" s="41" t="str">
        <f>IFERROR(IF(VLOOKUP(B683,Baza[[№]:[Profit]],19,0)=0,"-",VLOOKUP(B683,Baza[[№]:[Profit]],19,0)),"")</f>
        <v/>
      </c>
      <c r="V683" s="41" t="str">
        <f>IFERROR(VLOOKUP(B683,Baza[[№]:[Profit]],20,0),"")</f>
        <v/>
      </c>
      <c r="W683" s="41" t="str">
        <f>IFERROR(IF(VLOOKUP(B683,Baza[[№]:[Profit]],21,0)=0,"-",VLOOKUP(B683,Baza[[№]:[Profit]],21,0)),"")</f>
        <v/>
      </c>
      <c r="X683" s="45" t="str">
        <f>IFERROR(IF(VLOOKUP(B683,Baza[[№]:[Profit]],22,0)=0,"-",VLOOKUP(B683,Baza[[№]:[Profit]],22,0)),"")</f>
        <v/>
      </c>
      <c r="Y683" s="45" t="str">
        <f>IFERROR(VLOOKUP(B683,Baza[[№]:[Profit]],23,0),"")</f>
        <v/>
      </c>
      <c r="Z683" s="44" t="str">
        <f>IFERROR(VLOOKUP(B683,Baza[[№]:[AFS]],24,0),"")</f>
        <v/>
      </c>
      <c r="AA683" s="45" t="str">
        <f>IF(Таблица2[[#This Row],[Profit]]="","#Н/Д",SUM($Y$40:Y683))</f>
        <v>#Н/Д</v>
      </c>
      <c r="AB683" s="45" t="b">
        <f>IF(Таблица2[[#This Row],[Grafik]]="#Н/Д",FALSE,TRUE)</f>
        <v>0</v>
      </c>
    </row>
    <row r="684" spans="2:28" ht="11.1" hidden="1" customHeight="1" x14ac:dyDescent="0.25">
      <c r="B684"/>
      <c r="C684" s="41" t="str">
        <f>IFERROR(VLOOKUP(B684,Baza[[№]:[Profit]],2,0),"")</f>
        <v/>
      </c>
      <c r="D68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8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84" s="43" t="str">
        <f>IFERROR(VLOOKUP(B684,Baza[[№]:[Profit]],3,0),"")</f>
        <v/>
      </c>
      <c r="G684" s="43" t="str">
        <f>IFERROR(VLOOKUP(B684,Baza[[№]:[Profit]],4,0),"")</f>
        <v/>
      </c>
      <c r="H684" s="43" t="str">
        <f>IFERROR(VLOOKUP(B684,Baza[[№]:[Profit]],5,0),"")</f>
        <v/>
      </c>
      <c r="I684" s="46" t="str">
        <f>IFERROR(VLOOKUP(B684,Baza[[№]:[Profit]],6,0),"")</f>
        <v/>
      </c>
      <c r="J684" s="49" t="str">
        <f>IFERROR(VLOOKUP(B684,Baza[[№]:[Profit]],7,0),"")</f>
        <v/>
      </c>
      <c r="K684" s="43" t="str">
        <f>IFERROR(VLOOKUP(B684,Baza[[№]:[Profit]],8,0),"")</f>
        <v/>
      </c>
      <c r="L684" s="43" t="str">
        <f>IFERROR(VLOOKUP(B684,Baza[[№]:[Profit]],9,0),"")</f>
        <v/>
      </c>
      <c r="M684" s="43" t="str">
        <f>IFERROR(VLOOKUP(B684,Baza[[№]:[Profit]],10,0),"")</f>
        <v/>
      </c>
      <c r="N684" s="43" t="str">
        <f>IFERROR(IF(VLOOKUP(B684,Baza[[№]:[Profit]],11,0)=0,"-",VLOOKUP(B684,Baza[[№]:[Profit]],11,0)),"")</f>
        <v/>
      </c>
      <c r="O684" s="43" t="str">
        <f>IFERROR(IF(VLOOKUP(B684,Baza[[№]:[Profit]],12,0)=0,"-",VLOOKUP(B684,Baza[[№]:[Profit]],12,0)),"")</f>
        <v/>
      </c>
      <c r="P684" s="43" t="str">
        <f>IFERROR(IF(VLOOKUP(B684,Baza[[№]:[Profit]],13,0)=0,"-",VLOOKUP(B684,Baza[[№]:[Profit]],13,0)),"")</f>
        <v/>
      </c>
      <c r="Q684" s="43" t="str">
        <f>IFERROR(IF(VLOOKUP(B684,Baza[[№]:[Profit]],15,0)=0,"-",VLOOKUP(B684,Baza[[№]:[Profit]],15,0)),"")</f>
        <v/>
      </c>
      <c r="R684" s="43" t="str">
        <f>IFERROR(IF(VLOOKUP(B684,Baza[[№]:[Profit]],16,0)=0,"-",VLOOKUP(B684,Baza[[№]:[Profit]],16,0)),"")</f>
        <v/>
      </c>
      <c r="S684" s="43" t="str">
        <f>IFERROR(IF(VLOOKUP(B684,Baza[[№]:[Profit]],17,0)=0,"-",VLOOKUP(B684,Baza[[№]:[Profit]],17,0)),"")</f>
        <v/>
      </c>
      <c r="T684" s="43" t="str">
        <f>IFERROR(IF(VLOOKUP(B684,Baza[[№]:[Profit]],18,0)=0,"-",VLOOKUP(B684,Baza[[№]:[Profit]],18,0)),"")</f>
        <v/>
      </c>
      <c r="U684" s="41" t="str">
        <f>IFERROR(IF(VLOOKUP(B684,Baza[[№]:[Profit]],19,0)=0,"-",VLOOKUP(B684,Baza[[№]:[Profit]],19,0)),"")</f>
        <v/>
      </c>
      <c r="V684" s="41" t="str">
        <f>IFERROR(VLOOKUP(B684,Baza[[№]:[Profit]],20,0),"")</f>
        <v/>
      </c>
      <c r="W684" s="41" t="str">
        <f>IFERROR(IF(VLOOKUP(B684,Baza[[№]:[Profit]],21,0)=0,"-",VLOOKUP(B684,Baza[[№]:[Profit]],21,0)),"")</f>
        <v/>
      </c>
      <c r="X684" s="45" t="str">
        <f>IFERROR(IF(VLOOKUP(B684,Baza[[№]:[Profit]],22,0)=0,"-",VLOOKUP(B684,Baza[[№]:[Profit]],22,0)),"")</f>
        <v/>
      </c>
      <c r="Y684" s="45" t="str">
        <f>IFERROR(VLOOKUP(B684,Baza[[№]:[Profit]],23,0),"")</f>
        <v/>
      </c>
      <c r="Z684" s="44" t="str">
        <f>IFERROR(VLOOKUP(B684,Baza[[№]:[AFS]],24,0),"")</f>
        <v/>
      </c>
      <c r="AA684" s="45" t="str">
        <f>IF(Таблица2[[#This Row],[Profit]]="","#Н/Д",SUM($Y$40:Y684))</f>
        <v>#Н/Д</v>
      </c>
      <c r="AB684" s="45" t="b">
        <f>IF(Таблица2[[#This Row],[Grafik]]="#Н/Д",FALSE,TRUE)</f>
        <v>0</v>
      </c>
    </row>
    <row r="685" spans="2:28" ht="11.1" hidden="1" customHeight="1" x14ac:dyDescent="0.25">
      <c r="B685"/>
      <c r="C685" s="41" t="str">
        <f>IFERROR(VLOOKUP(B685,Baza[[№]:[Profit]],2,0),"")</f>
        <v/>
      </c>
      <c r="D68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8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85" s="43" t="str">
        <f>IFERROR(VLOOKUP(B685,Baza[[№]:[Profit]],3,0),"")</f>
        <v/>
      </c>
      <c r="G685" s="43" t="str">
        <f>IFERROR(VLOOKUP(B685,Baza[[№]:[Profit]],4,0),"")</f>
        <v/>
      </c>
      <c r="H685" s="43" t="str">
        <f>IFERROR(VLOOKUP(B685,Baza[[№]:[Profit]],5,0),"")</f>
        <v/>
      </c>
      <c r="I685" s="46" t="str">
        <f>IFERROR(VLOOKUP(B685,Baza[[№]:[Profit]],6,0),"")</f>
        <v/>
      </c>
      <c r="J685" s="49" t="str">
        <f>IFERROR(VLOOKUP(B685,Baza[[№]:[Profit]],7,0),"")</f>
        <v/>
      </c>
      <c r="K685" s="43" t="str">
        <f>IFERROR(VLOOKUP(B685,Baza[[№]:[Profit]],8,0),"")</f>
        <v/>
      </c>
      <c r="L685" s="43" t="str">
        <f>IFERROR(VLOOKUP(B685,Baza[[№]:[Profit]],9,0),"")</f>
        <v/>
      </c>
      <c r="M685" s="43" t="str">
        <f>IFERROR(VLOOKUP(B685,Baza[[№]:[Profit]],10,0),"")</f>
        <v/>
      </c>
      <c r="N685" s="43" t="str">
        <f>IFERROR(IF(VLOOKUP(B685,Baza[[№]:[Profit]],11,0)=0,"-",VLOOKUP(B685,Baza[[№]:[Profit]],11,0)),"")</f>
        <v/>
      </c>
      <c r="O685" s="43" t="str">
        <f>IFERROR(IF(VLOOKUP(B685,Baza[[№]:[Profit]],12,0)=0,"-",VLOOKUP(B685,Baza[[№]:[Profit]],12,0)),"")</f>
        <v/>
      </c>
      <c r="P685" s="43" t="str">
        <f>IFERROR(IF(VLOOKUP(B685,Baza[[№]:[Profit]],13,0)=0,"-",VLOOKUP(B685,Baza[[№]:[Profit]],13,0)),"")</f>
        <v/>
      </c>
      <c r="Q685" s="43" t="str">
        <f>IFERROR(IF(VLOOKUP(B685,Baza[[№]:[Profit]],15,0)=0,"-",VLOOKUP(B685,Baza[[№]:[Profit]],15,0)),"")</f>
        <v/>
      </c>
      <c r="R685" s="43" t="str">
        <f>IFERROR(IF(VLOOKUP(B685,Baza[[№]:[Profit]],16,0)=0,"-",VLOOKUP(B685,Baza[[№]:[Profit]],16,0)),"")</f>
        <v/>
      </c>
      <c r="S685" s="43" t="str">
        <f>IFERROR(IF(VLOOKUP(B685,Baza[[№]:[Profit]],17,0)=0,"-",VLOOKUP(B685,Baza[[№]:[Profit]],17,0)),"")</f>
        <v/>
      </c>
      <c r="T685" s="43" t="str">
        <f>IFERROR(IF(VLOOKUP(B685,Baza[[№]:[Profit]],18,0)=0,"-",VLOOKUP(B685,Baza[[№]:[Profit]],18,0)),"")</f>
        <v/>
      </c>
      <c r="U685" s="41" t="str">
        <f>IFERROR(IF(VLOOKUP(B685,Baza[[№]:[Profit]],19,0)=0,"-",VLOOKUP(B685,Baza[[№]:[Profit]],19,0)),"")</f>
        <v/>
      </c>
      <c r="V685" s="41" t="str">
        <f>IFERROR(VLOOKUP(B685,Baza[[№]:[Profit]],20,0),"")</f>
        <v/>
      </c>
      <c r="W685" s="41" t="str">
        <f>IFERROR(IF(VLOOKUP(B685,Baza[[№]:[Profit]],21,0)=0,"-",VLOOKUP(B685,Baza[[№]:[Profit]],21,0)),"")</f>
        <v/>
      </c>
      <c r="X685" s="45" t="str">
        <f>IFERROR(IF(VLOOKUP(B685,Baza[[№]:[Profit]],22,0)=0,"-",VLOOKUP(B685,Baza[[№]:[Profit]],22,0)),"")</f>
        <v/>
      </c>
      <c r="Y685" s="45" t="str">
        <f>IFERROR(VLOOKUP(B685,Baza[[№]:[Profit]],23,0),"")</f>
        <v/>
      </c>
      <c r="Z685" s="44" t="str">
        <f>IFERROR(VLOOKUP(B685,Baza[[№]:[AFS]],24,0),"")</f>
        <v/>
      </c>
      <c r="AA685" s="45" t="str">
        <f>IF(Таблица2[[#This Row],[Profit]]="","#Н/Д",SUM($Y$40:Y685))</f>
        <v>#Н/Д</v>
      </c>
      <c r="AB685" s="45" t="b">
        <f>IF(Таблица2[[#This Row],[Grafik]]="#Н/Д",FALSE,TRUE)</f>
        <v>0</v>
      </c>
    </row>
    <row r="686" spans="2:28" ht="11.1" hidden="1" customHeight="1" x14ac:dyDescent="0.25">
      <c r="B686"/>
      <c r="C686" s="41" t="str">
        <f>IFERROR(VLOOKUP(B686,Baza[[№]:[Profit]],2,0),"")</f>
        <v/>
      </c>
      <c r="D68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8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86" s="43" t="str">
        <f>IFERROR(VLOOKUP(B686,Baza[[№]:[Profit]],3,0),"")</f>
        <v/>
      </c>
      <c r="G686" s="43" t="str">
        <f>IFERROR(VLOOKUP(B686,Baza[[№]:[Profit]],4,0),"")</f>
        <v/>
      </c>
      <c r="H686" s="43" t="str">
        <f>IFERROR(VLOOKUP(B686,Baza[[№]:[Profit]],5,0),"")</f>
        <v/>
      </c>
      <c r="I686" s="46" t="str">
        <f>IFERROR(VLOOKUP(B686,Baza[[№]:[Profit]],6,0),"")</f>
        <v/>
      </c>
      <c r="J686" s="49" t="str">
        <f>IFERROR(VLOOKUP(B686,Baza[[№]:[Profit]],7,0),"")</f>
        <v/>
      </c>
      <c r="K686" s="43" t="str">
        <f>IFERROR(VLOOKUP(B686,Baza[[№]:[Profit]],8,0),"")</f>
        <v/>
      </c>
      <c r="L686" s="43" t="str">
        <f>IFERROR(VLOOKUP(B686,Baza[[№]:[Profit]],9,0),"")</f>
        <v/>
      </c>
      <c r="M686" s="43" t="str">
        <f>IFERROR(VLOOKUP(B686,Baza[[№]:[Profit]],10,0),"")</f>
        <v/>
      </c>
      <c r="N686" s="43" t="str">
        <f>IFERROR(IF(VLOOKUP(B686,Baza[[№]:[Profit]],11,0)=0,"-",VLOOKUP(B686,Baza[[№]:[Profit]],11,0)),"")</f>
        <v/>
      </c>
      <c r="O686" s="43" t="str">
        <f>IFERROR(IF(VLOOKUP(B686,Baza[[№]:[Profit]],12,0)=0,"-",VLOOKUP(B686,Baza[[№]:[Profit]],12,0)),"")</f>
        <v/>
      </c>
      <c r="P686" s="43" t="str">
        <f>IFERROR(IF(VLOOKUP(B686,Baza[[№]:[Profit]],13,0)=0,"-",VLOOKUP(B686,Baza[[№]:[Profit]],13,0)),"")</f>
        <v/>
      </c>
      <c r="Q686" s="43" t="str">
        <f>IFERROR(IF(VLOOKUP(B686,Baza[[№]:[Profit]],15,0)=0,"-",VLOOKUP(B686,Baza[[№]:[Profit]],15,0)),"")</f>
        <v/>
      </c>
      <c r="R686" s="43" t="str">
        <f>IFERROR(IF(VLOOKUP(B686,Baza[[№]:[Profit]],16,0)=0,"-",VLOOKUP(B686,Baza[[№]:[Profit]],16,0)),"")</f>
        <v/>
      </c>
      <c r="S686" s="43" t="str">
        <f>IFERROR(IF(VLOOKUP(B686,Baza[[№]:[Profit]],17,0)=0,"-",VLOOKUP(B686,Baza[[№]:[Profit]],17,0)),"")</f>
        <v/>
      </c>
      <c r="T686" s="43" t="str">
        <f>IFERROR(IF(VLOOKUP(B686,Baza[[№]:[Profit]],18,0)=0,"-",VLOOKUP(B686,Baza[[№]:[Profit]],18,0)),"")</f>
        <v/>
      </c>
      <c r="U686" s="41" t="str">
        <f>IFERROR(IF(VLOOKUP(B686,Baza[[№]:[Profit]],19,0)=0,"-",VLOOKUP(B686,Baza[[№]:[Profit]],19,0)),"")</f>
        <v/>
      </c>
      <c r="V686" s="41" t="str">
        <f>IFERROR(VLOOKUP(B686,Baza[[№]:[Profit]],20,0),"")</f>
        <v/>
      </c>
      <c r="W686" s="41" t="str">
        <f>IFERROR(IF(VLOOKUP(B686,Baza[[№]:[Profit]],21,0)=0,"-",VLOOKUP(B686,Baza[[№]:[Profit]],21,0)),"")</f>
        <v/>
      </c>
      <c r="X686" s="45" t="str">
        <f>IFERROR(IF(VLOOKUP(B686,Baza[[№]:[Profit]],22,0)=0,"-",VLOOKUP(B686,Baza[[№]:[Profit]],22,0)),"")</f>
        <v/>
      </c>
      <c r="Y686" s="45" t="str">
        <f>IFERROR(VLOOKUP(B686,Baza[[№]:[Profit]],23,0),"")</f>
        <v/>
      </c>
      <c r="Z686" s="44" t="str">
        <f>IFERROR(VLOOKUP(B686,Baza[[№]:[AFS]],24,0),"")</f>
        <v/>
      </c>
      <c r="AA686" s="45" t="str">
        <f>IF(Таблица2[[#This Row],[Profit]]="","#Н/Д",SUM($Y$40:Y686))</f>
        <v>#Н/Д</v>
      </c>
      <c r="AB686" s="45" t="b">
        <f>IF(Таблица2[[#This Row],[Grafik]]="#Н/Д",FALSE,TRUE)</f>
        <v>0</v>
      </c>
    </row>
    <row r="687" spans="2:28" ht="11.1" hidden="1" customHeight="1" x14ac:dyDescent="0.25">
      <c r="B687"/>
      <c r="C687" s="41" t="str">
        <f>IFERROR(VLOOKUP(B687,Baza[[№]:[Profit]],2,0),"")</f>
        <v/>
      </c>
      <c r="D68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8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87" s="43" t="str">
        <f>IFERROR(VLOOKUP(B687,Baza[[№]:[Profit]],3,0),"")</f>
        <v/>
      </c>
      <c r="G687" s="43" t="str">
        <f>IFERROR(VLOOKUP(B687,Baza[[№]:[Profit]],4,0),"")</f>
        <v/>
      </c>
      <c r="H687" s="43" t="str">
        <f>IFERROR(VLOOKUP(B687,Baza[[№]:[Profit]],5,0),"")</f>
        <v/>
      </c>
      <c r="I687" s="46" t="str">
        <f>IFERROR(VLOOKUP(B687,Baza[[№]:[Profit]],6,0),"")</f>
        <v/>
      </c>
      <c r="J687" s="49" t="str">
        <f>IFERROR(VLOOKUP(B687,Baza[[№]:[Profit]],7,0),"")</f>
        <v/>
      </c>
      <c r="K687" s="43" t="str">
        <f>IFERROR(VLOOKUP(B687,Baza[[№]:[Profit]],8,0),"")</f>
        <v/>
      </c>
      <c r="L687" s="43" t="str">
        <f>IFERROR(VLOOKUP(B687,Baza[[№]:[Profit]],9,0),"")</f>
        <v/>
      </c>
      <c r="M687" s="43" t="str">
        <f>IFERROR(VLOOKUP(B687,Baza[[№]:[Profit]],10,0),"")</f>
        <v/>
      </c>
      <c r="N687" s="43" t="str">
        <f>IFERROR(IF(VLOOKUP(B687,Baza[[№]:[Profit]],11,0)=0,"-",VLOOKUP(B687,Baza[[№]:[Profit]],11,0)),"")</f>
        <v/>
      </c>
      <c r="O687" s="43" t="str">
        <f>IFERROR(IF(VLOOKUP(B687,Baza[[№]:[Profit]],12,0)=0,"-",VLOOKUP(B687,Baza[[№]:[Profit]],12,0)),"")</f>
        <v/>
      </c>
      <c r="P687" s="43" t="str">
        <f>IFERROR(IF(VLOOKUP(B687,Baza[[№]:[Profit]],13,0)=0,"-",VLOOKUP(B687,Baza[[№]:[Profit]],13,0)),"")</f>
        <v/>
      </c>
      <c r="Q687" s="43" t="str">
        <f>IFERROR(IF(VLOOKUP(B687,Baza[[№]:[Profit]],15,0)=0,"-",VLOOKUP(B687,Baza[[№]:[Profit]],15,0)),"")</f>
        <v/>
      </c>
      <c r="R687" s="43" t="str">
        <f>IFERROR(IF(VLOOKUP(B687,Baza[[№]:[Profit]],16,0)=0,"-",VLOOKUP(B687,Baza[[№]:[Profit]],16,0)),"")</f>
        <v/>
      </c>
      <c r="S687" s="43" t="str">
        <f>IFERROR(IF(VLOOKUP(B687,Baza[[№]:[Profit]],17,0)=0,"-",VLOOKUP(B687,Baza[[№]:[Profit]],17,0)),"")</f>
        <v/>
      </c>
      <c r="T687" s="43" t="str">
        <f>IFERROR(IF(VLOOKUP(B687,Baza[[№]:[Profit]],18,0)=0,"-",VLOOKUP(B687,Baza[[№]:[Profit]],18,0)),"")</f>
        <v/>
      </c>
      <c r="U687" s="41" t="str">
        <f>IFERROR(IF(VLOOKUP(B687,Baza[[№]:[Profit]],19,0)=0,"-",VLOOKUP(B687,Baza[[№]:[Profit]],19,0)),"")</f>
        <v/>
      </c>
      <c r="V687" s="41" t="str">
        <f>IFERROR(VLOOKUP(B687,Baza[[№]:[Profit]],20,0),"")</f>
        <v/>
      </c>
      <c r="W687" s="41" t="str">
        <f>IFERROR(IF(VLOOKUP(B687,Baza[[№]:[Profit]],21,0)=0,"-",VLOOKUP(B687,Baza[[№]:[Profit]],21,0)),"")</f>
        <v/>
      </c>
      <c r="X687" s="45" t="str">
        <f>IFERROR(IF(VLOOKUP(B687,Baza[[№]:[Profit]],22,0)=0,"-",VLOOKUP(B687,Baza[[№]:[Profit]],22,0)),"")</f>
        <v/>
      </c>
      <c r="Y687" s="45" t="str">
        <f>IFERROR(VLOOKUP(B687,Baza[[№]:[Profit]],23,0),"")</f>
        <v/>
      </c>
      <c r="Z687" s="44" t="str">
        <f>IFERROR(VLOOKUP(B687,Baza[[№]:[AFS]],24,0),"")</f>
        <v/>
      </c>
      <c r="AA687" s="45" t="str">
        <f>IF(Таблица2[[#This Row],[Profit]]="","#Н/Д",SUM($Y$40:Y687))</f>
        <v>#Н/Д</v>
      </c>
      <c r="AB687" s="45" t="b">
        <f>IF(Таблица2[[#This Row],[Grafik]]="#Н/Д",FALSE,TRUE)</f>
        <v>0</v>
      </c>
    </row>
    <row r="688" spans="2:28" ht="11.1" hidden="1" customHeight="1" x14ac:dyDescent="0.25">
      <c r="B688"/>
      <c r="C688" s="41" t="str">
        <f>IFERROR(VLOOKUP(B688,Baza[[№]:[Profit]],2,0),"")</f>
        <v/>
      </c>
      <c r="D68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8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88" s="43" t="str">
        <f>IFERROR(VLOOKUP(B688,Baza[[№]:[Profit]],3,0),"")</f>
        <v/>
      </c>
      <c r="G688" s="43" t="str">
        <f>IFERROR(VLOOKUP(B688,Baza[[№]:[Profit]],4,0),"")</f>
        <v/>
      </c>
      <c r="H688" s="43" t="str">
        <f>IFERROR(VLOOKUP(B688,Baza[[№]:[Profit]],5,0),"")</f>
        <v/>
      </c>
      <c r="I688" s="46" t="str">
        <f>IFERROR(VLOOKUP(B688,Baza[[№]:[Profit]],6,0),"")</f>
        <v/>
      </c>
      <c r="J688" s="49" t="str">
        <f>IFERROR(VLOOKUP(B688,Baza[[№]:[Profit]],7,0),"")</f>
        <v/>
      </c>
      <c r="K688" s="43" t="str">
        <f>IFERROR(VLOOKUP(B688,Baza[[№]:[Profit]],8,0),"")</f>
        <v/>
      </c>
      <c r="L688" s="43" t="str">
        <f>IFERROR(VLOOKUP(B688,Baza[[№]:[Profit]],9,0),"")</f>
        <v/>
      </c>
      <c r="M688" s="43" t="str">
        <f>IFERROR(VLOOKUP(B688,Baza[[№]:[Profit]],10,0),"")</f>
        <v/>
      </c>
      <c r="N688" s="43" t="str">
        <f>IFERROR(IF(VLOOKUP(B688,Baza[[№]:[Profit]],11,0)=0,"-",VLOOKUP(B688,Baza[[№]:[Profit]],11,0)),"")</f>
        <v/>
      </c>
      <c r="O688" s="43" t="str">
        <f>IFERROR(IF(VLOOKUP(B688,Baza[[№]:[Profit]],12,0)=0,"-",VLOOKUP(B688,Baza[[№]:[Profit]],12,0)),"")</f>
        <v/>
      </c>
      <c r="P688" s="43" t="str">
        <f>IFERROR(IF(VLOOKUP(B688,Baza[[№]:[Profit]],13,0)=0,"-",VLOOKUP(B688,Baza[[№]:[Profit]],13,0)),"")</f>
        <v/>
      </c>
      <c r="Q688" s="43" t="str">
        <f>IFERROR(IF(VLOOKUP(B688,Baza[[№]:[Profit]],15,0)=0,"-",VLOOKUP(B688,Baza[[№]:[Profit]],15,0)),"")</f>
        <v/>
      </c>
      <c r="R688" s="43" t="str">
        <f>IFERROR(IF(VLOOKUP(B688,Baza[[№]:[Profit]],16,0)=0,"-",VLOOKUP(B688,Baza[[№]:[Profit]],16,0)),"")</f>
        <v/>
      </c>
      <c r="S688" s="43" t="str">
        <f>IFERROR(IF(VLOOKUP(B688,Baza[[№]:[Profit]],17,0)=0,"-",VLOOKUP(B688,Baza[[№]:[Profit]],17,0)),"")</f>
        <v/>
      </c>
      <c r="T688" s="43" t="str">
        <f>IFERROR(IF(VLOOKUP(B688,Baza[[№]:[Profit]],18,0)=0,"-",VLOOKUP(B688,Baza[[№]:[Profit]],18,0)),"")</f>
        <v/>
      </c>
      <c r="U688" s="41" t="str">
        <f>IFERROR(IF(VLOOKUP(B688,Baza[[№]:[Profit]],19,0)=0,"-",VLOOKUP(B688,Baza[[№]:[Profit]],19,0)),"")</f>
        <v/>
      </c>
      <c r="V688" s="41" t="str">
        <f>IFERROR(VLOOKUP(B688,Baza[[№]:[Profit]],20,0),"")</f>
        <v/>
      </c>
      <c r="W688" s="41" t="str">
        <f>IFERROR(IF(VLOOKUP(B688,Baza[[№]:[Profit]],21,0)=0,"-",VLOOKUP(B688,Baza[[№]:[Profit]],21,0)),"")</f>
        <v/>
      </c>
      <c r="X688" s="45" t="str">
        <f>IFERROR(IF(VLOOKUP(B688,Baza[[№]:[Profit]],22,0)=0,"-",VLOOKUP(B688,Baza[[№]:[Profit]],22,0)),"")</f>
        <v/>
      </c>
      <c r="Y688" s="45" t="str">
        <f>IFERROR(VLOOKUP(B688,Baza[[№]:[Profit]],23,0),"")</f>
        <v/>
      </c>
      <c r="Z688" s="44" t="str">
        <f>IFERROR(VLOOKUP(B688,Baza[[№]:[AFS]],24,0),"")</f>
        <v/>
      </c>
      <c r="AA688" s="45" t="str">
        <f>IF(Таблица2[[#This Row],[Profit]]="","#Н/Д",SUM($Y$40:Y688))</f>
        <v>#Н/Д</v>
      </c>
      <c r="AB688" s="45" t="b">
        <f>IF(Таблица2[[#This Row],[Grafik]]="#Н/Д",FALSE,TRUE)</f>
        <v>0</v>
      </c>
    </row>
    <row r="689" spans="2:28" ht="11.1" hidden="1" customHeight="1" x14ac:dyDescent="0.25">
      <c r="B689"/>
      <c r="C689" s="41" t="str">
        <f>IFERROR(VLOOKUP(B689,Baza[[№]:[Profit]],2,0),"")</f>
        <v/>
      </c>
      <c r="D68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8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89" s="43" t="str">
        <f>IFERROR(VLOOKUP(B689,Baza[[№]:[Profit]],3,0),"")</f>
        <v/>
      </c>
      <c r="G689" s="43" t="str">
        <f>IFERROR(VLOOKUP(B689,Baza[[№]:[Profit]],4,0),"")</f>
        <v/>
      </c>
      <c r="H689" s="43" t="str">
        <f>IFERROR(VLOOKUP(B689,Baza[[№]:[Profit]],5,0),"")</f>
        <v/>
      </c>
      <c r="I689" s="46" t="str">
        <f>IFERROR(VLOOKUP(B689,Baza[[№]:[Profit]],6,0),"")</f>
        <v/>
      </c>
      <c r="J689" s="49" t="str">
        <f>IFERROR(VLOOKUP(B689,Baza[[№]:[Profit]],7,0),"")</f>
        <v/>
      </c>
      <c r="K689" s="43" t="str">
        <f>IFERROR(VLOOKUP(B689,Baza[[№]:[Profit]],8,0),"")</f>
        <v/>
      </c>
      <c r="L689" s="43" t="str">
        <f>IFERROR(VLOOKUP(B689,Baza[[№]:[Profit]],9,0),"")</f>
        <v/>
      </c>
      <c r="M689" s="43" t="str">
        <f>IFERROR(VLOOKUP(B689,Baza[[№]:[Profit]],10,0),"")</f>
        <v/>
      </c>
      <c r="N689" s="43" t="str">
        <f>IFERROR(IF(VLOOKUP(B689,Baza[[№]:[Profit]],11,0)=0,"-",VLOOKUP(B689,Baza[[№]:[Profit]],11,0)),"")</f>
        <v/>
      </c>
      <c r="O689" s="43" t="str">
        <f>IFERROR(IF(VLOOKUP(B689,Baza[[№]:[Profit]],12,0)=0,"-",VLOOKUP(B689,Baza[[№]:[Profit]],12,0)),"")</f>
        <v/>
      </c>
      <c r="P689" s="43" t="str">
        <f>IFERROR(IF(VLOOKUP(B689,Baza[[№]:[Profit]],13,0)=0,"-",VLOOKUP(B689,Baza[[№]:[Profit]],13,0)),"")</f>
        <v/>
      </c>
      <c r="Q689" s="43" t="str">
        <f>IFERROR(IF(VLOOKUP(B689,Baza[[№]:[Profit]],15,0)=0,"-",VLOOKUP(B689,Baza[[№]:[Profit]],15,0)),"")</f>
        <v/>
      </c>
      <c r="R689" s="43" t="str">
        <f>IFERROR(IF(VLOOKUP(B689,Baza[[№]:[Profit]],16,0)=0,"-",VLOOKUP(B689,Baza[[№]:[Profit]],16,0)),"")</f>
        <v/>
      </c>
      <c r="S689" s="43" t="str">
        <f>IFERROR(IF(VLOOKUP(B689,Baza[[№]:[Profit]],17,0)=0,"-",VLOOKUP(B689,Baza[[№]:[Profit]],17,0)),"")</f>
        <v/>
      </c>
      <c r="T689" s="43" t="str">
        <f>IFERROR(IF(VLOOKUP(B689,Baza[[№]:[Profit]],18,0)=0,"-",VLOOKUP(B689,Baza[[№]:[Profit]],18,0)),"")</f>
        <v/>
      </c>
      <c r="U689" s="41" t="str">
        <f>IFERROR(IF(VLOOKUP(B689,Baza[[№]:[Profit]],19,0)=0,"-",VLOOKUP(B689,Baza[[№]:[Profit]],19,0)),"")</f>
        <v/>
      </c>
      <c r="V689" s="41" t="str">
        <f>IFERROR(VLOOKUP(B689,Baza[[№]:[Profit]],20,0),"")</f>
        <v/>
      </c>
      <c r="W689" s="41" t="str">
        <f>IFERROR(IF(VLOOKUP(B689,Baza[[№]:[Profit]],21,0)=0,"-",VLOOKUP(B689,Baza[[№]:[Profit]],21,0)),"")</f>
        <v/>
      </c>
      <c r="X689" s="45" t="str">
        <f>IFERROR(IF(VLOOKUP(B689,Baza[[№]:[Profit]],22,0)=0,"-",VLOOKUP(B689,Baza[[№]:[Profit]],22,0)),"")</f>
        <v/>
      </c>
      <c r="Y689" s="45" t="str">
        <f>IFERROR(VLOOKUP(B689,Baza[[№]:[Profit]],23,0),"")</f>
        <v/>
      </c>
      <c r="Z689" s="44" t="str">
        <f>IFERROR(VLOOKUP(B689,Baza[[№]:[AFS]],24,0),"")</f>
        <v/>
      </c>
      <c r="AA689" s="45" t="str">
        <f>IF(Таблица2[[#This Row],[Profit]]="","#Н/Д",SUM($Y$40:Y689))</f>
        <v>#Н/Д</v>
      </c>
      <c r="AB689" s="45" t="b">
        <f>IF(Таблица2[[#This Row],[Grafik]]="#Н/Д",FALSE,TRUE)</f>
        <v>0</v>
      </c>
    </row>
    <row r="690" spans="2:28" ht="11.1" hidden="1" customHeight="1" x14ac:dyDescent="0.25">
      <c r="B690"/>
      <c r="C690" s="41" t="str">
        <f>IFERROR(VLOOKUP(B690,Baza[[№]:[Profit]],2,0),"")</f>
        <v/>
      </c>
      <c r="D69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9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90" s="43" t="str">
        <f>IFERROR(VLOOKUP(B690,Baza[[№]:[Profit]],3,0),"")</f>
        <v/>
      </c>
      <c r="G690" s="43" t="str">
        <f>IFERROR(VLOOKUP(B690,Baza[[№]:[Profit]],4,0),"")</f>
        <v/>
      </c>
      <c r="H690" s="43" t="str">
        <f>IFERROR(VLOOKUP(B690,Baza[[№]:[Profit]],5,0),"")</f>
        <v/>
      </c>
      <c r="I690" s="46" t="str">
        <f>IFERROR(VLOOKUP(B690,Baza[[№]:[Profit]],6,0),"")</f>
        <v/>
      </c>
      <c r="J690" s="49" t="str">
        <f>IFERROR(VLOOKUP(B690,Baza[[№]:[Profit]],7,0),"")</f>
        <v/>
      </c>
      <c r="K690" s="43" t="str">
        <f>IFERROR(VLOOKUP(B690,Baza[[№]:[Profit]],8,0),"")</f>
        <v/>
      </c>
      <c r="L690" s="43" t="str">
        <f>IFERROR(VLOOKUP(B690,Baza[[№]:[Profit]],9,0),"")</f>
        <v/>
      </c>
      <c r="M690" s="43" t="str">
        <f>IFERROR(VLOOKUP(B690,Baza[[№]:[Profit]],10,0),"")</f>
        <v/>
      </c>
      <c r="N690" s="43" t="str">
        <f>IFERROR(IF(VLOOKUP(B690,Baza[[№]:[Profit]],11,0)=0,"-",VLOOKUP(B690,Baza[[№]:[Profit]],11,0)),"")</f>
        <v/>
      </c>
      <c r="O690" s="43" t="str">
        <f>IFERROR(IF(VLOOKUP(B690,Baza[[№]:[Profit]],12,0)=0,"-",VLOOKUP(B690,Baza[[№]:[Profit]],12,0)),"")</f>
        <v/>
      </c>
      <c r="P690" s="43" t="str">
        <f>IFERROR(IF(VLOOKUP(B690,Baza[[№]:[Profit]],13,0)=0,"-",VLOOKUP(B690,Baza[[№]:[Profit]],13,0)),"")</f>
        <v/>
      </c>
      <c r="Q690" s="43" t="str">
        <f>IFERROR(IF(VLOOKUP(B690,Baza[[№]:[Profit]],15,0)=0,"-",VLOOKUP(B690,Baza[[№]:[Profit]],15,0)),"")</f>
        <v/>
      </c>
      <c r="R690" s="43" t="str">
        <f>IFERROR(IF(VLOOKUP(B690,Baza[[№]:[Profit]],16,0)=0,"-",VLOOKUP(B690,Baza[[№]:[Profit]],16,0)),"")</f>
        <v/>
      </c>
      <c r="S690" s="43" t="str">
        <f>IFERROR(IF(VLOOKUP(B690,Baza[[№]:[Profit]],17,0)=0,"-",VLOOKUP(B690,Baza[[№]:[Profit]],17,0)),"")</f>
        <v/>
      </c>
      <c r="T690" s="43" t="str">
        <f>IFERROR(IF(VLOOKUP(B690,Baza[[№]:[Profit]],18,0)=0,"-",VLOOKUP(B690,Baza[[№]:[Profit]],18,0)),"")</f>
        <v/>
      </c>
      <c r="U690" s="41" t="str">
        <f>IFERROR(IF(VLOOKUP(B690,Baza[[№]:[Profit]],19,0)=0,"-",VLOOKUP(B690,Baza[[№]:[Profit]],19,0)),"")</f>
        <v/>
      </c>
      <c r="V690" s="41" t="str">
        <f>IFERROR(VLOOKUP(B690,Baza[[№]:[Profit]],20,0),"")</f>
        <v/>
      </c>
      <c r="W690" s="41" t="str">
        <f>IFERROR(IF(VLOOKUP(B690,Baza[[№]:[Profit]],21,0)=0,"-",VLOOKUP(B690,Baza[[№]:[Profit]],21,0)),"")</f>
        <v/>
      </c>
      <c r="X690" s="45" t="str">
        <f>IFERROR(IF(VLOOKUP(B690,Baza[[№]:[Profit]],22,0)=0,"-",VLOOKUP(B690,Baza[[№]:[Profit]],22,0)),"")</f>
        <v/>
      </c>
      <c r="Y690" s="45" t="str">
        <f>IFERROR(VLOOKUP(B690,Baza[[№]:[Profit]],23,0),"")</f>
        <v/>
      </c>
      <c r="Z690" s="44" t="str">
        <f>IFERROR(VLOOKUP(B690,Baza[[№]:[AFS]],24,0),"")</f>
        <v/>
      </c>
      <c r="AA690" s="45" t="str">
        <f>IF(Таблица2[[#This Row],[Profit]]="","#Н/Д",SUM($Y$40:Y690))</f>
        <v>#Н/Д</v>
      </c>
      <c r="AB690" s="45" t="b">
        <f>IF(Таблица2[[#This Row],[Grafik]]="#Н/Д",FALSE,TRUE)</f>
        <v>0</v>
      </c>
    </row>
    <row r="691" spans="2:28" ht="11.1" hidden="1" customHeight="1" x14ac:dyDescent="0.25">
      <c r="B691"/>
      <c r="C691" s="41" t="str">
        <f>IFERROR(VLOOKUP(B691,Baza[[№]:[Profit]],2,0),"")</f>
        <v/>
      </c>
      <c r="D69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9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91" s="43" t="str">
        <f>IFERROR(VLOOKUP(B691,Baza[[№]:[Profit]],3,0),"")</f>
        <v/>
      </c>
      <c r="G691" s="43" t="str">
        <f>IFERROR(VLOOKUP(B691,Baza[[№]:[Profit]],4,0),"")</f>
        <v/>
      </c>
      <c r="H691" s="43" t="str">
        <f>IFERROR(VLOOKUP(B691,Baza[[№]:[Profit]],5,0),"")</f>
        <v/>
      </c>
      <c r="I691" s="46" t="str">
        <f>IFERROR(VLOOKUP(B691,Baza[[№]:[Profit]],6,0),"")</f>
        <v/>
      </c>
      <c r="J691" s="49" t="str">
        <f>IFERROR(VLOOKUP(B691,Baza[[№]:[Profit]],7,0),"")</f>
        <v/>
      </c>
      <c r="K691" s="43" t="str">
        <f>IFERROR(VLOOKUP(B691,Baza[[№]:[Profit]],8,0),"")</f>
        <v/>
      </c>
      <c r="L691" s="43" t="str">
        <f>IFERROR(VLOOKUP(B691,Baza[[№]:[Profit]],9,0),"")</f>
        <v/>
      </c>
      <c r="M691" s="43" t="str">
        <f>IFERROR(VLOOKUP(B691,Baza[[№]:[Profit]],10,0),"")</f>
        <v/>
      </c>
      <c r="N691" s="43" t="str">
        <f>IFERROR(IF(VLOOKUP(B691,Baza[[№]:[Profit]],11,0)=0,"-",VLOOKUP(B691,Baza[[№]:[Profit]],11,0)),"")</f>
        <v/>
      </c>
      <c r="O691" s="43" t="str">
        <f>IFERROR(IF(VLOOKUP(B691,Baza[[№]:[Profit]],12,0)=0,"-",VLOOKUP(B691,Baza[[№]:[Profit]],12,0)),"")</f>
        <v/>
      </c>
      <c r="P691" s="43" t="str">
        <f>IFERROR(IF(VLOOKUP(B691,Baza[[№]:[Profit]],13,0)=0,"-",VLOOKUP(B691,Baza[[№]:[Profit]],13,0)),"")</f>
        <v/>
      </c>
      <c r="Q691" s="43" t="str">
        <f>IFERROR(IF(VLOOKUP(B691,Baza[[№]:[Profit]],15,0)=0,"-",VLOOKUP(B691,Baza[[№]:[Profit]],15,0)),"")</f>
        <v/>
      </c>
      <c r="R691" s="43" t="str">
        <f>IFERROR(IF(VLOOKUP(B691,Baza[[№]:[Profit]],16,0)=0,"-",VLOOKUP(B691,Baza[[№]:[Profit]],16,0)),"")</f>
        <v/>
      </c>
      <c r="S691" s="43" t="str">
        <f>IFERROR(IF(VLOOKUP(B691,Baza[[№]:[Profit]],17,0)=0,"-",VLOOKUP(B691,Baza[[№]:[Profit]],17,0)),"")</f>
        <v/>
      </c>
      <c r="T691" s="43" t="str">
        <f>IFERROR(IF(VLOOKUP(B691,Baza[[№]:[Profit]],18,0)=0,"-",VLOOKUP(B691,Baza[[№]:[Profit]],18,0)),"")</f>
        <v/>
      </c>
      <c r="U691" s="41" t="str">
        <f>IFERROR(IF(VLOOKUP(B691,Baza[[№]:[Profit]],19,0)=0,"-",VLOOKUP(B691,Baza[[№]:[Profit]],19,0)),"")</f>
        <v/>
      </c>
      <c r="V691" s="41" t="str">
        <f>IFERROR(VLOOKUP(B691,Baza[[№]:[Profit]],20,0),"")</f>
        <v/>
      </c>
      <c r="W691" s="41" t="str">
        <f>IFERROR(IF(VLOOKUP(B691,Baza[[№]:[Profit]],21,0)=0,"-",VLOOKUP(B691,Baza[[№]:[Profit]],21,0)),"")</f>
        <v/>
      </c>
      <c r="X691" s="45" t="str">
        <f>IFERROR(IF(VLOOKUP(B691,Baza[[№]:[Profit]],22,0)=0,"-",VLOOKUP(B691,Baza[[№]:[Profit]],22,0)),"")</f>
        <v/>
      </c>
      <c r="Y691" s="45" t="str">
        <f>IFERROR(VLOOKUP(B691,Baza[[№]:[Profit]],23,0),"")</f>
        <v/>
      </c>
      <c r="Z691" s="44" t="str">
        <f>IFERROR(VLOOKUP(B691,Baza[[№]:[AFS]],24,0),"")</f>
        <v/>
      </c>
      <c r="AA691" s="45" t="str">
        <f>IF(Таблица2[[#This Row],[Profit]]="","#Н/Д",SUM($Y$40:Y691))</f>
        <v>#Н/Д</v>
      </c>
      <c r="AB691" s="45" t="b">
        <f>IF(Таблица2[[#This Row],[Grafik]]="#Н/Д",FALSE,TRUE)</f>
        <v>0</v>
      </c>
    </row>
    <row r="692" spans="2:28" ht="11.1" hidden="1" customHeight="1" x14ac:dyDescent="0.25">
      <c r="B692"/>
      <c r="C692" s="41" t="str">
        <f>IFERROR(VLOOKUP(B692,Baza[[№]:[Profit]],2,0),"")</f>
        <v/>
      </c>
      <c r="D69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9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92" s="43" t="str">
        <f>IFERROR(VLOOKUP(B692,Baza[[№]:[Profit]],3,0),"")</f>
        <v/>
      </c>
      <c r="G692" s="43" t="str">
        <f>IFERROR(VLOOKUP(B692,Baza[[№]:[Profit]],4,0),"")</f>
        <v/>
      </c>
      <c r="H692" s="43" t="str">
        <f>IFERROR(VLOOKUP(B692,Baza[[№]:[Profit]],5,0),"")</f>
        <v/>
      </c>
      <c r="I692" s="46" t="str">
        <f>IFERROR(VLOOKUP(B692,Baza[[№]:[Profit]],6,0),"")</f>
        <v/>
      </c>
      <c r="J692" s="49" t="str">
        <f>IFERROR(VLOOKUP(B692,Baza[[№]:[Profit]],7,0),"")</f>
        <v/>
      </c>
      <c r="K692" s="43" t="str">
        <f>IFERROR(VLOOKUP(B692,Baza[[№]:[Profit]],8,0),"")</f>
        <v/>
      </c>
      <c r="L692" s="43" t="str">
        <f>IFERROR(VLOOKUP(B692,Baza[[№]:[Profit]],9,0),"")</f>
        <v/>
      </c>
      <c r="M692" s="43" t="str">
        <f>IFERROR(VLOOKUP(B692,Baza[[№]:[Profit]],10,0),"")</f>
        <v/>
      </c>
      <c r="N692" s="43" t="str">
        <f>IFERROR(IF(VLOOKUP(B692,Baza[[№]:[Profit]],11,0)=0,"-",VLOOKUP(B692,Baza[[№]:[Profit]],11,0)),"")</f>
        <v/>
      </c>
      <c r="O692" s="43" t="str">
        <f>IFERROR(IF(VLOOKUP(B692,Baza[[№]:[Profit]],12,0)=0,"-",VLOOKUP(B692,Baza[[№]:[Profit]],12,0)),"")</f>
        <v/>
      </c>
      <c r="P692" s="43" t="str">
        <f>IFERROR(IF(VLOOKUP(B692,Baza[[№]:[Profit]],13,0)=0,"-",VLOOKUP(B692,Baza[[№]:[Profit]],13,0)),"")</f>
        <v/>
      </c>
      <c r="Q692" s="43" t="str">
        <f>IFERROR(IF(VLOOKUP(B692,Baza[[№]:[Profit]],15,0)=0,"-",VLOOKUP(B692,Baza[[№]:[Profit]],15,0)),"")</f>
        <v/>
      </c>
      <c r="R692" s="43" t="str">
        <f>IFERROR(IF(VLOOKUP(B692,Baza[[№]:[Profit]],16,0)=0,"-",VLOOKUP(B692,Baza[[№]:[Profit]],16,0)),"")</f>
        <v/>
      </c>
      <c r="S692" s="43" t="str">
        <f>IFERROR(IF(VLOOKUP(B692,Baza[[№]:[Profit]],17,0)=0,"-",VLOOKUP(B692,Baza[[№]:[Profit]],17,0)),"")</f>
        <v/>
      </c>
      <c r="T692" s="43" t="str">
        <f>IFERROR(IF(VLOOKUP(B692,Baza[[№]:[Profit]],18,0)=0,"-",VLOOKUP(B692,Baza[[№]:[Profit]],18,0)),"")</f>
        <v/>
      </c>
      <c r="U692" s="41" t="str">
        <f>IFERROR(IF(VLOOKUP(B692,Baza[[№]:[Profit]],19,0)=0,"-",VLOOKUP(B692,Baza[[№]:[Profit]],19,0)),"")</f>
        <v/>
      </c>
      <c r="V692" s="41" t="str">
        <f>IFERROR(VLOOKUP(B692,Baza[[№]:[Profit]],20,0),"")</f>
        <v/>
      </c>
      <c r="W692" s="41" t="str">
        <f>IFERROR(IF(VLOOKUP(B692,Baza[[№]:[Profit]],21,0)=0,"-",VLOOKUP(B692,Baza[[№]:[Profit]],21,0)),"")</f>
        <v/>
      </c>
      <c r="X692" s="45" t="str">
        <f>IFERROR(IF(VLOOKUP(B692,Baza[[№]:[Profit]],22,0)=0,"-",VLOOKUP(B692,Baza[[№]:[Profit]],22,0)),"")</f>
        <v/>
      </c>
      <c r="Y692" s="45" t="str">
        <f>IFERROR(VLOOKUP(B692,Baza[[№]:[Profit]],23,0),"")</f>
        <v/>
      </c>
      <c r="Z692" s="44" t="str">
        <f>IFERROR(VLOOKUP(B692,Baza[[№]:[AFS]],24,0),"")</f>
        <v/>
      </c>
      <c r="AA692" s="45" t="str">
        <f>IF(Таблица2[[#This Row],[Profit]]="","#Н/Д",SUM($Y$40:Y692))</f>
        <v>#Н/Д</v>
      </c>
      <c r="AB692" s="45" t="b">
        <f>IF(Таблица2[[#This Row],[Grafik]]="#Н/Д",FALSE,TRUE)</f>
        <v>0</v>
      </c>
    </row>
    <row r="693" spans="2:28" ht="11.1" hidden="1" customHeight="1" x14ac:dyDescent="0.25">
      <c r="B693"/>
      <c r="C693" s="41" t="str">
        <f>IFERROR(VLOOKUP(B693,Baza[[№]:[Profit]],2,0),"")</f>
        <v/>
      </c>
      <c r="D69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9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93" s="43" t="str">
        <f>IFERROR(VLOOKUP(B693,Baza[[№]:[Profit]],3,0),"")</f>
        <v/>
      </c>
      <c r="G693" s="43" t="str">
        <f>IFERROR(VLOOKUP(B693,Baza[[№]:[Profit]],4,0),"")</f>
        <v/>
      </c>
      <c r="H693" s="43" t="str">
        <f>IFERROR(VLOOKUP(B693,Baza[[№]:[Profit]],5,0),"")</f>
        <v/>
      </c>
      <c r="I693" s="46" t="str">
        <f>IFERROR(VLOOKUP(B693,Baza[[№]:[Profit]],6,0),"")</f>
        <v/>
      </c>
      <c r="J693" s="49" t="str">
        <f>IFERROR(VLOOKUP(B693,Baza[[№]:[Profit]],7,0),"")</f>
        <v/>
      </c>
      <c r="K693" s="43" t="str">
        <f>IFERROR(VLOOKUP(B693,Baza[[№]:[Profit]],8,0),"")</f>
        <v/>
      </c>
      <c r="L693" s="43" t="str">
        <f>IFERROR(VLOOKUP(B693,Baza[[№]:[Profit]],9,0),"")</f>
        <v/>
      </c>
      <c r="M693" s="43" t="str">
        <f>IFERROR(VLOOKUP(B693,Baza[[№]:[Profit]],10,0),"")</f>
        <v/>
      </c>
      <c r="N693" s="43" t="str">
        <f>IFERROR(IF(VLOOKUP(B693,Baza[[№]:[Profit]],11,0)=0,"-",VLOOKUP(B693,Baza[[№]:[Profit]],11,0)),"")</f>
        <v/>
      </c>
      <c r="O693" s="43" t="str">
        <f>IFERROR(IF(VLOOKUP(B693,Baza[[№]:[Profit]],12,0)=0,"-",VLOOKUP(B693,Baza[[№]:[Profit]],12,0)),"")</f>
        <v/>
      </c>
      <c r="P693" s="43" t="str">
        <f>IFERROR(IF(VLOOKUP(B693,Baza[[№]:[Profit]],13,0)=0,"-",VLOOKUP(B693,Baza[[№]:[Profit]],13,0)),"")</f>
        <v/>
      </c>
      <c r="Q693" s="43" t="str">
        <f>IFERROR(IF(VLOOKUP(B693,Baza[[№]:[Profit]],15,0)=0,"-",VLOOKUP(B693,Baza[[№]:[Profit]],15,0)),"")</f>
        <v/>
      </c>
      <c r="R693" s="43" t="str">
        <f>IFERROR(IF(VLOOKUP(B693,Baza[[№]:[Profit]],16,0)=0,"-",VLOOKUP(B693,Baza[[№]:[Profit]],16,0)),"")</f>
        <v/>
      </c>
      <c r="S693" s="43" t="str">
        <f>IFERROR(IF(VLOOKUP(B693,Baza[[№]:[Profit]],17,0)=0,"-",VLOOKUP(B693,Baza[[№]:[Profit]],17,0)),"")</f>
        <v/>
      </c>
      <c r="T693" s="43" t="str">
        <f>IFERROR(IF(VLOOKUP(B693,Baza[[№]:[Profit]],18,0)=0,"-",VLOOKUP(B693,Baza[[№]:[Profit]],18,0)),"")</f>
        <v/>
      </c>
      <c r="U693" s="41" t="str">
        <f>IFERROR(IF(VLOOKUP(B693,Baza[[№]:[Profit]],19,0)=0,"-",VLOOKUP(B693,Baza[[№]:[Profit]],19,0)),"")</f>
        <v/>
      </c>
      <c r="V693" s="41" t="str">
        <f>IFERROR(VLOOKUP(B693,Baza[[№]:[Profit]],20,0),"")</f>
        <v/>
      </c>
      <c r="W693" s="41" t="str">
        <f>IFERROR(IF(VLOOKUP(B693,Baza[[№]:[Profit]],21,0)=0,"-",VLOOKUP(B693,Baza[[№]:[Profit]],21,0)),"")</f>
        <v/>
      </c>
      <c r="X693" s="45" t="str">
        <f>IFERROR(IF(VLOOKUP(B693,Baza[[№]:[Profit]],22,0)=0,"-",VLOOKUP(B693,Baza[[№]:[Profit]],22,0)),"")</f>
        <v/>
      </c>
      <c r="Y693" s="45" t="str">
        <f>IFERROR(VLOOKUP(B693,Baza[[№]:[Profit]],23,0),"")</f>
        <v/>
      </c>
      <c r="Z693" s="44" t="str">
        <f>IFERROR(VLOOKUP(B693,Baza[[№]:[AFS]],24,0),"")</f>
        <v/>
      </c>
      <c r="AA693" s="45" t="str">
        <f>IF(Таблица2[[#This Row],[Profit]]="","#Н/Д",SUM($Y$40:Y693))</f>
        <v>#Н/Д</v>
      </c>
      <c r="AB693" s="45" t="b">
        <f>IF(Таблица2[[#This Row],[Grafik]]="#Н/Д",FALSE,TRUE)</f>
        <v>0</v>
      </c>
    </row>
    <row r="694" spans="2:28" ht="11.1" hidden="1" customHeight="1" x14ac:dyDescent="0.25">
      <c r="B694"/>
      <c r="C694" s="41" t="str">
        <f>IFERROR(VLOOKUP(B694,Baza[[№]:[Profit]],2,0),"")</f>
        <v/>
      </c>
      <c r="D69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9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94" s="43" t="str">
        <f>IFERROR(VLOOKUP(B694,Baza[[№]:[Profit]],3,0),"")</f>
        <v/>
      </c>
      <c r="G694" s="43" t="str">
        <f>IFERROR(VLOOKUP(B694,Baza[[№]:[Profit]],4,0),"")</f>
        <v/>
      </c>
      <c r="H694" s="43" t="str">
        <f>IFERROR(VLOOKUP(B694,Baza[[№]:[Profit]],5,0),"")</f>
        <v/>
      </c>
      <c r="I694" s="46" t="str">
        <f>IFERROR(VLOOKUP(B694,Baza[[№]:[Profit]],6,0),"")</f>
        <v/>
      </c>
      <c r="J694" s="49" t="str">
        <f>IFERROR(VLOOKUP(B694,Baza[[№]:[Profit]],7,0),"")</f>
        <v/>
      </c>
      <c r="K694" s="43" t="str">
        <f>IFERROR(VLOOKUP(B694,Baza[[№]:[Profit]],8,0),"")</f>
        <v/>
      </c>
      <c r="L694" s="43" t="str">
        <f>IFERROR(VLOOKUP(B694,Baza[[№]:[Profit]],9,0),"")</f>
        <v/>
      </c>
      <c r="M694" s="43" t="str">
        <f>IFERROR(VLOOKUP(B694,Baza[[№]:[Profit]],10,0),"")</f>
        <v/>
      </c>
      <c r="N694" s="43" t="str">
        <f>IFERROR(IF(VLOOKUP(B694,Baza[[№]:[Profit]],11,0)=0,"-",VLOOKUP(B694,Baza[[№]:[Profit]],11,0)),"")</f>
        <v/>
      </c>
      <c r="O694" s="43" t="str">
        <f>IFERROR(IF(VLOOKUP(B694,Baza[[№]:[Profit]],12,0)=0,"-",VLOOKUP(B694,Baza[[№]:[Profit]],12,0)),"")</f>
        <v/>
      </c>
      <c r="P694" s="43" t="str">
        <f>IFERROR(IF(VLOOKUP(B694,Baza[[№]:[Profit]],13,0)=0,"-",VLOOKUP(B694,Baza[[№]:[Profit]],13,0)),"")</f>
        <v/>
      </c>
      <c r="Q694" s="43" t="str">
        <f>IFERROR(IF(VLOOKUP(B694,Baza[[№]:[Profit]],15,0)=0,"-",VLOOKUP(B694,Baza[[№]:[Profit]],15,0)),"")</f>
        <v/>
      </c>
      <c r="R694" s="43" t="str">
        <f>IFERROR(IF(VLOOKUP(B694,Baza[[№]:[Profit]],16,0)=0,"-",VLOOKUP(B694,Baza[[№]:[Profit]],16,0)),"")</f>
        <v/>
      </c>
      <c r="S694" s="43" t="str">
        <f>IFERROR(IF(VLOOKUP(B694,Baza[[№]:[Profit]],17,0)=0,"-",VLOOKUP(B694,Baza[[№]:[Profit]],17,0)),"")</f>
        <v/>
      </c>
      <c r="T694" s="43" t="str">
        <f>IFERROR(IF(VLOOKUP(B694,Baza[[№]:[Profit]],18,0)=0,"-",VLOOKUP(B694,Baza[[№]:[Profit]],18,0)),"")</f>
        <v/>
      </c>
      <c r="U694" s="41" t="str">
        <f>IFERROR(IF(VLOOKUP(B694,Baza[[№]:[Profit]],19,0)=0,"-",VLOOKUP(B694,Baza[[№]:[Profit]],19,0)),"")</f>
        <v/>
      </c>
      <c r="V694" s="41" t="str">
        <f>IFERROR(VLOOKUP(B694,Baza[[№]:[Profit]],20,0),"")</f>
        <v/>
      </c>
      <c r="W694" s="41" t="str">
        <f>IFERROR(IF(VLOOKUP(B694,Baza[[№]:[Profit]],21,0)=0,"-",VLOOKUP(B694,Baza[[№]:[Profit]],21,0)),"")</f>
        <v/>
      </c>
      <c r="X694" s="45" t="str">
        <f>IFERROR(IF(VLOOKUP(B694,Baza[[№]:[Profit]],22,0)=0,"-",VLOOKUP(B694,Baza[[№]:[Profit]],22,0)),"")</f>
        <v/>
      </c>
      <c r="Y694" s="45" t="str">
        <f>IFERROR(VLOOKUP(B694,Baza[[№]:[Profit]],23,0),"")</f>
        <v/>
      </c>
      <c r="Z694" s="44" t="str">
        <f>IFERROR(VLOOKUP(B694,Baza[[№]:[AFS]],24,0),"")</f>
        <v/>
      </c>
      <c r="AA694" s="45" t="str">
        <f>IF(Таблица2[[#This Row],[Profit]]="","#Н/Д",SUM($Y$40:Y694))</f>
        <v>#Н/Д</v>
      </c>
      <c r="AB694" s="45" t="b">
        <f>IF(Таблица2[[#This Row],[Grafik]]="#Н/Д",FALSE,TRUE)</f>
        <v>0</v>
      </c>
    </row>
    <row r="695" spans="2:28" ht="11.1" hidden="1" customHeight="1" x14ac:dyDescent="0.25">
      <c r="B695"/>
      <c r="C695" s="41" t="str">
        <f>IFERROR(VLOOKUP(B695,Baza[[№]:[Profit]],2,0),"")</f>
        <v/>
      </c>
      <c r="D69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9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95" s="43" t="str">
        <f>IFERROR(VLOOKUP(B695,Baza[[№]:[Profit]],3,0),"")</f>
        <v/>
      </c>
      <c r="G695" s="43" t="str">
        <f>IFERROR(VLOOKUP(B695,Baza[[№]:[Profit]],4,0),"")</f>
        <v/>
      </c>
      <c r="H695" s="43" t="str">
        <f>IFERROR(VLOOKUP(B695,Baza[[№]:[Profit]],5,0),"")</f>
        <v/>
      </c>
      <c r="I695" s="46" t="str">
        <f>IFERROR(VLOOKUP(B695,Baza[[№]:[Profit]],6,0),"")</f>
        <v/>
      </c>
      <c r="J695" s="49" t="str">
        <f>IFERROR(VLOOKUP(B695,Baza[[№]:[Profit]],7,0),"")</f>
        <v/>
      </c>
      <c r="K695" s="43" t="str">
        <f>IFERROR(VLOOKUP(B695,Baza[[№]:[Profit]],8,0),"")</f>
        <v/>
      </c>
      <c r="L695" s="43" t="str">
        <f>IFERROR(VLOOKUP(B695,Baza[[№]:[Profit]],9,0),"")</f>
        <v/>
      </c>
      <c r="M695" s="43" t="str">
        <f>IFERROR(VLOOKUP(B695,Baza[[№]:[Profit]],10,0),"")</f>
        <v/>
      </c>
      <c r="N695" s="43" t="str">
        <f>IFERROR(IF(VLOOKUP(B695,Baza[[№]:[Profit]],11,0)=0,"-",VLOOKUP(B695,Baza[[№]:[Profit]],11,0)),"")</f>
        <v/>
      </c>
      <c r="O695" s="43" t="str">
        <f>IFERROR(IF(VLOOKUP(B695,Baza[[№]:[Profit]],12,0)=0,"-",VLOOKUP(B695,Baza[[№]:[Profit]],12,0)),"")</f>
        <v/>
      </c>
      <c r="P695" s="43" t="str">
        <f>IFERROR(IF(VLOOKUP(B695,Baza[[№]:[Profit]],13,0)=0,"-",VLOOKUP(B695,Baza[[№]:[Profit]],13,0)),"")</f>
        <v/>
      </c>
      <c r="Q695" s="43" t="str">
        <f>IFERROR(IF(VLOOKUP(B695,Baza[[№]:[Profit]],15,0)=0,"-",VLOOKUP(B695,Baza[[№]:[Profit]],15,0)),"")</f>
        <v/>
      </c>
      <c r="R695" s="43" t="str">
        <f>IFERROR(IF(VLOOKUP(B695,Baza[[№]:[Profit]],16,0)=0,"-",VLOOKUP(B695,Baza[[№]:[Profit]],16,0)),"")</f>
        <v/>
      </c>
      <c r="S695" s="43" t="str">
        <f>IFERROR(IF(VLOOKUP(B695,Baza[[№]:[Profit]],17,0)=0,"-",VLOOKUP(B695,Baza[[№]:[Profit]],17,0)),"")</f>
        <v/>
      </c>
      <c r="T695" s="43" t="str">
        <f>IFERROR(IF(VLOOKUP(B695,Baza[[№]:[Profit]],18,0)=0,"-",VLOOKUP(B695,Baza[[№]:[Profit]],18,0)),"")</f>
        <v/>
      </c>
      <c r="U695" s="41" t="str">
        <f>IFERROR(IF(VLOOKUP(B695,Baza[[№]:[Profit]],19,0)=0,"-",VLOOKUP(B695,Baza[[№]:[Profit]],19,0)),"")</f>
        <v/>
      </c>
      <c r="V695" s="41" t="str">
        <f>IFERROR(VLOOKUP(B695,Baza[[№]:[Profit]],20,0),"")</f>
        <v/>
      </c>
      <c r="W695" s="41" t="str">
        <f>IFERROR(IF(VLOOKUP(B695,Baza[[№]:[Profit]],21,0)=0,"-",VLOOKUP(B695,Baza[[№]:[Profit]],21,0)),"")</f>
        <v/>
      </c>
      <c r="X695" s="45" t="str">
        <f>IFERROR(IF(VLOOKUP(B695,Baza[[№]:[Profit]],22,0)=0,"-",VLOOKUP(B695,Baza[[№]:[Profit]],22,0)),"")</f>
        <v/>
      </c>
      <c r="Y695" s="45" t="str">
        <f>IFERROR(VLOOKUP(B695,Baza[[№]:[Profit]],23,0),"")</f>
        <v/>
      </c>
      <c r="Z695" s="44" t="str">
        <f>IFERROR(VLOOKUP(B695,Baza[[№]:[AFS]],24,0),"")</f>
        <v/>
      </c>
      <c r="AA695" s="45" t="str">
        <f>IF(Таблица2[[#This Row],[Profit]]="","#Н/Д",SUM($Y$40:Y695))</f>
        <v>#Н/Д</v>
      </c>
      <c r="AB695" s="45" t="b">
        <f>IF(Таблица2[[#This Row],[Grafik]]="#Н/Д",FALSE,TRUE)</f>
        <v>0</v>
      </c>
    </row>
    <row r="696" spans="2:28" ht="11.1" hidden="1" customHeight="1" x14ac:dyDescent="0.25">
      <c r="B696"/>
      <c r="C696" s="41" t="str">
        <f>IFERROR(VLOOKUP(B696,Baza[[№]:[Profit]],2,0),"")</f>
        <v/>
      </c>
      <c r="D69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9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96" s="43" t="str">
        <f>IFERROR(VLOOKUP(B696,Baza[[№]:[Profit]],3,0),"")</f>
        <v/>
      </c>
      <c r="G696" s="43" t="str">
        <f>IFERROR(VLOOKUP(B696,Baza[[№]:[Profit]],4,0),"")</f>
        <v/>
      </c>
      <c r="H696" s="43" t="str">
        <f>IFERROR(VLOOKUP(B696,Baza[[№]:[Profit]],5,0),"")</f>
        <v/>
      </c>
      <c r="I696" s="46" t="str">
        <f>IFERROR(VLOOKUP(B696,Baza[[№]:[Profit]],6,0),"")</f>
        <v/>
      </c>
      <c r="J696" s="49" t="str">
        <f>IFERROR(VLOOKUP(B696,Baza[[№]:[Profit]],7,0),"")</f>
        <v/>
      </c>
      <c r="K696" s="43" t="str">
        <f>IFERROR(VLOOKUP(B696,Baza[[№]:[Profit]],8,0),"")</f>
        <v/>
      </c>
      <c r="L696" s="43" t="str">
        <f>IFERROR(VLOOKUP(B696,Baza[[№]:[Profit]],9,0),"")</f>
        <v/>
      </c>
      <c r="M696" s="43" t="str">
        <f>IFERROR(VLOOKUP(B696,Baza[[№]:[Profit]],10,0),"")</f>
        <v/>
      </c>
      <c r="N696" s="43" t="str">
        <f>IFERROR(IF(VLOOKUP(B696,Baza[[№]:[Profit]],11,0)=0,"-",VLOOKUP(B696,Baza[[№]:[Profit]],11,0)),"")</f>
        <v/>
      </c>
      <c r="O696" s="43" t="str">
        <f>IFERROR(IF(VLOOKUP(B696,Baza[[№]:[Profit]],12,0)=0,"-",VLOOKUP(B696,Baza[[№]:[Profit]],12,0)),"")</f>
        <v/>
      </c>
      <c r="P696" s="43" t="str">
        <f>IFERROR(IF(VLOOKUP(B696,Baza[[№]:[Profit]],13,0)=0,"-",VLOOKUP(B696,Baza[[№]:[Profit]],13,0)),"")</f>
        <v/>
      </c>
      <c r="Q696" s="43" t="str">
        <f>IFERROR(IF(VLOOKUP(B696,Baza[[№]:[Profit]],15,0)=0,"-",VLOOKUP(B696,Baza[[№]:[Profit]],15,0)),"")</f>
        <v/>
      </c>
      <c r="R696" s="43" t="str">
        <f>IFERROR(IF(VLOOKUP(B696,Baza[[№]:[Profit]],16,0)=0,"-",VLOOKUP(B696,Baza[[№]:[Profit]],16,0)),"")</f>
        <v/>
      </c>
      <c r="S696" s="43" t="str">
        <f>IFERROR(IF(VLOOKUP(B696,Baza[[№]:[Profit]],17,0)=0,"-",VLOOKUP(B696,Baza[[№]:[Profit]],17,0)),"")</f>
        <v/>
      </c>
      <c r="T696" s="43" t="str">
        <f>IFERROR(IF(VLOOKUP(B696,Baza[[№]:[Profit]],18,0)=0,"-",VLOOKUP(B696,Baza[[№]:[Profit]],18,0)),"")</f>
        <v/>
      </c>
      <c r="U696" s="41" t="str">
        <f>IFERROR(IF(VLOOKUP(B696,Baza[[№]:[Profit]],19,0)=0,"-",VLOOKUP(B696,Baza[[№]:[Profit]],19,0)),"")</f>
        <v/>
      </c>
      <c r="V696" s="41" t="str">
        <f>IFERROR(VLOOKUP(B696,Baza[[№]:[Profit]],20,0),"")</f>
        <v/>
      </c>
      <c r="W696" s="41" t="str">
        <f>IFERROR(IF(VLOOKUP(B696,Baza[[№]:[Profit]],21,0)=0,"-",VLOOKUP(B696,Baza[[№]:[Profit]],21,0)),"")</f>
        <v/>
      </c>
      <c r="X696" s="45" t="str">
        <f>IFERROR(IF(VLOOKUP(B696,Baza[[№]:[Profit]],22,0)=0,"-",VLOOKUP(B696,Baza[[№]:[Profit]],22,0)),"")</f>
        <v/>
      </c>
      <c r="Y696" s="45" t="str">
        <f>IFERROR(VLOOKUP(B696,Baza[[№]:[Profit]],23,0),"")</f>
        <v/>
      </c>
      <c r="Z696" s="44" t="str">
        <f>IFERROR(VLOOKUP(B696,Baza[[№]:[AFS]],24,0),"")</f>
        <v/>
      </c>
      <c r="AA696" s="45" t="str">
        <f>IF(Таблица2[[#This Row],[Profit]]="","#Н/Д",SUM($Y$40:Y696))</f>
        <v>#Н/Д</v>
      </c>
      <c r="AB696" s="45" t="b">
        <f>IF(Таблица2[[#This Row],[Grafik]]="#Н/Д",FALSE,TRUE)</f>
        <v>0</v>
      </c>
    </row>
    <row r="697" spans="2:28" ht="11.1" hidden="1" customHeight="1" x14ac:dyDescent="0.25">
      <c r="B697"/>
      <c r="C697" s="41" t="str">
        <f>IFERROR(VLOOKUP(B697,Baza[[№]:[Profit]],2,0),"")</f>
        <v/>
      </c>
      <c r="D69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9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97" s="43" t="str">
        <f>IFERROR(VLOOKUP(B697,Baza[[№]:[Profit]],3,0),"")</f>
        <v/>
      </c>
      <c r="G697" s="43" t="str">
        <f>IFERROR(VLOOKUP(B697,Baza[[№]:[Profit]],4,0),"")</f>
        <v/>
      </c>
      <c r="H697" s="43" t="str">
        <f>IFERROR(VLOOKUP(B697,Baza[[№]:[Profit]],5,0),"")</f>
        <v/>
      </c>
      <c r="I697" s="46" t="str">
        <f>IFERROR(VLOOKUP(B697,Baza[[№]:[Profit]],6,0),"")</f>
        <v/>
      </c>
      <c r="J697" s="49" t="str">
        <f>IFERROR(VLOOKUP(B697,Baza[[№]:[Profit]],7,0),"")</f>
        <v/>
      </c>
      <c r="K697" s="43" t="str">
        <f>IFERROR(VLOOKUP(B697,Baza[[№]:[Profit]],8,0),"")</f>
        <v/>
      </c>
      <c r="L697" s="43" t="str">
        <f>IFERROR(VLOOKUP(B697,Baza[[№]:[Profit]],9,0),"")</f>
        <v/>
      </c>
      <c r="M697" s="43" t="str">
        <f>IFERROR(VLOOKUP(B697,Baza[[№]:[Profit]],10,0),"")</f>
        <v/>
      </c>
      <c r="N697" s="43" t="str">
        <f>IFERROR(IF(VLOOKUP(B697,Baza[[№]:[Profit]],11,0)=0,"-",VLOOKUP(B697,Baza[[№]:[Profit]],11,0)),"")</f>
        <v/>
      </c>
      <c r="O697" s="43" t="str">
        <f>IFERROR(IF(VLOOKUP(B697,Baza[[№]:[Profit]],12,0)=0,"-",VLOOKUP(B697,Baza[[№]:[Profit]],12,0)),"")</f>
        <v/>
      </c>
      <c r="P697" s="43" t="str">
        <f>IFERROR(IF(VLOOKUP(B697,Baza[[№]:[Profit]],13,0)=0,"-",VLOOKUP(B697,Baza[[№]:[Profit]],13,0)),"")</f>
        <v/>
      </c>
      <c r="Q697" s="43" t="str">
        <f>IFERROR(IF(VLOOKUP(B697,Baza[[№]:[Profit]],15,0)=0,"-",VLOOKUP(B697,Baza[[№]:[Profit]],15,0)),"")</f>
        <v/>
      </c>
      <c r="R697" s="43" t="str">
        <f>IFERROR(IF(VLOOKUP(B697,Baza[[№]:[Profit]],16,0)=0,"-",VLOOKUP(B697,Baza[[№]:[Profit]],16,0)),"")</f>
        <v/>
      </c>
      <c r="S697" s="43" t="str">
        <f>IFERROR(IF(VLOOKUP(B697,Baza[[№]:[Profit]],17,0)=0,"-",VLOOKUP(B697,Baza[[№]:[Profit]],17,0)),"")</f>
        <v/>
      </c>
      <c r="T697" s="43" t="str">
        <f>IFERROR(IF(VLOOKUP(B697,Baza[[№]:[Profit]],18,0)=0,"-",VLOOKUP(B697,Baza[[№]:[Profit]],18,0)),"")</f>
        <v/>
      </c>
      <c r="U697" s="41" t="str">
        <f>IFERROR(IF(VLOOKUP(B697,Baza[[№]:[Profit]],19,0)=0,"-",VLOOKUP(B697,Baza[[№]:[Profit]],19,0)),"")</f>
        <v/>
      </c>
      <c r="V697" s="41" t="str">
        <f>IFERROR(VLOOKUP(B697,Baza[[№]:[Profit]],20,0),"")</f>
        <v/>
      </c>
      <c r="W697" s="41" t="str">
        <f>IFERROR(IF(VLOOKUP(B697,Baza[[№]:[Profit]],21,0)=0,"-",VLOOKUP(B697,Baza[[№]:[Profit]],21,0)),"")</f>
        <v/>
      </c>
      <c r="X697" s="45" t="str">
        <f>IFERROR(IF(VLOOKUP(B697,Baza[[№]:[Profit]],22,0)=0,"-",VLOOKUP(B697,Baza[[№]:[Profit]],22,0)),"")</f>
        <v/>
      </c>
      <c r="Y697" s="45" t="str">
        <f>IFERROR(VLOOKUP(B697,Baza[[№]:[Profit]],23,0),"")</f>
        <v/>
      </c>
      <c r="Z697" s="44" t="str">
        <f>IFERROR(VLOOKUP(B697,Baza[[№]:[AFS]],24,0),"")</f>
        <v/>
      </c>
      <c r="AA697" s="45" t="str">
        <f>IF(Таблица2[[#This Row],[Profit]]="","#Н/Д",SUM($Y$40:Y697))</f>
        <v>#Н/Д</v>
      </c>
      <c r="AB697" s="45" t="b">
        <f>IF(Таблица2[[#This Row],[Grafik]]="#Н/Д",FALSE,TRUE)</f>
        <v>0</v>
      </c>
    </row>
    <row r="698" spans="2:28" ht="11.1" hidden="1" customHeight="1" x14ac:dyDescent="0.25">
      <c r="B698"/>
      <c r="C698" s="41" t="str">
        <f>IFERROR(VLOOKUP(B698,Baza[[№]:[Profit]],2,0),"")</f>
        <v/>
      </c>
      <c r="D69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9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98" s="43" t="str">
        <f>IFERROR(VLOOKUP(B698,Baza[[№]:[Profit]],3,0),"")</f>
        <v/>
      </c>
      <c r="G698" s="43" t="str">
        <f>IFERROR(VLOOKUP(B698,Baza[[№]:[Profit]],4,0),"")</f>
        <v/>
      </c>
      <c r="H698" s="43" t="str">
        <f>IFERROR(VLOOKUP(B698,Baza[[№]:[Profit]],5,0),"")</f>
        <v/>
      </c>
      <c r="I698" s="46" t="str">
        <f>IFERROR(VLOOKUP(B698,Baza[[№]:[Profit]],6,0),"")</f>
        <v/>
      </c>
      <c r="J698" s="49" t="str">
        <f>IFERROR(VLOOKUP(B698,Baza[[№]:[Profit]],7,0),"")</f>
        <v/>
      </c>
      <c r="K698" s="43" t="str">
        <f>IFERROR(VLOOKUP(B698,Baza[[№]:[Profit]],8,0),"")</f>
        <v/>
      </c>
      <c r="L698" s="43" t="str">
        <f>IFERROR(VLOOKUP(B698,Baza[[№]:[Profit]],9,0),"")</f>
        <v/>
      </c>
      <c r="M698" s="43" t="str">
        <f>IFERROR(VLOOKUP(B698,Baza[[№]:[Profit]],10,0),"")</f>
        <v/>
      </c>
      <c r="N698" s="43" t="str">
        <f>IFERROR(IF(VLOOKUP(B698,Baza[[№]:[Profit]],11,0)=0,"-",VLOOKUP(B698,Baza[[№]:[Profit]],11,0)),"")</f>
        <v/>
      </c>
      <c r="O698" s="43" t="str">
        <f>IFERROR(IF(VLOOKUP(B698,Baza[[№]:[Profit]],12,0)=0,"-",VLOOKUP(B698,Baza[[№]:[Profit]],12,0)),"")</f>
        <v/>
      </c>
      <c r="P698" s="43" t="str">
        <f>IFERROR(IF(VLOOKUP(B698,Baza[[№]:[Profit]],13,0)=0,"-",VLOOKUP(B698,Baza[[№]:[Profit]],13,0)),"")</f>
        <v/>
      </c>
      <c r="Q698" s="43" t="str">
        <f>IFERROR(IF(VLOOKUP(B698,Baza[[№]:[Profit]],15,0)=0,"-",VLOOKUP(B698,Baza[[№]:[Profit]],15,0)),"")</f>
        <v/>
      </c>
      <c r="R698" s="43" t="str">
        <f>IFERROR(IF(VLOOKUP(B698,Baza[[№]:[Profit]],16,0)=0,"-",VLOOKUP(B698,Baza[[№]:[Profit]],16,0)),"")</f>
        <v/>
      </c>
      <c r="S698" s="43" t="str">
        <f>IFERROR(IF(VLOOKUP(B698,Baza[[№]:[Profit]],17,0)=0,"-",VLOOKUP(B698,Baza[[№]:[Profit]],17,0)),"")</f>
        <v/>
      </c>
      <c r="T698" s="43" t="str">
        <f>IFERROR(IF(VLOOKUP(B698,Baza[[№]:[Profit]],18,0)=0,"-",VLOOKUP(B698,Baza[[№]:[Profit]],18,0)),"")</f>
        <v/>
      </c>
      <c r="U698" s="41" t="str">
        <f>IFERROR(IF(VLOOKUP(B698,Baza[[№]:[Profit]],19,0)=0,"-",VLOOKUP(B698,Baza[[№]:[Profit]],19,0)),"")</f>
        <v/>
      </c>
      <c r="V698" s="41" t="str">
        <f>IFERROR(VLOOKUP(B698,Baza[[№]:[Profit]],20,0),"")</f>
        <v/>
      </c>
      <c r="W698" s="41" t="str">
        <f>IFERROR(IF(VLOOKUP(B698,Baza[[№]:[Profit]],21,0)=0,"-",VLOOKUP(B698,Baza[[№]:[Profit]],21,0)),"")</f>
        <v/>
      </c>
      <c r="X698" s="45" t="str">
        <f>IFERROR(IF(VLOOKUP(B698,Baza[[№]:[Profit]],22,0)=0,"-",VLOOKUP(B698,Baza[[№]:[Profit]],22,0)),"")</f>
        <v/>
      </c>
      <c r="Y698" s="45" t="str">
        <f>IFERROR(VLOOKUP(B698,Baza[[№]:[Profit]],23,0),"")</f>
        <v/>
      </c>
      <c r="Z698" s="44" t="str">
        <f>IFERROR(VLOOKUP(B698,Baza[[№]:[AFS]],24,0),"")</f>
        <v/>
      </c>
      <c r="AA698" s="45" t="str">
        <f>IF(Таблица2[[#This Row],[Profit]]="","#Н/Д",SUM($Y$40:Y698))</f>
        <v>#Н/Д</v>
      </c>
      <c r="AB698" s="45" t="b">
        <f>IF(Таблица2[[#This Row],[Grafik]]="#Н/Д",FALSE,TRUE)</f>
        <v>0</v>
      </c>
    </row>
    <row r="699" spans="2:28" ht="11.1" hidden="1" customHeight="1" x14ac:dyDescent="0.25">
      <c r="B699"/>
      <c r="C699" s="41" t="str">
        <f>IFERROR(VLOOKUP(B699,Baza[[№]:[Profit]],2,0),"")</f>
        <v/>
      </c>
      <c r="D69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9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99" s="43" t="str">
        <f>IFERROR(VLOOKUP(B699,Baza[[№]:[Profit]],3,0),"")</f>
        <v/>
      </c>
      <c r="G699" s="43" t="str">
        <f>IFERROR(VLOOKUP(B699,Baza[[№]:[Profit]],4,0),"")</f>
        <v/>
      </c>
      <c r="H699" s="43" t="str">
        <f>IFERROR(VLOOKUP(B699,Baza[[№]:[Profit]],5,0),"")</f>
        <v/>
      </c>
      <c r="I699" s="46" t="str">
        <f>IFERROR(VLOOKUP(B699,Baza[[№]:[Profit]],6,0),"")</f>
        <v/>
      </c>
      <c r="J699" s="49" t="str">
        <f>IFERROR(VLOOKUP(B699,Baza[[№]:[Profit]],7,0),"")</f>
        <v/>
      </c>
      <c r="K699" s="43" t="str">
        <f>IFERROR(VLOOKUP(B699,Baza[[№]:[Profit]],8,0),"")</f>
        <v/>
      </c>
      <c r="L699" s="43" t="str">
        <f>IFERROR(VLOOKUP(B699,Baza[[№]:[Profit]],9,0),"")</f>
        <v/>
      </c>
      <c r="M699" s="43" t="str">
        <f>IFERROR(VLOOKUP(B699,Baza[[№]:[Profit]],10,0),"")</f>
        <v/>
      </c>
      <c r="N699" s="43" t="str">
        <f>IFERROR(IF(VLOOKUP(B699,Baza[[№]:[Profit]],11,0)=0,"-",VLOOKUP(B699,Baza[[№]:[Profit]],11,0)),"")</f>
        <v/>
      </c>
      <c r="O699" s="43" t="str">
        <f>IFERROR(IF(VLOOKUP(B699,Baza[[№]:[Profit]],12,0)=0,"-",VLOOKUP(B699,Baza[[№]:[Profit]],12,0)),"")</f>
        <v/>
      </c>
      <c r="P699" s="43" t="str">
        <f>IFERROR(IF(VLOOKUP(B699,Baza[[№]:[Profit]],13,0)=0,"-",VLOOKUP(B699,Baza[[№]:[Profit]],13,0)),"")</f>
        <v/>
      </c>
      <c r="Q699" s="43" t="str">
        <f>IFERROR(IF(VLOOKUP(B699,Baza[[№]:[Profit]],15,0)=0,"-",VLOOKUP(B699,Baza[[№]:[Profit]],15,0)),"")</f>
        <v/>
      </c>
      <c r="R699" s="43" t="str">
        <f>IFERROR(IF(VLOOKUP(B699,Baza[[№]:[Profit]],16,0)=0,"-",VLOOKUP(B699,Baza[[№]:[Profit]],16,0)),"")</f>
        <v/>
      </c>
      <c r="S699" s="43" t="str">
        <f>IFERROR(IF(VLOOKUP(B699,Baza[[№]:[Profit]],17,0)=0,"-",VLOOKUP(B699,Baza[[№]:[Profit]],17,0)),"")</f>
        <v/>
      </c>
      <c r="T699" s="43" t="str">
        <f>IFERROR(IF(VLOOKUP(B699,Baza[[№]:[Profit]],18,0)=0,"-",VLOOKUP(B699,Baza[[№]:[Profit]],18,0)),"")</f>
        <v/>
      </c>
      <c r="U699" s="41" t="str">
        <f>IFERROR(IF(VLOOKUP(B699,Baza[[№]:[Profit]],19,0)=0,"-",VLOOKUP(B699,Baza[[№]:[Profit]],19,0)),"")</f>
        <v/>
      </c>
      <c r="V699" s="41" t="str">
        <f>IFERROR(VLOOKUP(B699,Baza[[№]:[Profit]],20,0),"")</f>
        <v/>
      </c>
      <c r="W699" s="41" t="str">
        <f>IFERROR(IF(VLOOKUP(B699,Baza[[№]:[Profit]],21,0)=0,"-",VLOOKUP(B699,Baza[[№]:[Profit]],21,0)),"")</f>
        <v/>
      </c>
      <c r="X699" s="45" t="str">
        <f>IFERROR(IF(VLOOKUP(B699,Baza[[№]:[Profit]],22,0)=0,"-",VLOOKUP(B699,Baza[[№]:[Profit]],22,0)),"")</f>
        <v/>
      </c>
      <c r="Y699" s="45" t="str">
        <f>IFERROR(VLOOKUP(B699,Baza[[№]:[Profit]],23,0),"")</f>
        <v/>
      </c>
      <c r="Z699" s="44" t="str">
        <f>IFERROR(VLOOKUP(B699,Baza[[№]:[AFS]],24,0),"")</f>
        <v/>
      </c>
      <c r="AA699" s="45" t="str">
        <f>IF(Таблица2[[#This Row],[Profit]]="","#Н/Д",SUM($Y$40:Y699))</f>
        <v>#Н/Д</v>
      </c>
      <c r="AB699" s="45" t="b">
        <f>IF(Таблица2[[#This Row],[Grafik]]="#Н/Д",FALSE,TRUE)</f>
        <v>0</v>
      </c>
    </row>
    <row r="700" spans="2:28" ht="11.1" hidden="1" customHeight="1" x14ac:dyDescent="0.25">
      <c r="B700"/>
      <c r="C700" s="41" t="str">
        <f>IFERROR(VLOOKUP(B700,Baza[[№]:[Profit]],2,0),"")</f>
        <v/>
      </c>
      <c r="D70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0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00" s="43" t="str">
        <f>IFERROR(VLOOKUP(B700,Baza[[№]:[Profit]],3,0),"")</f>
        <v/>
      </c>
      <c r="G700" s="43" t="str">
        <f>IFERROR(VLOOKUP(B700,Baza[[№]:[Profit]],4,0),"")</f>
        <v/>
      </c>
      <c r="H700" s="43" t="str">
        <f>IFERROR(VLOOKUP(B700,Baza[[№]:[Profit]],5,0),"")</f>
        <v/>
      </c>
      <c r="I700" s="46" t="str">
        <f>IFERROR(VLOOKUP(B700,Baza[[№]:[Profit]],6,0),"")</f>
        <v/>
      </c>
      <c r="J700" s="49" t="str">
        <f>IFERROR(VLOOKUP(B700,Baza[[№]:[Profit]],7,0),"")</f>
        <v/>
      </c>
      <c r="K700" s="43" t="str">
        <f>IFERROR(VLOOKUP(B700,Baza[[№]:[Profit]],8,0),"")</f>
        <v/>
      </c>
      <c r="L700" s="43" t="str">
        <f>IFERROR(VLOOKUP(B700,Baza[[№]:[Profit]],9,0),"")</f>
        <v/>
      </c>
      <c r="M700" s="43" t="str">
        <f>IFERROR(VLOOKUP(B700,Baza[[№]:[Profit]],10,0),"")</f>
        <v/>
      </c>
      <c r="N700" s="43" t="str">
        <f>IFERROR(IF(VLOOKUP(B700,Baza[[№]:[Profit]],11,0)=0,"-",VLOOKUP(B700,Baza[[№]:[Profit]],11,0)),"")</f>
        <v/>
      </c>
      <c r="O700" s="43" t="str">
        <f>IFERROR(IF(VLOOKUP(B700,Baza[[№]:[Profit]],12,0)=0,"-",VLOOKUP(B700,Baza[[№]:[Profit]],12,0)),"")</f>
        <v/>
      </c>
      <c r="P700" s="43" t="str">
        <f>IFERROR(IF(VLOOKUP(B700,Baza[[№]:[Profit]],13,0)=0,"-",VLOOKUP(B700,Baza[[№]:[Profit]],13,0)),"")</f>
        <v/>
      </c>
      <c r="Q700" s="43" t="str">
        <f>IFERROR(IF(VLOOKUP(B700,Baza[[№]:[Profit]],15,0)=0,"-",VLOOKUP(B700,Baza[[№]:[Profit]],15,0)),"")</f>
        <v/>
      </c>
      <c r="R700" s="43" t="str">
        <f>IFERROR(IF(VLOOKUP(B700,Baza[[№]:[Profit]],16,0)=0,"-",VLOOKUP(B700,Baza[[№]:[Profit]],16,0)),"")</f>
        <v/>
      </c>
      <c r="S700" s="43" t="str">
        <f>IFERROR(IF(VLOOKUP(B700,Baza[[№]:[Profit]],17,0)=0,"-",VLOOKUP(B700,Baza[[№]:[Profit]],17,0)),"")</f>
        <v/>
      </c>
      <c r="T700" s="43" t="str">
        <f>IFERROR(IF(VLOOKUP(B700,Baza[[№]:[Profit]],18,0)=0,"-",VLOOKUP(B700,Baza[[№]:[Profit]],18,0)),"")</f>
        <v/>
      </c>
      <c r="U700" s="41" t="str">
        <f>IFERROR(IF(VLOOKUP(B700,Baza[[№]:[Profit]],19,0)=0,"-",VLOOKUP(B700,Baza[[№]:[Profit]],19,0)),"")</f>
        <v/>
      </c>
      <c r="V700" s="41" t="str">
        <f>IFERROR(VLOOKUP(B700,Baza[[№]:[Profit]],20,0),"")</f>
        <v/>
      </c>
      <c r="W700" s="41" t="str">
        <f>IFERROR(IF(VLOOKUP(B700,Baza[[№]:[Profit]],21,0)=0,"-",VLOOKUP(B700,Baza[[№]:[Profit]],21,0)),"")</f>
        <v/>
      </c>
      <c r="X700" s="45" t="str">
        <f>IFERROR(IF(VLOOKUP(B700,Baza[[№]:[Profit]],22,0)=0,"-",VLOOKUP(B700,Baza[[№]:[Profit]],22,0)),"")</f>
        <v/>
      </c>
      <c r="Y700" s="45" t="str">
        <f>IFERROR(VLOOKUP(B700,Baza[[№]:[Profit]],23,0),"")</f>
        <v/>
      </c>
      <c r="Z700" s="44" t="str">
        <f>IFERROR(VLOOKUP(B700,Baza[[№]:[AFS]],24,0),"")</f>
        <v/>
      </c>
      <c r="AA700" s="45" t="str">
        <f>IF(Таблица2[[#This Row],[Profit]]="","#Н/Д",SUM($Y$40:Y700))</f>
        <v>#Н/Д</v>
      </c>
      <c r="AB700" s="45" t="b">
        <f>IF(Таблица2[[#This Row],[Grafik]]="#Н/Д",FALSE,TRUE)</f>
        <v>0</v>
      </c>
    </row>
    <row r="701" spans="2:28" ht="11.1" hidden="1" customHeight="1" x14ac:dyDescent="0.25">
      <c r="B701"/>
      <c r="C701" s="41" t="str">
        <f>IFERROR(VLOOKUP(B701,Baza[[№]:[Profit]],2,0),"")</f>
        <v/>
      </c>
      <c r="D70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0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01" s="43" t="str">
        <f>IFERROR(VLOOKUP(B701,Baza[[№]:[Profit]],3,0),"")</f>
        <v/>
      </c>
      <c r="G701" s="43" t="str">
        <f>IFERROR(VLOOKUP(B701,Baza[[№]:[Profit]],4,0),"")</f>
        <v/>
      </c>
      <c r="H701" s="43" t="str">
        <f>IFERROR(VLOOKUP(B701,Baza[[№]:[Profit]],5,0),"")</f>
        <v/>
      </c>
      <c r="I701" s="46" t="str">
        <f>IFERROR(VLOOKUP(B701,Baza[[№]:[Profit]],6,0),"")</f>
        <v/>
      </c>
      <c r="J701" s="49" t="str">
        <f>IFERROR(VLOOKUP(B701,Baza[[№]:[Profit]],7,0),"")</f>
        <v/>
      </c>
      <c r="K701" s="43" t="str">
        <f>IFERROR(VLOOKUP(B701,Baza[[№]:[Profit]],8,0),"")</f>
        <v/>
      </c>
      <c r="L701" s="43" t="str">
        <f>IFERROR(VLOOKUP(B701,Baza[[№]:[Profit]],9,0),"")</f>
        <v/>
      </c>
      <c r="M701" s="43" t="str">
        <f>IFERROR(VLOOKUP(B701,Baza[[№]:[Profit]],10,0),"")</f>
        <v/>
      </c>
      <c r="N701" s="43" t="str">
        <f>IFERROR(IF(VLOOKUP(B701,Baza[[№]:[Profit]],11,0)=0,"-",VLOOKUP(B701,Baza[[№]:[Profit]],11,0)),"")</f>
        <v/>
      </c>
      <c r="O701" s="43" t="str">
        <f>IFERROR(IF(VLOOKUP(B701,Baza[[№]:[Profit]],12,0)=0,"-",VLOOKUP(B701,Baza[[№]:[Profit]],12,0)),"")</f>
        <v/>
      </c>
      <c r="P701" s="43" t="str">
        <f>IFERROR(IF(VLOOKUP(B701,Baza[[№]:[Profit]],13,0)=0,"-",VLOOKUP(B701,Baza[[№]:[Profit]],13,0)),"")</f>
        <v/>
      </c>
      <c r="Q701" s="43" t="str">
        <f>IFERROR(IF(VLOOKUP(B701,Baza[[№]:[Profit]],15,0)=0,"-",VLOOKUP(B701,Baza[[№]:[Profit]],15,0)),"")</f>
        <v/>
      </c>
      <c r="R701" s="43" t="str">
        <f>IFERROR(IF(VLOOKUP(B701,Baza[[№]:[Profit]],16,0)=0,"-",VLOOKUP(B701,Baza[[№]:[Profit]],16,0)),"")</f>
        <v/>
      </c>
      <c r="S701" s="43" t="str">
        <f>IFERROR(IF(VLOOKUP(B701,Baza[[№]:[Profit]],17,0)=0,"-",VLOOKUP(B701,Baza[[№]:[Profit]],17,0)),"")</f>
        <v/>
      </c>
      <c r="T701" s="43" t="str">
        <f>IFERROR(IF(VLOOKUP(B701,Baza[[№]:[Profit]],18,0)=0,"-",VLOOKUP(B701,Baza[[№]:[Profit]],18,0)),"")</f>
        <v/>
      </c>
      <c r="U701" s="41" t="str">
        <f>IFERROR(IF(VLOOKUP(B701,Baza[[№]:[Profit]],19,0)=0,"-",VLOOKUP(B701,Baza[[№]:[Profit]],19,0)),"")</f>
        <v/>
      </c>
      <c r="V701" s="41" t="str">
        <f>IFERROR(VLOOKUP(B701,Baza[[№]:[Profit]],20,0),"")</f>
        <v/>
      </c>
      <c r="W701" s="41" t="str">
        <f>IFERROR(IF(VLOOKUP(B701,Baza[[№]:[Profit]],21,0)=0,"-",VLOOKUP(B701,Baza[[№]:[Profit]],21,0)),"")</f>
        <v/>
      </c>
      <c r="X701" s="45" t="str">
        <f>IFERROR(IF(VLOOKUP(B701,Baza[[№]:[Profit]],22,0)=0,"-",VLOOKUP(B701,Baza[[№]:[Profit]],22,0)),"")</f>
        <v/>
      </c>
      <c r="Y701" s="45" t="str">
        <f>IFERROR(VLOOKUP(B701,Baza[[№]:[Profit]],23,0),"")</f>
        <v/>
      </c>
      <c r="Z701" s="44" t="str">
        <f>IFERROR(VLOOKUP(B701,Baza[[№]:[AFS]],24,0),"")</f>
        <v/>
      </c>
      <c r="AA701" s="45" t="str">
        <f>IF(Таблица2[[#This Row],[Profit]]="","#Н/Д",SUM($Y$40:Y701))</f>
        <v>#Н/Д</v>
      </c>
      <c r="AB701" s="45" t="b">
        <f>IF(Таблица2[[#This Row],[Grafik]]="#Н/Д",FALSE,TRUE)</f>
        <v>0</v>
      </c>
    </row>
    <row r="702" spans="2:28" ht="11.1" hidden="1" customHeight="1" x14ac:dyDescent="0.25">
      <c r="B702"/>
      <c r="C702" s="41" t="str">
        <f>IFERROR(VLOOKUP(B702,Baza[[№]:[Profit]],2,0),"")</f>
        <v/>
      </c>
      <c r="D70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0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02" s="43" t="str">
        <f>IFERROR(VLOOKUP(B702,Baza[[№]:[Profit]],3,0),"")</f>
        <v/>
      </c>
      <c r="G702" s="43" t="str">
        <f>IFERROR(VLOOKUP(B702,Baza[[№]:[Profit]],4,0),"")</f>
        <v/>
      </c>
      <c r="H702" s="43" t="str">
        <f>IFERROR(VLOOKUP(B702,Baza[[№]:[Profit]],5,0),"")</f>
        <v/>
      </c>
      <c r="I702" s="46" t="str">
        <f>IFERROR(VLOOKUP(B702,Baza[[№]:[Profit]],6,0),"")</f>
        <v/>
      </c>
      <c r="J702" s="49" t="str">
        <f>IFERROR(VLOOKUP(B702,Baza[[№]:[Profit]],7,0),"")</f>
        <v/>
      </c>
      <c r="K702" s="43" t="str">
        <f>IFERROR(VLOOKUP(B702,Baza[[№]:[Profit]],8,0),"")</f>
        <v/>
      </c>
      <c r="L702" s="43" t="str">
        <f>IFERROR(VLOOKUP(B702,Baza[[№]:[Profit]],9,0),"")</f>
        <v/>
      </c>
      <c r="M702" s="43" t="str">
        <f>IFERROR(VLOOKUP(B702,Baza[[№]:[Profit]],10,0),"")</f>
        <v/>
      </c>
      <c r="N702" s="43" t="str">
        <f>IFERROR(IF(VLOOKUP(B702,Baza[[№]:[Profit]],11,0)=0,"-",VLOOKUP(B702,Baza[[№]:[Profit]],11,0)),"")</f>
        <v/>
      </c>
      <c r="O702" s="43" t="str">
        <f>IFERROR(IF(VLOOKUP(B702,Baza[[№]:[Profit]],12,0)=0,"-",VLOOKUP(B702,Baza[[№]:[Profit]],12,0)),"")</f>
        <v/>
      </c>
      <c r="P702" s="43" t="str">
        <f>IFERROR(IF(VLOOKUP(B702,Baza[[№]:[Profit]],13,0)=0,"-",VLOOKUP(B702,Baza[[№]:[Profit]],13,0)),"")</f>
        <v/>
      </c>
      <c r="Q702" s="43" t="str">
        <f>IFERROR(IF(VLOOKUP(B702,Baza[[№]:[Profit]],15,0)=0,"-",VLOOKUP(B702,Baza[[№]:[Profit]],15,0)),"")</f>
        <v/>
      </c>
      <c r="R702" s="43" t="str">
        <f>IFERROR(IF(VLOOKUP(B702,Baza[[№]:[Profit]],16,0)=0,"-",VLOOKUP(B702,Baza[[№]:[Profit]],16,0)),"")</f>
        <v/>
      </c>
      <c r="S702" s="43" t="str">
        <f>IFERROR(IF(VLOOKUP(B702,Baza[[№]:[Profit]],17,0)=0,"-",VLOOKUP(B702,Baza[[№]:[Profit]],17,0)),"")</f>
        <v/>
      </c>
      <c r="T702" s="43" t="str">
        <f>IFERROR(IF(VLOOKUP(B702,Baza[[№]:[Profit]],18,0)=0,"-",VLOOKUP(B702,Baza[[№]:[Profit]],18,0)),"")</f>
        <v/>
      </c>
      <c r="U702" s="41" t="str">
        <f>IFERROR(IF(VLOOKUP(B702,Baza[[№]:[Profit]],19,0)=0,"-",VLOOKUP(B702,Baza[[№]:[Profit]],19,0)),"")</f>
        <v/>
      </c>
      <c r="V702" s="41" t="str">
        <f>IFERROR(VLOOKUP(B702,Baza[[№]:[Profit]],20,0),"")</f>
        <v/>
      </c>
      <c r="W702" s="41" t="str">
        <f>IFERROR(IF(VLOOKUP(B702,Baza[[№]:[Profit]],21,0)=0,"-",VLOOKUP(B702,Baza[[№]:[Profit]],21,0)),"")</f>
        <v/>
      </c>
      <c r="X702" s="45" t="str">
        <f>IFERROR(IF(VLOOKUP(B702,Baza[[№]:[Profit]],22,0)=0,"-",VLOOKUP(B702,Baza[[№]:[Profit]],22,0)),"")</f>
        <v/>
      </c>
      <c r="Y702" s="45" t="str">
        <f>IFERROR(VLOOKUP(B702,Baza[[№]:[Profit]],23,0),"")</f>
        <v/>
      </c>
      <c r="Z702" s="44" t="str">
        <f>IFERROR(VLOOKUP(B702,Baza[[№]:[AFS]],24,0),"")</f>
        <v/>
      </c>
      <c r="AA702" s="45" t="str">
        <f>IF(Таблица2[[#This Row],[Profit]]="","#Н/Д",SUM($Y$40:Y702))</f>
        <v>#Н/Д</v>
      </c>
      <c r="AB702" s="45" t="b">
        <f>IF(Таблица2[[#This Row],[Grafik]]="#Н/Д",FALSE,TRUE)</f>
        <v>0</v>
      </c>
    </row>
    <row r="703" spans="2:28" ht="11.1" hidden="1" customHeight="1" x14ac:dyDescent="0.25">
      <c r="B703"/>
      <c r="C703" s="41" t="str">
        <f>IFERROR(VLOOKUP(B703,Baza[[№]:[Profit]],2,0),"")</f>
        <v/>
      </c>
      <c r="D70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0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03" s="43" t="str">
        <f>IFERROR(VLOOKUP(B703,Baza[[№]:[Profit]],3,0),"")</f>
        <v/>
      </c>
      <c r="G703" s="43" t="str">
        <f>IFERROR(VLOOKUP(B703,Baza[[№]:[Profit]],4,0),"")</f>
        <v/>
      </c>
      <c r="H703" s="43" t="str">
        <f>IFERROR(VLOOKUP(B703,Baza[[№]:[Profit]],5,0),"")</f>
        <v/>
      </c>
      <c r="I703" s="46" t="str">
        <f>IFERROR(VLOOKUP(B703,Baza[[№]:[Profit]],6,0),"")</f>
        <v/>
      </c>
      <c r="J703" s="49" t="str">
        <f>IFERROR(VLOOKUP(B703,Baza[[№]:[Profit]],7,0),"")</f>
        <v/>
      </c>
      <c r="K703" s="43" t="str">
        <f>IFERROR(VLOOKUP(B703,Baza[[№]:[Profit]],8,0),"")</f>
        <v/>
      </c>
      <c r="L703" s="43" t="str">
        <f>IFERROR(VLOOKUP(B703,Baza[[№]:[Profit]],9,0),"")</f>
        <v/>
      </c>
      <c r="M703" s="43" t="str">
        <f>IFERROR(VLOOKUP(B703,Baza[[№]:[Profit]],10,0),"")</f>
        <v/>
      </c>
      <c r="N703" s="43" t="str">
        <f>IFERROR(IF(VLOOKUP(B703,Baza[[№]:[Profit]],11,0)=0,"-",VLOOKUP(B703,Baza[[№]:[Profit]],11,0)),"")</f>
        <v/>
      </c>
      <c r="O703" s="43" t="str">
        <f>IFERROR(IF(VLOOKUP(B703,Baza[[№]:[Profit]],12,0)=0,"-",VLOOKUP(B703,Baza[[№]:[Profit]],12,0)),"")</f>
        <v/>
      </c>
      <c r="P703" s="43" t="str">
        <f>IFERROR(IF(VLOOKUP(B703,Baza[[№]:[Profit]],13,0)=0,"-",VLOOKUP(B703,Baza[[№]:[Profit]],13,0)),"")</f>
        <v/>
      </c>
      <c r="Q703" s="43" t="str">
        <f>IFERROR(IF(VLOOKUP(B703,Baza[[№]:[Profit]],15,0)=0,"-",VLOOKUP(B703,Baza[[№]:[Profit]],15,0)),"")</f>
        <v/>
      </c>
      <c r="R703" s="43" t="str">
        <f>IFERROR(IF(VLOOKUP(B703,Baza[[№]:[Profit]],16,0)=0,"-",VLOOKUP(B703,Baza[[№]:[Profit]],16,0)),"")</f>
        <v/>
      </c>
      <c r="S703" s="43" t="str">
        <f>IFERROR(IF(VLOOKUP(B703,Baza[[№]:[Profit]],17,0)=0,"-",VLOOKUP(B703,Baza[[№]:[Profit]],17,0)),"")</f>
        <v/>
      </c>
      <c r="T703" s="43" t="str">
        <f>IFERROR(IF(VLOOKUP(B703,Baza[[№]:[Profit]],18,0)=0,"-",VLOOKUP(B703,Baza[[№]:[Profit]],18,0)),"")</f>
        <v/>
      </c>
      <c r="U703" s="41" t="str">
        <f>IFERROR(IF(VLOOKUP(B703,Baza[[№]:[Profit]],19,0)=0,"-",VLOOKUP(B703,Baza[[№]:[Profit]],19,0)),"")</f>
        <v/>
      </c>
      <c r="V703" s="41" t="str">
        <f>IFERROR(VLOOKUP(B703,Baza[[№]:[Profit]],20,0),"")</f>
        <v/>
      </c>
      <c r="W703" s="41" t="str">
        <f>IFERROR(IF(VLOOKUP(B703,Baza[[№]:[Profit]],21,0)=0,"-",VLOOKUP(B703,Baza[[№]:[Profit]],21,0)),"")</f>
        <v/>
      </c>
      <c r="X703" s="45" t="str">
        <f>IFERROR(IF(VLOOKUP(B703,Baza[[№]:[Profit]],22,0)=0,"-",VLOOKUP(B703,Baza[[№]:[Profit]],22,0)),"")</f>
        <v/>
      </c>
      <c r="Y703" s="45" t="str">
        <f>IFERROR(VLOOKUP(B703,Baza[[№]:[Profit]],23,0),"")</f>
        <v/>
      </c>
      <c r="Z703" s="44" t="str">
        <f>IFERROR(VLOOKUP(B703,Baza[[№]:[AFS]],24,0),"")</f>
        <v/>
      </c>
      <c r="AA703" s="45" t="str">
        <f>IF(Таблица2[[#This Row],[Profit]]="","#Н/Д",SUM($Y$40:Y703))</f>
        <v>#Н/Д</v>
      </c>
      <c r="AB703" s="45" t="b">
        <f>IF(Таблица2[[#This Row],[Grafik]]="#Н/Д",FALSE,TRUE)</f>
        <v>0</v>
      </c>
    </row>
    <row r="704" spans="2:28" ht="11.1" hidden="1" customHeight="1" x14ac:dyDescent="0.25">
      <c r="B704"/>
      <c r="C704" s="41" t="str">
        <f>IFERROR(VLOOKUP(B704,Baza[[№]:[Profit]],2,0),"")</f>
        <v/>
      </c>
      <c r="D70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0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04" s="43" t="str">
        <f>IFERROR(VLOOKUP(B704,Baza[[№]:[Profit]],3,0),"")</f>
        <v/>
      </c>
      <c r="G704" s="43" t="str">
        <f>IFERROR(VLOOKUP(B704,Baza[[№]:[Profit]],4,0),"")</f>
        <v/>
      </c>
      <c r="H704" s="43" t="str">
        <f>IFERROR(VLOOKUP(B704,Baza[[№]:[Profit]],5,0),"")</f>
        <v/>
      </c>
      <c r="I704" s="46" t="str">
        <f>IFERROR(VLOOKUP(B704,Baza[[№]:[Profit]],6,0),"")</f>
        <v/>
      </c>
      <c r="J704" s="49" t="str">
        <f>IFERROR(VLOOKUP(B704,Baza[[№]:[Profit]],7,0),"")</f>
        <v/>
      </c>
      <c r="K704" s="43" t="str">
        <f>IFERROR(VLOOKUP(B704,Baza[[№]:[Profit]],8,0),"")</f>
        <v/>
      </c>
      <c r="L704" s="43" t="str">
        <f>IFERROR(VLOOKUP(B704,Baza[[№]:[Profit]],9,0),"")</f>
        <v/>
      </c>
      <c r="M704" s="43" t="str">
        <f>IFERROR(VLOOKUP(B704,Baza[[№]:[Profit]],10,0),"")</f>
        <v/>
      </c>
      <c r="N704" s="43" t="str">
        <f>IFERROR(IF(VLOOKUP(B704,Baza[[№]:[Profit]],11,0)=0,"-",VLOOKUP(B704,Baza[[№]:[Profit]],11,0)),"")</f>
        <v/>
      </c>
      <c r="O704" s="43" t="str">
        <f>IFERROR(IF(VLOOKUP(B704,Baza[[№]:[Profit]],12,0)=0,"-",VLOOKUP(B704,Baza[[№]:[Profit]],12,0)),"")</f>
        <v/>
      </c>
      <c r="P704" s="43" t="str">
        <f>IFERROR(IF(VLOOKUP(B704,Baza[[№]:[Profit]],13,0)=0,"-",VLOOKUP(B704,Baza[[№]:[Profit]],13,0)),"")</f>
        <v/>
      </c>
      <c r="Q704" s="43" t="str">
        <f>IFERROR(IF(VLOOKUP(B704,Baza[[№]:[Profit]],15,0)=0,"-",VLOOKUP(B704,Baza[[№]:[Profit]],15,0)),"")</f>
        <v/>
      </c>
      <c r="R704" s="43" t="str">
        <f>IFERROR(IF(VLOOKUP(B704,Baza[[№]:[Profit]],16,0)=0,"-",VLOOKUP(B704,Baza[[№]:[Profit]],16,0)),"")</f>
        <v/>
      </c>
      <c r="S704" s="43" t="str">
        <f>IFERROR(IF(VLOOKUP(B704,Baza[[№]:[Profit]],17,0)=0,"-",VLOOKUP(B704,Baza[[№]:[Profit]],17,0)),"")</f>
        <v/>
      </c>
      <c r="T704" s="43" t="str">
        <f>IFERROR(IF(VLOOKUP(B704,Baza[[№]:[Profit]],18,0)=0,"-",VLOOKUP(B704,Baza[[№]:[Profit]],18,0)),"")</f>
        <v/>
      </c>
      <c r="U704" s="41" t="str">
        <f>IFERROR(IF(VLOOKUP(B704,Baza[[№]:[Profit]],19,0)=0,"-",VLOOKUP(B704,Baza[[№]:[Profit]],19,0)),"")</f>
        <v/>
      </c>
      <c r="V704" s="41" t="str">
        <f>IFERROR(VLOOKUP(B704,Baza[[№]:[Profit]],20,0),"")</f>
        <v/>
      </c>
      <c r="W704" s="41" t="str">
        <f>IFERROR(IF(VLOOKUP(B704,Baza[[№]:[Profit]],21,0)=0,"-",VLOOKUP(B704,Baza[[№]:[Profit]],21,0)),"")</f>
        <v/>
      </c>
      <c r="X704" s="45" t="str">
        <f>IFERROR(IF(VLOOKUP(B704,Baza[[№]:[Profit]],22,0)=0,"-",VLOOKUP(B704,Baza[[№]:[Profit]],22,0)),"")</f>
        <v/>
      </c>
      <c r="Y704" s="45" t="str">
        <f>IFERROR(VLOOKUP(B704,Baza[[№]:[Profit]],23,0),"")</f>
        <v/>
      </c>
      <c r="Z704" s="44" t="str">
        <f>IFERROR(VLOOKUP(B704,Baza[[№]:[AFS]],24,0),"")</f>
        <v/>
      </c>
      <c r="AA704" s="45" t="str">
        <f>IF(Таблица2[[#This Row],[Profit]]="","#Н/Д",SUM($Y$40:Y704))</f>
        <v>#Н/Д</v>
      </c>
      <c r="AB704" s="45" t="b">
        <f>IF(Таблица2[[#This Row],[Grafik]]="#Н/Д",FALSE,TRUE)</f>
        <v>0</v>
      </c>
    </row>
    <row r="705" spans="2:28" ht="11.1" hidden="1" customHeight="1" x14ac:dyDescent="0.25">
      <c r="B705"/>
      <c r="C705" s="41" t="str">
        <f>IFERROR(VLOOKUP(B705,Baza[[№]:[Profit]],2,0),"")</f>
        <v/>
      </c>
      <c r="D70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0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05" s="43" t="str">
        <f>IFERROR(VLOOKUP(B705,Baza[[№]:[Profit]],3,0),"")</f>
        <v/>
      </c>
      <c r="G705" s="43" t="str">
        <f>IFERROR(VLOOKUP(B705,Baza[[№]:[Profit]],4,0),"")</f>
        <v/>
      </c>
      <c r="H705" s="43" t="str">
        <f>IFERROR(VLOOKUP(B705,Baza[[№]:[Profit]],5,0),"")</f>
        <v/>
      </c>
      <c r="I705" s="46" t="str">
        <f>IFERROR(VLOOKUP(B705,Baza[[№]:[Profit]],6,0),"")</f>
        <v/>
      </c>
      <c r="J705" s="49" t="str">
        <f>IFERROR(VLOOKUP(B705,Baza[[№]:[Profit]],7,0),"")</f>
        <v/>
      </c>
      <c r="K705" s="43" t="str">
        <f>IFERROR(VLOOKUP(B705,Baza[[№]:[Profit]],8,0),"")</f>
        <v/>
      </c>
      <c r="L705" s="43" t="str">
        <f>IFERROR(VLOOKUP(B705,Baza[[№]:[Profit]],9,0),"")</f>
        <v/>
      </c>
      <c r="M705" s="43" t="str">
        <f>IFERROR(VLOOKUP(B705,Baza[[№]:[Profit]],10,0),"")</f>
        <v/>
      </c>
      <c r="N705" s="43" t="str">
        <f>IFERROR(IF(VLOOKUP(B705,Baza[[№]:[Profit]],11,0)=0,"-",VLOOKUP(B705,Baza[[№]:[Profit]],11,0)),"")</f>
        <v/>
      </c>
      <c r="O705" s="43" t="str">
        <f>IFERROR(IF(VLOOKUP(B705,Baza[[№]:[Profit]],12,0)=0,"-",VLOOKUP(B705,Baza[[№]:[Profit]],12,0)),"")</f>
        <v/>
      </c>
      <c r="P705" s="43" t="str">
        <f>IFERROR(IF(VLOOKUP(B705,Baza[[№]:[Profit]],13,0)=0,"-",VLOOKUP(B705,Baza[[№]:[Profit]],13,0)),"")</f>
        <v/>
      </c>
      <c r="Q705" s="43" t="str">
        <f>IFERROR(IF(VLOOKUP(B705,Baza[[№]:[Profit]],15,0)=0,"-",VLOOKUP(B705,Baza[[№]:[Profit]],15,0)),"")</f>
        <v/>
      </c>
      <c r="R705" s="43" t="str">
        <f>IFERROR(IF(VLOOKUP(B705,Baza[[№]:[Profit]],16,0)=0,"-",VLOOKUP(B705,Baza[[№]:[Profit]],16,0)),"")</f>
        <v/>
      </c>
      <c r="S705" s="43" t="str">
        <f>IFERROR(IF(VLOOKUP(B705,Baza[[№]:[Profit]],17,0)=0,"-",VLOOKUP(B705,Baza[[№]:[Profit]],17,0)),"")</f>
        <v/>
      </c>
      <c r="T705" s="43" t="str">
        <f>IFERROR(IF(VLOOKUP(B705,Baza[[№]:[Profit]],18,0)=0,"-",VLOOKUP(B705,Baza[[№]:[Profit]],18,0)),"")</f>
        <v/>
      </c>
      <c r="U705" s="41" t="str">
        <f>IFERROR(IF(VLOOKUP(B705,Baza[[№]:[Profit]],19,0)=0,"-",VLOOKUP(B705,Baza[[№]:[Profit]],19,0)),"")</f>
        <v/>
      </c>
      <c r="V705" s="41" t="str">
        <f>IFERROR(VLOOKUP(B705,Baza[[№]:[Profit]],20,0),"")</f>
        <v/>
      </c>
      <c r="W705" s="41" t="str">
        <f>IFERROR(IF(VLOOKUP(B705,Baza[[№]:[Profit]],21,0)=0,"-",VLOOKUP(B705,Baza[[№]:[Profit]],21,0)),"")</f>
        <v/>
      </c>
      <c r="X705" s="45" t="str">
        <f>IFERROR(IF(VLOOKUP(B705,Baza[[№]:[Profit]],22,0)=0,"-",VLOOKUP(B705,Baza[[№]:[Profit]],22,0)),"")</f>
        <v/>
      </c>
      <c r="Y705" s="45" t="str">
        <f>IFERROR(VLOOKUP(B705,Baza[[№]:[Profit]],23,0),"")</f>
        <v/>
      </c>
      <c r="Z705" s="44" t="str">
        <f>IFERROR(VLOOKUP(B705,Baza[[№]:[AFS]],24,0),"")</f>
        <v/>
      </c>
      <c r="AA705" s="45" t="str">
        <f>IF(Таблица2[[#This Row],[Profit]]="","#Н/Д",SUM($Y$40:Y705))</f>
        <v>#Н/Д</v>
      </c>
      <c r="AB705" s="45" t="b">
        <f>IF(Таблица2[[#This Row],[Grafik]]="#Н/Д",FALSE,TRUE)</f>
        <v>0</v>
      </c>
    </row>
    <row r="706" spans="2:28" ht="11.1" hidden="1" customHeight="1" x14ac:dyDescent="0.25">
      <c r="B706"/>
      <c r="C706" s="41" t="str">
        <f>IFERROR(VLOOKUP(B706,Baza[[№]:[Profit]],2,0),"")</f>
        <v/>
      </c>
      <c r="D70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0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06" s="43" t="str">
        <f>IFERROR(VLOOKUP(B706,Baza[[№]:[Profit]],3,0),"")</f>
        <v/>
      </c>
      <c r="G706" s="43" t="str">
        <f>IFERROR(VLOOKUP(B706,Baza[[№]:[Profit]],4,0),"")</f>
        <v/>
      </c>
      <c r="H706" s="43" t="str">
        <f>IFERROR(VLOOKUP(B706,Baza[[№]:[Profit]],5,0),"")</f>
        <v/>
      </c>
      <c r="I706" s="46" t="str">
        <f>IFERROR(VLOOKUP(B706,Baza[[№]:[Profit]],6,0),"")</f>
        <v/>
      </c>
      <c r="J706" s="49" t="str">
        <f>IFERROR(VLOOKUP(B706,Baza[[№]:[Profit]],7,0),"")</f>
        <v/>
      </c>
      <c r="K706" s="43" t="str">
        <f>IFERROR(VLOOKUP(B706,Baza[[№]:[Profit]],8,0),"")</f>
        <v/>
      </c>
      <c r="L706" s="43" t="str">
        <f>IFERROR(VLOOKUP(B706,Baza[[№]:[Profit]],9,0),"")</f>
        <v/>
      </c>
      <c r="M706" s="43" t="str">
        <f>IFERROR(VLOOKUP(B706,Baza[[№]:[Profit]],10,0),"")</f>
        <v/>
      </c>
      <c r="N706" s="43" t="str">
        <f>IFERROR(IF(VLOOKUP(B706,Baza[[№]:[Profit]],11,0)=0,"-",VLOOKUP(B706,Baza[[№]:[Profit]],11,0)),"")</f>
        <v/>
      </c>
      <c r="O706" s="43" t="str">
        <f>IFERROR(IF(VLOOKUP(B706,Baza[[№]:[Profit]],12,0)=0,"-",VLOOKUP(B706,Baza[[№]:[Profit]],12,0)),"")</f>
        <v/>
      </c>
      <c r="P706" s="43" t="str">
        <f>IFERROR(IF(VLOOKUP(B706,Baza[[№]:[Profit]],13,0)=0,"-",VLOOKUP(B706,Baza[[№]:[Profit]],13,0)),"")</f>
        <v/>
      </c>
      <c r="Q706" s="43" t="str">
        <f>IFERROR(IF(VLOOKUP(B706,Baza[[№]:[Profit]],15,0)=0,"-",VLOOKUP(B706,Baza[[№]:[Profit]],15,0)),"")</f>
        <v/>
      </c>
      <c r="R706" s="43" t="str">
        <f>IFERROR(IF(VLOOKUP(B706,Baza[[№]:[Profit]],16,0)=0,"-",VLOOKUP(B706,Baza[[№]:[Profit]],16,0)),"")</f>
        <v/>
      </c>
      <c r="S706" s="43" t="str">
        <f>IFERROR(IF(VLOOKUP(B706,Baza[[№]:[Profit]],17,0)=0,"-",VLOOKUP(B706,Baza[[№]:[Profit]],17,0)),"")</f>
        <v/>
      </c>
      <c r="T706" s="43" t="str">
        <f>IFERROR(IF(VLOOKUP(B706,Baza[[№]:[Profit]],18,0)=0,"-",VLOOKUP(B706,Baza[[№]:[Profit]],18,0)),"")</f>
        <v/>
      </c>
      <c r="U706" s="41" t="str">
        <f>IFERROR(IF(VLOOKUP(B706,Baza[[№]:[Profit]],19,0)=0,"-",VLOOKUP(B706,Baza[[№]:[Profit]],19,0)),"")</f>
        <v/>
      </c>
      <c r="V706" s="41" t="str">
        <f>IFERROR(VLOOKUP(B706,Baza[[№]:[Profit]],20,0),"")</f>
        <v/>
      </c>
      <c r="W706" s="41" t="str">
        <f>IFERROR(IF(VLOOKUP(B706,Baza[[№]:[Profit]],21,0)=0,"-",VLOOKUP(B706,Baza[[№]:[Profit]],21,0)),"")</f>
        <v/>
      </c>
      <c r="X706" s="45" t="str">
        <f>IFERROR(IF(VLOOKUP(B706,Baza[[№]:[Profit]],22,0)=0,"-",VLOOKUP(B706,Baza[[№]:[Profit]],22,0)),"")</f>
        <v/>
      </c>
      <c r="Y706" s="45" t="str">
        <f>IFERROR(VLOOKUP(B706,Baza[[№]:[Profit]],23,0),"")</f>
        <v/>
      </c>
      <c r="Z706" s="44" t="str">
        <f>IFERROR(VLOOKUP(B706,Baza[[№]:[AFS]],24,0),"")</f>
        <v/>
      </c>
      <c r="AA706" s="45" t="str">
        <f>IF(Таблица2[[#This Row],[Profit]]="","#Н/Д",SUM($Y$40:Y706))</f>
        <v>#Н/Д</v>
      </c>
      <c r="AB706" s="45" t="b">
        <f>IF(Таблица2[[#This Row],[Grafik]]="#Н/Д",FALSE,TRUE)</f>
        <v>0</v>
      </c>
    </row>
    <row r="707" spans="2:28" ht="11.1" hidden="1" customHeight="1" x14ac:dyDescent="0.25">
      <c r="B707"/>
      <c r="C707" s="41" t="str">
        <f>IFERROR(VLOOKUP(B707,Baza[[№]:[Profit]],2,0),"")</f>
        <v/>
      </c>
      <c r="D70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0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07" s="43" t="str">
        <f>IFERROR(VLOOKUP(B707,Baza[[№]:[Profit]],3,0),"")</f>
        <v/>
      </c>
      <c r="G707" s="43" t="str">
        <f>IFERROR(VLOOKUP(B707,Baza[[№]:[Profit]],4,0),"")</f>
        <v/>
      </c>
      <c r="H707" s="43" t="str">
        <f>IFERROR(VLOOKUP(B707,Baza[[№]:[Profit]],5,0),"")</f>
        <v/>
      </c>
      <c r="I707" s="46" t="str">
        <f>IFERROR(VLOOKUP(B707,Baza[[№]:[Profit]],6,0),"")</f>
        <v/>
      </c>
      <c r="J707" s="49" t="str">
        <f>IFERROR(VLOOKUP(B707,Baza[[№]:[Profit]],7,0),"")</f>
        <v/>
      </c>
      <c r="K707" s="43" t="str">
        <f>IFERROR(VLOOKUP(B707,Baza[[№]:[Profit]],8,0),"")</f>
        <v/>
      </c>
      <c r="L707" s="43" t="str">
        <f>IFERROR(VLOOKUP(B707,Baza[[№]:[Profit]],9,0),"")</f>
        <v/>
      </c>
      <c r="M707" s="43" t="str">
        <f>IFERROR(VLOOKUP(B707,Baza[[№]:[Profit]],10,0),"")</f>
        <v/>
      </c>
      <c r="N707" s="43" t="str">
        <f>IFERROR(IF(VLOOKUP(B707,Baza[[№]:[Profit]],11,0)=0,"-",VLOOKUP(B707,Baza[[№]:[Profit]],11,0)),"")</f>
        <v/>
      </c>
      <c r="O707" s="43" t="str">
        <f>IFERROR(IF(VLOOKUP(B707,Baza[[№]:[Profit]],12,0)=0,"-",VLOOKUP(B707,Baza[[№]:[Profit]],12,0)),"")</f>
        <v/>
      </c>
      <c r="P707" s="43" t="str">
        <f>IFERROR(IF(VLOOKUP(B707,Baza[[№]:[Profit]],13,0)=0,"-",VLOOKUP(B707,Baza[[№]:[Profit]],13,0)),"")</f>
        <v/>
      </c>
      <c r="Q707" s="43" t="str">
        <f>IFERROR(IF(VLOOKUP(B707,Baza[[№]:[Profit]],15,0)=0,"-",VLOOKUP(B707,Baza[[№]:[Profit]],15,0)),"")</f>
        <v/>
      </c>
      <c r="R707" s="43" t="str">
        <f>IFERROR(IF(VLOOKUP(B707,Baza[[№]:[Profit]],16,0)=0,"-",VLOOKUP(B707,Baza[[№]:[Profit]],16,0)),"")</f>
        <v/>
      </c>
      <c r="S707" s="43" t="str">
        <f>IFERROR(IF(VLOOKUP(B707,Baza[[№]:[Profit]],17,0)=0,"-",VLOOKUP(B707,Baza[[№]:[Profit]],17,0)),"")</f>
        <v/>
      </c>
      <c r="T707" s="43" t="str">
        <f>IFERROR(IF(VLOOKUP(B707,Baza[[№]:[Profit]],18,0)=0,"-",VLOOKUP(B707,Baza[[№]:[Profit]],18,0)),"")</f>
        <v/>
      </c>
      <c r="U707" s="41" t="str">
        <f>IFERROR(IF(VLOOKUP(B707,Baza[[№]:[Profit]],19,0)=0,"-",VLOOKUP(B707,Baza[[№]:[Profit]],19,0)),"")</f>
        <v/>
      </c>
      <c r="V707" s="41" t="str">
        <f>IFERROR(VLOOKUP(B707,Baza[[№]:[Profit]],20,0),"")</f>
        <v/>
      </c>
      <c r="W707" s="41" t="str">
        <f>IFERROR(IF(VLOOKUP(B707,Baza[[№]:[Profit]],21,0)=0,"-",VLOOKUP(B707,Baza[[№]:[Profit]],21,0)),"")</f>
        <v/>
      </c>
      <c r="X707" s="45" t="str">
        <f>IFERROR(IF(VLOOKUP(B707,Baza[[№]:[Profit]],22,0)=0,"-",VLOOKUP(B707,Baza[[№]:[Profit]],22,0)),"")</f>
        <v/>
      </c>
      <c r="Y707" s="45" t="str">
        <f>IFERROR(VLOOKUP(B707,Baza[[№]:[Profit]],23,0),"")</f>
        <v/>
      </c>
      <c r="Z707" s="44" t="str">
        <f>IFERROR(VLOOKUP(B707,Baza[[№]:[AFS]],24,0),"")</f>
        <v/>
      </c>
      <c r="AA707" s="45" t="str">
        <f>IF(Таблица2[[#This Row],[Profit]]="","#Н/Д",SUM($Y$40:Y707))</f>
        <v>#Н/Д</v>
      </c>
      <c r="AB707" s="45" t="b">
        <f>IF(Таблица2[[#This Row],[Grafik]]="#Н/Д",FALSE,TRUE)</f>
        <v>0</v>
      </c>
    </row>
    <row r="708" spans="2:28" ht="11.1" hidden="1" customHeight="1" x14ac:dyDescent="0.25">
      <c r="B708"/>
      <c r="C708" s="41" t="str">
        <f>IFERROR(VLOOKUP(B708,Baza[[№]:[Profit]],2,0),"")</f>
        <v/>
      </c>
      <c r="D70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0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08" s="43" t="str">
        <f>IFERROR(VLOOKUP(B708,Baza[[№]:[Profit]],3,0),"")</f>
        <v/>
      </c>
      <c r="G708" s="43" t="str">
        <f>IFERROR(VLOOKUP(B708,Baza[[№]:[Profit]],4,0),"")</f>
        <v/>
      </c>
      <c r="H708" s="43" t="str">
        <f>IFERROR(VLOOKUP(B708,Baza[[№]:[Profit]],5,0),"")</f>
        <v/>
      </c>
      <c r="I708" s="46" t="str">
        <f>IFERROR(VLOOKUP(B708,Baza[[№]:[Profit]],6,0),"")</f>
        <v/>
      </c>
      <c r="J708" s="49" t="str">
        <f>IFERROR(VLOOKUP(B708,Baza[[№]:[Profit]],7,0),"")</f>
        <v/>
      </c>
      <c r="K708" s="43" t="str">
        <f>IFERROR(VLOOKUP(B708,Baza[[№]:[Profit]],8,0),"")</f>
        <v/>
      </c>
      <c r="L708" s="43" t="str">
        <f>IFERROR(VLOOKUP(B708,Baza[[№]:[Profit]],9,0),"")</f>
        <v/>
      </c>
      <c r="M708" s="43" t="str">
        <f>IFERROR(VLOOKUP(B708,Baza[[№]:[Profit]],10,0),"")</f>
        <v/>
      </c>
      <c r="N708" s="43" t="str">
        <f>IFERROR(IF(VLOOKUP(B708,Baza[[№]:[Profit]],11,0)=0,"-",VLOOKUP(B708,Baza[[№]:[Profit]],11,0)),"")</f>
        <v/>
      </c>
      <c r="O708" s="43" t="str">
        <f>IFERROR(IF(VLOOKUP(B708,Baza[[№]:[Profit]],12,0)=0,"-",VLOOKUP(B708,Baza[[№]:[Profit]],12,0)),"")</f>
        <v/>
      </c>
      <c r="P708" s="43" t="str">
        <f>IFERROR(IF(VLOOKUP(B708,Baza[[№]:[Profit]],13,0)=0,"-",VLOOKUP(B708,Baza[[№]:[Profit]],13,0)),"")</f>
        <v/>
      </c>
      <c r="Q708" s="43" t="str">
        <f>IFERROR(IF(VLOOKUP(B708,Baza[[№]:[Profit]],15,0)=0,"-",VLOOKUP(B708,Baza[[№]:[Profit]],15,0)),"")</f>
        <v/>
      </c>
      <c r="R708" s="43" t="str">
        <f>IFERROR(IF(VLOOKUP(B708,Baza[[№]:[Profit]],16,0)=0,"-",VLOOKUP(B708,Baza[[№]:[Profit]],16,0)),"")</f>
        <v/>
      </c>
      <c r="S708" s="43" t="str">
        <f>IFERROR(IF(VLOOKUP(B708,Baza[[№]:[Profit]],17,0)=0,"-",VLOOKUP(B708,Baza[[№]:[Profit]],17,0)),"")</f>
        <v/>
      </c>
      <c r="T708" s="43" t="str">
        <f>IFERROR(IF(VLOOKUP(B708,Baza[[№]:[Profit]],18,0)=0,"-",VLOOKUP(B708,Baza[[№]:[Profit]],18,0)),"")</f>
        <v/>
      </c>
      <c r="U708" s="41" t="str">
        <f>IFERROR(IF(VLOOKUP(B708,Baza[[№]:[Profit]],19,0)=0,"-",VLOOKUP(B708,Baza[[№]:[Profit]],19,0)),"")</f>
        <v/>
      </c>
      <c r="V708" s="41" t="str">
        <f>IFERROR(VLOOKUP(B708,Baza[[№]:[Profit]],20,0),"")</f>
        <v/>
      </c>
      <c r="W708" s="41" t="str">
        <f>IFERROR(IF(VLOOKUP(B708,Baza[[№]:[Profit]],21,0)=0,"-",VLOOKUP(B708,Baza[[№]:[Profit]],21,0)),"")</f>
        <v/>
      </c>
      <c r="X708" s="45" t="str">
        <f>IFERROR(IF(VLOOKUP(B708,Baza[[№]:[Profit]],22,0)=0,"-",VLOOKUP(B708,Baza[[№]:[Profit]],22,0)),"")</f>
        <v/>
      </c>
      <c r="Y708" s="45" t="str">
        <f>IFERROR(VLOOKUP(B708,Baza[[№]:[Profit]],23,0),"")</f>
        <v/>
      </c>
      <c r="Z708" s="44" t="str">
        <f>IFERROR(VLOOKUP(B708,Baza[[№]:[AFS]],24,0),"")</f>
        <v/>
      </c>
      <c r="AA708" s="45" t="str">
        <f>IF(Таблица2[[#This Row],[Profit]]="","#Н/Д",SUM($Y$40:Y708))</f>
        <v>#Н/Д</v>
      </c>
      <c r="AB708" s="45" t="b">
        <f>IF(Таблица2[[#This Row],[Grafik]]="#Н/Д",FALSE,TRUE)</f>
        <v>0</v>
      </c>
    </row>
    <row r="709" spans="2:28" ht="11.1" hidden="1" customHeight="1" x14ac:dyDescent="0.25">
      <c r="B709"/>
      <c r="C709" s="41" t="str">
        <f>IFERROR(VLOOKUP(B709,Baza[[№]:[Profit]],2,0),"")</f>
        <v/>
      </c>
      <c r="D70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0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09" s="43" t="str">
        <f>IFERROR(VLOOKUP(B709,Baza[[№]:[Profit]],3,0),"")</f>
        <v/>
      </c>
      <c r="G709" s="43" t="str">
        <f>IFERROR(VLOOKUP(B709,Baza[[№]:[Profit]],4,0),"")</f>
        <v/>
      </c>
      <c r="H709" s="43" t="str">
        <f>IFERROR(VLOOKUP(B709,Baza[[№]:[Profit]],5,0),"")</f>
        <v/>
      </c>
      <c r="I709" s="46" t="str">
        <f>IFERROR(VLOOKUP(B709,Baza[[№]:[Profit]],6,0),"")</f>
        <v/>
      </c>
      <c r="J709" s="49" t="str">
        <f>IFERROR(VLOOKUP(B709,Baza[[№]:[Profit]],7,0),"")</f>
        <v/>
      </c>
      <c r="K709" s="43" t="str">
        <f>IFERROR(VLOOKUP(B709,Baza[[№]:[Profit]],8,0),"")</f>
        <v/>
      </c>
      <c r="L709" s="43" t="str">
        <f>IFERROR(VLOOKUP(B709,Baza[[№]:[Profit]],9,0),"")</f>
        <v/>
      </c>
      <c r="M709" s="43" t="str">
        <f>IFERROR(VLOOKUP(B709,Baza[[№]:[Profit]],10,0),"")</f>
        <v/>
      </c>
      <c r="N709" s="43" t="str">
        <f>IFERROR(IF(VLOOKUP(B709,Baza[[№]:[Profit]],11,0)=0,"-",VLOOKUP(B709,Baza[[№]:[Profit]],11,0)),"")</f>
        <v/>
      </c>
      <c r="O709" s="43" t="str">
        <f>IFERROR(IF(VLOOKUP(B709,Baza[[№]:[Profit]],12,0)=0,"-",VLOOKUP(B709,Baza[[№]:[Profit]],12,0)),"")</f>
        <v/>
      </c>
      <c r="P709" s="43" t="str">
        <f>IFERROR(IF(VLOOKUP(B709,Baza[[№]:[Profit]],13,0)=0,"-",VLOOKUP(B709,Baza[[№]:[Profit]],13,0)),"")</f>
        <v/>
      </c>
      <c r="Q709" s="43" t="str">
        <f>IFERROR(IF(VLOOKUP(B709,Baza[[№]:[Profit]],15,0)=0,"-",VLOOKUP(B709,Baza[[№]:[Profit]],15,0)),"")</f>
        <v/>
      </c>
      <c r="R709" s="43" t="str">
        <f>IFERROR(IF(VLOOKUP(B709,Baza[[№]:[Profit]],16,0)=0,"-",VLOOKUP(B709,Baza[[№]:[Profit]],16,0)),"")</f>
        <v/>
      </c>
      <c r="S709" s="43" t="str">
        <f>IFERROR(IF(VLOOKUP(B709,Baza[[№]:[Profit]],17,0)=0,"-",VLOOKUP(B709,Baza[[№]:[Profit]],17,0)),"")</f>
        <v/>
      </c>
      <c r="T709" s="43" t="str">
        <f>IFERROR(IF(VLOOKUP(B709,Baza[[№]:[Profit]],18,0)=0,"-",VLOOKUP(B709,Baza[[№]:[Profit]],18,0)),"")</f>
        <v/>
      </c>
      <c r="U709" s="41" t="str">
        <f>IFERROR(IF(VLOOKUP(B709,Baza[[№]:[Profit]],19,0)=0,"-",VLOOKUP(B709,Baza[[№]:[Profit]],19,0)),"")</f>
        <v/>
      </c>
      <c r="V709" s="41" t="str">
        <f>IFERROR(VLOOKUP(B709,Baza[[№]:[Profit]],20,0),"")</f>
        <v/>
      </c>
      <c r="W709" s="41" t="str">
        <f>IFERROR(IF(VLOOKUP(B709,Baza[[№]:[Profit]],21,0)=0,"-",VLOOKUP(B709,Baza[[№]:[Profit]],21,0)),"")</f>
        <v/>
      </c>
      <c r="X709" s="45" t="str">
        <f>IFERROR(IF(VLOOKUP(B709,Baza[[№]:[Profit]],22,0)=0,"-",VLOOKUP(B709,Baza[[№]:[Profit]],22,0)),"")</f>
        <v/>
      </c>
      <c r="Y709" s="45" t="str">
        <f>IFERROR(VLOOKUP(B709,Baza[[№]:[Profit]],23,0),"")</f>
        <v/>
      </c>
      <c r="Z709" s="44" t="str">
        <f>IFERROR(VLOOKUP(B709,Baza[[№]:[AFS]],24,0),"")</f>
        <v/>
      </c>
      <c r="AA709" s="45" t="str">
        <f>IF(Таблица2[[#This Row],[Profit]]="","#Н/Д",SUM($Y$40:Y709))</f>
        <v>#Н/Д</v>
      </c>
      <c r="AB709" s="45" t="b">
        <f>IF(Таблица2[[#This Row],[Grafik]]="#Н/Д",FALSE,TRUE)</f>
        <v>0</v>
      </c>
    </row>
    <row r="710" spans="2:28" ht="11.1" hidden="1" customHeight="1" x14ac:dyDescent="0.25">
      <c r="B710"/>
      <c r="C710" s="41" t="str">
        <f>IFERROR(VLOOKUP(B710,Baza[[№]:[Profit]],2,0),"")</f>
        <v/>
      </c>
      <c r="D71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1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10" s="43" t="str">
        <f>IFERROR(VLOOKUP(B710,Baza[[№]:[Profit]],3,0),"")</f>
        <v/>
      </c>
      <c r="G710" s="43" t="str">
        <f>IFERROR(VLOOKUP(B710,Baza[[№]:[Profit]],4,0),"")</f>
        <v/>
      </c>
      <c r="H710" s="43" t="str">
        <f>IFERROR(VLOOKUP(B710,Baza[[№]:[Profit]],5,0),"")</f>
        <v/>
      </c>
      <c r="I710" s="46" t="str">
        <f>IFERROR(VLOOKUP(B710,Baza[[№]:[Profit]],6,0),"")</f>
        <v/>
      </c>
      <c r="J710" s="49" t="str">
        <f>IFERROR(VLOOKUP(B710,Baza[[№]:[Profit]],7,0),"")</f>
        <v/>
      </c>
      <c r="K710" s="43" t="str">
        <f>IFERROR(VLOOKUP(B710,Baza[[№]:[Profit]],8,0),"")</f>
        <v/>
      </c>
      <c r="L710" s="43" t="str">
        <f>IFERROR(VLOOKUP(B710,Baza[[№]:[Profit]],9,0),"")</f>
        <v/>
      </c>
      <c r="M710" s="43" t="str">
        <f>IFERROR(VLOOKUP(B710,Baza[[№]:[Profit]],10,0),"")</f>
        <v/>
      </c>
      <c r="N710" s="43" t="str">
        <f>IFERROR(IF(VLOOKUP(B710,Baza[[№]:[Profit]],11,0)=0,"-",VLOOKUP(B710,Baza[[№]:[Profit]],11,0)),"")</f>
        <v/>
      </c>
      <c r="O710" s="43" t="str">
        <f>IFERROR(IF(VLOOKUP(B710,Baza[[№]:[Profit]],12,0)=0,"-",VLOOKUP(B710,Baza[[№]:[Profit]],12,0)),"")</f>
        <v/>
      </c>
      <c r="P710" s="43" t="str">
        <f>IFERROR(IF(VLOOKUP(B710,Baza[[№]:[Profit]],13,0)=0,"-",VLOOKUP(B710,Baza[[№]:[Profit]],13,0)),"")</f>
        <v/>
      </c>
      <c r="Q710" s="43" t="str">
        <f>IFERROR(IF(VLOOKUP(B710,Baza[[№]:[Profit]],15,0)=0,"-",VLOOKUP(B710,Baza[[№]:[Profit]],15,0)),"")</f>
        <v/>
      </c>
      <c r="R710" s="43" t="str">
        <f>IFERROR(IF(VLOOKUP(B710,Baza[[№]:[Profit]],16,0)=0,"-",VLOOKUP(B710,Baza[[№]:[Profit]],16,0)),"")</f>
        <v/>
      </c>
      <c r="S710" s="43" t="str">
        <f>IFERROR(IF(VLOOKUP(B710,Baza[[№]:[Profit]],17,0)=0,"-",VLOOKUP(B710,Baza[[№]:[Profit]],17,0)),"")</f>
        <v/>
      </c>
      <c r="T710" s="43" t="str">
        <f>IFERROR(IF(VLOOKUP(B710,Baza[[№]:[Profit]],18,0)=0,"-",VLOOKUP(B710,Baza[[№]:[Profit]],18,0)),"")</f>
        <v/>
      </c>
      <c r="U710" s="41" t="str">
        <f>IFERROR(IF(VLOOKUP(B710,Baza[[№]:[Profit]],19,0)=0,"-",VLOOKUP(B710,Baza[[№]:[Profit]],19,0)),"")</f>
        <v/>
      </c>
      <c r="V710" s="41" t="str">
        <f>IFERROR(VLOOKUP(B710,Baza[[№]:[Profit]],20,0),"")</f>
        <v/>
      </c>
      <c r="W710" s="41" t="str">
        <f>IFERROR(IF(VLOOKUP(B710,Baza[[№]:[Profit]],21,0)=0,"-",VLOOKUP(B710,Baza[[№]:[Profit]],21,0)),"")</f>
        <v/>
      </c>
      <c r="X710" s="45" t="str">
        <f>IFERROR(IF(VLOOKUP(B710,Baza[[№]:[Profit]],22,0)=0,"-",VLOOKUP(B710,Baza[[№]:[Profit]],22,0)),"")</f>
        <v/>
      </c>
      <c r="Y710" s="45" t="str">
        <f>IFERROR(VLOOKUP(B710,Baza[[№]:[Profit]],23,0),"")</f>
        <v/>
      </c>
      <c r="Z710" s="44" t="str">
        <f>IFERROR(VLOOKUP(B710,Baza[[№]:[AFS]],24,0),"")</f>
        <v/>
      </c>
      <c r="AA710" s="45" t="str">
        <f>IF(Таблица2[[#This Row],[Profit]]="","#Н/Д",SUM($Y$40:Y710))</f>
        <v>#Н/Д</v>
      </c>
      <c r="AB710" s="45" t="b">
        <f>IF(Таблица2[[#This Row],[Grafik]]="#Н/Д",FALSE,TRUE)</f>
        <v>0</v>
      </c>
    </row>
    <row r="711" spans="2:28" ht="11.1" hidden="1" customHeight="1" x14ac:dyDescent="0.25">
      <c r="B711"/>
      <c r="C711" s="41" t="str">
        <f>IFERROR(VLOOKUP(B711,Baza[[№]:[Profit]],2,0),"")</f>
        <v/>
      </c>
      <c r="D71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1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11" s="43" t="str">
        <f>IFERROR(VLOOKUP(B711,Baza[[№]:[Profit]],3,0),"")</f>
        <v/>
      </c>
      <c r="G711" s="43" t="str">
        <f>IFERROR(VLOOKUP(B711,Baza[[№]:[Profit]],4,0),"")</f>
        <v/>
      </c>
      <c r="H711" s="43" t="str">
        <f>IFERROR(VLOOKUP(B711,Baza[[№]:[Profit]],5,0),"")</f>
        <v/>
      </c>
      <c r="I711" s="46" t="str">
        <f>IFERROR(VLOOKUP(B711,Baza[[№]:[Profit]],6,0),"")</f>
        <v/>
      </c>
      <c r="J711" s="49" t="str">
        <f>IFERROR(VLOOKUP(B711,Baza[[№]:[Profit]],7,0),"")</f>
        <v/>
      </c>
      <c r="K711" s="43" t="str">
        <f>IFERROR(VLOOKUP(B711,Baza[[№]:[Profit]],8,0),"")</f>
        <v/>
      </c>
      <c r="L711" s="43" t="str">
        <f>IFERROR(VLOOKUP(B711,Baza[[№]:[Profit]],9,0),"")</f>
        <v/>
      </c>
      <c r="M711" s="43" t="str">
        <f>IFERROR(VLOOKUP(B711,Baza[[№]:[Profit]],10,0),"")</f>
        <v/>
      </c>
      <c r="N711" s="43" t="str">
        <f>IFERROR(IF(VLOOKUP(B711,Baza[[№]:[Profit]],11,0)=0,"-",VLOOKUP(B711,Baza[[№]:[Profit]],11,0)),"")</f>
        <v/>
      </c>
      <c r="O711" s="43" t="str">
        <f>IFERROR(IF(VLOOKUP(B711,Baza[[№]:[Profit]],12,0)=0,"-",VLOOKUP(B711,Baza[[№]:[Profit]],12,0)),"")</f>
        <v/>
      </c>
      <c r="P711" s="43" t="str">
        <f>IFERROR(IF(VLOOKUP(B711,Baza[[№]:[Profit]],13,0)=0,"-",VLOOKUP(B711,Baza[[№]:[Profit]],13,0)),"")</f>
        <v/>
      </c>
      <c r="Q711" s="43" t="str">
        <f>IFERROR(IF(VLOOKUP(B711,Baza[[№]:[Profit]],15,0)=0,"-",VLOOKUP(B711,Baza[[№]:[Profit]],15,0)),"")</f>
        <v/>
      </c>
      <c r="R711" s="43" t="str">
        <f>IFERROR(IF(VLOOKUP(B711,Baza[[№]:[Profit]],16,0)=0,"-",VLOOKUP(B711,Baza[[№]:[Profit]],16,0)),"")</f>
        <v/>
      </c>
      <c r="S711" s="43" t="str">
        <f>IFERROR(IF(VLOOKUP(B711,Baza[[№]:[Profit]],17,0)=0,"-",VLOOKUP(B711,Baza[[№]:[Profit]],17,0)),"")</f>
        <v/>
      </c>
      <c r="T711" s="43" t="str">
        <f>IFERROR(IF(VLOOKUP(B711,Baza[[№]:[Profit]],18,0)=0,"-",VLOOKUP(B711,Baza[[№]:[Profit]],18,0)),"")</f>
        <v/>
      </c>
      <c r="U711" s="41" t="str">
        <f>IFERROR(IF(VLOOKUP(B711,Baza[[№]:[Profit]],19,0)=0,"-",VLOOKUP(B711,Baza[[№]:[Profit]],19,0)),"")</f>
        <v/>
      </c>
      <c r="V711" s="41" t="str">
        <f>IFERROR(VLOOKUP(B711,Baza[[№]:[Profit]],20,0),"")</f>
        <v/>
      </c>
      <c r="W711" s="41" t="str">
        <f>IFERROR(IF(VLOOKUP(B711,Baza[[№]:[Profit]],21,0)=0,"-",VLOOKUP(B711,Baza[[№]:[Profit]],21,0)),"")</f>
        <v/>
      </c>
      <c r="X711" s="45" t="str">
        <f>IFERROR(IF(VLOOKUP(B711,Baza[[№]:[Profit]],22,0)=0,"-",VLOOKUP(B711,Baza[[№]:[Profit]],22,0)),"")</f>
        <v/>
      </c>
      <c r="Y711" s="45" t="str">
        <f>IFERROR(VLOOKUP(B711,Baza[[№]:[Profit]],23,0),"")</f>
        <v/>
      </c>
      <c r="Z711" s="44" t="str">
        <f>IFERROR(VLOOKUP(B711,Baza[[№]:[AFS]],24,0),"")</f>
        <v/>
      </c>
      <c r="AA711" s="45" t="str">
        <f>IF(Таблица2[[#This Row],[Profit]]="","#Н/Д",SUM($Y$40:Y711))</f>
        <v>#Н/Д</v>
      </c>
      <c r="AB711" s="45" t="b">
        <f>IF(Таблица2[[#This Row],[Grafik]]="#Н/Д",FALSE,TRUE)</f>
        <v>0</v>
      </c>
    </row>
    <row r="712" spans="2:28" ht="11.1" hidden="1" customHeight="1" x14ac:dyDescent="0.25">
      <c r="B712"/>
      <c r="C712" s="41" t="str">
        <f>IFERROR(VLOOKUP(B712,Baza[[№]:[Profit]],2,0),"")</f>
        <v/>
      </c>
      <c r="D71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1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12" s="43" t="str">
        <f>IFERROR(VLOOKUP(B712,Baza[[№]:[Profit]],3,0),"")</f>
        <v/>
      </c>
      <c r="G712" s="43" t="str">
        <f>IFERROR(VLOOKUP(B712,Baza[[№]:[Profit]],4,0),"")</f>
        <v/>
      </c>
      <c r="H712" s="43" t="str">
        <f>IFERROR(VLOOKUP(B712,Baza[[№]:[Profit]],5,0),"")</f>
        <v/>
      </c>
      <c r="I712" s="46" t="str">
        <f>IFERROR(VLOOKUP(B712,Baza[[№]:[Profit]],6,0),"")</f>
        <v/>
      </c>
      <c r="J712" s="49" t="str">
        <f>IFERROR(VLOOKUP(B712,Baza[[№]:[Profit]],7,0),"")</f>
        <v/>
      </c>
      <c r="K712" s="43" t="str">
        <f>IFERROR(VLOOKUP(B712,Baza[[№]:[Profit]],8,0),"")</f>
        <v/>
      </c>
      <c r="L712" s="43" t="str">
        <f>IFERROR(VLOOKUP(B712,Baza[[№]:[Profit]],9,0),"")</f>
        <v/>
      </c>
      <c r="M712" s="43" t="str">
        <f>IFERROR(VLOOKUP(B712,Baza[[№]:[Profit]],10,0),"")</f>
        <v/>
      </c>
      <c r="N712" s="43" t="str">
        <f>IFERROR(IF(VLOOKUP(B712,Baza[[№]:[Profit]],11,0)=0,"-",VLOOKUP(B712,Baza[[№]:[Profit]],11,0)),"")</f>
        <v/>
      </c>
      <c r="O712" s="43" t="str">
        <f>IFERROR(IF(VLOOKUP(B712,Baza[[№]:[Profit]],12,0)=0,"-",VLOOKUP(B712,Baza[[№]:[Profit]],12,0)),"")</f>
        <v/>
      </c>
      <c r="P712" s="43" t="str">
        <f>IFERROR(IF(VLOOKUP(B712,Baza[[№]:[Profit]],13,0)=0,"-",VLOOKUP(B712,Baza[[№]:[Profit]],13,0)),"")</f>
        <v/>
      </c>
      <c r="Q712" s="43" t="str">
        <f>IFERROR(IF(VLOOKUP(B712,Baza[[№]:[Profit]],15,0)=0,"-",VLOOKUP(B712,Baza[[№]:[Profit]],15,0)),"")</f>
        <v/>
      </c>
      <c r="R712" s="43" t="str">
        <f>IFERROR(IF(VLOOKUP(B712,Baza[[№]:[Profit]],16,0)=0,"-",VLOOKUP(B712,Baza[[№]:[Profit]],16,0)),"")</f>
        <v/>
      </c>
      <c r="S712" s="43" t="str">
        <f>IFERROR(IF(VLOOKUP(B712,Baza[[№]:[Profit]],17,0)=0,"-",VLOOKUP(B712,Baza[[№]:[Profit]],17,0)),"")</f>
        <v/>
      </c>
      <c r="T712" s="43" t="str">
        <f>IFERROR(IF(VLOOKUP(B712,Baza[[№]:[Profit]],18,0)=0,"-",VLOOKUP(B712,Baza[[№]:[Profit]],18,0)),"")</f>
        <v/>
      </c>
      <c r="U712" s="41" t="str">
        <f>IFERROR(IF(VLOOKUP(B712,Baza[[№]:[Profit]],19,0)=0,"-",VLOOKUP(B712,Baza[[№]:[Profit]],19,0)),"")</f>
        <v/>
      </c>
      <c r="V712" s="41" t="str">
        <f>IFERROR(VLOOKUP(B712,Baza[[№]:[Profit]],20,0),"")</f>
        <v/>
      </c>
      <c r="W712" s="41" t="str">
        <f>IFERROR(IF(VLOOKUP(B712,Baza[[№]:[Profit]],21,0)=0,"-",VLOOKUP(B712,Baza[[№]:[Profit]],21,0)),"")</f>
        <v/>
      </c>
      <c r="X712" s="45" t="str">
        <f>IFERROR(IF(VLOOKUP(B712,Baza[[№]:[Profit]],22,0)=0,"-",VLOOKUP(B712,Baza[[№]:[Profit]],22,0)),"")</f>
        <v/>
      </c>
      <c r="Y712" s="45" t="str">
        <f>IFERROR(VLOOKUP(B712,Baza[[№]:[Profit]],23,0),"")</f>
        <v/>
      </c>
      <c r="Z712" s="44" t="str">
        <f>IFERROR(VLOOKUP(B712,Baza[[№]:[AFS]],24,0),"")</f>
        <v/>
      </c>
      <c r="AA712" s="45" t="str">
        <f>IF(Таблица2[[#This Row],[Profit]]="","#Н/Д",SUM($Y$40:Y712))</f>
        <v>#Н/Д</v>
      </c>
      <c r="AB712" s="45" t="b">
        <f>IF(Таблица2[[#This Row],[Grafik]]="#Н/Д",FALSE,TRUE)</f>
        <v>0</v>
      </c>
    </row>
    <row r="713" spans="2:28" ht="11.1" hidden="1" customHeight="1" x14ac:dyDescent="0.25">
      <c r="B713"/>
      <c r="C713" s="41" t="str">
        <f>IFERROR(VLOOKUP(B713,Baza[[№]:[Profit]],2,0),"")</f>
        <v/>
      </c>
      <c r="D71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1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13" s="43" t="str">
        <f>IFERROR(VLOOKUP(B713,Baza[[№]:[Profit]],3,0),"")</f>
        <v/>
      </c>
      <c r="G713" s="43" t="str">
        <f>IFERROR(VLOOKUP(B713,Baza[[№]:[Profit]],4,0),"")</f>
        <v/>
      </c>
      <c r="H713" s="43" t="str">
        <f>IFERROR(VLOOKUP(B713,Baza[[№]:[Profit]],5,0),"")</f>
        <v/>
      </c>
      <c r="I713" s="46" t="str">
        <f>IFERROR(VLOOKUP(B713,Baza[[№]:[Profit]],6,0),"")</f>
        <v/>
      </c>
      <c r="J713" s="49" t="str">
        <f>IFERROR(VLOOKUP(B713,Baza[[№]:[Profit]],7,0),"")</f>
        <v/>
      </c>
      <c r="K713" s="43" t="str">
        <f>IFERROR(VLOOKUP(B713,Baza[[№]:[Profit]],8,0),"")</f>
        <v/>
      </c>
      <c r="L713" s="43" t="str">
        <f>IFERROR(VLOOKUP(B713,Baza[[№]:[Profit]],9,0),"")</f>
        <v/>
      </c>
      <c r="M713" s="43" t="str">
        <f>IFERROR(VLOOKUP(B713,Baza[[№]:[Profit]],10,0),"")</f>
        <v/>
      </c>
      <c r="N713" s="43" t="str">
        <f>IFERROR(IF(VLOOKUP(B713,Baza[[№]:[Profit]],11,0)=0,"-",VLOOKUP(B713,Baza[[№]:[Profit]],11,0)),"")</f>
        <v/>
      </c>
      <c r="O713" s="43" t="str">
        <f>IFERROR(IF(VLOOKUP(B713,Baza[[№]:[Profit]],12,0)=0,"-",VLOOKUP(B713,Baza[[№]:[Profit]],12,0)),"")</f>
        <v/>
      </c>
      <c r="P713" s="43" t="str">
        <f>IFERROR(IF(VLOOKUP(B713,Baza[[№]:[Profit]],13,0)=0,"-",VLOOKUP(B713,Baza[[№]:[Profit]],13,0)),"")</f>
        <v/>
      </c>
      <c r="Q713" s="43" t="str">
        <f>IFERROR(IF(VLOOKUP(B713,Baza[[№]:[Profit]],15,0)=0,"-",VLOOKUP(B713,Baza[[№]:[Profit]],15,0)),"")</f>
        <v/>
      </c>
      <c r="R713" s="43" t="str">
        <f>IFERROR(IF(VLOOKUP(B713,Baza[[№]:[Profit]],16,0)=0,"-",VLOOKUP(B713,Baza[[№]:[Profit]],16,0)),"")</f>
        <v/>
      </c>
      <c r="S713" s="43" t="str">
        <f>IFERROR(IF(VLOOKUP(B713,Baza[[№]:[Profit]],17,0)=0,"-",VLOOKUP(B713,Baza[[№]:[Profit]],17,0)),"")</f>
        <v/>
      </c>
      <c r="T713" s="43" t="str">
        <f>IFERROR(IF(VLOOKUP(B713,Baza[[№]:[Profit]],18,0)=0,"-",VLOOKUP(B713,Baza[[№]:[Profit]],18,0)),"")</f>
        <v/>
      </c>
      <c r="U713" s="41" t="str">
        <f>IFERROR(IF(VLOOKUP(B713,Baza[[№]:[Profit]],19,0)=0,"-",VLOOKUP(B713,Baza[[№]:[Profit]],19,0)),"")</f>
        <v/>
      </c>
      <c r="V713" s="41" t="str">
        <f>IFERROR(VLOOKUP(B713,Baza[[№]:[Profit]],20,0),"")</f>
        <v/>
      </c>
      <c r="W713" s="41" t="str">
        <f>IFERROR(IF(VLOOKUP(B713,Baza[[№]:[Profit]],21,0)=0,"-",VLOOKUP(B713,Baza[[№]:[Profit]],21,0)),"")</f>
        <v/>
      </c>
      <c r="X713" s="45" t="str">
        <f>IFERROR(IF(VLOOKUP(B713,Baza[[№]:[Profit]],22,0)=0,"-",VLOOKUP(B713,Baza[[№]:[Profit]],22,0)),"")</f>
        <v/>
      </c>
      <c r="Y713" s="45" t="str">
        <f>IFERROR(VLOOKUP(B713,Baza[[№]:[Profit]],23,0),"")</f>
        <v/>
      </c>
      <c r="Z713" s="44" t="str">
        <f>IFERROR(VLOOKUP(B713,Baza[[№]:[AFS]],24,0),"")</f>
        <v/>
      </c>
      <c r="AA713" s="45" t="str">
        <f>IF(Таблица2[[#This Row],[Profit]]="","#Н/Д",SUM($Y$40:Y713))</f>
        <v>#Н/Д</v>
      </c>
      <c r="AB713" s="45" t="b">
        <f>IF(Таблица2[[#This Row],[Grafik]]="#Н/Д",FALSE,TRUE)</f>
        <v>0</v>
      </c>
    </row>
    <row r="714" spans="2:28" ht="11.1" hidden="1" customHeight="1" x14ac:dyDescent="0.25">
      <c r="B714"/>
      <c r="C714" s="41" t="str">
        <f>IFERROR(VLOOKUP(B714,Baza[[№]:[Profit]],2,0),"")</f>
        <v/>
      </c>
      <c r="D71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1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14" s="43" t="str">
        <f>IFERROR(VLOOKUP(B714,Baza[[№]:[Profit]],3,0),"")</f>
        <v/>
      </c>
      <c r="G714" s="43" t="str">
        <f>IFERROR(VLOOKUP(B714,Baza[[№]:[Profit]],4,0),"")</f>
        <v/>
      </c>
      <c r="H714" s="43" t="str">
        <f>IFERROR(VLOOKUP(B714,Baza[[№]:[Profit]],5,0),"")</f>
        <v/>
      </c>
      <c r="I714" s="46" t="str">
        <f>IFERROR(VLOOKUP(B714,Baza[[№]:[Profit]],6,0),"")</f>
        <v/>
      </c>
      <c r="J714" s="49" t="str">
        <f>IFERROR(VLOOKUP(B714,Baza[[№]:[Profit]],7,0),"")</f>
        <v/>
      </c>
      <c r="K714" s="43" t="str">
        <f>IFERROR(VLOOKUP(B714,Baza[[№]:[Profit]],8,0),"")</f>
        <v/>
      </c>
      <c r="L714" s="43" t="str">
        <f>IFERROR(VLOOKUP(B714,Baza[[№]:[Profit]],9,0),"")</f>
        <v/>
      </c>
      <c r="M714" s="43" t="str">
        <f>IFERROR(VLOOKUP(B714,Baza[[№]:[Profit]],10,0),"")</f>
        <v/>
      </c>
      <c r="N714" s="43" t="str">
        <f>IFERROR(IF(VLOOKUP(B714,Baza[[№]:[Profit]],11,0)=0,"-",VLOOKUP(B714,Baza[[№]:[Profit]],11,0)),"")</f>
        <v/>
      </c>
      <c r="O714" s="43" t="str">
        <f>IFERROR(IF(VLOOKUP(B714,Baza[[№]:[Profit]],12,0)=0,"-",VLOOKUP(B714,Baza[[№]:[Profit]],12,0)),"")</f>
        <v/>
      </c>
      <c r="P714" s="43" t="str">
        <f>IFERROR(IF(VLOOKUP(B714,Baza[[№]:[Profit]],13,0)=0,"-",VLOOKUP(B714,Baza[[№]:[Profit]],13,0)),"")</f>
        <v/>
      </c>
      <c r="Q714" s="43" t="str">
        <f>IFERROR(IF(VLOOKUP(B714,Baza[[№]:[Profit]],15,0)=0,"-",VLOOKUP(B714,Baza[[№]:[Profit]],15,0)),"")</f>
        <v/>
      </c>
      <c r="R714" s="43" t="str">
        <f>IFERROR(IF(VLOOKUP(B714,Baza[[№]:[Profit]],16,0)=0,"-",VLOOKUP(B714,Baza[[№]:[Profit]],16,0)),"")</f>
        <v/>
      </c>
      <c r="S714" s="43" t="str">
        <f>IFERROR(IF(VLOOKUP(B714,Baza[[№]:[Profit]],17,0)=0,"-",VLOOKUP(B714,Baza[[№]:[Profit]],17,0)),"")</f>
        <v/>
      </c>
      <c r="T714" s="43" t="str">
        <f>IFERROR(IF(VLOOKUP(B714,Baza[[№]:[Profit]],18,0)=0,"-",VLOOKUP(B714,Baza[[№]:[Profit]],18,0)),"")</f>
        <v/>
      </c>
      <c r="U714" s="41" t="str">
        <f>IFERROR(IF(VLOOKUP(B714,Baza[[№]:[Profit]],19,0)=0,"-",VLOOKUP(B714,Baza[[№]:[Profit]],19,0)),"")</f>
        <v/>
      </c>
      <c r="V714" s="41" t="str">
        <f>IFERROR(VLOOKUP(B714,Baza[[№]:[Profit]],20,0),"")</f>
        <v/>
      </c>
      <c r="W714" s="41" t="str">
        <f>IFERROR(IF(VLOOKUP(B714,Baza[[№]:[Profit]],21,0)=0,"-",VLOOKUP(B714,Baza[[№]:[Profit]],21,0)),"")</f>
        <v/>
      </c>
      <c r="X714" s="45" t="str">
        <f>IFERROR(IF(VLOOKUP(B714,Baza[[№]:[Profit]],22,0)=0,"-",VLOOKUP(B714,Baza[[№]:[Profit]],22,0)),"")</f>
        <v/>
      </c>
      <c r="Y714" s="45" t="str">
        <f>IFERROR(VLOOKUP(B714,Baza[[№]:[Profit]],23,0),"")</f>
        <v/>
      </c>
      <c r="Z714" s="44" t="str">
        <f>IFERROR(VLOOKUP(B714,Baza[[№]:[AFS]],24,0),"")</f>
        <v/>
      </c>
      <c r="AA714" s="45" t="str">
        <f>IF(Таблица2[[#This Row],[Profit]]="","#Н/Д",SUM($Y$40:Y714))</f>
        <v>#Н/Д</v>
      </c>
      <c r="AB714" s="45" t="b">
        <f>IF(Таблица2[[#This Row],[Grafik]]="#Н/Д",FALSE,TRUE)</f>
        <v>0</v>
      </c>
    </row>
    <row r="715" spans="2:28" ht="11.1" hidden="1" customHeight="1" x14ac:dyDescent="0.25">
      <c r="B715"/>
      <c r="C715" s="41" t="str">
        <f>IFERROR(VLOOKUP(B715,Baza[[№]:[Profit]],2,0),"")</f>
        <v/>
      </c>
      <c r="D71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1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15" s="43" t="str">
        <f>IFERROR(VLOOKUP(B715,Baza[[№]:[Profit]],3,0),"")</f>
        <v/>
      </c>
      <c r="G715" s="43" t="str">
        <f>IFERROR(VLOOKUP(B715,Baza[[№]:[Profit]],4,0),"")</f>
        <v/>
      </c>
      <c r="H715" s="43" t="str">
        <f>IFERROR(VLOOKUP(B715,Baza[[№]:[Profit]],5,0),"")</f>
        <v/>
      </c>
      <c r="I715" s="46" t="str">
        <f>IFERROR(VLOOKUP(B715,Baza[[№]:[Profit]],6,0),"")</f>
        <v/>
      </c>
      <c r="J715" s="49" t="str">
        <f>IFERROR(VLOOKUP(B715,Baza[[№]:[Profit]],7,0),"")</f>
        <v/>
      </c>
      <c r="K715" s="43" t="str">
        <f>IFERROR(VLOOKUP(B715,Baza[[№]:[Profit]],8,0),"")</f>
        <v/>
      </c>
      <c r="L715" s="43" t="str">
        <f>IFERROR(VLOOKUP(B715,Baza[[№]:[Profit]],9,0),"")</f>
        <v/>
      </c>
      <c r="M715" s="43" t="str">
        <f>IFERROR(VLOOKUP(B715,Baza[[№]:[Profit]],10,0),"")</f>
        <v/>
      </c>
      <c r="N715" s="43" t="str">
        <f>IFERROR(IF(VLOOKUP(B715,Baza[[№]:[Profit]],11,0)=0,"-",VLOOKUP(B715,Baza[[№]:[Profit]],11,0)),"")</f>
        <v/>
      </c>
      <c r="O715" s="43" t="str">
        <f>IFERROR(IF(VLOOKUP(B715,Baza[[№]:[Profit]],12,0)=0,"-",VLOOKUP(B715,Baza[[№]:[Profit]],12,0)),"")</f>
        <v/>
      </c>
      <c r="P715" s="43" t="str">
        <f>IFERROR(IF(VLOOKUP(B715,Baza[[№]:[Profit]],13,0)=0,"-",VLOOKUP(B715,Baza[[№]:[Profit]],13,0)),"")</f>
        <v/>
      </c>
      <c r="Q715" s="43" t="str">
        <f>IFERROR(IF(VLOOKUP(B715,Baza[[№]:[Profit]],15,0)=0,"-",VLOOKUP(B715,Baza[[№]:[Profit]],15,0)),"")</f>
        <v/>
      </c>
      <c r="R715" s="43" t="str">
        <f>IFERROR(IF(VLOOKUP(B715,Baza[[№]:[Profit]],16,0)=0,"-",VLOOKUP(B715,Baza[[№]:[Profit]],16,0)),"")</f>
        <v/>
      </c>
      <c r="S715" s="43" t="str">
        <f>IFERROR(IF(VLOOKUP(B715,Baza[[№]:[Profit]],17,0)=0,"-",VLOOKUP(B715,Baza[[№]:[Profit]],17,0)),"")</f>
        <v/>
      </c>
      <c r="T715" s="43" t="str">
        <f>IFERROR(IF(VLOOKUP(B715,Baza[[№]:[Profit]],18,0)=0,"-",VLOOKUP(B715,Baza[[№]:[Profit]],18,0)),"")</f>
        <v/>
      </c>
      <c r="U715" s="41" t="str">
        <f>IFERROR(IF(VLOOKUP(B715,Baza[[№]:[Profit]],19,0)=0,"-",VLOOKUP(B715,Baza[[№]:[Profit]],19,0)),"")</f>
        <v/>
      </c>
      <c r="V715" s="41" t="str">
        <f>IFERROR(VLOOKUP(B715,Baza[[№]:[Profit]],20,0),"")</f>
        <v/>
      </c>
      <c r="W715" s="41" t="str">
        <f>IFERROR(IF(VLOOKUP(B715,Baza[[№]:[Profit]],21,0)=0,"-",VLOOKUP(B715,Baza[[№]:[Profit]],21,0)),"")</f>
        <v/>
      </c>
      <c r="X715" s="45" t="str">
        <f>IFERROR(IF(VLOOKUP(B715,Baza[[№]:[Profit]],22,0)=0,"-",VLOOKUP(B715,Baza[[№]:[Profit]],22,0)),"")</f>
        <v/>
      </c>
      <c r="Y715" s="45" t="str">
        <f>IFERROR(VLOOKUP(B715,Baza[[№]:[Profit]],23,0),"")</f>
        <v/>
      </c>
      <c r="Z715" s="44" t="str">
        <f>IFERROR(VLOOKUP(B715,Baza[[№]:[AFS]],24,0),"")</f>
        <v/>
      </c>
      <c r="AA715" s="45" t="str">
        <f>IF(Таблица2[[#This Row],[Profit]]="","#Н/Д",SUM($Y$40:Y715))</f>
        <v>#Н/Д</v>
      </c>
      <c r="AB715" s="45" t="b">
        <f>IF(Таблица2[[#This Row],[Grafik]]="#Н/Д",FALSE,TRUE)</f>
        <v>0</v>
      </c>
    </row>
    <row r="716" spans="2:28" ht="11.1" hidden="1" customHeight="1" x14ac:dyDescent="0.25">
      <c r="B716"/>
      <c r="C716" s="41" t="str">
        <f>IFERROR(VLOOKUP(B716,Baza[[№]:[Profit]],2,0),"")</f>
        <v/>
      </c>
      <c r="D71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1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16" s="43" t="str">
        <f>IFERROR(VLOOKUP(B716,Baza[[№]:[Profit]],3,0),"")</f>
        <v/>
      </c>
      <c r="G716" s="43" t="str">
        <f>IFERROR(VLOOKUP(B716,Baza[[№]:[Profit]],4,0),"")</f>
        <v/>
      </c>
      <c r="H716" s="43" t="str">
        <f>IFERROR(VLOOKUP(B716,Baza[[№]:[Profit]],5,0),"")</f>
        <v/>
      </c>
      <c r="I716" s="46" t="str">
        <f>IFERROR(VLOOKUP(B716,Baza[[№]:[Profit]],6,0),"")</f>
        <v/>
      </c>
      <c r="J716" s="49" t="str">
        <f>IFERROR(VLOOKUP(B716,Baza[[№]:[Profit]],7,0),"")</f>
        <v/>
      </c>
      <c r="K716" s="43" t="str">
        <f>IFERROR(VLOOKUP(B716,Baza[[№]:[Profit]],8,0),"")</f>
        <v/>
      </c>
      <c r="L716" s="43" t="str">
        <f>IFERROR(VLOOKUP(B716,Baza[[№]:[Profit]],9,0),"")</f>
        <v/>
      </c>
      <c r="M716" s="43" t="str">
        <f>IFERROR(VLOOKUP(B716,Baza[[№]:[Profit]],10,0),"")</f>
        <v/>
      </c>
      <c r="N716" s="43" t="str">
        <f>IFERROR(IF(VLOOKUP(B716,Baza[[№]:[Profit]],11,0)=0,"-",VLOOKUP(B716,Baza[[№]:[Profit]],11,0)),"")</f>
        <v/>
      </c>
      <c r="O716" s="43" t="str">
        <f>IFERROR(IF(VLOOKUP(B716,Baza[[№]:[Profit]],12,0)=0,"-",VLOOKUP(B716,Baza[[№]:[Profit]],12,0)),"")</f>
        <v/>
      </c>
      <c r="P716" s="43" t="str">
        <f>IFERROR(IF(VLOOKUP(B716,Baza[[№]:[Profit]],13,0)=0,"-",VLOOKUP(B716,Baza[[№]:[Profit]],13,0)),"")</f>
        <v/>
      </c>
      <c r="Q716" s="43" t="str">
        <f>IFERROR(IF(VLOOKUP(B716,Baza[[№]:[Profit]],15,0)=0,"-",VLOOKUP(B716,Baza[[№]:[Profit]],15,0)),"")</f>
        <v/>
      </c>
      <c r="R716" s="43" t="str">
        <f>IFERROR(IF(VLOOKUP(B716,Baza[[№]:[Profit]],16,0)=0,"-",VLOOKUP(B716,Baza[[№]:[Profit]],16,0)),"")</f>
        <v/>
      </c>
      <c r="S716" s="43" t="str">
        <f>IFERROR(IF(VLOOKUP(B716,Baza[[№]:[Profit]],17,0)=0,"-",VLOOKUP(B716,Baza[[№]:[Profit]],17,0)),"")</f>
        <v/>
      </c>
      <c r="T716" s="43" t="str">
        <f>IFERROR(IF(VLOOKUP(B716,Baza[[№]:[Profit]],18,0)=0,"-",VLOOKUP(B716,Baza[[№]:[Profit]],18,0)),"")</f>
        <v/>
      </c>
      <c r="U716" s="41" t="str">
        <f>IFERROR(IF(VLOOKUP(B716,Baza[[№]:[Profit]],19,0)=0,"-",VLOOKUP(B716,Baza[[№]:[Profit]],19,0)),"")</f>
        <v/>
      </c>
      <c r="V716" s="41" t="str">
        <f>IFERROR(VLOOKUP(B716,Baza[[№]:[Profit]],20,0),"")</f>
        <v/>
      </c>
      <c r="W716" s="41" t="str">
        <f>IFERROR(IF(VLOOKUP(B716,Baza[[№]:[Profit]],21,0)=0,"-",VLOOKUP(B716,Baza[[№]:[Profit]],21,0)),"")</f>
        <v/>
      </c>
      <c r="X716" s="45" t="str">
        <f>IFERROR(IF(VLOOKUP(B716,Baza[[№]:[Profit]],22,0)=0,"-",VLOOKUP(B716,Baza[[№]:[Profit]],22,0)),"")</f>
        <v/>
      </c>
      <c r="Y716" s="45" t="str">
        <f>IFERROR(VLOOKUP(B716,Baza[[№]:[Profit]],23,0),"")</f>
        <v/>
      </c>
      <c r="Z716" s="44" t="str">
        <f>IFERROR(VLOOKUP(B716,Baza[[№]:[AFS]],24,0),"")</f>
        <v/>
      </c>
      <c r="AA716" s="45" t="str">
        <f>IF(Таблица2[[#This Row],[Profit]]="","#Н/Д",SUM($Y$40:Y716))</f>
        <v>#Н/Д</v>
      </c>
      <c r="AB716" s="45" t="b">
        <f>IF(Таблица2[[#This Row],[Grafik]]="#Н/Д",FALSE,TRUE)</f>
        <v>0</v>
      </c>
    </row>
    <row r="717" spans="2:28" ht="11.1" hidden="1" customHeight="1" x14ac:dyDescent="0.25">
      <c r="B717"/>
      <c r="C717" s="41" t="str">
        <f>IFERROR(VLOOKUP(B717,Baza[[№]:[Profit]],2,0),"")</f>
        <v/>
      </c>
      <c r="D71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1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17" s="43" t="str">
        <f>IFERROR(VLOOKUP(B717,Baza[[№]:[Profit]],3,0),"")</f>
        <v/>
      </c>
      <c r="G717" s="43" t="str">
        <f>IFERROR(VLOOKUP(B717,Baza[[№]:[Profit]],4,0),"")</f>
        <v/>
      </c>
      <c r="H717" s="43" t="str">
        <f>IFERROR(VLOOKUP(B717,Baza[[№]:[Profit]],5,0),"")</f>
        <v/>
      </c>
      <c r="I717" s="46" t="str">
        <f>IFERROR(VLOOKUP(B717,Baza[[№]:[Profit]],6,0),"")</f>
        <v/>
      </c>
      <c r="J717" s="49" t="str">
        <f>IFERROR(VLOOKUP(B717,Baza[[№]:[Profit]],7,0),"")</f>
        <v/>
      </c>
      <c r="K717" s="43" t="str">
        <f>IFERROR(VLOOKUP(B717,Baza[[№]:[Profit]],8,0),"")</f>
        <v/>
      </c>
      <c r="L717" s="43" t="str">
        <f>IFERROR(VLOOKUP(B717,Baza[[№]:[Profit]],9,0),"")</f>
        <v/>
      </c>
      <c r="M717" s="43" t="str">
        <f>IFERROR(VLOOKUP(B717,Baza[[№]:[Profit]],10,0),"")</f>
        <v/>
      </c>
      <c r="N717" s="43" t="str">
        <f>IFERROR(IF(VLOOKUP(B717,Baza[[№]:[Profit]],11,0)=0,"-",VLOOKUP(B717,Baza[[№]:[Profit]],11,0)),"")</f>
        <v/>
      </c>
      <c r="O717" s="43" t="str">
        <f>IFERROR(IF(VLOOKUP(B717,Baza[[№]:[Profit]],12,0)=0,"-",VLOOKUP(B717,Baza[[№]:[Profit]],12,0)),"")</f>
        <v/>
      </c>
      <c r="P717" s="43" t="str">
        <f>IFERROR(IF(VLOOKUP(B717,Baza[[№]:[Profit]],13,0)=0,"-",VLOOKUP(B717,Baza[[№]:[Profit]],13,0)),"")</f>
        <v/>
      </c>
      <c r="Q717" s="43" t="str">
        <f>IFERROR(IF(VLOOKUP(B717,Baza[[№]:[Profit]],15,0)=0,"-",VLOOKUP(B717,Baza[[№]:[Profit]],15,0)),"")</f>
        <v/>
      </c>
      <c r="R717" s="43" t="str">
        <f>IFERROR(IF(VLOOKUP(B717,Baza[[№]:[Profit]],16,0)=0,"-",VLOOKUP(B717,Baza[[№]:[Profit]],16,0)),"")</f>
        <v/>
      </c>
      <c r="S717" s="43" t="str">
        <f>IFERROR(IF(VLOOKUP(B717,Baza[[№]:[Profit]],17,0)=0,"-",VLOOKUP(B717,Baza[[№]:[Profit]],17,0)),"")</f>
        <v/>
      </c>
      <c r="T717" s="43" t="str">
        <f>IFERROR(IF(VLOOKUP(B717,Baza[[№]:[Profit]],18,0)=0,"-",VLOOKUP(B717,Baza[[№]:[Profit]],18,0)),"")</f>
        <v/>
      </c>
      <c r="U717" s="41" t="str">
        <f>IFERROR(IF(VLOOKUP(B717,Baza[[№]:[Profit]],19,0)=0,"-",VLOOKUP(B717,Baza[[№]:[Profit]],19,0)),"")</f>
        <v/>
      </c>
      <c r="V717" s="41" t="str">
        <f>IFERROR(VLOOKUP(B717,Baza[[№]:[Profit]],20,0),"")</f>
        <v/>
      </c>
      <c r="W717" s="41" t="str">
        <f>IFERROR(IF(VLOOKUP(B717,Baza[[№]:[Profit]],21,0)=0,"-",VLOOKUP(B717,Baza[[№]:[Profit]],21,0)),"")</f>
        <v/>
      </c>
      <c r="X717" s="45" t="str">
        <f>IFERROR(IF(VLOOKUP(B717,Baza[[№]:[Profit]],22,0)=0,"-",VLOOKUP(B717,Baza[[№]:[Profit]],22,0)),"")</f>
        <v/>
      </c>
      <c r="Y717" s="45" t="str">
        <f>IFERROR(VLOOKUP(B717,Baza[[№]:[Profit]],23,0),"")</f>
        <v/>
      </c>
      <c r="Z717" s="44" t="str">
        <f>IFERROR(VLOOKUP(B717,Baza[[№]:[AFS]],24,0),"")</f>
        <v/>
      </c>
      <c r="AA717" s="45" t="str">
        <f>IF(Таблица2[[#This Row],[Profit]]="","#Н/Д",SUM($Y$40:Y717))</f>
        <v>#Н/Д</v>
      </c>
      <c r="AB717" s="45" t="b">
        <f>IF(Таблица2[[#This Row],[Grafik]]="#Н/Д",FALSE,TRUE)</f>
        <v>0</v>
      </c>
    </row>
    <row r="718" spans="2:28" ht="11.1" hidden="1" customHeight="1" x14ac:dyDescent="0.25">
      <c r="B718"/>
      <c r="C718" s="41" t="str">
        <f>IFERROR(VLOOKUP(B718,Baza[[№]:[Profit]],2,0),"")</f>
        <v/>
      </c>
      <c r="D71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1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18" s="43" t="str">
        <f>IFERROR(VLOOKUP(B718,Baza[[№]:[Profit]],3,0),"")</f>
        <v/>
      </c>
      <c r="G718" s="43" t="str">
        <f>IFERROR(VLOOKUP(B718,Baza[[№]:[Profit]],4,0),"")</f>
        <v/>
      </c>
      <c r="H718" s="43" t="str">
        <f>IFERROR(VLOOKUP(B718,Baza[[№]:[Profit]],5,0),"")</f>
        <v/>
      </c>
      <c r="I718" s="46" t="str">
        <f>IFERROR(VLOOKUP(B718,Baza[[№]:[Profit]],6,0),"")</f>
        <v/>
      </c>
      <c r="J718" s="49" t="str">
        <f>IFERROR(VLOOKUP(B718,Baza[[№]:[Profit]],7,0),"")</f>
        <v/>
      </c>
      <c r="K718" s="43" t="str">
        <f>IFERROR(VLOOKUP(B718,Baza[[№]:[Profit]],8,0),"")</f>
        <v/>
      </c>
      <c r="L718" s="43" t="str">
        <f>IFERROR(VLOOKUP(B718,Baza[[№]:[Profit]],9,0),"")</f>
        <v/>
      </c>
      <c r="M718" s="43" t="str">
        <f>IFERROR(VLOOKUP(B718,Baza[[№]:[Profit]],10,0),"")</f>
        <v/>
      </c>
      <c r="N718" s="43" t="str">
        <f>IFERROR(IF(VLOOKUP(B718,Baza[[№]:[Profit]],11,0)=0,"-",VLOOKUP(B718,Baza[[№]:[Profit]],11,0)),"")</f>
        <v/>
      </c>
      <c r="O718" s="43" t="str">
        <f>IFERROR(IF(VLOOKUP(B718,Baza[[№]:[Profit]],12,0)=0,"-",VLOOKUP(B718,Baza[[№]:[Profit]],12,0)),"")</f>
        <v/>
      </c>
      <c r="P718" s="43" t="str">
        <f>IFERROR(IF(VLOOKUP(B718,Baza[[№]:[Profit]],13,0)=0,"-",VLOOKUP(B718,Baza[[№]:[Profit]],13,0)),"")</f>
        <v/>
      </c>
      <c r="Q718" s="43" t="str">
        <f>IFERROR(IF(VLOOKUP(B718,Baza[[№]:[Profit]],15,0)=0,"-",VLOOKUP(B718,Baza[[№]:[Profit]],15,0)),"")</f>
        <v/>
      </c>
      <c r="R718" s="43" t="str">
        <f>IFERROR(IF(VLOOKUP(B718,Baza[[№]:[Profit]],16,0)=0,"-",VLOOKUP(B718,Baza[[№]:[Profit]],16,0)),"")</f>
        <v/>
      </c>
      <c r="S718" s="43" t="str">
        <f>IFERROR(IF(VLOOKUP(B718,Baza[[№]:[Profit]],17,0)=0,"-",VLOOKUP(B718,Baza[[№]:[Profit]],17,0)),"")</f>
        <v/>
      </c>
      <c r="T718" s="43" t="str">
        <f>IFERROR(IF(VLOOKUP(B718,Baza[[№]:[Profit]],18,0)=0,"-",VLOOKUP(B718,Baza[[№]:[Profit]],18,0)),"")</f>
        <v/>
      </c>
      <c r="U718" s="41" t="str">
        <f>IFERROR(IF(VLOOKUP(B718,Baza[[№]:[Profit]],19,0)=0,"-",VLOOKUP(B718,Baza[[№]:[Profit]],19,0)),"")</f>
        <v/>
      </c>
      <c r="V718" s="41" t="str">
        <f>IFERROR(VLOOKUP(B718,Baza[[№]:[Profit]],20,0),"")</f>
        <v/>
      </c>
      <c r="W718" s="41" t="str">
        <f>IFERROR(IF(VLOOKUP(B718,Baza[[№]:[Profit]],21,0)=0,"-",VLOOKUP(B718,Baza[[№]:[Profit]],21,0)),"")</f>
        <v/>
      </c>
      <c r="X718" s="45" t="str">
        <f>IFERROR(IF(VLOOKUP(B718,Baza[[№]:[Profit]],22,0)=0,"-",VLOOKUP(B718,Baza[[№]:[Profit]],22,0)),"")</f>
        <v/>
      </c>
      <c r="Y718" s="45" t="str">
        <f>IFERROR(VLOOKUP(B718,Baza[[№]:[Profit]],23,0),"")</f>
        <v/>
      </c>
      <c r="Z718" s="44" t="str">
        <f>IFERROR(VLOOKUP(B718,Baza[[№]:[AFS]],24,0),"")</f>
        <v/>
      </c>
      <c r="AA718" s="45" t="str">
        <f>IF(Таблица2[[#This Row],[Profit]]="","#Н/Д",SUM($Y$40:Y718))</f>
        <v>#Н/Д</v>
      </c>
      <c r="AB718" s="45" t="b">
        <f>IF(Таблица2[[#This Row],[Grafik]]="#Н/Д",FALSE,TRUE)</f>
        <v>0</v>
      </c>
    </row>
    <row r="719" spans="2:28" ht="11.1" hidden="1" customHeight="1" x14ac:dyDescent="0.25">
      <c r="B719"/>
      <c r="C719" s="41" t="str">
        <f>IFERROR(VLOOKUP(B719,Baza[[№]:[Profit]],2,0),"")</f>
        <v/>
      </c>
      <c r="D71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1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19" s="43" t="str">
        <f>IFERROR(VLOOKUP(B719,Baza[[№]:[Profit]],3,0),"")</f>
        <v/>
      </c>
      <c r="G719" s="43" t="str">
        <f>IFERROR(VLOOKUP(B719,Baza[[№]:[Profit]],4,0),"")</f>
        <v/>
      </c>
      <c r="H719" s="43" t="str">
        <f>IFERROR(VLOOKUP(B719,Baza[[№]:[Profit]],5,0),"")</f>
        <v/>
      </c>
      <c r="I719" s="46" t="str">
        <f>IFERROR(VLOOKUP(B719,Baza[[№]:[Profit]],6,0),"")</f>
        <v/>
      </c>
      <c r="J719" s="49" t="str">
        <f>IFERROR(VLOOKUP(B719,Baza[[№]:[Profit]],7,0),"")</f>
        <v/>
      </c>
      <c r="K719" s="43" t="str">
        <f>IFERROR(VLOOKUP(B719,Baza[[№]:[Profit]],8,0),"")</f>
        <v/>
      </c>
      <c r="L719" s="43" t="str">
        <f>IFERROR(VLOOKUP(B719,Baza[[№]:[Profit]],9,0),"")</f>
        <v/>
      </c>
      <c r="M719" s="43" t="str">
        <f>IFERROR(VLOOKUP(B719,Baza[[№]:[Profit]],10,0),"")</f>
        <v/>
      </c>
      <c r="N719" s="43" t="str">
        <f>IFERROR(IF(VLOOKUP(B719,Baza[[№]:[Profit]],11,0)=0,"-",VLOOKUP(B719,Baza[[№]:[Profit]],11,0)),"")</f>
        <v/>
      </c>
      <c r="O719" s="43" t="str">
        <f>IFERROR(IF(VLOOKUP(B719,Baza[[№]:[Profit]],12,0)=0,"-",VLOOKUP(B719,Baza[[№]:[Profit]],12,0)),"")</f>
        <v/>
      </c>
      <c r="P719" s="43" t="str">
        <f>IFERROR(IF(VLOOKUP(B719,Baza[[№]:[Profit]],13,0)=0,"-",VLOOKUP(B719,Baza[[№]:[Profit]],13,0)),"")</f>
        <v/>
      </c>
      <c r="Q719" s="43" t="str">
        <f>IFERROR(IF(VLOOKUP(B719,Baza[[№]:[Profit]],15,0)=0,"-",VLOOKUP(B719,Baza[[№]:[Profit]],15,0)),"")</f>
        <v/>
      </c>
      <c r="R719" s="43" t="str">
        <f>IFERROR(IF(VLOOKUP(B719,Baza[[№]:[Profit]],16,0)=0,"-",VLOOKUP(B719,Baza[[№]:[Profit]],16,0)),"")</f>
        <v/>
      </c>
      <c r="S719" s="43" t="str">
        <f>IFERROR(IF(VLOOKUP(B719,Baza[[№]:[Profit]],17,0)=0,"-",VLOOKUP(B719,Baza[[№]:[Profit]],17,0)),"")</f>
        <v/>
      </c>
      <c r="T719" s="43" t="str">
        <f>IFERROR(IF(VLOOKUP(B719,Baza[[№]:[Profit]],18,0)=0,"-",VLOOKUP(B719,Baza[[№]:[Profit]],18,0)),"")</f>
        <v/>
      </c>
      <c r="U719" s="41" t="str">
        <f>IFERROR(IF(VLOOKUP(B719,Baza[[№]:[Profit]],19,0)=0,"-",VLOOKUP(B719,Baza[[№]:[Profit]],19,0)),"")</f>
        <v/>
      </c>
      <c r="V719" s="41" t="str">
        <f>IFERROR(VLOOKUP(B719,Baza[[№]:[Profit]],20,0),"")</f>
        <v/>
      </c>
      <c r="W719" s="41" t="str">
        <f>IFERROR(IF(VLOOKUP(B719,Baza[[№]:[Profit]],21,0)=0,"-",VLOOKUP(B719,Baza[[№]:[Profit]],21,0)),"")</f>
        <v/>
      </c>
      <c r="X719" s="45" t="str">
        <f>IFERROR(IF(VLOOKUP(B719,Baza[[№]:[Profit]],22,0)=0,"-",VLOOKUP(B719,Baza[[№]:[Profit]],22,0)),"")</f>
        <v/>
      </c>
      <c r="Y719" s="45" t="str">
        <f>IFERROR(VLOOKUP(B719,Baza[[№]:[Profit]],23,0),"")</f>
        <v/>
      </c>
      <c r="Z719" s="44" t="str">
        <f>IFERROR(VLOOKUP(B719,Baza[[№]:[AFS]],24,0),"")</f>
        <v/>
      </c>
      <c r="AA719" s="45" t="str">
        <f>IF(Таблица2[[#This Row],[Profit]]="","#Н/Д",SUM($Y$40:Y719))</f>
        <v>#Н/Д</v>
      </c>
      <c r="AB719" s="45" t="b">
        <f>IF(Таблица2[[#This Row],[Grafik]]="#Н/Д",FALSE,TRUE)</f>
        <v>0</v>
      </c>
    </row>
    <row r="720" spans="2:28" ht="11.1" hidden="1" customHeight="1" x14ac:dyDescent="0.25">
      <c r="B720"/>
      <c r="C720" s="41" t="str">
        <f>IFERROR(VLOOKUP(B720,Baza[[№]:[Profit]],2,0),"")</f>
        <v/>
      </c>
      <c r="D72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2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20" s="43" t="str">
        <f>IFERROR(VLOOKUP(B720,Baza[[№]:[Profit]],3,0),"")</f>
        <v/>
      </c>
      <c r="G720" s="43" t="str">
        <f>IFERROR(VLOOKUP(B720,Baza[[№]:[Profit]],4,0),"")</f>
        <v/>
      </c>
      <c r="H720" s="43" t="str">
        <f>IFERROR(VLOOKUP(B720,Baza[[№]:[Profit]],5,0),"")</f>
        <v/>
      </c>
      <c r="I720" s="46" t="str">
        <f>IFERROR(VLOOKUP(B720,Baza[[№]:[Profit]],6,0),"")</f>
        <v/>
      </c>
      <c r="J720" s="49" t="str">
        <f>IFERROR(VLOOKUP(B720,Baza[[№]:[Profit]],7,0),"")</f>
        <v/>
      </c>
      <c r="K720" s="43" t="str">
        <f>IFERROR(VLOOKUP(B720,Baza[[№]:[Profit]],8,0),"")</f>
        <v/>
      </c>
      <c r="L720" s="43" t="str">
        <f>IFERROR(VLOOKUP(B720,Baza[[№]:[Profit]],9,0),"")</f>
        <v/>
      </c>
      <c r="M720" s="43" t="str">
        <f>IFERROR(VLOOKUP(B720,Baza[[№]:[Profit]],10,0),"")</f>
        <v/>
      </c>
      <c r="N720" s="43" t="str">
        <f>IFERROR(IF(VLOOKUP(B720,Baza[[№]:[Profit]],11,0)=0,"-",VLOOKUP(B720,Baza[[№]:[Profit]],11,0)),"")</f>
        <v/>
      </c>
      <c r="O720" s="43" t="str">
        <f>IFERROR(IF(VLOOKUP(B720,Baza[[№]:[Profit]],12,0)=0,"-",VLOOKUP(B720,Baza[[№]:[Profit]],12,0)),"")</f>
        <v/>
      </c>
      <c r="P720" s="43" t="str">
        <f>IFERROR(IF(VLOOKUP(B720,Baza[[№]:[Profit]],13,0)=0,"-",VLOOKUP(B720,Baza[[№]:[Profit]],13,0)),"")</f>
        <v/>
      </c>
      <c r="Q720" s="43" t="str">
        <f>IFERROR(IF(VLOOKUP(B720,Baza[[№]:[Profit]],15,0)=0,"-",VLOOKUP(B720,Baza[[№]:[Profit]],15,0)),"")</f>
        <v/>
      </c>
      <c r="R720" s="43" t="str">
        <f>IFERROR(IF(VLOOKUP(B720,Baza[[№]:[Profit]],16,0)=0,"-",VLOOKUP(B720,Baza[[№]:[Profit]],16,0)),"")</f>
        <v/>
      </c>
      <c r="S720" s="43" t="str">
        <f>IFERROR(IF(VLOOKUP(B720,Baza[[№]:[Profit]],17,0)=0,"-",VLOOKUP(B720,Baza[[№]:[Profit]],17,0)),"")</f>
        <v/>
      </c>
      <c r="T720" s="43" t="str">
        <f>IFERROR(IF(VLOOKUP(B720,Baza[[№]:[Profit]],18,0)=0,"-",VLOOKUP(B720,Baza[[№]:[Profit]],18,0)),"")</f>
        <v/>
      </c>
      <c r="U720" s="41" t="str">
        <f>IFERROR(IF(VLOOKUP(B720,Baza[[№]:[Profit]],19,0)=0,"-",VLOOKUP(B720,Baza[[№]:[Profit]],19,0)),"")</f>
        <v/>
      </c>
      <c r="V720" s="41" t="str">
        <f>IFERROR(VLOOKUP(B720,Baza[[№]:[Profit]],20,0),"")</f>
        <v/>
      </c>
      <c r="W720" s="41" t="str">
        <f>IFERROR(IF(VLOOKUP(B720,Baza[[№]:[Profit]],21,0)=0,"-",VLOOKUP(B720,Baza[[№]:[Profit]],21,0)),"")</f>
        <v/>
      </c>
      <c r="X720" s="45" t="str">
        <f>IFERROR(IF(VLOOKUP(B720,Baza[[№]:[Profit]],22,0)=0,"-",VLOOKUP(B720,Baza[[№]:[Profit]],22,0)),"")</f>
        <v/>
      </c>
      <c r="Y720" s="45" t="str">
        <f>IFERROR(VLOOKUP(B720,Baza[[№]:[Profit]],23,0),"")</f>
        <v/>
      </c>
      <c r="Z720" s="44" t="str">
        <f>IFERROR(VLOOKUP(B720,Baza[[№]:[AFS]],24,0),"")</f>
        <v/>
      </c>
      <c r="AA720" s="45" t="str">
        <f>IF(Таблица2[[#This Row],[Profit]]="","#Н/Д",SUM($Y$40:Y720))</f>
        <v>#Н/Д</v>
      </c>
      <c r="AB720" s="45" t="b">
        <f>IF(Таблица2[[#This Row],[Grafik]]="#Н/Д",FALSE,TRUE)</f>
        <v>0</v>
      </c>
    </row>
    <row r="721" spans="2:28" ht="11.1" hidden="1" customHeight="1" x14ac:dyDescent="0.25">
      <c r="B721"/>
      <c r="C721" s="41" t="str">
        <f>IFERROR(VLOOKUP(B721,Baza[[№]:[Profit]],2,0),"")</f>
        <v/>
      </c>
      <c r="D72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2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21" s="43" t="str">
        <f>IFERROR(VLOOKUP(B721,Baza[[№]:[Profit]],3,0),"")</f>
        <v/>
      </c>
      <c r="G721" s="43" t="str">
        <f>IFERROR(VLOOKUP(B721,Baza[[№]:[Profit]],4,0),"")</f>
        <v/>
      </c>
      <c r="H721" s="43" t="str">
        <f>IFERROR(VLOOKUP(B721,Baza[[№]:[Profit]],5,0),"")</f>
        <v/>
      </c>
      <c r="I721" s="46" t="str">
        <f>IFERROR(VLOOKUP(B721,Baza[[№]:[Profit]],6,0),"")</f>
        <v/>
      </c>
      <c r="J721" s="49" t="str">
        <f>IFERROR(VLOOKUP(B721,Baza[[№]:[Profit]],7,0),"")</f>
        <v/>
      </c>
      <c r="K721" s="43" t="str">
        <f>IFERROR(VLOOKUP(B721,Baza[[№]:[Profit]],8,0),"")</f>
        <v/>
      </c>
      <c r="L721" s="43" t="str">
        <f>IFERROR(VLOOKUP(B721,Baza[[№]:[Profit]],9,0),"")</f>
        <v/>
      </c>
      <c r="M721" s="43" t="str">
        <f>IFERROR(VLOOKUP(B721,Baza[[№]:[Profit]],10,0),"")</f>
        <v/>
      </c>
      <c r="N721" s="43" t="str">
        <f>IFERROR(IF(VLOOKUP(B721,Baza[[№]:[Profit]],11,0)=0,"-",VLOOKUP(B721,Baza[[№]:[Profit]],11,0)),"")</f>
        <v/>
      </c>
      <c r="O721" s="43" t="str">
        <f>IFERROR(IF(VLOOKUP(B721,Baza[[№]:[Profit]],12,0)=0,"-",VLOOKUP(B721,Baza[[№]:[Profit]],12,0)),"")</f>
        <v/>
      </c>
      <c r="P721" s="43" t="str">
        <f>IFERROR(IF(VLOOKUP(B721,Baza[[№]:[Profit]],13,0)=0,"-",VLOOKUP(B721,Baza[[№]:[Profit]],13,0)),"")</f>
        <v/>
      </c>
      <c r="Q721" s="43" t="str">
        <f>IFERROR(IF(VLOOKUP(B721,Baza[[№]:[Profit]],15,0)=0,"-",VLOOKUP(B721,Baza[[№]:[Profit]],15,0)),"")</f>
        <v/>
      </c>
      <c r="R721" s="43" t="str">
        <f>IFERROR(IF(VLOOKUP(B721,Baza[[№]:[Profit]],16,0)=0,"-",VLOOKUP(B721,Baza[[№]:[Profit]],16,0)),"")</f>
        <v/>
      </c>
      <c r="S721" s="43" t="str">
        <f>IFERROR(IF(VLOOKUP(B721,Baza[[№]:[Profit]],17,0)=0,"-",VLOOKUP(B721,Baza[[№]:[Profit]],17,0)),"")</f>
        <v/>
      </c>
      <c r="T721" s="43" t="str">
        <f>IFERROR(IF(VLOOKUP(B721,Baza[[№]:[Profit]],18,0)=0,"-",VLOOKUP(B721,Baza[[№]:[Profit]],18,0)),"")</f>
        <v/>
      </c>
      <c r="U721" s="41" t="str">
        <f>IFERROR(IF(VLOOKUP(B721,Baza[[№]:[Profit]],19,0)=0,"-",VLOOKUP(B721,Baza[[№]:[Profit]],19,0)),"")</f>
        <v/>
      </c>
      <c r="V721" s="41" t="str">
        <f>IFERROR(VLOOKUP(B721,Baza[[№]:[Profit]],20,0),"")</f>
        <v/>
      </c>
      <c r="W721" s="41" t="str">
        <f>IFERROR(IF(VLOOKUP(B721,Baza[[№]:[Profit]],21,0)=0,"-",VLOOKUP(B721,Baza[[№]:[Profit]],21,0)),"")</f>
        <v/>
      </c>
      <c r="X721" s="45" t="str">
        <f>IFERROR(IF(VLOOKUP(B721,Baza[[№]:[Profit]],22,0)=0,"-",VLOOKUP(B721,Baza[[№]:[Profit]],22,0)),"")</f>
        <v/>
      </c>
      <c r="Y721" s="45" t="str">
        <f>IFERROR(VLOOKUP(B721,Baza[[№]:[Profit]],23,0),"")</f>
        <v/>
      </c>
      <c r="Z721" s="44" t="str">
        <f>IFERROR(VLOOKUP(B721,Baza[[№]:[AFS]],24,0),"")</f>
        <v/>
      </c>
      <c r="AA721" s="45" t="str">
        <f>IF(Таблица2[[#This Row],[Profit]]="","#Н/Д",SUM($Y$40:Y721))</f>
        <v>#Н/Д</v>
      </c>
      <c r="AB721" s="45" t="b">
        <f>IF(Таблица2[[#This Row],[Grafik]]="#Н/Д",FALSE,TRUE)</f>
        <v>0</v>
      </c>
    </row>
    <row r="722" spans="2:28" ht="11.1" hidden="1" customHeight="1" x14ac:dyDescent="0.25">
      <c r="B722"/>
      <c r="C722" s="41" t="str">
        <f>IFERROR(VLOOKUP(B722,Baza[[№]:[Profit]],2,0),"")</f>
        <v/>
      </c>
      <c r="D72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2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22" s="43" t="str">
        <f>IFERROR(VLOOKUP(B722,Baza[[№]:[Profit]],3,0),"")</f>
        <v/>
      </c>
      <c r="G722" s="43" t="str">
        <f>IFERROR(VLOOKUP(B722,Baza[[№]:[Profit]],4,0),"")</f>
        <v/>
      </c>
      <c r="H722" s="43" t="str">
        <f>IFERROR(VLOOKUP(B722,Baza[[№]:[Profit]],5,0),"")</f>
        <v/>
      </c>
      <c r="I722" s="46" t="str">
        <f>IFERROR(VLOOKUP(B722,Baza[[№]:[Profit]],6,0),"")</f>
        <v/>
      </c>
      <c r="J722" s="49" t="str">
        <f>IFERROR(VLOOKUP(B722,Baza[[№]:[Profit]],7,0),"")</f>
        <v/>
      </c>
      <c r="K722" s="43" t="str">
        <f>IFERROR(VLOOKUP(B722,Baza[[№]:[Profit]],8,0),"")</f>
        <v/>
      </c>
      <c r="L722" s="43" t="str">
        <f>IFERROR(VLOOKUP(B722,Baza[[№]:[Profit]],9,0),"")</f>
        <v/>
      </c>
      <c r="M722" s="43" t="str">
        <f>IFERROR(VLOOKUP(B722,Baza[[№]:[Profit]],10,0),"")</f>
        <v/>
      </c>
      <c r="N722" s="43" t="str">
        <f>IFERROR(IF(VLOOKUP(B722,Baza[[№]:[Profit]],11,0)=0,"-",VLOOKUP(B722,Baza[[№]:[Profit]],11,0)),"")</f>
        <v/>
      </c>
      <c r="O722" s="43" t="str">
        <f>IFERROR(IF(VLOOKUP(B722,Baza[[№]:[Profit]],12,0)=0,"-",VLOOKUP(B722,Baza[[№]:[Profit]],12,0)),"")</f>
        <v/>
      </c>
      <c r="P722" s="43" t="str">
        <f>IFERROR(IF(VLOOKUP(B722,Baza[[№]:[Profit]],13,0)=0,"-",VLOOKUP(B722,Baza[[№]:[Profit]],13,0)),"")</f>
        <v/>
      </c>
      <c r="Q722" s="43" t="str">
        <f>IFERROR(IF(VLOOKUP(B722,Baza[[№]:[Profit]],15,0)=0,"-",VLOOKUP(B722,Baza[[№]:[Profit]],15,0)),"")</f>
        <v/>
      </c>
      <c r="R722" s="43" t="str">
        <f>IFERROR(IF(VLOOKUP(B722,Baza[[№]:[Profit]],16,0)=0,"-",VLOOKUP(B722,Baza[[№]:[Profit]],16,0)),"")</f>
        <v/>
      </c>
      <c r="S722" s="43" t="str">
        <f>IFERROR(IF(VLOOKUP(B722,Baza[[№]:[Profit]],17,0)=0,"-",VLOOKUP(B722,Baza[[№]:[Profit]],17,0)),"")</f>
        <v/>
      </c>
      <c r="T722" s="43" t="str">
        <f>IFERROR(IF(VLOOKUP(B722,Baza[[№]:[Profit]],18,0)=0,"-",VLOOKUP(B722,Baza[[№]:[Profit]],18,0)),"")</f>
        <v/>
      </c>
      <c r="U722" s="41" t="str">
        <f>IFERROR(IF(VLOOKUP(B722,Baza[[№]:[Profit]],19,0)=0,"-",VLOOKUP(B722,Baza[[№]:[Profit]],19,0)),"")</f>
        <v/>
      </c>
      <c r="V722" s="41" t="str">
        <f>IFERROR(VLOOKUP(B722,Baza[[№]:[Profit]],20,0),"")</f>
        <v/>
      </c>
      <c r="W722" s="41" t="str">
        <f>IFERROR(IF(VLOOKUP(B722,Baza[[№]:[Profit]],21,0)=0,"-",VLOOKUP(B722,Baza[[№]:[Profit]],21,0)),"")</f>
        <v/>
      </c>
      <c r="X722" s="45" t="str">
        <f>IFERROR(IF(VLOOKUP(B722,Baza[[№]:[Profit]],22,0)=0,"-",VLOOKUP(B722,Baza[[№]:[Profit]],22,0)),"")</f>
        <v/>
      </c>
      <c r="Y722" s="45" t="str">
        <f>IFERROR(VLOOKUP(B722,Baza[[№]:[Profit]],23,0),"")</f>
        <v/>
      </c>
      <c r="Z722" s="44" t="str">
        <f>IFERROR(VLOOKUP(B722,Baza[[№]:[AFS]],24,0),"")</f>
        <v/>
      </c>
      <c r="AA722" s="45" t="str">
        <f>IF(Таблица2[[#This Row],[Profit]]="","#Н/Д",SUM($Y$40:Y722))</f>
        <v>#Н/Д</v>
      </c>
      <c r="AB722" s="45" t="b">
        <f>IF(Таблица2[[#This Row],[Grafik]]="#Н/Д",FALSE,TRUE)</f>
        <v>0</v>
      </c>
    </row>
    <row r="723" spans="2:28" ht="11.1" hidden="1" customHeight="1" x14ac:dyDescent="0.25">
      <c r="B723"/>
      <c r="C723" s="41" t="str">
        <f>IFERROR(VLOOKUP(B723,Baza[[№]:[Profit]],2,0),"")</f>
        <v/>
      </c>
      <c r="D72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2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23" s="43" t="str">
        <f>IFERROR(VLOOKUP(B723,Baza[[№]:[Profit]],3,0),"")</f>
        <v/>
      </c>
      <c r="G723" s="43" t="str">
        <f>IFERROR(VLOOKUP(B723,Baza[[№]:[Profit]],4,0),"")</f>
        <v/>
      </c>
      <c r="H723" s="43" t="str">
        <f>IFERROR(VLOOKUP(B723,Baza[[№]:[Profit]],5,0),"")</f>
        <v/>
      </c>
      <c r="I723" s="46" t="str">
        <f>IFERROR(VLOOKUP(B723,Baza[[№]:[Profit]],6,0),"")</f>
        <v/>
      </c>
      <c r="J723" s="49" t="str">
        <f>IFERROR(VLOOKUP(B723,Baza[[№]:[Profit]],7,0),"")</f>
        <v/>
      </c>
      <c r="K723" s="43" t="str">
        <f>IFERROR(VLOOKUP(B723,Baza[[№]:[Profit]],8,0),"")</f>
        <v/>
      </c>
      <c r="L723" s="43" t="str">
        <f>IFERROR(VLOOKUP(B723,Baza[[№]:[Profit]],9,0),"")</f>
        <v/>
      </c>
      <c r="M723" s="43" t="str">
        <f>IFERROR(VLOOKUP(B723,Baza[[№]:[Profit]],10,0),"")</f>
        <v/>
      </c>
      <c r="N723" s="43" t="str">
        <f>IFERROR(IF(VLOOKUP(B723,Baza[[№]:[Profit]],11,0)=0,"-",VLOOKUP(B723,Baza[[№]:[Profit]],11,0)),"")</f>
        <v/>
      </c>
      <c r="O723" s="43" t="str">
        <f>IFERROR(IF(VLOOKUP(B723,Baza[[№]:[Profit]],12,0)=0,"-",VLOOKUP(B723,Baza[[№]:[Profit]],12,0)),"")</f>
        <v/>
      </c>
      <c r="P723" s="43" t="str">
        <f>IFERROR(IF(VLOOKUP(B723,Baza[[№]:[Profit]],13,0)=0,"-",VLOOKUP(B723,Baza[[№]:[Profit]],13,0)),"")</f>
        <v/>
      </c>
      <c r="Q723" s="43" t="str">
        <f>IFERROR(IF(VLOOKUP(B723,Baza[[№]:[Profit]],15,0)=0,"-",VLOOKUP(B723,Baza[[№]:[Profit]],15,0)),"")</f>
        <v/>
      </c>
      <c r="R723" s="43" t="str">
        <f>IFERROR(IF(VLOOKUP(B723,Baza[[№]:[Profit]],16,0)=0,"-",VLOOKUP(B723,Baza[[№]:[Profit]],16,0)),"")</f>
        <v/>
      </c>
      <c r="S723" s="43" t="str">
        <f>IFERROR(IF(VLOOKUP(B723,Baza[[№]:[Profit]],17,0)=0,"-",VLOOKUP(B723,Baza[[№]:[Profit]],17,0)),"")</f>
        <v/>
      </c>
      <c r="T723" s="43" t="str">
        <f>IFERROR(IF(VLOOKUP(B723,Baza[[№]:[Profit]],18,0)=0,"-",VLOOKUP(B723,Baza[[№]:[Profit]],18,0)),"")</f>
        <v/>
      </c>
      <c r="U723" s="41" t="str">
        <f>IFERROR(IF(VLOOKUP(B723,Baza[[№]:[Profit]],19,0)=0,"-",VLOOKUP(B723,Baza[[№]:[Profit]],19,0)),"")</f>
        <v/>
      </c>
      <c r="V723" s="41" t="str">
        <f>IFERROR(VLOOKUP(B723,Baza[[№]:[Profit]],20,0),"")</f>
        <v/>
      </c>
      <c r="W723" s="41" t="str">
        <f>IFERROR(IF(VLOOKUP(B723,Baza[[№]:[Profit]],21,0)=0,"-",VLOOKUP(B723,Baza[[№]:[Profit]],21,0)),"")</f>
        <v/>
      </c>
      <c r="X723" s="45" t="str">
        <f>IFERROR(IF(VLOOKUP(B723,Baza[[№]:[Profit]],22,0)=0,"-",VLOOKUP(B723,Baza[[№]:[Profit]],22,0)),"")</f>
        <v/>
      </c>
      <c r="Y723" s="45" t="str">
        <f>IFERROR(VLOOKUP(B723,Baza[[№]:[Profit]],23,0),"")</f>
        <v/>
      </c>
      <c r="Z723" s="44" t="str">
        <f>IFERROR(VLOOKUP(B723,Baza[[№]:[AFS]],24,0),"")</f>
        <v/>
      </c>
      <c r="AA723" s="45" t="str">
        <f>IF(Таблица2[[#This Row],[Profit]]="","#Н/Д",SUM($Y$40:Y723))</f>
        <v>#Н/Д</v>
      </c>
      <c r="AB723" s="45" t="b">
        <f>IF(Таблица2[[#This Row],[Grafik]]="#Н/Д",FALSE,TRUE)</f>
        <v>0</v>
      </c>
    </row>
    <row r="724" spans="2:28" ht="11.1" hidden="1" customHeight="1" x14ac:dyDescent="0.25">
      <c r="B724"/>
      <c r="C724" s="41" t="str">
        <f>IFERROR(VLOOKUP(B724,Baza[[№]:[Profit]],2,0),"")</f>
        <v/>
      </c>
      <c r="D72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2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24" s="43" t="str">
        <f>IFERROR(VLOOKUP(B724,Baza[[№]:[Profit]],3,0),"")</f>
        <v/>
      </c>
      <c r="G724" s="43" t="str">
        <f>IFERROR(VLOOKUP(B724,Baza[[№]:[Profit]],4,0),"")</f>
        <v/>
      </c>
      <c r="H724" s="43" t="str">
        <f>IFERROR(VLOOKUP(B724,Baza[[№]:[Profit]],5,0),"")</f>
        <v/>
      </c>
      <c r="I724" s="46" t="str">
        <f>IFERROR(VLOOKUP(B724,Baza[[№]:[Profit]],6,0),"")</f>
        <v/>
      </c>
      <c r="J724" s="49" t="str">
        <f>IFERROR(VLOOKUP(B724,Baza[[№]:[Profit]],7,0),"")</f>
        <v/>
      </c>
      <c r="K724" s="43" t="str">
        <f>IFERROR(VLOOKUP(B724,Baza[[№]:[Profit]],8,0),"")</f>
        <v/>
      </c>
      <c r="L724" s="43" t="str">
        <f>IFERROR(VLOOKUP(B724,Baza[[№]:[Profit]],9,0),"")</f>
        <v/>
      </c>
      <c r="M724" s="43" t="str">
        <f>IFERROR(VLOOKUP(B724,Baza[[№]:[Profit]],10,0),"")</f>
        <v/>
      </c>
      <c r="N724" s="43" t="str">
        <f>IFERROR(IF(VLOOKUP(B724,Baza[[№]:[Profit]],11,0)=0,"-",VLOOKUP(B724,Baza[[№]:[Profit]],11,0)),"")</f>
        <v/>
      </c>
      <c r="O724" s="43" t="str">
        <f>IFERROR(IF(VLOOKUP(B724,Baza[[№]:[Profit]],12,0)=0,"-",VLOOKUP(B724,Baza[[№]:[Profit]],12,0)),"")</f>
        <v/>
      </c>
      <c r="P724" s="43" t="str">
        <f>IFERROR(IF(VLOOKUP(B724,Baza[[№]:[Profit]],13,0)=0,"-",VLOOKUP(B724,Baza[[№]:[Profit]],13,0)),"")</f>
        <v/>
      </c>
      <c r="Q724" s="43" t="str">
        <f>IFERROR(IF(VLOOKUP(B724,Baza[[№]:[Profit]],15,0)=0,"-",VLOOKUP(B724,Baza[[№]:[Profit]],15,0)),"")</f>
        <v/>
      </c>
      <c r="R724" s="43" t="str">
        <f>IFERROR(IF(VLOOKUP(B724,Baza[[№]:[Profit]],16,0)=0,"-",VLOOKUP(B724,Baza[[№]:[Profit]],16,0)),"")</f>
        <v/>
      </c>
      <c r="S724" s="43" t="str">
        <f>IFERROR(IF(VLOOKUP(B724,Baza[[№]:[Profit]],17,0)=0,"-",VLOOKUP(B724,Baza[[№]:[Profit]],17,0)),"")</f>
        <v/>
      </c>
      <c r="T724" s="43" t="str">
        <f>IFERROR(IF(VLOOKUP(B724,Baza[[№]:[Profit]],18,0)=0,"-",VLOOKUP(B724,Baza[[№]:[Profit]],18,0)),"")</f>
        <v/>
      </c>
      <c r="U724" s="41" t="str">
        <f>IFERROR(IF(VLOOKUP(B724,Baza[[№]:[Profit]],19,0)=0,"-",VLOOKUP(B724,Baza[[№]:[Profit]],19,0)),"")</f>
        <v/>
      </c>
      <c r="V724" s="41" t="str">
        <f>IFERROR(VLOOKUP(B724,Baza[[№]:[Profit]],20,0),"")</f>
        <v/>
      </c>
      <c r="W724" s="41" t="str">
        <f>IFERROR(IF(VLOOKUP(B724,Baza[[№]:[Profit]],21,0)=0,"-",VLOOKUP(B724,Baza[[№]:[Profit]],21,0)),"")</f>
        <v/>
      </c>
      <c r="X724" s="45" t="str">
        <f>IFERROR(IF(VLOOKUP(B724,Baza[[№]:[Profit]],22,0)=0,"-",VLOOKUP(B724,Baza[[№]:[Profit]],22,0)),"")</f>
        <v/>
      </c>
      <c r="Y724" s="45" t="str">
        <f>IFERROR(VLOOKUP(B724,Baza[[№]:[Profit]],23,0),"")</f>
        <v/>
      </c>
      <c r="Z724" s="44" t="str">
        <f>IFERROR(VLOOKUP(B724,Baza[[№]:[AFS]],24,0),"")</f>
        <v/>
      </c>
      <c r="AA724" s="45" t="str">
        <f>IF(Таблица2[[#This Row],[Profit]]="","#Н/Д",SUM($Y$40:Y724))</f>
        <v>#Н/Д</v>
      </c>
      <c r="AB724" s="45" t="b">
        <f>IF(Таблица2[[#This Row],[Grafik]]="#Н/Д",FALSE,TRUE)</f>
        <v>0</v>
      </c>
    </row>
    <row r="725" spans="2:28" ht="11.1" hidden="1" customHeight="1" x14ac:dyDescent="0.25">
      <c r="B725"/>
      <c r="C725" s="41" t="str">
        <f>IFERROR(VLOOKUP(B725,Baza[[№]:[Profit]],2,0),"")</f>
        <v/>
      </c>
      <c r="D72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2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25" s="43" t="str">
        <f>IFERROR(VLOOKUP(B725,Baza[[№]:[Profit]],3,0),"")</f>
        <v/>
      </c>
      <c r="G725" s="43" t="str">
        <f>IFERROR(VLOOKUP(B725,Baza[[№]:[Profit]],4,0),"")</f>
        <v/>
      </c>
      <c r="H725" s="43" t="str">
        <f>IFERROR(VLOOKUP(B725,Baza[[№]:[Profit]],5,0),"")</f>
        <v/>
      </c>
      <c r="I725" s="46" t="str">
        <f>IFERROR(VLOOKUP(B725,Baza[[№]:[Profit]],6,0),"")</f>
        <v/>
      </c>
      <c r="J725" s="49" t="str">
        <f>IFERROR(VLOOKUP(B725,Baza[[№]:[Profit]],7,0),"")</f>
        <v/>
      </c>
      <c r="K725" s="43" t="str">
        <f>IFERROR(VLOOKUP(B725,Baza[[№]:[Profit]],8,0),"")</f>
        <v/>
      </c>
      <c r="L725" s="43" t="str">
        <f>IFERROR(VLOOKUP(B725,Baza[[№]:[Profit]],9,0),"")</f>
        <v/>
      </c>
      <c r="M725" s="43" t="str">
        <f>IFERROR(VLOOKUP(B725,Baza[[№]:[Profit]],10,0),"")</f>
        <v/>
      </c>
      <c r="N725" s="43" t="str">
        <f>IFERROR(IF(VLOOKUP(B725,Baza[[№]:[Profit]],11,0)=0,"-",VLOOKUP(B725,Baza[[№]:[Profit]],11,0)),"")</f>
        <v/>
      </c>
      <c r="O725" s="43" t="str">
        <f>IFERROR(IF(VLOOKUP(B725,Baza[[№]:[Profit]],12,0)=0,"-",VLOOKUP(B725,Baza[[№]:[Profit]],12,0)),"")</f>
        <v/>
      </c>
      <c r="P725" s="43" t="str">
        <f>IFERROR(IF(VLOOKUP(B725,Baza[[№]:[Profit]],13,0)=0,"-",VLOOKUP(B725,Baza[[№]:[Profit]],13,0)),"")</f>
        <v/>
      </c>
      <c r="Q725" s="43" t="str">
        <f>IFERROR(IF(VLOOKUP(B725,Baza[[№]:[Profit]],15,0)=0,"-",VLOOKUP(B725,Baza[[№]:[Profit]],15,0)),"")</f>
        <v/>
      </c>
      <c r="R725" s="43" t="str">
        <f>IFERROR(IF(VLOOKUP(B725,Baza[[№]:[Profit]],16,0)=0,"-",VLOOKUP(B725,Baza[[№]:[Profit]],16,0)),"")</f>
        <v/>
      </c>
      <c r="S725" s="43" t="str">
        <f>IFERROR(IF(VLOOKUP(B725,Baza[[№]:[Profit]],17,0)=0,"-",VLOOKUP(B725,Baza[[№]:[Profit]],17,0)),"")</f>
        <v/>
      </c>
      <c r="T725" s="43" t="str">
        <f>IFERROR(IF(VLOOKUP(B725,Baza[[№]:[Profit]],18,0)=0,"-",VLOOKUP(B725,Baza[[№]:[Profit]],18,0)),"")</f>
        <v/>
      </c>
      <c r="U725" s="41" t="str">
        <f>IFERROR(IF(VLOOKUP(B725,Baza[[№]:[Profit]],19,0)=0,"-",VLOOKUP(B725,Baza[[№]:[Profit]],19,0)),"")</f>
        <v/>
      </c>
      <c r="V725" s="41" t="str">
        <f>IFERROR(VLOOKUP(B725,Baza[[№]:[Profit]],20,0),"")</f>
        <v/>
      </c>
      <c r="W725" s="41" t="str">
        <f>IFERROR(IF(VLOOKUP(B725,Baza[[№]:[Profit]],21,0)=0,"-",VLOOKUP(B725,Baza[[№]:[Profit]],21,0)),"")</f>
        <v/>
      </c>
      <c r="X725" s="45" t="str">
        <f>IFERROR(IF(VLOOKUP(B725,Baza[[№]:[Profit]],22,0)=0,"-",VLOOKUP(B725,Baza[[№]:[Profit]],22,0)),"")</f>
        <v/>
      </c>
      <c r="Y725" s="45" t="str">
        <f>IFERROR(VLOOKUP(B725,Baza[[№]:[Profit]],23,0),"")</f>
        <v/>
      </c>
      <c r="Z725" s="44" t="str">
        <f>IFERROR(VLOOKUP(B725,Baza[[№]:[AFS]],24,0),"")</f>
        <v/>
      </c>
      <c r="AA725" s="45" t="str">
        <f>IF(Таблица2[[#This Row],[Profit]]="","#Н/Д",SUM($Y$40:Y725))</f>
        <v>#Н/Д</v>
      </c>
      <c r="AB725" s="45" t="b">
        <f>IF(Таблица2[[#This Row],[Grafik]]="#Н/Д",FALSE,TRUE)</f>
        <v>0</v>
      </c>
    </row>
    <row r="726" spans="2:28" ht="11.1" hidden="1" customHeight="1" x14ac:dyDescent="0.25">
      <c r="B726"/>
      <c r="C726" s="41" t="str">
        <f>IFERROR(VLOOKUP(B726,Baza[[№]:[Profit]],2,0),"")</f>
        <v/>
      </c>
      <c r="D72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2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26" s="43" t="str">
        <f>IFERROR(VLOOKUP(B726,Baza[[№]:[Profit]],3,0),"")</f>
        <v/>
      </c>
      <c r="G726" s="43" t="str">
        <f>IFERROR(VLOOKUP(B726,Baza[[№]:[Profit]],4,0),"")</f>
        <v/>
      </c>
      <c r="H726" s="43" t="str">
        <f>IFERROR(VLOOKUP(B726,Baza[[№]:[Profit]],5,0),"")</f>
        <v/>
      </c>
      <c r="I726" s="46" t="str">
        <f>IFERROR(VLOOKUP(B726,Baza[[№]:[Profit]],6,0),"")</f>
        <v/>
      </c>
      <c r="J726" s="49" t="str">
        <f>IFERROR(VLOOKUP(B726,Baza[[№]:[Profit]],7,0),"")</f>
        <v/>
      </c>
      <c r="K726" s="43" t="str">
        <f>IFERROR(VLOOKUP(B726,Baza[[№]:[Profit]],8,0),"")</f>
        <v/>
      </c>
      <c r="L726" s="43" t="str">
        <f>IFERROR(VLOOKUP(B726,Baza[[№]:[Profit]],9,0),"")</f>
        <v/>
      </c>
      <c r="M726" s="43" t="str">
        <f>IFERROR(VLOOKUP(B726,Baza[[№]:[Profit]],10,0),"")</f>
        <v/>
      </c>
      <c r="N726" s="43" t="str">
        <f>IFERROR(IF(VLOOKUP(B726,Baza[[№]:[Profit]],11,0)=0,"-",VLOOKUP(B726,Baza[[№]:[Profit]],11,0)),"")</f>
        <v/>
      </c>
      <c r="O726" s="43" t="str">
        <f>IFERROR(IF(VLOOKUP(B726,Baza[[№]:[Profit]],12,0)=0,"-",VLOOKUP(B726,Baza[[№]:[Profit]],12,0)),"")</f>
        <v/>
      </c>
      <c r="P726" s="43" t="str">
        <f>IFERROR(IF(VLOOKUP(B726,Baza[[№]:[Profit]],13,0)=0,"-",VLOOKUP(B726,Baza[[№]:[Profit]],13,0)),"")</f>
        <v/>
      </c>
      <c r="Q726" s="43" t="str">
        <f>IFERROR(IF(VLOOKUP(B726,Baza[[№]:[Profit]],15,0)=0,"-",VLOOKUP(B726,Baza[[№]:[Profit]],15,0)),"")</f>
        <v/>
      </c>
      <c r="R726" s="43" t="str">
        <f>IFERROR(IF(VLOOKUP(B726,Baza[[№]:[Profit]],16,0)=0,"-",VLOOKUP(B726,Baza[[№]:[Profit]],16,0)),"")</f>
        <v/>
      </c>
      <c r="S726" s="43" t="str">
        <f>IFERROR(IF(VLOOKUP(B726,Baza[[№]:[Profit]],17,0)=0,"-",VLOOKUP(B726,Baza[[№]:[Profit]],17,0)),"")</f>
        <v/>
      </c>
      <c r="T726" s="43" t="str">
        <f>IFERROR(IF(VLOOKUP(B726,Baza[[№]:[Profit]],18,0)=0,"-",VLOOKUP(B726,Baza[[№]:[Profit]],18,0)),"")</f>
        <v/>
      </c>
      <c r="U726" s="41" t="str">
        <f>IFERROR(IF(VLOOKUP(B726,Baza[[№]:[Profit]],19,0)=0,"-",VLOOKUP(B726,Baza[[№]:[Profit]],19,0)),"")</f>
        <v/>
      </c>
      <c r="V726" s="41" t="str">
        <f>IFERROR(VLOOKUP(B726,Baza[[№]:[Profit]],20,0),"")</f>
        <v/>
      </c>
      <c r="W726" s="41" t="str">
        <f>IFERROR(IF(VLOOKUP(B726,Baza[[№]:[Profit]],21,0)=0,"-",VLOOKUP(B726,Baza[[№]:[Profit]],21,0)),"")</f>
        <v/>
      </c>
      <c r="X726" s="45" t="str">
        <f>IFERROR(IF(VLOOKUP(B726,Baza[[№]:[Profit]],22,0)=0,"-",VLOOKUP(B726,Baza[[№]:[Profit]],22,0)),"")</f>
        <v/>
      </c>
      <c r="Y726" s="45" t="str">
        <f>IFERROR(VLOOKUP(B726,Baza[[№]:[Profit]],23,0),"")</f>
        <v/>
      </c>
      <c r="Z726" s="44" t="str">
        <f>IFERROR(VLOOKUP(B726,Baza[[№]:[AFS]],24,0),"")</f>
        <v/>
      </c>
      <c r="AA726" s="45" t="str">
        <f>IF(Таблица2[[#This Row],[Profit]]="","#Н/Д",SUM($Y$40:Y726))</f>
        <v>#Н/Д</v>
      </c>
      <c r="AB726" s="45" t="b">
        <f>IF(Таблица2[[#This Row],[Grafik]]="#Н/Д",FALSE,TRUE)</f>
        <v>0</v>
      </c>
    </row>
    <row r="727" spans="2:28" ht="11.1" hidden="1" customHeight="1" x14ac:dyDescent="0.25">
      <c r="B727"/>
      <c r="C727" s="41" t="str">
        <f>IFERROR(VLOOKUP(B727,Baza[[№]:[Profit]],2,0),"")</f>
        <v/>
      </c>
      <c r="D72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2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27" s="43" t="str">
        <f>IFERROR(VLOOKUP(B727,Baza[[№]:[Profit]],3,0),"")</f>
        <v/>
      </c>
      <c r="G727" s="43" t="str">
        <f>IFERROR(VLOOKUP(B727,Baza[[№]:[Profit]],4,0),"")</f>
        <v/>
      </c>
      <c r="H727" s="43" t="str">
        <f>IFERROR(VLOOKUP(B727,Baza[[№]:[Profit]],5,0),"")</f>
        <v/>
      </c>
      <c r="I727" s="46" t="str">
        <f>IFERROR(VLOOKUP(B727,Baza[[№]:[Profit]],6,0),"")</f>
        <v/>
      </c>
      <c r="J727" s="49" t="str">
        <f>IFERROR(VLOOKUP(B727,Baza[[№]:[Profit]],7,0),"")</f>
        <v/>
      </c>
      <c r="K727" s="43" t="str">
        <f>IFERROR(VLOOKUP(B727,Baza[[№]:[Profit]],8,0),"")</f>
        <v/>
      </c>
      <c r="L727" s="43" t="str">
        <f>IFERROR(VLOOKUP(B727,Baza[[№]:[Profit]],9,0),"")</f>
        <v/>
      </c>
      <c r="M727" s="43" t="str">
        <f>IFERROR(VLOOKUP(B727,Baza[[№]:[Profit]],10,0),"")</f>
        <v/>
      </c>
      <c r="N727" s="43" t="str">
        <f>IFERROR(IF(VLOOKUP(B727,Baza[[№]:[Profit]],11,0)=0,"-",VLOOKUP(B727,Baza[[№]:[Profit]],11,0)),"")</f>
        <v/>
      </c>
      <c r="O727" s="43" t="str">
        <f>IFERROR(IF(VLOOKUP(B727,Baza[[№]:[Profit]],12,0)=0,"-",VLOOKUP(B727,Baza[[№]:[Profit]],12,0)),"")</f>
        <v/>
      </c>
      <c r="P727" s="43" t="str">
        <f>IFERROR(IF(VLOOKUP(B727,Baza[[№]:[Profit]],13,0)=0,"-",VLOOKUP(B727,Baza[[№]:[Profit]],13,0)),"")</f>
        <v/>
      </c>
      <c r="Q727" s="43" t="str">
        <f>IFERROR(IF(VLOOKUP(B727,Baza[[№]:[Profit]],15,0)=0,"-",VLOOKUP(B727,Baza[[№]:[Profit]],15,0)),"")</f>
        <v/>
      </c>
      <c r="R727" s="43" t="str">
        <f>IFERROR(IF(VLOOKUP(B727,Baza[[№]:[Profit]],16,0)=0,"-",VLOOKUP(B727,Baza[[№]:[Profit]],16,0)),"")</f>
        <v/>
      </c>
      <c r="S727" s="43" t="str">
        <f>IFERROR(IF(VLOOKUP(B727,Baza[[№]:[Profit]],17,0)=0,"-",VLOOKUP(B727,Baza[[№]:[Profit]],17,0)),"")</f>
        <v/>
      </c>
      <c r="T727" s="43" t="str">
        <f>IFERROR(IF(VLOOKUP(B727,Baza[[№]:[Profit]],18,0)=0,"-",VLOOKUP(B727,Baza[[№]:[Profit]],18,0)),"")</f>
        <v/>
      </c>
      <c r="U727" s="41" t="str">
        <f>IFERROR(IF(VLOOKUP(B727,Baza[[№]:[Profit]],19,0)=0,"-",VLOOKUP(B727,Baza[[№]:[Profit]],19,0)),"")</f>
        <v/>
      </c>
      <c r="V727" s="41" t="str">
        <f>IFERROR(VLOOKUP(B727,Baza[[№]:[Profit]],20,0),"")</f>
        <v/>
      </c>
      <c r="W727" s="41" t="str">
        <f>IFERROR(IF(VLOOKUP(B727,Baza[[№]:[Profit]],21,0)=0,"-",VLOOKUP(B727,Baza[[№]:[Profit]],21,0)),"")</f>
        <v/>
      </c>
      <c r="X727" s="45" t="str">
        <f>IFERROR(IF(VLOOKUP(B727,Baza[[№]:[Profit]],22,0)=0,"-",VLOOKUP(B727,Baza[[№]:[Profit]],22,0)),"")</f>
        <v/>
      </c>
      <c r="Y727" s="45" t="str">
        <f>IFERROR(VLOOKUP(B727,Baza[[№]:[Profit]],23,0),"")</f>
        <v/>
      </c>
      <c r="Z727" s="44" t="str">
        <f>IFERROR(VLOOKUP(B727,Baza[[№]:[AFS]],24,0),"")</f>
        <v/>
      </c>
      <c r="AA727" s="45" t="str">
        <f>IF(Таблица2[[#This Row],[Profit]]="","#Н/Д",SUM($Y$40:Y727))</f>
        <v>#Н/Д</v>
      </c>
      <c r="AB727" s="45" t="b">
        <f>IF(Таблица2[[#This Row],[Grafik]]="#Н/Д",FALSE,TRUE)</f>
        <v>0</v>
      </c>
    </row>
    <row r="728" spans="2:28" ht="11.1" hidden="1" customHeight="1" x14ac:dyDescent="0.25">
      <c r="B728"/>
      <c r="C728" s="41" t="str">
        <f>IFERROR(VLOOKUP(B728,Baza[[№]:[Profit]],2,0),"")</f>
        <v/>
      </c>
      <c r="D72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2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28" s="43" t="str">
        <f>IFERROR(VLOOKUP(B728,Baza[[№]:[Profit]],3,0),"")</f>
        <v/>
      </c>
      <c r="G728" s="43" t="str">
        <f>IFERROR(VLOOKUP(B728,Baza[[№]:[Profit]],4,0),"")</f>
        <v/>
      </c>
      <c r="H728" s="43" t="str">
        <f>IFERROR(VLOOKUP(B728,Baza[[№]:[Profit]],5,0),"")</f>
        <v/>
      </c>
      <c r="I728" s="46" t="str">
        <f>IFERROR(VLOOKUP(B728,Baza[[№]:[Profit]],6,0),"")</f>
        <v/>
      </c>
      <c r="J728" s="49" t="str">
        <f>IFERROR(VLOOKUP(B728,Baza[[№]:[Profit]],7,0),"")</f>
        <v/>
      </c>
      <c r="K728" s="43" t="str">
        <f>IFERROR(VLOOKUP(B728,Baza[[№]:[Profit]],8,0),"")</f>
        <v/>
      </c>
      <c r="L728" s="43" t="str">
        <f>IFERROR(VLOOKUP(B728,Baza[[№]:[Profit]],9,0),"")</f>
        <v/>
      </c>
      <c r="M728" s="43" t="str">
        <f>IFERROR(VLOOKUP(B728,Baza[[№]:[Profit]],10,0),"")</f>
        <v/>
      </c>
      <c r="N728" s="43" t="str">
        <f>IFERROR(IF(VLOOKUP(B728,Baza[[№]:[Profit]],11,0)=0,"-",VLOOKUP(B728,Baza[[№]:[Profit]],11,0)),"")</f>
        <v/>
      </c>
      <c r="O728" s="43" t="str">
        <f>IFERROR(IF(VLOOKUP(B728,Baza[[№]:[Profit]],12,0)=0,"-",VLOOKUP(B728,Baza[[№]:[Profit]],12,0)),"")</f>
        <v/>
      </c>
      <c r="P728" s="43" t="str">
        <f>IFERROR(IF(VLOOKUP(B728,Baza[[№]:[Profit]],13,0)=0,"-",VLOOKUP(B728,Baza[[№]:[Profit]],13,0)),"")</f>
        <v/>
      </c>
      <c r="Q728" s="43" t="str">
        <f>IFERROR(IF(VLOOKUP(B728,Baza[[№]:[Profit]],15,0)=0,"-",VLOOKUP(B728,Baza[[№]:[Profit]],15,0)),"")</f>
        <v/>
      </c>
      <c r="R728" s="43" t="str">
        <f>IFERROR(IF(VLOOKUP(B728,Baza[[№]:[Profit]],16,0)=0,"-",VLOOKUP(B728,Baza[[№]:[Profit]],16,0)),"")</f>
        <v/>
      </c>
      <c r="S728" s="43" t="str">
        <f>IFERROR(IF(VLOOKUP(B728,Baza[[№]:[Profit]],17,0)=0,"-",VLOOKUP(B728,Baza[[№]:[Profit]],17,0)),"")</f>
        <v/>
      </c>
      <c r="T728" s="43" t="str">
        <f>IFERROR(IF(VLOOKUP(B728,Baza[[№]:[Profit]],18,0)=0,"-",VLOOKUP(B728,Baza[[№]:[Profit]],18,0)),"")</f>
        <v/>
      </c>
      <c r="U728" s="41" t="str">
        <f>IFERROR(IF(VLOOKUP(B728,Baza[[№]:[Profit]],19,0)=0,"-",VLOOKUP(B728,Baza[[№]:[Profit]],19,0)),"")</f>
        <v/>
      </c>
      <c r="V728" s="41" t="str">
        <f>IFERROR(VLOOKUP(B728,Baza[[№]:[Profit]],20,0),"")</f>
        <v/>
      </c>
      <c r="W728" s="41" t="str">
        <f>IFERROR(IF(VLOOKUP(B728,Baza[[№]:[Profit]],21,0)=0,"-",VLOOKUP(B728,Baza[[№]:[Profit]],21,0)),"")</f>
        <v/>
      </c>
      <c r="X728" s="45" t="str">
        <f>IFERROR(IF(VLOOKUP(B728,Baza[[№]:[Profit]],22,0)=0,"-",VLOOKUP(B728,Baza[[№]:[Profit]],22,0)),"")</f>
        <v/>
      </c>
      <c r="Y728" s="45" t="str">
        <f>IFERROR(VLOOKUP(B728,Baza[[№]:[Profit]],23,0),"")</f>
        <v/>
      </c>
      <c r="Z728" s="44" t="str">
        <f>IFERROR(VLOOKUP(B728,Baza[[№]:[AFS]],24,0),"")</f>
        <v/>
      </c>
      <c r="AA728" s="45" t="str">
        <f>IF(Таблица2[[#This Row],[Profit]]="","#Н/Д",SUM($Y$40:Y728))</f>
        <v>#Н/Д</v>
      </c>
      <c r="AB728" s="45" t="b">
        <f>IF(Таблица2[[#This Row],[Grafik]]="#Н/Д",FALSE,TRUE)</f>
        <v>0</v>
      </c>
    </row>
    <row r="729" spans="2:28" ht="11.1" hidden="1" customHeight="1" x14ac:dyDescent="0.25">
      <c r="B729"/>
      <c r="C729" s="41" t="str">
        <f>IFERROR(VLOOKUP(B729,Baza[[№]:[Profit]],2,0),"")</f>
        <v/>
      </c>
      <c r="D72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2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29" s="43" t="str">
        <f>IFERROR(VLOOKUP(B729,Baza[[№]:[Profit]],3,0),"")</f>
        <v/>
      </c>
      <c r="G729" s="43" t="str">
        <f>IFERROR(VLOOKUP(B729,Baza[[№]:[Profit]],4,0),"")</f>
        <v/>
      </c>
      <c r="H729" s="43" t="str">
        <f>IFERROR(VLOOKUP(B729,Baza[[№]:[Profit]],5,0),"")</f>
        <v/>
      </c>
      <c r="I729" s="46" t="str">
        <f>IFERROR(VLOOKUP(B729,Baza[[№]:[Profit]],6,0),"")</f>
        <v/>
      </c>
      <c r="J729" s="49" t="str">
        <f>IFERROR(VLOOKUP(B729,Baza[[№]:[Profit]],7,0),"")</f>
        <v/>
      </c>
      <c r="K729" s="43" t="str">
        <f>IFERROR(VLOOKUP(B729,Baza[[№]:[Profit]],8,0),"")</f>
        <v/>
      </c>
      <c r="L729" s="43" t="str">
        <f>IFERROR(VLOOKUP(B729,Baza[[№]:[Profit]],9,0),"")</f>
        <v/>
      </c>
      <c r="M729" s="43" t="str">
        <f>IFERROR(VLOOKUP(B729,Baza[[№]:[Profit]],10,0),"")</f>
        <v/>
      </c>
      <c r="N729" s="43" t="str">
        <f>IFERROR(IF(VLOOKUP(B729,Baza[[№]:[Profit]],11,0)=0,"-",VLOOKUP(B729,Baza[[№]:[Profit]],11,0)),"")</f>
        <v/>
      </c>
      <c r="O729" s="43" t="str">
        <f>IFERROR(IF(VLOOKUP(B729,Baza[[№]:[Profit]],12,0)=0,"-",VLOOKUP(B729,Baza[[№]:[Profit]],12,0)),"")</f>
        <v/>
      </c>
      <c r="P729" s="43" t="str">
        <f>IFERROR(IF(VLOOKUP(B729,Baza[[№]:[Profit]],13,0)=0,"-",VLOOKUP(B729,Baza[[№]:[Profit]],13,0)),"")</f>
        <v/>
      </c>
      <c r="Q729" s="43" t="str">
        <f>IFERROR(IF(VLOOKUP(B729,Baza[[№]:[Profit]],15,0)=0,"-",VLOOKUP(B729,Baza[[№]:[Profit]],15,0)),"")</f>
        <v/>
      </c>
      <c r="R729" s="43" t="str">
        <f>IFERROR(IF(VLOOKUP(B729,Baza[[№]:[Profit]],16,0)=0,"-",VLOOKUP(B729,Baza[[№]:[Profit]],16,0)),"")</f>
        <v/>
      </c>
      <c r="S729" s="43" t="str">
        <f>IFERROR(IF(VLOOKUP(B729,Baza[[№]:[Profit]],17,0)=0,"-",VLOOKUP(B729,Baza[[№]:[Profit]],17,0)),"")</f>
        <v/>
      </c>
      <c r="T729" s="43" t="str">
        <f>IFERROR(IF(VLOOKUP(B729,Baza[[№]:[Profit]],18,0)=0,"-",VLOOKUP(B729,Baza[[№]:[Profit]],18,0)),"")</f>
        <v/>
      </c>
      <c r="U729" s="41" t="str">
        <f>IFERROR(IF(VLOOKUP(B729,Baza[[№]:[Profit]],19,0)=0,"-",VLOOKUP(B729,Baza[[№]:[Profit]],19,0)),"")</f>
        <v/>
      </c>
      <c r="V729" s="41" t="str">
        <f>IFERROR(VLOOKUP(B729,Baza[[№]:[Profit]],20,0),"")</f>
        <v/>
      </c>
      <c r="W729" s="41" t="str">
        <f>IFERROR(IF(VLOOKUP(B729,Baza[[№]:[Profit]],21,0)=0,"-",VLOOKUP(B729,Baza[[№]:[Profit]],21,0)),"")</f>
        <v/>
      </c>
      <c r="X729" s="45" t="str">
        <f>IFERROR(IF(VLOOKUP(B729,Baza[[№]:[Profit]],22,0)=0,"-",VLOOKUP(B729,Baza[[№]:[Profit]],22,0)),"")</f>
        <v/>
      </c>
      <c r="Y729" s="45" t="str">
        <f>IFERROR(VLOOKUP(B729,Baza[[№]:[Profit]],23,0),"")</f>
        <v/>
      </c>
      <c r="Z729" s="44" t="str">
        <f>IFERROR(VLOOKUP(B729,Baza[[№]:[AFS]],24,0),"")</f>
        <v/>
      </c>
      <c r="AA729" s="45" t="str">
        <f>IF(Таблица2[[#This Row],[Profit]]="","#Н/Д",SUM($Y$40:Y729))</f>
        <v>#Н/Д</v>
      </c>
      <c r="AB729" s="45" t="b">
        <f>IF(Таблица2[[#This Row],[Grafik]]="#Н/Д",FALSE,TRUE)</f>
        <v>0</v>
      </c>
    </row>
    <row r="730" spans="2:28" ht="11.1" hidden="1" customHeight="1" x14ac:dyDescent="0.25">
      <c r="B730"/>
      <c r="C730" s="41" t="str">
        <f>IFERROR(VLOOKUP(B730,Baza[[№]:[Profit]],2,0),"")</f>
        <v/>
      </c>
      <c r="D73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3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30" s="43" t="str">
        <f>IFERROR(VLOOKUP(B730,Baza[[№]:[Profit]],3,0),"")</f>
        <v/>
      </c>
      <c r="G730" s="43" t="str">
        <f>IFERROR(VLOOKUP(B730,Baza[[№]:[Profit]],4,0),"")</f>
        <v/>
      </c>
      <c r="H730" s="43" t="str">
        <f>IFERROR(VLOOKUP(B730,Baza[[№]:[Profit]],5,0),"")</f>
        <v/>
      </c>
      <c r="I730" s="46" t="str">
        <f>IFERROR(VLOOKUP(B730,Baza[[№]:[Profit]],6,0),"")</f>
        <v/>
      </c>
      <c r="J730" s="49" t="str">
        <f>IFERROR(VLOOKUP(B730,Baza[[№]:[Profit]],7,0),"")</f>
        <v/>
      </c>
      <c r="K730" s="43" t="str">
        <f>IFERROR(VLOOKUP(B730,Baza[[№]:[Profit]],8,0),"")</f>
        <v/>
      </c>
      <c r="L730" s="43" t="str">
        <f>IFERROR(VLOOKUP(B730,Baza[[№]:[Profit]],9,0),"")</f>
        <v/>
      </c>
      <c r="M730" s="43" t="str">
        <f>IFERROR(VLOOKUP(B730,Baza[[№]:[Profit]],10,0),"")</f>
        <v/>
      </c>
      <c r="N730" s="43" t="str">
        <f>IFERROR(IF(VLOOKUP(B730,Baza[[№]:[Profit]],11,0)=0,"-",VLOOKUP(B730,Baza[[№]:[Profit]],11,0)),"")</f>
        <v/>
      </c>
      <c r="O730" s="43" t="str">
        <f>IFERROR(IF(VLOOKUP(B730,Baza[[№]:[Profit]],12,0)=0,"-",VLOOKUP(B730,Baza[[№]:[Profit]],12,0)),"")</f>
        <v/>
      </c>
      <c r="P730" s="43" t="str">
        <f>IFERROR(IF(VLOOKUP(B730,Baza[[№]:[Profit]],13,0)=0,"-",VLOOKUP(B730,Baza[[№]:[Profit]],13,0)),"")</f>
        <v/>
      </c>
      <c r="Q730" s="43" t="str">
        <f>IFERROR(IF(VLOOKUP(B730,Baza[[№]:[Profit]],15,0)=0,"-",VLOOKUP(B730,Baza[[№]:[Profit]],15,0)),"")</f>
        <v/>
      </c>
      <c r="R730" s="43" t="str">
        <f>IFERROR(IF(VLOOKUP(B730,Baza[[№]:[Profit]],16,0)=0,"-",VLOOKUP(B730,Baza[[№]:[Profit]],16,0)),"")</f>
        <v/>
      </c>
      <c r="S730" s="43" t="str">
        <f>IFERROR(IF(VLOOKUP(B730,Baza[[№]:[Profit]],17,0)=0,"-",VLOOKUP(B730,Baza[[№]:[Profit]],17,0)),"")</f>
        <v/>
      </c>
      <c r="T730" s="43" t="str">
        <f>IFERROR(IF(VLOOKUP(B730,Baza[[№]:[Profit]],18,0)=0,"-",VLOOKUP(B730,Baza[[№]:[Profit]],18,0)),"")</f>
        <v/>
      </c>
      <c r="U730" s="41" t="str">
        <f>IFERROR(IF(VLOOKUP(B730,Baza[[№]:[Profit]],19,0)=0,"-",VLOOKUP(B730,Baza[[№]:[Profit]],19,0)),"")</f>
        <v/>
      </c>
      <c r="V730" s="41" t="str">
        <f>IFERROR(VLOOKUP(B730,Baza[[№]:[Profit]],20,0),"")</f>
        <v/>
      </c>
      <c r="W730" s="41" t="str">
        <f>IFERROR(IF(VLOOKUP(B730,Baza[[№]:[Profit]],21,0)=0,"-",VLOOKUP(B730,Baza[[№]:[Profit]],21,0)),"")</f>
        <v/>
      </c>
      <c r="X730" s="45" t="str">
        <f>IFERROR(IF(VLOOKUP(B730,Baza[[№]:[Profit]],22,0)=0,"-",VLOOKUP(B730,Baza[[№]:[Profit]],22,0)),"")</f>
        <v/>
      </c>
      <c r="Y730" s="45" t="str">
        <f>IFERROR(VLOOKUP(B730,Baza[[№]:[Profit]],23,0),"")</f>
        <v/>
      </c>
      <c r="Z730" s="44" t="str">
        <f>IFERROR(VLOOKUP(B730,Baza[[№]:[AFS]],24,0),"")</f>
        <v/>
      </c>
      <c r="AA730" s="45" t="str">
        <f>IF(Таблица2[[#This Row],[Profit]]="","#Н/Д",SUM($Y$40:Y730))</f>
        <v>#Н/Д</v>
      </c>
      <c r="AB730" s="45" t="b">
        <f>IF(Таблица2[[#This Row],[Grafik]]="#Н/Д",FALSE,TRUE)</f>
        <v>0</v>
      </c>
    </row>
    <row r="731" spans="2:28" ht="11.1" hidden="1" customHeight="1" x14ac:dyDescent="0.25">
      <c r="B731"/>
      <c r="C731" s="41" t="str">
        <f>IFERROR(VLOOKUP(B731,Baza[[№]:[Profit]],2,0),"")</f>
        <v/>
      </c>
      <c r="D73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3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31" s="43" t="str">
        <f>IFERROR(VLOOKUP(B731,Baza[[№]:[Profit]],3,0),"")</f>
        <v/>
      </c>
      <c r="G731" s="43" t="str">
        <f>IFERROR(VLOOKUP(B731,Baza[[№]:[Profit]],4,0),"")</f>
        <v/>
      </c>
      <c r="H731" s="43" t="str">
        <f>IFERROR(VLOOKUP(B731,Baza[[№]:[Profit]],5,0),"")</f>
        <v/>
      </c>
      <c r="I731" s="46" t="str">
        <f>IFERROR(VLOOKUP(B731,Baza[[№]:[Profit]],6,0),"")</f>
        <v/>
      </c>
      <c r="J731" s="49" t="str">
        <f>IFERROR(VLOOKUP(B731,Baza[[№]:[Profit]],7,0),"")</f>
        <v/>
      </c>
      <c r="K731" s="43" t="str">
        <f>IFERROR(VLOOKUP(B731,Baza[[№]:[Profit]],8,0),"")</f>
        <v/>
      </c>
      <c r="L731" s="43" t="str">
        <f>IFERROR(VLOOKUP(B731,Baza[[№]:[Profit]],9,0),"")</f>
        <v/>
      </c>
      <c r="M731" s="43" t="str">
        <f>IFERROR(VLOOKUP(B731,Baza[[№]:[Profit]],10,0),"")</f>
        <v/>
      </c>
      <c r="N731" s="43" t="str">
        <f>IFERROR(IF(VLOOKUP(B731,Baza[[№]:[Profit]],11,0)=0,"-",VLOOKUP(B731,Baza[[№]:[Profit]],11,0)),"")</f>
        <v/>
      </c>
      <c r="O731" s="43" t="str">
        <f>IFERROR(IF(VLOOKUP(B731,Baza[[№]:[Profit]],12,0)=0,"-",VLOOKUP(B731,Baza[[№]:[Profit]],12,0)),"")</f>
        <v/>
      </c>
      <c r="P731" s="43" t="str">
        <f>IFERROR(IF(VLOOKUP(B731,Baza[[№]:[Profit]],13,0)=0,"-",VLOOKUP(B731,Baza[[№]:[Profit]],13,0)),"")</f>
        <v/>
      </c>
      <c r="Q731" s="43" t="str">
        <f>IFERROR(IF(VLOOKUP(B731,Baza[[№]:[Profit]],15,0)=0,"-",VLOOKUP(B731,Baza[[№]:[Profit]],15,0)),"")</f>
        <v/>
      </c>
      <c r="R731" s="43" t="str">
        <f>IFERROR(IF(VLOOKUP(B731,Baza[[№]:[Profit]],16,0)=0,"-",VLOOKUP(B731,Baza[[№]:[Profit]],16,0)),"")</f>
        <v/>
      </c>
      <c r="S731" s="43" t="str">
        <f>IFERROR(IF(VLOOKUP(B731,Baza[[№]:[Profit]],17,0)=0,"-",VLOOKUP(B731,Baza[[№]:[Profit]],17,0)),"")</f>
        <v/>
      </c>
      <c r="T731" s="43" t="str">
        <f>IFERROR(IF(VLOOKUP(B731,Baza[[№]:[Profit]],18,0)=0,"-",VLOOKUP(B731,Baza[[№]:[Profit]],18,0)),"")</f>
        <v/>
      </c>
      <c r="U731" s="41" t="str">
        <f>IFERROR(IF(VLOOKUP(B731,Baza[[№]:[Profit]],19,0)=0,"-",VLOOKUP(B731,Baza[[№]:[Profit]],19,0)),"")</f>
        <v/>
      </c>
      <c r="V731" s="41" t="str">
        <f>IFERROR(VLOOKUP(B731,Baza[[№]:[Profit]],20,0),"")</f>
        <v/>
      </c>
      <c r="W731" s="41" t="str">
        <f>IFERROR(IF(VLOOKUP(B731,Baza[[№]:[Profit]],21,0)=0,"-",VLOOKUP(B731,Baza[[№]:[Profit]],21,0)),"")</f>
        <v/>
      </c>
      <c r="X731" s="45" t="str">
        <f>IFERROR(IF(VLOOKUP(B731,Baza[[№]:[Profit]],22,0)=0,"-",VLOOKUP(B731,Baza[[№]:[Profit]],22,0)),"")</f>
        <v/>
      </c>
      <c r="Y731" s="45" t="str">
        <f>IFERROR(VLOOKUP(B731,Baza[[№]:[Profit]],23,0),"")</f>
        <v/>
      </c>
      <c r="Z731" s="44" t="str">
        <f>IFERROR(VLOOKUP(B731,Baza[[№]:[AFS]],24,0),"")</f>
        <v/>
      </c>
      <c r="AA731" s="45" t="str">
        <f>IF(Таблица2[[#This Row],[Profit]]="","#Н/Д",SUM($Y$40:Y731))</f>
        <v>#Н/Д</v>
      </c>
      <c r="AB731" s="45" t="b">
        <f>IF(Таблица2[[#This Row],[Grafik]]="#Н/Д",FALSE,TRUE)</f>
        <v>0</v>
      </c>
    </row>
    <row r="732" spans="2:28" ht="11.1" hidden="1" customHeight="1" x14ac:dyDescent="0.25">
      <c r="B732"/>
      <c r="C732" s="41" t="str">
        <f>IFERROR(VLOOKUP(B732,Baza[[№]:[Profit]],2,0),"")</f>
        <v/>
      </c>
      <c r="D73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3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32" s="43" t="str">
        <f>IFERROR(VLOOKUP(B732,Baza[[№]:[Profit]],3,0),"")</f>
        <v/>
      </c>
      <c r="G732" s="43" t="str">
        <f>IFERROR(VLOOKUP(B732,Baza[[№]:[Profit]],4,0),"")</f>
        <v/>
      </c>
      <c r="H732" s="43" t="str">
        <f>IFERROR(VLOOKUP(B732,Baza[[№]:[Profit]],5,0),"")</f>
        <v/>
      </c>
      <c r="I732" s="46" t="str">
        <f>IFERROR(VLOOKUP(B732,Baza[[№]:[Profit]],6,0),"")</f>
        <v/>
      </c>
      <c r="J732" s="49" t="str">
        <f>IFERROR(VLOOKUP(B732,Baza[[№]:[Profit]],7,0),"")</f>
        <v/>
      </c>
      <c r="K732" s="43" t="str">
        <f>IFERROR(VLOOKUP(B732,Baza[[№]:[Profit]],8,0),"")</f>
        <v/>
      </c>
      <c r="L732" s="43" t="str">
        <f>IFERROR(VLOOKUP(B732,Baza[[№]:[Profit]],9,0),"")</f>
        <v/>
      </c>
      <c r="M732" s="43" t="str">
        <f>IFERROR(VLOOKUP(B732,Baza[[№]:[Profit]],10,0),"")</f>
        <v/>
      </c>
      <c r="N732" s="43" t="str">
        <f>IFERROR(IF(VLOOKUP(B732,Baza[[№]:[Profit]],11,0)=0,"-",VLOOKUP(B732,Baza[[№]:[Profit]],11,0)),"")</f>
        <v/>
      </c>
      <c r="O732" s="43" t="str">
        <f>IFERROR(IF(VLOOKUP(B732,Baza[[№]:[Profit]],12,0)=0,"-",VLOOKUP(B732,Baza[[№]:[Profit]],12,0)),"")</f>
        <v/>
      </c>
      <c r="P732" s="43" t="str">
        <f>IFERROR(IF(VLOOKUP(B732,Baza[[№]:[Profit]],13,0)=0,"-",VLOOKUP(B732,Baza[[№]:[Profit]],13,0)),"")</f>
        <v/>
      </c>
      <c r="Q732" s="43" t="str">
        <f>IFERROR(IF(VLOOKUP(B732,Baza[[№]:[Profit]],15,0)=0,"-",VLOOKUP(B732,Baza[[№]:[Profit]],15,0)),"")</f>
        <v/>
      </c>
      <c r="R732" s="43" t="str">
        <f>IFERROR(IF(VLOOKUP(B732,Baza[[№]:[Profit]],16,0)=0,"-",VLOOKUP(B732,Baza[[№]:[Profit]],16,0)),"")</f>
        <v/>
      </c>
      <c r="S732" s="43" t="str">
        <f>IFERROR(IF(VLOOKUP(B732,Baza[[№]:[Profit]],17,0)=0,"-",VLOOKUP(B732,Baza[[№]:[Profit]],17,0)),"")</f>
        <v/>
      </c>
      <c r="T732" s="43" t="str">
        <f>IFERROR(IF(VLOOKUP(B732,Baza[[№]:[Profit]],18,0)=0,"-",VLOOKUP(B732,Baza[[№]:[Profit]],18,0)),"")</f>
        <v/>
      </c>
      <c r="U732" s="41" t="str">
        <f>IFERROR(IF(VLOOKUP(B732,Baza[[№]:[Profit]],19,0)=0,"-",VLOOKUP(B732,Baza[[№]:[Profit]],19,0)),"")</f>
        <v/>
      </c>
      <c r="V732" s="41" t="str">
        <f>IFERROR(VLOOKUP(B732,Baza[[№]:[Profit]],20,0),"")</f>
        <v/>
      </c>
      <c r="W732" s="41" t="str">
        <f>IFERROR(IF(VLOOKUP(B732,Baza[[№]:[Profit]],21,0)=0,"-",VLOOKUP(B732,Baza[[№]:[Profit]],21,0)),"")</f>
        <v/>
      </c>
      <c r="X732" s="45" t="str">
        <f>IFERROR(IF(VLOOKUP(B732,Baza[[№]:[Profit]],22,0)=0,"-",VLOOKUP(B732,Baza[[№]:[Profit]],22,0)),"")</f>
        <v/>
      </c>
      <c r="Y732" s="45" t="str">
        <f>IFERROR(VLOOKUP(B732,Baza[[№]:[Profit]],23,0),"")</f>
        <v/>
      </c>
      <c r="Z732" s="44" t="str">
        <f>IFERROR(VLOOKUP(B732,Baza[[№]:[AFS]],24,0),"")</f>
        <v/>
      </c>
      <c r="AA732" s="45" t="str">
        <f>IF(Таблица2[[#This Row],[Profit]]="","#Н/Д",SUM($Y$40:Y732))</f>
        <v>#Н/Д</v>
      </c>
      <c r="AB732" s="45" t="b">
        <f>IF(Таблица2[[#This Row],[Grafik]]="#Н/Д",FALSE,TRUE)</f>
        <v>0</v>
      </c>
    </row>
    <row r="733" spans="2:28" ht="11.1" hidden="1" customHeight="1" x14ac:dyDescent="0.25">
      <c r="B733"/>
      <c r="C733" s="41" t="str">
        <f>IFERROR(VLOOKUP(B733,Baza[[№]:[Profit]],2,0),"")</f>
        <v/>
      </c>
      <c r="D73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3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33" s="43" t="str">
        <f>IFERROR(VLOOKUP(B733,Baza[[№]:[Profit]],3,0),"")</f>
        <v/>
      </c>
      <c r="G733" s="43" t="str">
        <f>IFERROR(VLOOKUP(B733,Baza[[№]:[Profit]],4,0),"")</f>
        <v/>
      </c>
      <c r="H733" s="43" t="str">
        <f>IFERROR(VLOOKUP(B733,Baza[[№]:[Profit]],5,0),"")</f>
        <v/>
      </c>
      <c r="I733" s="46" t="str">
        <f>IFERROR(VLOOKUP(B733,Baza[[№]:[Profit]],6,0),"")</f>
        <v/>
      </c>
      <c r="J733" s="49" t="str">
        <f>IFERROR(VLOOKUP(B733,Baza[[№]:[Profit]],7,0),"")</f>
        <v/>
      </c>
      <c r="K733" s="43" t="str">
        <f>IFERROR(VLOOKUP(B733,Baza[[№]:[Profit]],8,0),"")</f>
        <v/>
      </c>
      <c r="L733" s="43" t="str">
        <f>IFERROR(VLOOKUP(B733,Baza[[№]:[Profit]],9,0),"")</f>
        <v/>
      </c>
      <c r="M733" s="43" t="str">
        <f>IFERROR(VLOOKUP(B733,Baza[[№]:[Profit]],10,0),"")</f>
        <v/>
      </c>
      <c r="N733" s="43" t="str">
        <f>IFERROR(IF(VLOOKUP(B733,Baza[[№]:[Profit]],11,0)=0,"-",VLOOKUP(B733,Baza[[№]:[Profit]],11,0)),"")</f>
        <v/>
      </c>
      <c r="O733" s="43" t="str">
        <f>IFERROR(IF(VLOOKUP(B733,Baza[[№]:[Profit]],12,0)=0,"-",VLOOKUP(B733,Baza[[№]:[Profit]],12,0)),"")</f>
        <v/>
      </c>
      <c r="P733" s="43" t="str">
        <f>IFERROR(IF(VLOOKUP(B733,Baza[[№]:[Profit]],13,0)=0,"-",VLOOKUP(B733,Baza[[№]:[Profit]],13,0)),"")</f>
        <v/>
      </c>
      <c r="Q733" s="43" t="str">
        <f>IFERROR(IF(VLOOKUP(B733,Baza[[№]:[Profit]],15,0)=0,"-",VLOOKUP(B733,Baza[[№]:[Profit]],15,0)),"")</f>
        <v/>
      </c>
      <c r="R733" s="43" t="str">
        <f>IFERROR(IF(VLOOKUP(B733,Baza[[№]:[Profit]],16,0)=0,"-",VLOOKUP(B733,Baza[[№]:[Profit]],16,0)),"")</f>
        <v/>
      </c>
      <c r="S733" s="43" t="str">
        <f>IFERROR(IF(VLOOKUP(B733,Baza[[№]:[Profit]],17,0)=0,"-",VLOOKUP(B733,Baza[[№]:[Profit]],17,0)),"")</f>
        <v/>
      </c>
      <c r="T733" s="43" t="str">
        <f>IFERROR(IF(VLOOKUP(B733,Baza[[№]:[Profit]],18,0)=0,"-",VLOOKUP(B733,Baza[[№]:[Profit]],18,0)),"")</f>
        <v/>
      </c>
      <c r="U733" s="41" t="str">
        <f>IFERROR(IF(VLOOKUP(B733,Baza[[№]:[Profit]],19,0)=0,"-",VLOOKUP(B733,Baza[[№]:[Profit]],19,0)),"")</f>
        <v/>
      </c>
      <c r="V733" s="41" t="str">
        <f>IFERROR(VLOOKUP(B733,Baza[[№]:[Profit]],20,0),"")</f>
        <v/>
      </c>
      <c r="W733" s="41" t="str">
        <f>IFERROR(IF(VLOOKUP(B733,Baza[[№]:[Profit]],21,0)=0,"-",VLOOKUP(B733,Baza[[№]:[Profit]],21,0)),"")</f>
        <v/>
      </c>
      <c r="X733" s="45" t="str">
        <f>IFERROR(IF(VLOOKUP(B733,Baza[[№]:[Profit]],22,0)=0,"-",VLOOKUP(B733,Baza[[№]:[Profit]],22,0)),"")</f>
        <v/>
      </c>
      <c r="Y733" s="45" t="str">
        <f>IFERROR(VLOOKUP(B733,Baza[[№]:[Profit]],23,0),"")</f>
        <v/>
      </c>
      <c r="Z733" s="44" t="str">
        <f>IFERROR(VLOOKUP(B733,Baza[[№]:[AFS]],24,0),"")</f>
        <v/>
      </c>
      <c r="AA733" s="45" t="str">
        <f>IF(Таблица2[[#This Row],[Profit]]="","#Н/Д",SUM($Y$40:Y733))</f>
        <v>#Н/Д</v>
      </c>
      <c r="AB733" s="45" t="b">
        <f>IF(Таблица2[[#This Row],[Grafik]]="#Н/Д",FALSE,TRUE)</f>
        <v>0</v>
      </c>
    </row>
    <row r="734" spans="2:28" ht="11.1" hidden="1" customHeight="1" x14ac:dyDescent="0.25">
      <c r="B734"/>
      <c r="C734" s="41" t="str">
        <f>IFERROR(VLOOKUP(B734,Baza[[№]:[Profit]],2,0),"")</f>
        <v/>
      </c>
      <c r="D73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3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34" s="43" t="str">
        <f>IFERROR(VLOOKUP(B734,Baza[[№]:[Profit]],3,0),"")</f>
        <v/>
      </c>
      <c r="G734" s="43" t="str">
        <f>IFERROR(VLOOKUP(B734,Baza[[№]:[Profit]],4,0),"")</f>
        <v/>
      </c>
      <c r="H734" s="43" t="str">
        <f>IFERROR(VLOOKUP(B734,Baza[[№]:[Profit]],5,0),"")</f>
        <v/>
      </c>
      <c r="I734" s="46" t="str">
        <f>IFERROR(VLOOKUP(B734,Baza[[№]:[Profit]],6,0),"")</f>
        <v/>
      </c>
      <c r="J734" s="49" t="str">
        <f>IFERROR(VLOOKUP(B734,Baza[[№]:[Profit]],7,0),"")</f>
        <v/>
      </c>
      <c r="K734" s="43" t="str">
        <f>IFERROR(VLOOKUP(B734,Baza[[№]:[Profit]],8,0),"")</f>
        <v/>
      </c>
      <c r="L734" s="43" t="str">
        <f>IFERROR(VLOOKUP(B734,Baza[[№]:[Profit]],9,0),"")</f>
        <v/>
      </c>
      <c r="M734" s="43" t="str">
        <f>IFERROR(VLOOKUP(B734,Baza[[№]:[Profit]],10,0),"")</f>
        <v/>
      </c>
      <c r="N734" s="43" t="str">
        <f>IFERROR(IF(VLOOKUP(B734,Baza[[№]:[Profit]],11,0)=0,"-",VLOOKUP(B734,Baza[[№]:[Profit]],11,0)),"")</f>
        <v/>
      </c>
      <c r="O734" s="43" t="str">
        <f>IFERROR(IF(VLOOKUP(B734,Baza[[№]:[Profit]],12,0)=0,"-",VLOOKUP(B734,Baza[[№]:[Profit]],12,0)),"")</f>
        <v/>
      </c>
      <c r="P734" s="43" t="str">
        <f>IFERROR(IF(VLOOKUP(B734,Baza[[№]:[Profit]],13,0)=0,"-",VLOOKUP(B734,Baza[[№]:[Profit]],13,0)),"")</f>
        <v/>
      </c>
      <c r="Q734" s="43" t="str">
        <f>IFERROR(IF(VLOOKUP(B734,Baza[[№]:[Profit]],15,0)=0,"-",VLOOKUP(B734,Baza[[№]:[Profit]],15,0)),"")</f>
        <v/>
      </c>
      <c r="R734" s="43" t="str">
        <f>IFERROR(IF(VLOOKUP(B734,Baza[[№]:[Profit]],16,0)=0,"-",VLOOKUP(B734,Baza[[№]:[Profit]],16,0)),"")</f>
        <v/>
      </c>
      <c r="S734" s="43" t="str">
        <f>IFERROR(IF(VLOOKUP(B734,Baza[[№]:[Profit]],17,0)=0,"-",VLOOKUP(B734,Baza[[№]:[Profit]],17,0)),"")</f>
        <v/>
      </c>
      <c r="T734" s="43" t="str">
        <f>IFERROR(IF(VLOOKUP(B734,Baza[[№]:[Profit]],18,0)=0,"-",VLOOKUP(B734,Baza[[№]:[Profit]],18,0)),"")</f>
        <v/>
      </c>
      <c r="U734" s="41" t="str">
        <f>IFERROR(IF(VLOOKUP(B734,Baza[[№]:[Profit]],19,0)=0,"-",VLOOKUP(B734,Baza[[№]:[Profit]],19,0)),"")</f>
        <v/>
      </c>
      <c r="V734" s="41" t="str">
        <f>IFERROR(VLOOKUP(B734,Baza[[№]:[Profit]],20,0),"")</f>
        <v/>
      </c>
      <c r="W734" s="41" t="str">
        <f>IFERROR(IF(VLOOKUP(B734,Baza[[№]:[Profit]],21,0)=0,"-",VLOOKUP(B734,Baza[[№]:[Profit]],21,0)),"")</f>
        <v/>
      </c>
      <c r="X734" s="45" t="str">
        <f>IFERROR(IF(VLOOKUP(B734,Baza[[№]:[Profit]],22,0)=0,"-",VLOOKUP(B734,Baza[[№]:[Profit]],22,0)),"")</f>
        <v/>
      </c>
      <c r="Y734" s="45" t="str">
        <f>IFERROR(VLOOKUP(B734,Baza[[№]:[Profit]],23,0),"")</f>
        <v/>
      </c>
      <c r="Z734" s="44" t="str">
        <f>IFERROR(VLOOKUP(B734,Baza[[№]:[AFS]],24,0),"")</f>
        <v/>
      </c>
      <c r="AA734" s="45" t="str">
        <f>IF(Таблица2[[#This Row],[Profit]]="","#Н/Д",SUM($Y$40:Y734))</f>
        <v>#Н/Д</v>
      </c>
      <c r="AB734" s="45" t="b">
        <f>IF(Таблица2[[#This Row],[Grafik]]="#Н/Д",FALSE,TRUE)</f>
        <v>0</v>
      </c>
    </row>
    <row r="735" spans="2:28" ht="11.1" hidden="1" customHeight="1" x14ac:dyDescent="0.25">
      <c r="B735"/>
      <c r="C735" s="41" t="str">
        <f>IFERROR(VLOOKUP(B735,Baza[[№]:[Profit]],2,0),"")</f>
        <v/>
      </c>
      <c r="D73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3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35" s="43" t="str">
        <f>IFERROR(VLOOKUP(B735,Baza[[№]:[Profit]],3,0),"")</f>
        <v/>
      </c>
      <c r="G735" s="43" t="str">
        <f>IFERROR(VLOOKUP(B735,Baza[[№]:[Profit]],4,0),"")</f>
        <v/>
      </c>
      <c r="H735" s="43" t="str">
        <f>IFERROR(VLOOKUP(B735,Baza[[№]:[Profit]],5,0),"")</f>
        <v/>
      </c>
      <c r="I735" s="46" t="str">
        <f>IFERROR(VLOOKUP(B735,Baza[[№]:[Profit]],6,0),"")</f>
        <v/>
      </c>
      <c r="J735" s="49" t="str">
        <f>IFERROR(VLOOKUP(B735,Baza[[№]:[Profit]],7,0),"")</f>
        <v/>
      </c>
      <c r="K735" s="43" t="str">
        <f>IFERROR(VLOOKUP(B735,Baza[[№]:[Profit]],8,0),"")</f>
        <v/>
      </c>
      <c r="L735" s="43" t="str">
        <f>IFERROR(VLOOKUP(B735,Baza[[№]:[Profit]],9,0),"")</f>
        <v/>
      </c>
      <c r="M735" s="43" t="str">
        <f>IFERROR(VLOOKUP(B735,Baza[[№]:[Profit]],10,0),"")</f>
        <v/>
      </c>
      <c r="N735" s="43" t="str">
        <f>IFERROR(IF(VLOOKUP(B735,Baza[[№]:[Profit]],11,0)=0,"-",VLOOKUP(B735,Baza[[№]:[Profit]],11,0)),"")</f>
        <v/>
      </c>
      <c r="O735" s="43" t="str">
        <f>IFERROR(IF(VLOOKUP(B735,Baza[[№]:[Profit]],12,0)=0,"-",VLOOKUP(B735,Baza[[№]:[Profit]],12,0)),"")</f>
        <v/>
      </c>
      <c r="P735" s="43" t="str">
        <f>IFERROR(IF(VLOOKUP(B735,Baza[[№]:[Profit]],13,0)=0,"-",VLOOKUP(B735,Baza[[№]:[Profit]],13,0)),"")</f>
        <v/>
      </c>
      <c r="Q735" s="43" t="str">
        <f>IFERROR(IF(VLOOKUP(B735,Baza[[№]:[Profit]],15,0)=0,"-",VLOOKUP(B735,Baza[[№]:[Profit]],15,0)),"")</f>
        <v/>
      </c>
      <c r="R735" s="43" t="str">
        <f>IFERROR(IF(VLOOKUP(B735,Baza[[№]:[Profit]],16,0)=0,"-",VLOOKUP(B735,Baza[[№]:[Profit]],16,0)),"")</f>
        <v/>
      </c>
      <c r="S735" s="43" t="str">
        <f>IFERROR(IF(VLOOKUP(B735,Baza[[№]:[Profit]],17,0)=0,"-",VLOOKUP(B735,Baza[[№]:[Profit]],17,0)),"")</f>
        <v/>
      </c>
      <c r="T735" s="43" t="str">
        <f>IFERROR(IF(VLOOKUP(B735,Baza[[№]:[Profit]],18,0)=0,"-",VLOOKUP(B735,Baza[[№]:[Profit]],18,0)),"")</f>
        <v/>
      </c>
      <c r="U735" s="41" t="str">
        <f>IFERROR(IF(VLOOKUP(B735,Baza[[№]:[Profit]],19,0)=0,"-",VLOOKUP(B735,Baza[[№]:[Profit]],19,0)),"")</f>
        <v/>
      </c>
      <c r="V735" s="41" t="str">
        <f>IFERROR(VLOOKUP(B735,Baza[[№]:[Profit]],20,0),"")</f>
        <v/>
      </c>
      <c r="W735" s="41" t="str">
        <f>IFERROR(IF(VLOOKUP(B735,Baza[[№]:[Profit]],21,0)=0,"-",VLOOKUP(B735,Baza[[№]:[Profit]],21,0)),"")</f>
        <v/>
      </c>
      <c r="X735" s="45" t="str">
        <f>IFERROR(IF(VLOOKUP(B735,Baza[[№]:[Profit]],22,0)=0,"-",VLOOKUP(B735,Baza[[№]:[Profit]],22,0)),"")</f>
        <v/>
      </c>
      <c r="Y735" s="45" t="str">
        <f>IFERROR(VLOOKUP(B735,Baza[[№]:[Profit]],23,0),"")</f>
        <v/>
      </c>
      <c r="Z735" s="44" t="str">
        <f>IFERROR(VLOOKUP(B735,Baza[[№]:[AFS]],24,0),"")</f>
        <v/>
      </c>
      <c r="AA735" s="45" t="str">
        <f>IF(Таблица2[[#This Row],[Profit]]="","#Н/Д",SUM($Y$40:Y735))</f>
        <v>#Н/Д</v>
      </c>
      <c r="AB735" s="45" t="b">
        <f>IF(Таблица2[[#This Row],[Grafik]]="#Н/Д",FALSE,TRUE)</f>
        <v>0</v>
      </c>
    </row>
    <row r="736" spans="2:28" ht="11.1" hidden="1" customHeight="1" x14ac:dyDescent="0.25">
      <c r="B736"/>
      <c r="C736" s="41" t="str">
        <f>IFERROR(VLOOKUP(B736,Baza[[№]:[Profit]],2,0),"")</f>
        <v/>
      </c>
      <c r="D73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3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36" s="43" t="str">
        <f>IFERROR(VLOOKUP(B736,Baza[[№]:[Profit]],3,0),"")</f>
        <v/>
      </c>
      <c r="G736" s="43" t="str">
        <f>IFERROR(VLOOKUP(B736,Baza[[№]:[Profit]],4,0),"")</f>
        <v/>
      </c>
      <c r="H736" s="43" t="str">
        <f>IFERROR(VLOOKUP(B736,Baza[[№]:[Profit]],5,0),"")</f>
        <v/>
      </c>
      <c r="I736" s="46" t="str">
        <f>IFERROR(VLOOKUP(B736,Baza[[№]:[Profit]],6,0),"")</f>
        <v/>
      </c>
      <c r="J736" s="49" t="str">
        <f>IFERROR(VLOOKUP(B736,Baza[[№]:[Profit]],7,0),"")</f>
        <v/>
      </c>
      <c r="K736" s="43" t="str">
        <f>IFERROR(VLOOKUP(B736,Baza[[№]:[Profit]],8,0),"")</f>
        <v/>
      </c>
      <c r="L736" s="43" t="str">
        <f>IFERROR(VLOOKUP(B736,Baza[[№]:[Profit]],9,0),"")</f>
        <v/>
      </c>
      <c r="M736" s="43" t="str">
        <f>IFERROR(VLOOKUP(B736,Baza[[№]:[Profit]],10,0),"")</f>
        <v/>
      </c>
      <c r="N736" s="43" t="str">
        <f>IFERROR(IF(VLOOKUP(B736,Baza[[№]:[Profit]],11,0)=0,"-",VLOOKUP(B736,Baza[[№]:[Profit]],11,0)),"")</f>
        <v/>
      </c>
      <c r="O736" s="43" t="str">
        <f>IFERROR(IF(VLOOKUP(B736,Baza[[№]:[Profit]],12,0)=0,"-",VLOOKUP(B736,Baza[[№]:[Profit]],12,0)),"")</f>
        <v/>
      </c>
      <c r="P736" s="43" t="str">
        <f>IFERROR(IF(VLOOKUP(B736,Baza[[№]:[Profit]],13,0)=0,"-",VLOOKUP(B736,Baza[[№]:[Profit]],13,0)),"")</f>
        <v/>
      </c>
      <c r="Q736" s="43" t="str">
        <f>IFERROR(IF(VLOOKUP(B736,Baza[[№]:[Profit]],15,0)=0,"-",VLOOKUP(B736,Baza[[№]:[Profit]],15,0)),"")</f>
        <v/>
      </c>
      <c r="R736" s="43" t="str">
        <f>IFERROR(IF(VLOOKUP(B736,Baza[[№]:[Profit]],16,0)=0,"-",VLOOKUP(B736,Baza[[№]:[Profit]],16,0)),"")</f>
        <v/>
      </c>
      <c r="S736" s="43" t="str">
        <f>IFERROR(IF(VLOOKUP(B736,Baza[[№]:[Profit]],17,0)=0,"-",VLOOKUP(B736,Baza[[№]:[Profit]],17,0)),"")</f>
        <v/>
      </c>
      <c r="T736" s="43" t="str">
        <f>IFERROR(IF(VLOOKUP(B736,Baza[[№]:[Profit]],18,0)=0,"-",VLOOKUP(B736,Baza[[№]:[Profit]],18,0)),"")</f>
        <v/>
      </c>
      <c r="U736" s="41" t="str">
        <f>IFERROR(IF(VLOOKUP(B736,Baza[[№]:[Profit]],19,0)=0,"-",VLOOKUP(B736,Baza[[№]:[Profit]],19,0)),"")</f>
        <v/>
      </c>
      <c r="V736" s="41" t="str">
        <f>IFERROR(VLOOKUP(B736,Baza[[№]:[Profit]],20,0),"")</f>
        <v/>
      </c>
      <c r="W736" s="41" t="str">
        <f>IFERROR(IF(VLOOKUP(B736,Baza[[№]:[Profit]],21,0)=0,"-",VLOOKUP(B736,Baza[[№]:[Profit]],21,0)),"")</f>
        <v/>
      </c>
      <c r="X736" s="45" t="str">
        <f>IFERROR(IF(VLOOKUP(B736,Baza[[№]:[Profit]],22,0)=0,"-",VLOOKUP(B736,Baza[[№]:[Profit]],22,0)),"")</f>
        <v/>
      </c>
      <c r="Y736" s="45" t="str">
        <f>IFERROR(VLOOKUP(B736,Baza[[№]:[Profit]],23,0),"")</f>
        <v/>
      </c>
      <c r="Z736" s="44" t="str">
        <f>IFERROR(VLOOKUP(B736,Baza[[№]:[AFS]],24,0),"")</f>
        <v/>
      </c>
      <c r="AA736" s="45" t="str">
        <f>IF(Таблица2[[#This Row],[Profit]]="","#Н/Д",SUM($Y$40:Y736))</f>
        <v>#Н/Д</v>
      </c>
      <c r="AB736" s="45" t="b">
        <f>IF(Таблица2[[#This Row],[Grafik]]="#Н/Д",FALSE,TRUE)</f>
        <v>0</v>
      </c>
    </row>
    <row r="737" spans="2:28" ht="11.1" hidden="1" customHeight="1" x14ac:dyDescent="0.25">
      <c r="B737"/>
      <c r="C737" s="41" t="str">
        <f>IFERROR(VLOOKUP(B737,Baza[[№]:[Profit]],2,0),"")</f>
        <v/>
      </c>
      <c r="D73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3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37" s="43" t="str">
        <f>IFERROR(VLOOKUP(B737,Baza[[№]:[Profit]],3,0),"")</f>
        <v/>
      </c>
      <c r="G737" s="43" t="str">
        <f>IFERROR(VLOOKUP(B737,Baza[[№]:[Profit]],4,0),"")</f>
        <v/>
      </c>
      <c r="H737" s="43" t="str">
        <f>IFERROR(VLOOKUP(B737,Baza[[№]:[Profit]],5,0),"")</f>
        <v/>
      </c>
      <c r="I737" s="46" t="str">
        <f>IFERROR(VLOOKUP(B737,Baza[[№]:[Profit]],6,0),"")</f>
        <v/>
      </c>
      <c r="J737" s="49" t="str">
        <f>IFERROR(VLOOKUP(B737,Baza[[№]:[Profit]],7,0),"")</f>
        <v/>
      </c>
      <c r="K737" s="43" t="str">
        <f>IFERROR(VLOOKUP(B737,Baza[[№]:[Profit]],8,0),"")</f>
        <v/>
      </c>
      <c r="L737" s="43" t="str">
        <f>IFERROR(VLOOKUP(B737,Baza[[№]:[Profit]],9,0),"")</f>
        <v/>
      </c>
      <c r="M737" s="43" t="str">
        <f>IFERROR(VLOOKUP(B737,Baza[[№]:[Profit]],10,0),"")</f>
        <v/>
      </c>
      <c r="N737" s="43" t="str">
        <f>IFERROR(IF(VLOOKUP(B737,Baza[[№]:[Profit]],11,0)=0,"-",VLOOKUP(B737,Baza[[№]:[Profit]],11,0)),"")</f>
        <v/>
      </c>
      <c r="O737" s="43" t="str">
        <f>IFERROR(IF(VLOOKUP(B737,Baza[[№]:[Profit]],12,0)=0,"-",VLOOKUP(B737,Baza[[№]:[Profit]],12,0)),"")</f>
        <v/>
      </c>
      <c r="P737" s="43" t="str">
        <f>IFERROR(IF(VLOOKUP(B737,Baza[[№]:[Profit]],13,0)=0,"-",VLOOKUP(B737,Baza[[№]:[Profit]],13,0)),"")</f>
        <v/>
      </c>
      <c r="Q737" s="43" t="str">
        <f>IFERROR(IF(VLOOKUP(B737,Baza[[№]:[Profit]],15,0)=0,"-",VLOOKUP(B737,Baza[[№]:[Profit]],15,0)),"")</f>
        <v/>
      </c>
      <c r="R737" s="43" t="str">
        <f>IFERROR(IF(VLOOKUP(B737,Baza[[№]:[Profit]],16,0)=0,"-",VLOOKUP(B737,Baza[[№]:[Profit]],16,0)),"")</f>
        <v/>
      </c>
      <c r="S737" s="43" t="str">
        <f>IFERROR(IF(VLOOKUP(B737,Baza[[№]:[Profit]],17,0)=0,"-",VLOOKUP(B737,Baza[[№]:[Profit]],17,0)),"")</f>
        <v/>
      </c>
      <c r="T737" s="43" t="str">
        <f>IFERROR(IF(VLOOKUP(B737,Baza[[№]:[Profit]],18,0)=0,"-",VLOOKUP(B737,Baza[[№]:[Profit]],18,0)),"")</f>
        <v/>
      </c>
      <c r="U737" s="41" t="str">
        <f>IFERROR(IF(VLOOKUP(B737,Baza[[№]:[Profit]],19,0)=0,"-",VLOOKUP(B737,Baza[[№]:[Profit]],19,0)),"")</f>
        <v/>
      </c>
      <c r="V737" s="41" t="str">
        <f>IFERROR(VLOOKUP(B737,Baza[[№]:[Profit]],20,0),"")</f>
        <v/>
      </c>
      <c r="W737" s="41" t="str">
        <f>IFERROR(IF(VLOOKUP(B737,Baza[[№]:[Profit]],21,0)=0,"-",VLOOKUP(B737,Baza[[№]:[Profit]],21,0)),"")</f>
        <v/>
      </c>
      <c r="X737" s="45" t="str">
        <f>IFERROR(IF(VLOOKUP(B737,Baza[[№]:[Profit]],22,0)=0,"-",VLOOKUP(B737,Baza[[№]:[Profit]],22,0)),"")</f>
        <v/>
      </c>
      <c r="Y737" s="45" t="str">
        <f>IFERROR(VLOOKUP(B737,Baza[[№]:[Profit]],23,0),"")</f>
        <v/>
      </c>
      <c r="Z737" s="44" t="str">
        <f>IFERROR(VLOOKUP(B737,Baza[[№]:[AFS]],24,0),"")</f>
        <v/>
      </c>
      <c r="AA737" s="45" t="str">
        <f>IF(Таблица2[[#This Row],[Profit]]="","#Н/Д",SUM($Y$40:Y737))</f>
        <v>#Н/Д</v>
      </c>
      <c r="AB737" s="45" t="b">
        <f>IF(Таблица2[[#This Row],[Grafik]]="#Н/Д",FALSE,TRUE)</f>
        <v>0</v>
      </c>
    </row>
    <row r="738" spans="2:28" ht="11.1" hidden="1" customHeight="1" x14ac:dyDescent="0.25">
      <c r="B738"/>
      <c r="C738" s="41" t="str">
        <f>IFERROR(VLOOKUP(B738,Baza[[№]:[Profit]],2,0),"")</f>
        <v/>
      </c>
      <c r="D73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3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38" s="43" t="str">
        <f>IFERROR(VLOOKUP(B738,Baza[[№]:[Profit]],3,0),"")</f>
        <v/>
      </c>
      <c r="G738" s="43" t="str">
        <f>IFERROR(VLOOKUP(B738,Baza[[№]:[Profit]],4,0),"")</f>
        <v/>
      </c>
      <c r="H738" s="43" t="str">
        <f>IFERROR(VLOOKUP(B738,Baza[[№]:[Profit]],5,0),"")</f>
        <v/>
      </c>
      <c r="I738" s="46" t="str">
        <f>IFERROR(VLOOKUP(B738,Baza[[№]:[Profit]],6,0),"")</f>
        <v/>
      </c>
      <c r="J738" s="49" t="str">
        <f>IFERROR(VLOOKUP(B738,Baza[[№]:[Profit]],7,0),"")</f>
        <v/>
      </c>
      <c r="K738" s="43" t="str">
        <f>IFERROR(VLOOKUP(B738,Baza[[№]:[Profit]],8,0),"")</f>
        <v/>
      </c>
      <c r="L738" s="43" t="str">
        <f>IFERROR(VLOOKUP(B738,Baza[[№]:[Profit]],9,0),"")</f>
        <v/>
      </c>
      <c r="M738" s="43" t="str">
        <f>IFERROR(VLOOKUP(B738,Baza[[№]:[Profit]],10,0),"")</f>
        <v/>
      </c>
      <c r="N738" s="43" t="str">
        <f>IFERROR(IF(VLOOKUP(B738,Baza[[№]:[Profit]],11,0)=0,"-",VLOOKUP(B738,Baza[[№]:[Profit]],11,0)),"")</f>
        <v/>
      </c>
      <c r="O738" s="43" t="str">
        <f>IFERROR(IF(VLOOKUP(B738,Baza[[№]:[Profit]],12,0)=0,"-",VLOOKUP(B738,Baza[[№]:[Profit]],12,0)),"")</f>
        <v/>
      </c>
      <c r="P738" s="43" t="str">
        <f>IFERROR(IF(VLOOKUP(B738,Baza[[№]:[Profit]],13,0)=0,"-",VLOOKUP(B738,Baza[[№]:[Profit]],13,0)),"")</f>
        <v/>
      </c>
      <c r="Q738" s="43" t="str">
        <f>IFERROR(IF(VLOOKUP(B738,Baza[[№]:[Profit]],15,0)=0,"-",VLOOKUP(B738,Baza[[№]:[Profit]],15,0)),"")</f>
        <v/>
      </c>
      <c r="R738" s="43" t="str">
        <f>IFERROR(IF(VLOOKUP(B738,Baza[[№]:[Profit]],16,0)=0,"-",VLOOKUP(B738,Baza[[№]:[Profit]],16,0)),"")</f>
        <v/>
      </c>
      <c r="S738" s="43" t="str">
        <f>IFERROR(IF(VLOOKUP(B738,Baza[[№]:[Profit]],17,0)=0,"-",VLOOKUP(B738,Baza[[№]:[Profit]],17,0)),"")</f>
        <v/>
      </c>
      <c r="T738" s="43" t="str">
        <f>IFERROR(IF(VLOOKUP(B738,Baza[[№]:[Profit]],18,0)=0,"-",VLOOKUP(B738,Baza[[№]:[Profit]],18,0)),"")</f>
        <v/>
      </c>
      <c r="U738" s="41" t="str">
        <f>IFERROR(IF(VLOOKUP(B738,Baza[[№]:[Profit]],19,0)=0,"-",VLOOKUP(B738,Baza[[№]:[Profit]],19,0)),"")</f>
        <v/>
      </c>
      <c r="V738" s="41" t="str">
        <f>IFERROR(VLOOKUP(B738,Baza[[№]:[Profit]],20,0),"")</f>
        <v/>
      </c>
      <c r="W738" s="41" t="str">
        <f>IFERROR(IF(VLOOKUP(B738,Baza[[№]:[Profit]],21,0)=0,"-",VLOOKUP(B738,Baza[[№]:[Profit]],21,0)),"")</f>
        <v/>
      </c>
      <c r="X738" s="45" t="str">
        <f>IFERROR(IF(VLOOKUP(B738,Baza[[№]:[Profit]],22,0)=0,"-",VLOOKUP(B738,Baza[[№]:[Profit]],22,0)),"")</f>
        <v/>
      </c>
      <c r="Y738" s="45" t="str">
        <f>IFERROR(VLOOKUP(B738,Baza[[№]:[Profit]],23,0),"")</f>
        <v/>
      </c>
      <c r="Z738" s="44" t="str">
        <f>IFERROR(VLOOKUP(B738,Baza[[№]:[AFS]],24,0),"")</f>
        <v/>
      </c>
      <c r="AA738" s="45" t="str">
        <f>IF(Таблица2[[#This Row],[Profit]]="","#Н/Д",SUM($Y$40:Y738))</f>
        <v>#Н/Д</v>
      </c>
      <c r="AB738" s="45" t="b">
        <f>IF(Таблица2[[#This Row],[Grafik]]="#Н/Д",FALSE,TRUE)</f>
        <v>0</v>
      </c>
    </row>
    <row r="739" spans="2:28" ht="11.1" hidden="1" customHeight="1" x14ac:dyDescent="0.25">
      <c r="B739"/>
      <c r="C739" s="41" t="str">
        <f>IFERROR(VLOOKUP(B739,Baza[[№]:[Profit]],2,0),"")</f>
        <v/>
      </c>
      <c r="D73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3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39" s="43" t="str">
        <f>IFERROR(VLOOKUP(B739,Baza[[№]:[Profit]],3,0),"")</f>
        <v/>
      </c>
      <c r="G739" s="43" t="str">
        <f>IFERROR(VLOOKUP(B739,Baza[[№]:[Profit]],4,0),"")</f>
        <v/>
      </c>
      <c r="H739" s="43" t="str">
        <f>IFERROR(VLOOKUP(B739,Baza[[№]:[Profit]],5,0),"")</f>
        <v/>
      </c>
      <c r="I739" s="46" t="str">
        <f>IFERROR(VLOOKUP(B739,Baza[[№]:[Profit]],6,0),"")</f>
        <v/>
      </c>
      <c r="J739" s="49" t="str">
        <f>IFERROR(VLOOKUP(B739,Baza[[№]:[Profit]],7,0),"")</f>
        <v/>
      </c>
      <c r="K739" s="43" t="str">
        <f>IFERROR(VLOOKUP(B739,Baza[[№]:[Profit]],8,0),"")</f>
        <v/>
      </c>
      <c r="L739" s="43" t="str">
        <f>IFERROR(VLOOKUP(B739,Baza[[№]:[Profit]],9,0),"")</f>
        <v/>
      </c>
      <c r="M739" s="43" t="str">
        <f>IFERROR(VLOOKUP(B739,Baza[[№]:[Profit]],10,0),"")</f>
        <v/>
      </c>
      <c r="N739" s="43" t="str">
        <f>IFERROR(IF(VLOOKUP(B739,Baza[[№]:[Profit]],11,0)=0,"-",VLOOKUP(B739,Baza[[№]:[Profit]],11,0)),"")</f>
        <v/>
      </c>
      <c r="O739" s="43" t="str">
        <f>IFERROR(IF(VLOOKUP(B739,Baza[[№]:[Profit]],12,0)=0,"-",VLOOKUP(B739,Baza[[№]:[Profit]],12,0)),"")</f>
        <v/>
      </c>
      <c r="P739" s="43" t="str">
        <f>IFERROR(IF(VLOOKUP(B739,Baza[[№]:[Profit]],13,0)=0,"-",VLOOKUP(B739,Baza[[№]:[Profit]],13,0)),"")</f>
        <v/>
      </c>
      <c r="Q739" s="43" t="str">
        <f>IFERROR(IF(VLOOKUP(B739,Baza[[№]:[Profit]],15,0)=0,"-",VLOOKUP(B739,Baza[[№]:[Profit]],15,0)),"")</f>
        <v/>
      </c>
      <c r="R739" s="43" t="str">
        <f>IFERROR(IF(VLOOKUP(B739,Baza[[№]:[Profit]],16,0)=0,"-",VLOOKUP(B739,Baza[[№]:[Profit]],16,0)),"")</f>
        <v/>
      </c>
      <c r="S739" s="43" t="str">
        <f>IFERROR(IF(VLOOKUP(B739,Baza[[№]:[Profit]],17,0)=0,"-",VLOOKUP(B739,Baza[[№]:[Profit]],17,0)),"")</f>
        <v/>
      </c>
      <c r="T739" s="43" t="str">
        <f>IFERROR(IF(VLOOKUP(B739,Baza[[№]:[Profit]],18,0)=0,"-",VLOOKUP(B739,Baza[[№]:[Profit]],18,0)),"")</f>
        <v/>
      </c>
      <c r="U739" s="41" t="str">
        <f>IFERROR(IF(VLOOKUP(B739,Baza[[№]:[Profit]],19,0)=0,"-",VLOOKUP(B739,Baza[[№]:[Profit]],19,0)),"")</f>
        <v/>
      </c>
      <c r="V739" s="41" t="str">
        <f>IFERROR(VLOOKUP(B739,Baza[[№]:[Profit]],20,0),"")</f>
        <v/>
      </c>
      <c r="W739" s="41" t="str">
        <f>IFERROR(IF(VLOOKUP(B739,Baza[[№]:[Profit]],21,0)=0,"-",VLOOKUP(B739,Baza[[№]:[Profit]],21,0)),"")</f>
        <v/>
      </c>
      <c r="X739" s="45" t="str">
        <f>IFERROR(IF(VLOOKUP(B739,Baza[[№]:[Profit]],22,0)=0,"-",VLOOKUP(B739,Baza[[№]:[Profit]],22,0)),"")</f>
        <v/>
      </c>
      <c r="Y739" s="45" t="str">
        <f>IFERROR(VLOOKUP(B739,Baza[[№]:[Profit]],23,0),"")</f>
        <v/>
      </c>
      <c r="Z739" s="44" t="str">
        <f>IFERROR(VLOOKUP(B739,Baza[[№]:[AFS]],24,0),"")</f>
        <v/>
      </c>
      <c r="AA739" s="45" t="str">
        <f>IF(Таблица2[[#This Row],[Profit]]="","#Н/Д",SUM($Y$40:Y739))</f>
        <v>#Н/Д</v>
      </c>
      <c r="AB739" s="45" t="b">
        <f>IF(Таблица2[[#This Row],[Grafik]]="#Н/Д",FALSE,TRUE)</f>
        <v>0</v>
      </c>
    </row>
    <row r="740" spans="2:28" ht="11.1" hidden="1" customHeight="1" x14ac:dyDescent="0.25">
      <c r="B740"/>
      <c r="C740" s="41" t="str">
        <f>IFERROR(VLOOKUP(B740,Baza[[№]:[Profit]],2,0),"")</f>
        <v/>
      </c>
      <c r="D74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4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40" s="43" t="str">
        <f>IFERROR(VLOOKUP(B740,Baza[[№]:[Profit]],3,0),"")</f>
        <v/>
      </c>
      <c r="G740" s="43" t="str">
        <f>IFERROR(VLOOKUP(B740,Baza[[№]:[Profit]],4,0),"")</f>
        <v/>
      </c>
      <c r="H740" s="43" t="str">
        <f>IFERROR(VLOOKUP(B740,Baza[[№]:[Profit]],5,0),"")</f>
        <v/>
      </c>
      <c r="I740" s="46" t="str">
        <f>IFERROR(VLOOKUP(B740,Baza[[№]:[Profit]],6,0),"")</f>
        <v/>
      </c>
      <c r="J740" s="49" t="str">
        <f>IFERROR(VLOOKUP(B740,Baza[[№]:[Profit]],7,0),"")</f>
        <v/>
      </c>
      <c r="K740" s="43" t="str">
        <f>IFERROR(VLOOKUP(B740,Baza[[№]:[Profit]],8,0),"")</f>
        <v/>
      </c>
      <c r="L740" s="43" t="str">
        <f>IFERROR(VLOOKUP(B740,Baza[[№]:[Profit]],9,0),"")</f>
        <v/>
      </c>
      <c r="M740" s="43" t="str">
        <f>IFERROR(VLOOKUP(B740,Baza[[№]:[Profit]],10,0),"")</f>
        <v/>
      </c>
      <c r="N740" s="43" t="str">
        <f>IFERROR(IF(VLOOKUP(B740,Baza[[№]:[Profit]],11,0)=0,"-",VLOOKUP(B740,Baza[[№]:[Profit]],11,0)),"")</f>
        <v/>
      </c>
      <c r="O740" s="43" t="str">
        <f>IFERROR(IF(VLOOKUP(B740,Baza[[№]:[Profit]],12,0)=0,"-",VLOOKUP(B740,Baza[[№]:[Profit]],12,0)),"")</f>
        <v/>
      </c>
      <c r="P740" s="43" t="str">
        <f>IFERROR(IF(VLOOKUP(B740,Baza[[№]:[Profit]],13,0)=0,"-",VLOOKUP(B740,Baza[[№]:[Profit]],13,0)),"")</f>
        <v/>
      </c>
      <c r="Q740" s="43" t="str">
        <f>IFERROR(IF(VLOOKUP(B740,Baza[[№]:[Profit]],15,0)=0,"-",VLOOKUP(B740,Baza[[№]:[Profit]],15,0)),"")</f>
        <v/>
      </c>
      <c r="R740" s="43" t="str">
        <f>IFERROR(IF(VLOOKUP(B740,Baza[[№]:[Profit]],16,0)=0,"-",VLOOKUP(B740,Baza[[№]:[Profit]],16,0)),"")</f>
        <v/>
      </c>
      <c r="S740" s="43" t="str">
        <f>IFERROR(IF(VLOOKUP(B740,Baza[[№]:[Profit]],17,0)=0,"-",VLOOKUP(B740,Baza[[№]:[Profit]],17,0)),"")</f>
        <v/>
      </c>
      <c r="T740" s="43" t="str">
        <f>IFERROR(IF(VLOOKUP(B740,Baza[[№]:[Profit]],18,0)=0,"-",VLOOKUP(B740,Baza[[№]:[Profit]],18,0)),"")</f>
        <v/>
      </c>
      <c r="U740" s="41" t="str">
        <f>IFERROR(IF(VLOOKUP(B740,Baza[[№]:[Profit]],19,0)=0,"-",VLOOKUP(B740,Baza[[№]:[Profit]],19,0)),"")</f>
        <v/>
      </c>
      <c r="V740" s="41" t="str">
        <f>IFERROR(VLOOKUP(B740,Baza[[№]:[Profit]],20,0),"")</f>
        <v/>
      </c>
      <c r="W740" s="41" t="str">
        <f>IFERROR(IF(VLOOKUP(B740,Baza[[№]:[Profit]],21,0)=0,"-",VLOOKUP(B740,Baza[[№]:[Profit]],21,0)),"")</f>
        <v/>
      </c>
      <c r="X740" s="45" t="str">
        <f>IFERROR(IF(VLOOKUP(B740,Baza[[№]:[Profit]],22,0)=0,"-",VLOOKUP(B740,Baza[[№]:[Profit]],22,0)),"")</f>
        <v/>
      </c>
      <c r="Y740" s="45" t="str">
        <f>IFERROR(VLOOKUP(B740,Baza[[№]:[Profit]],23,0),"")</f>
        <v/>
      </c>
      <c r="Z740" s="44" t="str">
        <f>IFERROR(VLOOKUP(B740,Baza[[№]:[AFS]],24,0),"")</f>
        <v/>
      </c>
      <c r="AA740" s="45" t="str">
        <f>IF(Таблица2[[#This Row],[Profit]]="","#Н/Д",SUM($Y$40:Y740))</f>
        <v>#Н/Д</v>
      </c>
      <c r="AB740" s="45" t="b">
        <f>IF(Таблица2[[#This Row],[Grafik]]="#Н/Д",FALSE,TRUE)</f>
        <v>0</v>
      </c>
    </row>
    <row r="741" spans="2:28" ht="11.1" hidden="1" customHeight="1" x14ac:dyDescent="0.25">
      <c r="B741"/>
      <c r="C741" s="41" t="str">
        <f>IFERROR(VLOOKUP(B741,Baza[[№]:[Profit]],2,0),"")</f>
        <v/>
      </c>
      <c r="D74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4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41" s="43" t="str">
        <f>IFERROR(VLOOKUP(B741,Baza[[№]:[Profit]],3,0),"")</f>
        <v/>
      </c>
      <c r="G741" s="43" t="str">
        <f>IFERROR(VLOOKUP(B741,Baza[[№]:[Profit]],4,0),"")</f>
        <v/>
      </c>
      <c r="H741" s="43" t="str">
        <f>IFERROR(VLOOKUP(B741,Baza[[№]:[Profit]],5,0),"")</f>
        <v/>
      </c>
      <c r="I741" s="46" t="str">
        <f>IFERROR(VLOOKUP(B741,Baza[[№]:[Profit]],6,0),"")</f>
        <v/>
      </c>
      <c r="J741" s="49" t="str">
        <f>IFERROR(VLOOKUP(B741,Baza[[№]:[Profit]],7,0),"")</f>
        <v/>
      </c>
      <c r="K741" s="43" t="str">
        <f>IFERROR(VLOOKUP(B741,Baza[[№]:[Profit]],8,0),"")</f>
        <v/>
      </c>
      <c r="L741" s="43" t="str">
        <f>IFERROR(VLOOKUP(B741,Baza[[№]:[Profit]],9,0),"")</f>
        <v/>
      </c>
      <c r="M741" s="43" t="str">
        <f>IFERROR(VLOOKUP(B741,Baza[[№]:[Profit]],10,0),"")</f>
        <v/>
      </c>
      <c r="N741" s="43" t="str">
        <f>IFERROR(IF(VLOOKUP(B741,Baza[[№]:[Profit]],11,0)=0,"-",VLOOKUP(B741,Baza[[№]:[Profit]],11,0)),"")</f>
        <v/>
      </c>
      <c r="O741" s="43" t="str">
        <f>IFERROR(IF(VLOOKUP(B741,Baza[[№]:[Profit]],12,0)=0,"-",VLOOKUP(B741,Baza[[№]:[Profit]],12,0)),"")</f>
        <v/>
      </c>
      <c r="P741" s="43" t="str">
        <f>IFERROR(IF(VLOOKUP(B741,Baza[[№]:[Profit]],13,0)=0,"-",VLOOKUP(B741,Baza[[№]:[Profit]],13,0)),"")</f>
        <v/>
      </c>
      <c r="Q741" s="43" t="str">
        <f>IFERROR(IF(VLOOKUP(B741,Baza[[№]:[Profit]],15,0)=0,"-",VLOOKUP(B741,Baza[[№]:[Profit]],15,0)),"")</f>
        <v/>
      </c>
      <c r="R741" s="43" t="str">
        <f>IFERROR(IF(VLOOKUP(B741,Baza[[№]:[Profit]],16,0)=0,"-",VLOOKUP(B741,Baza[[№]:[Profit]],16,0)),"")</f>
        <v/>
      </c>
      <c r="S741" s="43" t="str">
        <f>IFERROR(IF(VLOOKUP(B741,Baza[[№]:[Profit]],17,0)=0,"-",VLOOKUP(B741,Baza[[№]:[Profit]],17,0)),"")</f>
        <v/>
      </c>
      <c r="T741" s="43" t="str">
        <f>IFERROR(IF(VLOOKUP(B741,Baza[[№]:[Profit]],18,0)=0,"-",VLOOKUP(B741,Baza[[№]:[Profit]],18,0)),"")</f>
        <v/>
      </c>
      <c r="U741" s="41" t="str">
        <f>IFERROR(IF(VLOOKUP(B741,Baza[[№]:[Profit]],19,0)=0,"-",VLOOKUP(B741,Baza[[№]:[Profit]],19,0)),"")</f>
        <v/>
      </c>
      <c r="V741" s="41" t="str">
        <f>IFERROR(VLOOKUP(B741,Baza[[№]:[Profit]],20,0),"")</f>
        <v/>
      </c>
      <c r="W741" s="41" t="str">
        <f>IFERROR(IF(VLOOKUP(B741,Baza[[№]:[Profit]],21,0)=0,"-",VLOOKUP(B741,Baza[[№]:[Profit]],21,0)),"")</f>
        <v/>
      </c>
      <c r="X741" s="45" t="str">
        <f>IFERROR(IF(VLOOKUP(B741,Baza[[№]:[Profit]],22,0)=0,"-",VLOOKUP(B741,Baza[[№]:[Profit]],22,0)),"")</f>
        <v/>
      </c>
      <c r="Y741" s="45" t="str">
        <f>IFERROR(VLOOKUP(B741,Baza[[№]:[Profit]],23,0),"")</f>
        <v/>
      </c>
      <c r="Z741" s="44" t="str">
        <f>IFERROR(VLOOKUP(B741,Baza[[№]:[AFS]],24,0),"")</f>
        <v/>
      </c>
      <c r="AA741" s="45" t="str">
        <f>IF(Таблица2[[#This Row],[Profit]]="","#Н/Д",SUM($Y$40:Y741))</f>
        <v>#Н/Д</v>
      </c>
      <c r="AB741" s="45" t="b">
        <f>IF(Таблица2[[#This Row],[Grafik]]="#Н/Д",FALSE,TRUE)</f>
        <v>0</v>
      </c>
    </row>
    <row r="742" spans="2:28" ht="11.1" hidden="1" customHeight="1" x14ac:dyDescent="0.25">
      <c r="B742"/>
      <c r="C742" s="41" t="str">
        <f>IFERROR(VLOOKUP(B742,Baza[[№]:[Profit]],2,0),"")</f>
        <v/>
      </c>
      <c r="D74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4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42" s="43" t="str">
        <f>IFERROR(VLOOKUP(B742,Baza[[№]:[Profit]],3,0),"")</f>
        <v/>
      </c>
      <c r="G742" s="43" t="str">
        <f>IFERROR(VLOOKUP(B742,Baza[[№]:[Profit]],4,0),"")</f>
        <v/>
      </c>
      <c r="H742" s="43" t="str">
        <f>IFERROR(VLOOKUP(B742,Baza[[№]:[Profit]],5,0),"")</f>
        <v/>
      </c>
      <c r="I742" s="46" t="str">
        <f>IFERROR(VLOOKUP(B742,Baza[[№]:[Profit]],6,0),"")</f>
        <v/>
      </c>
      <c r="J742" s="49" t="str">
        <f>IFERROR(VLOOKUP(B742,Baza[[№]:[Profit]],7,0),"")</f>
        <v/>
      </c>
      <c r="K742" s="43" t="str">
        <f>IFERROR(VLOOKUP(B742,Baza[[№]:[Profit]],8,0),"")</f>
        <v/>
      </c>
      <c r="L742" s="43" t="str">
        <f>IFERROR(VLOOKUP(B742,Baza[[№]:[Profit]],9,0),"")</f>
        <v/>
      </c>
      <c r="M742" s="43" t="str">
        <f>IFERROR(VLOOKUP(B742,Baza[[№]:[Profit]],10,0),"")</f>
        <v/>
      </c>
      <c r="N742" s="43" t="str">
        <f>IFERROR(IF(VLOOKUP(B742,Baza[[№]:[Profit]],11,0)=0,"-",VLOOKUP(B742,Baza[[№]:[Profit]],11,0)),"")</f>
        <v/>
      </c>
      <c r="O742" s="43" t="str">
        <f>IFERROR(IF(VLOOKUP(B742,Baza[[№]:[Profit]],12,0)=0,"-",VLOOKUP(B742,Baza[[№]:[Profit]],12,0)),"")</f>
        <v/>
      </c>
      <c r="P742" s="43" t="str">
        <f>IFERROR(IF(VLOOKUP(B742,Baza[[№]:[Profit]],13,0)=0,"-",VLOOKUP(B742,Baza[[№]:[Profit]],13,0)),"")</f>
        <v/>
      </c>
      <c r="Q742" s="43" t="str">
        <f>IFERROR(IF(VLOOKUP(B742,Baza[[№]:[Profit]],15,0)=0,"-",VLOOKUP(B742,Baza[[№]:[Profit]],15,0)),"")</f>
        <v/>
      </c>
      <c r="R742" s="43" t="str">
        <f>IFERROR(IF(VLOOKUP(B742,Baza[[№]:[Profit]],16,0)=0,"-",VLOOKUP(B742,Baza[[№]:[Profit]],16,0)),"")</f>
        <v/>
      </c>
      <c r="S742" s="43" t="str">
        <f>IFERROR(IF(VLOOKUP(B742,Baza[[№]:[Profit]],17,0)=0,"-",VLOOKUP(B742,Baza[[№]:[Profit]],17,0)),"")</f>
        <v/>
      </c>
      <c r="T742" s="43" t="str">
        <f>IFERROR(IF(VLOOKUP(B742,Baza[[№]:[Profit]],18,0)=0,"-",VLOOKUP(B742,Baza[[№]:[Profit]],18,0)),"")</f>
        <v/>
      </c>
      <c r="U742" s="41" t="str">
        <f>IFERROR(IF(VLOOKUP(B742,Baza[[№]:[Profit]],19,0)=0,"-",VLOOKUP(B742,Baza[[№]:[Profit]],19,0)),"")</f>
        <v/>
      </c>
      <c r="V742" s="41" t="str">
        <f>IFERROR(VLOOKUP(B742,Baza[[№]:[Profit]],20,0),"")</f>
        <v/>
      </c>
      <c r="W742" s="41" t="str">
        <f>IFERROR(IF(VLOOKUP(B742,Baza[[№]:[Profit]],21,0)=0,"-",VLOOKUP(B742,Baza[[№]:[Profit]],21,0)),"")</f>
        <v/>
      </c>
      <c r="X742" s="45" t="str">
        <f>IFERROR(IF(VLOOKUP(B742,Baza[[№]:[Profit]],22,0)=0,"-",VLOOKUP(B742,Baza[[№]:[Profit]],22,0)),"")</f>
        <v/>
      </c>
      <c r="Y742" s="45" t="str">
        <f>IFERROR(VLOOKUP(B742,Baza[[№]:[Profit]],23,0),"")</f>
        <v/>
      </c>
      <c r="Z742" s="44" t="str">
        <f>IFERROR(VLOOKUP(B742,Baza[[№]:[AFS]],24,0),"")</f>
        <v/>
      </c>
      <c r="AA742" s="45" t="str">
        <f>IF(Таблица2[[#This Row],[Profit]]="","#Н/Д",SUM($Y$40:Y742))</f>
        <v>#Н/Д</v>
      </c>
      <c r="AB742" s="45" t="b">
        <f>IF(Таблица2[[#This Row],[Grafik]]="#Н/Д",FALSE,TRUE)</f>
        <v>0</v>
      </c>
    </row>
    <row r="743" spans="2:28" ht="11.1" hidden="1" customHeight="1" x14ac:dyDescent="0.25">
      <c r="B743"/>
      <c r="C743" s="41" t="str">
        <f>IFERROR(VLOOKUP(B743,Baza[[№]:[Profit]],2,0),"")</f>
        <v/>
      </c>
      <c r="D74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4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43" s="43" t="str">
        <f>IFERROR(VLOOKUP(B743,Baza[[№]:[Profit]],3,0),"")</f>
        <v/>
      </c>
      <c r="G743" s="43" t="str">
        <f>IFERROR(VLOOKUP(B743,Baza[[№]:[Profit]],4,0),"")</f>
        <v/>
      </c>
      <c r="H743" s="43" t="str">
        <f>IFERROR(VLOOKUP(B743,Baza[[№]:[Profit]],5,0),"")</f>
        <v/>
      </c>
      <c r="I743" s="46" t="str">
        <f>IFERROR(VLOOKUP(B743,Baza[[№]:[Profit]],6,0),"")</f>
        <v/>
      </c>
      <c r="J743" s="49" t="str">
        <f>IFERROR(VLOOKUP(B743,Baza[[№]:[Profit]],7,0),"")</f>
        <v/>
      </c>
      <c r="K743" s="43" t="str">
        <f>IFERROR(VLOOKUP(B743,Baza[[№]:[Profit]],8,0),"")</f>
        <v/>
      </c>
      <c r="L743" s="43" t="str">
        <f>IFERROR(VLOOKUP(B743,Baza[[№]:[Profit]],9,0),"")</f>
        <v/>
      </c>
      <c r="M743" s="43" t="str">
        <f>IFERROR(VLOOKUP(B743,Baza[[№]:[Profit]],10,0),"")</f>
        <v/>
      </c>
      <c r="N743" s="43" t="str">
        <f>IFERROR(IF(VLOOKUP(B743,Baza[[№]:[Profit]],11,0)=0,"-",VLOOKUP(B743,Baza[[№]:[Profit]],11,0)),"")</f>
        <v/>
      </c>
      <c r="O743" s="43" t="str">
        <f>IFERROR(IF(VLOOKUP(B743,Baza[[№]:[Profit]],12,0)=0,"-",VLOOKUP(B743,Baza[[№]:[Profit]],12,0)),"")</f>
        <v/>
      </c>
      <c r="P743" s="43" t="str">
        <f>IFERROR(IF(VLOOKUP(B743,Baza[[№]:[Profit]],13,0)=0,"-",VLOOKUP(B743,Baza[[№]:[Profit]],13,0)),"")</f>
        <v/>
      </c>
      <c r="Q743" s="43" t="str">
        <f>IFERROR(IF(VLOOKUP(B743,Baza[[№]:[Profit]],15,0)=0,"-",VLOOKUP(B743,Baza[[№]:[Profit]],15,0)),"")</f>
        <v/>
      </c>
      <c r="R743" s="43" t="str">
        <f>IFERROR(IF(VLOOKUP(B743,Baza[[№]:[Profit]],16,0)=0,"-",VLOOKUP(B743,Baza[[№]:[Profit]],16,0)),"")</f>
        <v/>
      </c>
      <c r="S743" s="43" t="str">
        <f>IFERROR(IF(VLOOKUP(B743,Baza[[№]:[Profit]],17,0)=0,"-",VLOOKUP(B743,Baza[[№]:[Profit]],17,0)),"")</f>
        <v/>
      </c>
      <c r="T743" s="43" t="str">
        <f>IFERROR(IF(VLOOKUP(B743,Baza[[№]:[Profit]],18,0)=0,"-",VLOOKUP(B743,Baza[[№]:[Profit]],18,0)),"")</f>
        <v/>
      </c>
      <c r="U743" s="41" t="str">
        <f>IFERROR(IF(VLOOKUP(B743,Baza[[№]:[Profit]],19,0)=0,"-",VLOOKUP(B743,Baza[[№]:[Profit]],19,0)),"")</f>
        <v/>
      </c>
      <c r="V743" s="41" t="str">
        <f>IFERROR(VLOOKUP(B743,Baza[[№]:[Profit]],20,0),"")</f>
        <v/>
      </c>
      <c r="W743" s="41" t="str">
        <f>IFERROR(IF(VLOOKUP(B743,Baza[[№]:[Profit]],21,0)=0,"-",VLOOKUP(B743,Baza[[№]:[Profit]],21,0)),"")</f>
        <v/>
      </c>
      <c r="X743" s="45" t="str">
        <f>IFERROR(IF(VLOOKUP(B743,Baza[[№]:[Profit]],22,0)=0,"-",VLOOKUP(B743,Baza[[№]:[Profit]],22,0)),"")</f>
        <v/>
      </c>
      <c r="Y743" s="45" t="str">
        <f>IFERROR(VLOOKUP(B743,Baza[[№]:[Profit]],23,0),"")</f>
        <v/>
      </c>
      <c r="Z743" s="44" t="str">
        <f>IFERROR(VLOOKUP(B743,Baza[[№]:[AFS]],24,0),"")</f>
        <v/>
      </c>
      <c r="AA743" s="45" t="str">
        <f>IF(Таблица2[[#This Row],[Profit]]="","#Н/Д",SUM($Y$40:Y743))</f>
        <v>#Н/Д</v>
      </c>
      <c r="AB743" s="45" t="b">
        <f>IF(Таблица2[[#This Row],[Grafik]]="#Н/Д",FALSE,TRUE)</f>
        <v>0</v>
      </c>
    </row>
    <row r="744" spans="2:28" ht="11.1" hidden="1" customHeight="1" x14ac:dyDescent="0.25">
      <c r="B744"/>
      <c r="C744" s="41" t="str">
        <f>IFERROR(VLOOKUP(B744,Baza[[№]:[Profit]],2,0),"")</f>
        <v/>
      </c>
      <c r="D74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4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44" s="43" t="str">
        <f>IFERROR(VLOOKUP(B744,Baza[[№]:[Profit]],3,0),"")</f>
        <v/>
      </c>
      <c r="G744" s="43" t="str">
        <f>IFERROR(VLOOKUP(B744,Baza[[№]:[Profit]],4,0),"")</f>
        <v/>
      </c>
      <c r="H744" s="43" t="str">
        <f>IFERROR(VLOOKUP(B744,Baza[[№]:[Profit]],5,0),"")</f>
        <v/>
      </c>
      <c r="I744" s="46" t="str">
        <f>IFERROR(VLOOKUP(B744,Baza[[№]:[Profit]],6,0),"")</f>
        <v/>
      </c>
      <c r="J744" s="49" t="str">
        <f>IFERROR(VLOOKUP(B744,Baza[[№]:[Profit]],7,0),"")</f>
        <v/>
      </c>
      <c r="K744" s="43" t="str">
        <f>IFERROR(VLOOKUP(B744,Baza[[№]:[Profit]],8,0),"")</f>
        <v/>
      </c>
      <c r="L744" s="43" t="str">
        <f>IFERROR(VLOOKUP(B744,Baza[[№]:[Profit]],9,0),"")</f>
        <v/>
      </c>
      <c r="M744" s="43" t="str">
        <f>IFERROR(VLOOKUP(B744,Baza[[№]:[Profit]],10,0),"")</f>
        <v/>
      </c>
      <c r="N744" s="43" t="str">
        <f>IFERROR(IF(VLOOKUP(B744,Baza[[№]:[Profit]],11,0)=0,"-",VLOOKUP(B744,Baza[[№]:[Profit]],11,0)),"")</f>
        <v/>
      </c>
      <c r="O744" s="43" t="str">
        <f>IFERROR(IF(VLOOKUP(B744,Baza[[№]:[Profit]],12,0)=0,"-",VLOOKUP(B744,Baza[[№]:[Profit]],12,0)),"")</f>
        <v/>
      </c>
      <c r="P744" s="43" t="str">
        <f>IFERROR(IF(VLOOKUP(B744,Baza[[№]:[Profit]],13,0)=0,"-",VLOOKUP(B744,Baza[[№]:[Profit]],13,0)),"")</f>
        <v/>
      </c>
      <c r="Q744" s="43" t="str">
        <f>IFERROR(IF(VLOOKUP(B744,Baza[[№]:[Profit]],15,0)=0,"-",VLOOKUP(B744,Baza[[№]:[Profit]],15,0)),"")</f>
        <v/>
      </c>
      <c r="R744" s="43" t="str">
        <f>IFERROR(IF(VLOOKUP(B744,Baza[[№]:[Profit]],16,0)=0,"-",VLOOKUP(B744,Baza[[№]:[Profit]],16,0)),"")</f>
        <v/>
      </c>
      <c r="S744" s="43" t="str">
        <f>IFERROR(IF(VLOOKUP(B744,Baza[[№]:[Profit]],17,0)=0,"-",VLOOKUP(B744,Baza[[№]:[Profit]],17,0)),"")</f>
        <v/>
      </c>
      <c r="T744" s="43" t="str">
        <f>IFERROR(IF(VLOOKUP(B744,Baza[[№]:[Profit]],18,0)=0,"-",VLOOKUP(B744,Baza[[№]:[Profit]],18,0)),"")</f>
        <v/>
      </c>
      <c r="U744" s="41" t="str">
        <f>IFERROR(IF(VLOOKUP(B744,Baza[[№]:[Profit]],19,0)=0,"-",VLOOKUP(B744,Baza[[№]:[Profit]],19,0)),"")</f>
        <v/>
      </c>
      <c r="V744" s="41" t="str">
        <f>IFERROR(VLOOKUP(B744,Baza[[№]:[Profit]],20,0),"")</f>
        <v/>
      </c>
      <c r="W744" s="41" t="str">
        <f>IFERROR(IF(VLOOKUP(B744,Baza[[№]:[Profit]],21,0)=0,"-",VLOOKUP(B744,Baza[[№]:[Profit]],21,0)),"")</f>
        <v/>
      </c>
      <c r="X744" s="45" t="str">
        <f>IFERROR(IF(VLOOKUP(B744,Baza[[№]:[Profit]],22,0)=0,"-",VLOOKUP(B744,Baza[[№]:[Profit]],22,0)),"")</f>
        <v/>
      </c>
      <c r="Y744" s="45" t="str">
        <f>IFERROR(VLOOKUP(B744,Baza[[№]:[Profit]],23,0),"")</f>
        <v/>
      </c>
      <c r="Z744" s="44" t="str">
        <f>IFERROR(VLOOKUP(B744,Baza[[№]:[AFS]],24,0),"")</f>
        <v/>
      </c>
      <c r="AA744" s="45" t="str">
        <f>IF(Таблица2[[#This Row],[Profit]]="","#Н/Д",SUM($Y$40:Y744))</f>
        <v>#Н/Д</v>
      </c>
      <c r="AB744" s="45" t="b">
        <f>IF(Таблица2[[#This Row],[Grafik]]="#Н/Д",FALSE,TRUE)</f>
        <v>0</v>
      </c>
    </row>
    <row r="745" spans="2:28" ht="11.1" hidden="1" customHeight="1" x14ac:dyDescent="0.25">
      <c r="B745"/>
      <c r="C745" s="41" t="str">
        <f>IFERROR(VLOOKUP(B745,Baza[[№]:[Profit]],2,0),"")</f>
        <v/>
      </c>
      <c r="D74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4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45" s="43" t="str">
        <f>IFERROR(VLOOKUP(B745,Baza[[№]:[Profit]],3,0),"")</f>
        <v/>
      </c>
      <c r="G745" s="43" t="str">
        <f>IFERROR(VLOOKUP(B745,Baza[[№]:[Profit]],4,0),"")</f>
        <v/>
      </c>
      <c r="H745" s="43" t="str">
        <f>IFERROR(VLOOKUP(B745,Baza[[№]:[Profit]],5,0),"")</f>
        <v/>
      </c>
      <c r="I745" s="46" t="str">
        <f>IFERROR(VLOOKUP(B745,Baza[[№]:[Profit]],6,0),"")</f>
        <v/>
      </c>
      <c r="J745" s="49" t="str">
        <f>IFERROR(VLOOKUP(B745,Baza[[№]:[Profit]],7,0),"")</f>
        <v/>
      </c>
      <c r="K745" s="43" t="str">
        <f>IFERROR(VLOOKUP(B745,Baza[[№]:[Profit]],8,0),"")</f>
        <v/>
      </c>
      <c r="L745" s="43" t="str">
        <f>IFERROR(VLOOKUP(B745,Baza[[№]:[Profit]],9,0),"")</f>
        <v/>
      </c>
      <c r="M745" s="43" t="str">
        <f>IFERROR(VLOOKUP(B745,Baza[[№]:[Profit]],10,0),"")</f>
        <v/>
      </c>
      <c r="N745" s="43" t="str">
        <f>IFERROR(IF(VLOOKUP(B745,Baza[[№]:[Profit]],11,0)=0,"-",VLOOKUP(B745,Baza[[№]:[Profit]],11,0)),"")</f>
        <v/>
      </c>
      <c r="O745" s="43" t="str">
        <f>IFERROR(IF(VLOOKUP(B745,Baza[[№]:[Profit]],12,0)=0,"-",VLOOKUP(B745,Baza[[№]:[Profit]],12,0)),"")</f>
        <v/>
      </c>
      <c r="P745" s="43" t="str">
        <f>IFERROR(IF(VLOOKUP(B745,Baza[[№]:[Profit]],13,0)=0,"-",VLOOKUP(B745,Baza[[№]:[Profit]],13,0)),"")</f>
        <v/>
      </c>
      <c r="Q745" s="43" t="str">
        <f>IFERROR(IF(VLOOKUP(B745,Baza[[№]:[Profit]],15,0)=0,"-",VLOOKUP(B745,Baza[[№]:[Profit]],15,0)),"")</f>
        <v/>
      </c>
      <c r="R745" s="43" t="str">
        <f>IFERROR(IF(VLOOKUP(B745,Baza[[№]:[Profit]],16,0)=0,"-",VLOOKUP(B745,Baza[[№]:[Profit]],16,0)),"")</f>
        <v/>
      </c>
      <c r="S745" s="43" t="str">
        <f>IFERROR(IF(VLOOKUP(B745,Baza[[№]:[Profit]],17,0)=0,"-",VLOOKUP(B745,Baza[[№]:[Profit]],17,0)),"")</f>
        <v/>
      </c>
      <c r="T745" s="43" t="str">
        <f>IFERROR(IF(VLOOKUP(B745,Baza[[№]:[Profit]],18,0)=0,"-",VLOOKUP(B745,Baza[[№]:[Profit]],18,0)),"")</f>
        <v/>
      </c>
      <c r="U745" s="41" t="str">
        <f>IFERROR(IF(VLOOKUP(B745,Baza[[№]:[Profit]],19,0)=0,"-",VLOOKUP(B745,Baza[[№]:[Profit]],19,0)),"")</f>
        <v/>
      </c>
      <c r="V745" s="41" t="str">
        <f>IFERROR(VLOOKUP(B745,Baza[[№]:[Profit]],20,0),"")</f>
        <v/>
      </c>
      <c r="W745" s="41" t="str">
        <f>IFERROR(IF(VLOOKUP(B745,Baza[[№]:[Profit]],21,0)=0,"-",VLOOKUP(B745,Baza[[№]:[Profit]],21,0)),"")</f>
        <v/>
      </c>
      <c r="X745" s="45" t="str">
        <f>IFERROR(IF(VLOOKUP(B745,Baza[[№]:[Profit]],22,0)=0,"-",VLOOKUP(B745,Baza[[№]:[Profit]],22,0)),"")</f>
        <v/>
      </c>
      <c r="Y745" s="45" t="str">
        <f>IFERROR(VLOOKUP(B745,Baza[[№]:[Profit]],23,0),"")</f>
        <v/>
      </c>
      <c r="Z745" s="44" t="str">
        <f>IFERROR(VLOOKUP(B745,Baza[[№]:[AFS]],24,0),"")</f>
        <v/>
      </c>
      <c r="AA745" s="45" t="str">
        <f>IF(Таблица2[[#This Row],[Profit]]="","#Н/Д",SUM($Y$40:Y745))</f>
        <v>#Н/Д</v>
      </c>
      <c r="AB745" s="45" t="b">
        <f>IF(Таблица2[[#This Row],[Grafik]]="#Н/Д",FALSE,TRUE)</f>
        <v>0</v>
      </c>
    </row>
    <row r="746" spans="2:28" ht="11.1" hidden="1" customHeight="1" x14ac:dyDescent="0.25">
      <c r="B746"/>
      <c r="C746" s="41" t="str">
        <f>IFERROR(VLOOKUP(B746,Baza[[№]:[Profit]],2,0),"")</f>
        <v/>
      </c>
      <c r="D74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4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46" s="43" t="str">
        <f>IFERROR(VLOOKUP(B746,Baza[[№]:[Profit]],3,0),"")</f>
        <v/>
      </c>
      <c r="G746" s="43" t="str">
        <f>IFERROR(VLOOKUP(B746,Baza[[№]:[Profit]],4,0),"")</f>
        <v/>
      </c>
      <c r="H746" s="43" t="str">
        <f>IFERROR(VLOOKUP(B746,Baza[[№]:[Profit]],5,0),"")</f>
        <v/>
      </c>
      <c r="I746" s="46" t="str">
        <f>IFERROR(VLOOKUP(B746,Baza[[№]:[Profit]],6,0),"")</f>
        <v/>
      </c>
      <c r="J746" s="49" t="str">
        <f>IFERROR(VLOOKUP(B746,Baza[[№]:[Profit]],7,0),"")</f>
        <v/>
      </c>
      <c r="K746" s="43" t="str">
        <f>IFERROR(VLOOKUP(B746,Baza[[№]:[Profit]],8,0),"")</f>
        <v/>
      </c>
      <c r="L746" s="43" t="str">
        <f>IFERROR(VLOOKUP(B746,Baza[[№]:[Profit]],9,0),"")</f>
        <v/>
      </c>
      <c r="M746" s="43" t="str">
        <f>IFERROR(VLOOKUP(B746,Baza[[№]:[Profit]],10,0),"")</f>
        <v/>
      </c>
      <c r="N746" s="43" t="str">
        <f>IFERROR(IF(VLOOKUP(B746,Baza[[№]:[Profit]],11,0)=0,"-",VLOOKUP(B746,Baza[[№]:[Profit]],11,0)),"")</f>
        <v/>
      </c>
      <c r="O746" s="43" t="str">
        <f>IFERROR(IF(VLOOKUP(B746,Baza[[№]:[Profit]],12,0)=0,"-",VLOOKUP(B746,Baza[[№]:[Profit]],12,0)),"")</f>
        <v/>
      </c>
      <c r="P746" s="43" t="str">
        <f>IFERROR(IF(VLOOKUP(B746,Baza[[№]:[Profit]],13,0)=0,"-",VLOOKUP(B746,Baza[[№]:[Profit]],13,0)),"")</f>
        <v/>
      </c>
      <c r="Q746" s="43" t="str">
        <f>IFERROR(IF(VLOOKUP(B746,Baza[[№]:[Profit]],15,0)=0,"-",VLOOKUP(B746,Baza[[№]:[Profit]],15,0)),"")</f>
        <v/>
      </c>
      <c r="R746" s="43" t="str">
        <f>IFERROR(IF(VLOOKUP(B746,Baza[[№]:[Profit]],16,0)=0,"-",VLOOKUP(B746,Baza[[№]:[Profit]],16,0)),"")</f>
        <v/>
      </c>
      <c r="S746" s="43" t="str">
        <f>IFERROR(IF(VLOOKUP(B746,Baza[[№]:[Profit]],17,0)=0,"-",VLOOKUP(B746,Baza[[№]:[Profit]],17,0)),"")</f>
        <v/>
      </c>
      <c r="T746" s="43" t="str">
        <f>IFERROR(IF(VLOOKUP(B746,Baza[[№]:[Profit]],18,0)=0,"-",VLOOKUP(B746,Baza[[№]:[Profit]],18,0)),"")</f>
        <v/>
      </c>
      <c r="U746" s="41" t="str">
        <f>IFERROR(IF(VLOOKUP(B746,Baza[[№]:[Profit]],19,0)=0,"-",VLOOKUP(B746,Baza[[№]:[Profit]],19,0)),"")</f>
        <v/>
      </c>
      <c r="V746" s="41" t="str">
        <f>IFERROR(VLOOKUP(B746,Baza[[№]:[Profit]],20,0),"")</f>
        <v/>
      </c>
      <c r="W746" s="41" t="str">
        <f>IFERROR(IF(VLOOKUP(B746,Baza[[№]:[Profit]],21,0)=0,"-",VLOOKUP(B746,Baza[[№]:[Profit]],21,0)),"")</f>
        <v/>
      </c>
      <c r="X746" s="45" t="str">
        <f>IFERROR(IF(VLOOKUP(B746,Baza[[№]:[Profit]],22,0)=0,"-",VLOOKUP(B746,Baza[[№]:[Profit]],22,0)),"")</f>
        <v/>
      </c>
      <c r="Y746" s="45" t="str">
        <f>IFERROR(VLOOKUP(B746,Baza[[№]:[Profit]],23,0),"")</f>
        <v/>
      </c>
      <c r="Z746" s="44" t="str">
        <f>IFERROR(VLOOKUP(B746,Baza[[№]:[AFS]],24,0),"")</f>
        <v/>
      </c>
      <c r="AA746" s="45" t="str">
        <f>IF(Таблица2[[#This Row],[Profit]]="","#Н/Д",SUM($Y$40:Y746))</f>
        <v>#Н/Д</v>
      </c>
      <c r="AB746" s="45" t="b">
        <f>IF(Таблица2[[#This Row],[Grafik]]="#Н/Д",FALSE,TRUE)</f>
        <v>0</v>
      </c>
    </row>
    <row r="747" spans="2:28" ht="11.1" hidden="1" customHeight="1" x14ac:dyDescent="0.25">
      <c r="B747"/>
      <c r="C747" s="41" t="str">
        <f>IFERROR(VLOOKUP(B747,Baza[[№]:[Profit]],2,0),"")</f>
        <v/>
      </c>
      <c r="D74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4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47" s="43" t="str">
        <f>IFERROR(VLOOKUP(B747,Baza[[№]:[Profit]],3,0),"")</f>
        <v/>
      </c>
      <c r="G747" s="43" t="str">
        <f>IFERROR(VLOOKUP(B747,Baza[[№]:[Profit]],4,0),"")</f>
        <v/>
      </c>
      <c r="H747" s="43" t="str">
        <f>IFERROR(VLOOKUP(B747,Baza[[№]:[Profit]],5,0),"")</f>
        <v/>
      </c>
      <c r="I747" s="46" t="str">
        <f>IFERROR(VLOOKUP(B747,Baza[[№]:[Profit]],6,0),"")</f>
        <v/>
      </c>
      <c r="J747" s="49" t="str">
        <f>IFERROR(VLOOKUP(B747,Baza[[№]:[Profit]],7,0),"")</f>
        <v/>
      </c>
      <c r="K747" s="43" t="str">
        <f>IFERROR(VLOOKUP(B747,Baza[[№]:[Profit]],8,0),"")</f>
        <v/>
      </c>
      <c r="L747" s="43" t="str">
        <f>IFERROR(VLOOKUP(B747,Baza[[№]:[Profit]],9,0),"")</f>
        <v/>
      </c>
      <c r="M747" s="43" t="str">
        <f>IFERROR(VLOOKUP(B747,Baza[[№]:[Profit]],10,0),"")</f>
        <v/>
      </c>
      <c r="N747" s="43" t="str">
        <f>IFERROR(IF(VLOOKUP(B747,Baza[[№]:[Profit]],11,0)=0,"-",VLOOKUP(B747,Baza[[№]:[Profit]],11,0)),"")</f>
        <v/>
      </c>
      <c r="O747" s="43" t="str">
        <f>IFERROR(IF(VLOOKUP(B747,Baza[[№]:[Profit]],12,0)=0,"-",VLOOKUP(B747,Baza[[№]:[Profit]],12,0)),"")</f>
        <v/>
      </c>
      <c r="P747" s="43" t="str">
        <f>IFERROR(IF(VLOOKUP(B747,Baza[[№]:[Profit]],13,0)=0,"-",VLOOKUP(B747,Baza[[№]:[Profit]],13,0)),"")</f>
        <v/>
      </c>
      <c r="Q747" s="43" t="str">
        <f>IFERROR(IF(VLOOKUP(B747,Baza[[№]:[Profit]],15,0)=0,"-",VLOOKUP(B747,Baza[[№]:[Profit]],15,0)),"")</f>
        <v/>
      </c>
      <c r="R747" s="43" t="str">
        <f>IFERROR(IF(VLOOKUP(B747,Baza[[№]:[Profit]],16,0)=0,"-",VLOOKUP(B747,Baza[[№]:[Profit]],16,0)),"")</f>
        <v/>
      </c>
      <c r="S747" s="43" t="str">
        <f>IFERROR(IF(VLOOKUP(B747,Baza[[№]:[Profit]],17,0)=0,"-",VLOOKUP(B747,Baza[[№]:[Profit]],17,0)),"")</f>
        <v/>
      </c>
      <c r="T747" s="43" t="str">
        <f>IFERROR(IF(VLOOKUP(B747,Baza[[№]:[Profit]],18,0)=0,"-",VLOOKUP(B747,Baza[[№]:[Profit]],18,0)),"")</f>
        <v/>
      </c>
      <c r="U747" s="41" t="str">
        <f>IFERROR(IF(VLOOKUP(B747,Baza[[№]:[Profit]],19,0)=0,"-",VLOOKUP(B747,Baza[[№]:[Profit]],19,0)),"")</f>
        <v/>
      </c>
      <c r="V747" s="41" t="str">
        <f>IFERROR(VLOOKUP(B747,Baza[[№]:[Profit]],20,0),"")</f>
        <v/>
      </c>
      <c r="W747" s="41" t="str">
        <f>IFERROR(IF(VLOOKUP(B747,Baza[[№]:[Profit]],21,0)=0,"-",VLOOKUP(B747,Baza[[№]:[Profit]],21,0)),"")</f>
        <v/>
      </c>
      <c r="X747" s="45" t="str">
        <f>IFERROR(IF(VLOOKUP(B747,Baza[[№]:[Profit]],22,0)=0,"-",VLOOKUP(B747,Baza[[№]:[Profit]],22,0)),"")</f>
        <v/>
      </c>
      <c r="Y747" s="45" t="str">
        <f>IFERROR(VLOOKUP(B747,Baza[[№]:[Profit]],23,0),"")</f>
        <v/>
      </c>
      <c r="Z747" s="44" t="str">
        <f>IFERROR(VLOOKUP(B747,Baza[[№]:[AFS]],24,0),"")</f>
        <v/>
      </c>
      <c r="AA747" s="45" t="str">
        <f>IF(Таблица2[[#This Row],[Profit]]="","#Н/Д",SUM($Y$40:Y747))</f>
        <v>#Н/Д</v>
      </c>
      <c r="AB747" s="45" t="b">
        <f>IF(Таблица2[[#This Row],[Grafik]]="#Н/Д",FALSE,TRUE)</f>
        <v>0</v>
      </c>
    </row>
    <row r="748" spans="2:28" ht="11.1" hidden="1" customHeight="1" x14ac:dyDescent="0.25">
      <c r="B748"/>
      <c r="C748" s="41" t="str">
        <f>IFERROR(VLOOKUP(B748,Baza[[№]:[Profit]],2,0),"")</f>
        <v/>
      </c>
      <c r="D74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4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48" s="43" t="str">
        <f>IFERROR(VLOOKUP(B748,Baza[[№]:[Profit]],3,0),"")</f>
        <v/>
      </c>
      <c r="G748" s="43" t="str">
        <f>IFERROR(VLOOKUP(B748,Baza[[№]:[Profit]],4,0),"")</f>
        <v/>
      </c>
      <c r="H748" s="43" t="str">
        <f>IFERROR(VLOOKUP(B748,Baza[[№]:[Profit]],5,0),"")</f>
        <v/>
      </c>
      <c r="I748" s="46" t="str">
        <f>IFERROR(VLOOKUP(B748,Baza[[№]:[Profit]],6,0),"")</f>
        <v/>
      </c>
      <c r="J748" s="49" t="str">
        <f>IFERROR(VLOOKUP(B748,Baza[[№]:[Profit]],7,0),"")</f>
        <v/>
      </c>
      <c r="K748" s="43" t="str">
        <f>IFERROR(VLOOKUP(B748,Baza[[№]:[Profit]],8,0),"")</f>
        <v/>
      </c>
      <c r="L748" s="43" t="str">
        <f>IFERROR(VLOOKUP(B748,Baza[[№]:[Profit]],9,0),"")</f>
        <v/>
      </c>
      <c r="M748" s="43" t="str">
        <f>IFERROR(VLOOKUP(B748,Baza[[№]:[Profit]],10,0),"")</f>
        <v/>
      </c>
      <c r="N748" s="43" t="str">
        <f>IFERROR(IF(VLOOKUP(B748,Baza[[№]:[Profit]],11,0)=0,"-",VLOOKUP(B748,Baza[[№]:[Profit]],11,0)),"")</f>
        <v/>
      </c>
      <c r="O748" s="43" t="str">
        <f>IFERROR(IF(VLOOKUP(B748,Baza[[№]:[Profit]],12,0)=0,"-",VLOOKUP(B748,Baza[[№]:[Profit]],12,0)),"")</f>
        <v/>
      </c>
      <c r="P748" s="43" t="str">
        <f>IFERROR(IF(VLOOKUP(B748,Baza[[№]:[Profit]],13,0)=0,"-",VLOOKUP(B748,Baza[[№]:[Profit]],13,0)),"")</f>
        <v/>
      </c>
      <c r="Q748" s="43" t="str">
        <f>IFERROR(IF(VLOOKUP(B748,Baza[[№]:[Profit]],15,0)=0,"-",VLOOKUP(B748,Baza[[№]:[Profit]],15,0)),"")</f>
        <v/>
      </c>
      <c r="R748" s="43" t="str">
        <f>IFERROR(IF(VLOOKUP(B748,Baza[[№]:[Profit]],16,0)=0,"-",VLOOKUP(B748,Baza[[№]:[Profit]],16,0)),"")</f>
        <v/>
      </c>
      <c r="S748" s="43" t="str">
        <f>IFERROR(IF(VLOOKUP(B748,Baza[[№]:[Profit]],17,0)=0,"-",VLOOKUP(B748,Baza[[№]:[Profit]],17,0)),"")</f>
        <v/>
      </c>
      <c r="T748" s="43" t="str">
        <f>IFERROR(IF(VLOOKUP(B748,Baza[[№]:[Profit]],18,0)=0,"-",VLOOKUP(B748,Baza[[№]:[Profit]],18,0)),"")</f>
        <v/>
      </c>
      <c r="U748" s="41" t="str">
        <f>IFERROR(IF(VLOOKUP(B748,Baza[[№]:[Profit]],19,0)=0,"-",VLOOKUP(B748,Baza[[№]:[Profit]],19,0)),"")</f>
        <v/>
      </c>
      <c r="V748" s="41" t="str">
        <f>IFERROR(VLOOKUP(B748,Baza[[№]:[Profit]],20,0),"")</f>
        <v/>
      </c>
      <c r="W748" s="41" t="str">
        <f>IFERROR(IF(VLOOKUP(B748,Baza[[№]:[Profit]],21,0)=0,"-",VLOOKUP(B748,Baza[[№]:[Profit]],21,0)),"")</f>
        <v/>
      </c>
      <c r="X748" s="45" t="str">
        <f>IFERROR(IF(VLOOKUP(B748,Baza[[№]:[Profit]],22,0)=0,"-",VLOOKUP(B748,Baza[[№]:[Profit]],22,0)),"")</f>
        <v/>
      </c>
      <c r="Y748" s="45" t="str">
        <f>IFERROR(VLOOKUP(B748,Baza[[№]:[Profit]],23,0),"")</f>
        <v/>
      </c>
      <c r="Z748" s="44" t="str">
        <f>IFERROR(VLOOKUP(B748,Baza[[№]:[AFS]],24,0),"")</f>
        <v/>
      </c>
      <c r="AA748" s="45" t="str">
        <f>IF(Таблица2[[#This Row],[Profit]]="","#Н/Д",SUM($Y$40:Y748))</f>
        <v>#Н/Д</v>
      </c>
      <c r="AB748" s="45" t="b">
        <f>IF(Таблица2[[#This Row],[Grafik]]="#Н/Д",FALSE,TRUE)</f>
        <v>0</v>
      </c>
    </row>
    <row r="749" spans="2:28" ht="11.1" hidden="1" customHeight="1" x14ac:dyDescent="0.25">
      <c r="B749"/>
      <c r="C749" s="41" t="str">
        <f>IFERROR(VLOOKUP(B749,Baza[[№]:[Profit]],2,0),"")</f>
        <v/>
      </c>
      <c r="D74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4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49" s="43" t="str">
        <f>IFERROR(VLOOKUP(B749,Baza[[№]:[Profit]],3,0),"")</f>
        <v/>
      </c>
      <c r="G749" s="43" t="str">
        <f>IFERROR(VLOOKUP(B749,Baza[[№]:[Profit]],4,0),"")</f>
        <v/>
      </c>
      <c r="H749" s="43" t="str">
        <f>IFERROR(VLOOKUP(B749,Baza[[№]:[Profit]],5,0),"")</f>
        <v/>
      </c>
      <c r="I749" s="46" t="str">
        <f>IFERROR(VLOOKUP(B749,Baza[[№]:[Profit]],6,0),"")</f>
        <v/>
      </c>
      <c r="J749" s="49" t="str">
        <f>IFERROR(VLOOKUP(B749,Baza[[№]:[Profit]],7,0),"")</f>
        <v/>
      </c>
      <c r="K749" s="43" t="str">
        <f>IFERROR(VLOOKUP(B749,Baza[[№]:[Profit]],8,0),"")</f>
        <v/>
      </c>
      <c r="L749" s="43" t="str">
        <f>IFERROR(VLOOKUP(B749,Baza[[№]:[Profit]],9,0),"")</f>
        <v/>
      </c>
      <c r="M749" s="43" t="str">
        <f>IFERROR(VLOOKUP(B749,Baza[[№]:[Profit]],10,0),"")</f>
        <v/>
      </c>
      <c r="N749" s="43" t="str">
        <f>IFERROR(IF(VLOOKUP(B749,Baza[[№]:[Profit]],11,0)=0,"-",VLOOKUP(B749,Baza[[№]:[Profit]],11,0)),"")</f>
        <v/>
      </c>
      <c r="O749" s="43" t="str">
        <f>IFERROR(IF(VLOOKUP(B749,Baza[[№]:[Profit]],12,0)=0,"-",VLOOKUP(B749,Baza[[№]:[Profit]],12,0)),"")</f>
        <v/>
      </c>
      <c r="P749" s="43" t="str">
        <f>IFERROR(IF(VLOOKUP(B749,Baza[[№]:[Profit]],13,0)=0,"-",VLOOKUP(B749,Baza[[№]:[Profit]],13,0)),"")</f>
        <v/>
      </c>
      <c r="Q749" s="43" t="str">
        <f>IFERROR(IF(VLOOKUP(B749,Baza[[№]:[Profit]],15,0)=0,"-",VLOOKUP(B749,Baza[[№]:[Profit]],15,0)),"")</f>
        <v/>
      </c>
      <c r="R749" s="43" t="str">
        <f>IFERROR(IF(VLOOKUP(B749,Baza[[№]:[Profit]],16,0)=0,"-",VLOOKUP(B749,Baza[[№]:[Profit]],16,0)),"")</f>
        <v/>
      </c>
      <c r="S749" s="43" t="str">
        <f>IFERROR(IF(VLOOKUP(B749,Baza[[№]:[Profit]],17,0)=0,"-",VLOOKUP(B749,Baza[[№]:[Profit]],17,0)),"")</f>
        <v/>
      </c>
      <c r="T749" s="43" t="str">
        <f>IFERROR(IF(VLOOKUP(B749,Baza[[№]:[Profit]],18,0)=0,"-",VLOOKUP(B749,Baza[[№]:[Profit]],18,0)),"")</f>
        <v/>
      </c>
      <c r="U749" s="41" t="str">
        <f>IFERROR(IF(VLOOKUP(B749,Baza[[№]:[Profit]],19,0)=0,"-",VLOOKUP(B749,Baza[[№]:[Profit]],19,0)),"")</f>
        <v/>
      </c>
      <c r="V749" s="41" t="str">
        <f>IFERROR(VLOOKUP(B749,Baza[[№]:[Profit]],20,0),"")</f>
        <v/>
      </c>
      <c r="W749" s="41" t="str">
        <f>IFERROR(IF(VLOOKUP(B749,Baza[[№]:[Profit]],21,0)=0,"-",VLOOKUP(B749,Baza[[№]:[Profit]],21,0)),"")</f>
        <v/>
      </c>
      <c r="X749" s="45" t="str">
        <f>IFERROR(IF(VLOOKUP(B749,Baza[[№]:[Profit]],22,0)=0,"-",VLOOKUP(B749,Baza[[№]:[Profit]],22,0)),"")</f>
        <v/>
      </c>
      <c r="Y749" s="45" t="str">
        <f>IFERROR(VLOOKUP(B749,Baza[[№]:[Profit]],23,0),"")</f>
        <v/>
      </c>
      <c r="Z749" s="44" t="str">
        <f>IFERROR(VLOOKUP(B749,Baza[[№]:[AFS]],24,0),"")</f>
        <v/>
      </c>
      <c r="AA749" s="45" t="str">
        <f>IF(Таблица2[[#This Row],[Profit]]="","#Н/Д",SUM($Y$40:Y749))</f>
        <v>#Н/Д</v>
      </c>
      <c r="AB749" s="45" t="b">
        <f>IF(Таблица2[[#This Row],[Grafik]]="#Н/Д",FALSE,TRUE)</f>
        <v>0</v>
      </c>
    </row>
    <row r="750" spans="2:28" ht="11.1" hidden="1" customHeight="1" x14ac:dyDescent="0.25">
      <c r="B750"/>
      <c r="C750" s="41" t="str">
        <f>IFERROR(VLOOKUP(B750,Baza[[№]:[Profit]],2,0),"")</f>
        <v/>
      </c>
      <c r="D75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5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50" s="43" t="str">
        <f>IFERROR(VLOOKUP(B750,Baza[[№]:[Profit]],3,0),"")</f>
        <v/>
      </c>
      <c r="G750" s="43" t="str">
        <f>IFERROR(VLOOKUP(B750,Baza[[№]:[Profit]],4,0),"")</f>
        <v/>
      </c>
      <c r="H750" s="43" t="str">
        <f>IFERROR(VLOOKUP(B750,Baza[[№]:[Profit]],5,0),"")</f>
        <v/>
      </c>
      <c r="I750" s="46" t="str">
        <f>IFERROR(VLOOKUP(B750,Baza[[№]:[Profit]],6,0),"")</f>
        <v/>
      </c>
      <c r="J750" s="49" t="str">
        <f>IFERROR(VLOOKUP(B750,Baza[[№]:[Profit]],7,0),"")</f>
        <v/>
      </c>
      <c r="K750" s="43" t="str">
        <f>IFERROR(VLOOKUP(B750,Baza[[№]:[Profit]],8,0),"")</f>
        <v/>
      </c>
      <c r="L750" s="43" t="str">
        <f>IFERROR(VLOOKUP(B750,Baza[[№]:[Profit]],9,0),"")</f>
        <v/>
      </c>
      <c r="M750" s="43" t="str">
        <f>IFERROR(VLOOKUP(B750,Baza[[№]:[Profit]],10,0),"")</f>
        <v/>
      </c>
      <c r="N750" s="43" t="str">
        <f>IFERROR(IF(VLOOKUP(B750,Baza[[№]:[Profit]],11,0)=0,"-",VLOOKUP(B750,Baza[[№]:[Profit]],11,0)),"")</f>
        <v/>
      </c>
      <c r="O750" s="43" t="str">
        <f>IFERROR(IF(VLOOKUP(B750,Baza[[№]:[Profit]],12,0)=0,"-",VLOOKUP(B750,Baza[[№]:[Profit]],12,0)),"")</f>
        <v/>
      </c>
      <c r="P750" s="43" t="str">
        <f>IFERROR(IF(VLOOKUP(B750,Baza[[№]:[Profit]],13,0)=0,"-",VLOOKUP(B750,Baza[[№]:[Profit]],13,0)),"")</f>
        <v/>
      </c>
      <c r="Q750" s="43" t="str">
        <f>IFERROR(IF(VLOOKUP(B750,Baza[[№]:[Profit]],15,0)=0,"-",VLOOKUP(B750,Baza[[№]:[Profit]],15,0)),"")</f>
        <v/>
      </c>
      <c r="R750" s="43" t="str">
        <f>IFERROR(IF(VLOOKUP(B750,Baza[[№]:[Profit]],16,0)=0,"-",VLOOKUP(B750,Baza[[№]:[Profit]],16,0)),"")</f>
        <v/>
      </c>
      <c r="S750" s="43" t="str">
        <f>IFERROR(IF(VLOOKUP(B750,Baza[[№]:[Profit]],17,0)=0,"-",VLOOKUP(B750,Baza[[№]:[Profit]],17,0)),"")</f>
        <v/>
      </c>
      <c r="T750" s="43" t="str">
        <f>IFERROR(IF(VLOOKUP(B750,Baza[[№]:[Profit]],18,0)=0,"-",VLOOKUP(B750,Baza[[№]:[Profit]],18,0)),"")</f>
        <v/>
      </c>
      <c r="U750" s="41" t="str">
        <f>IFERROR(IF(VLOOKUP(B750,Baza[[№]:[Profit]],19,0)=0,"-",VLOOKUP(B750,Baza[[№]:[Profit]],19,0)),"")</f>
        <v/>
      </c>
      <c r="V750" s="41" t="str">
        <f>IFERROR(VLOOKUP(B750,Baza[[№]:[Profit]],20,0),"")</f>
        <v/>
      </c>
      <c r="W750" s="41" t="str">
        <f>IFERROR(IF(VLOOKUP(B750,Baza[[№]:[Profit]],21,0)=0,"-",VLOOKUP(B750,Baza[[№]:[Profit]],21,0)),"")</f>
        <v/>
      </c>
      <c r="X750" s="45" t="str">
        <f>IFERROR(IF(VLOOKUP(B750,Baza[[№]:[Profit]],22,0)=0,"-",VLOOKUP(B750,Baza[[№]:[Profit]],22,0)),"")</f>
        <v/>
      </c>
      <c r="Y750" s="45" t="str">
        <f>IFERROR(VLOOKUP(B750,Baza[[№]:[Profit]],23,0),"")</f>
        <v/>
      </c>
      <c r="Z750" s="44" t="str">
        <f>IFERROR(VLOOKUP(B750,Baza[[№]:[AFS]],24,0),"")</f>
        <v/>
      </c>
      <c r="AA750" s="45" t="str">
        <f>IF(Таблица2[[#This Row],[Profit]]="","#Н/Д",SUM($Y$40:Y750))</f>
        <v>#Н/Д</v>
      </c>
      <c r="AB750" s="45" t="b">
        <f>IF(Таблица2[[#This Row],[Grafik]]="#Н/Д",FALSE,TRUE)</f>
        <v>0</v>
      </c>
    </row>
    <row r="751" spans="2:28" ht="11.1" hidden="1" customHeight="1" x14ac:dyDescent="0.25">
      <c r="B751"/>
      <c r="C751" s="41" t="str">
        <f>IFERROR(VLOOKUP(B751,Baza[[№]:[Profit]],2,0),"")</f>
        <v/>
      </c>
      <c r="D75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5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51" s="43" t="str">
        <f>IFERROR(VLOOKUP(B751,Baza[[№]:[Profit]],3,0),"")</f>
        <v/>
      </c>
      <c r="G751" s="43" t="str">
        <f>IFERROR(VLOOKUP(B751,Baza[[№]:[Profit]],4,0),"")</f>
        <v/>
      </c>
      <c r="H751" s="43" t="str">
        <f>IFERROR(VLOOKUP(B751,Baza[[№]:[Profit]],5,0),"")</f>
        <v/>
      </c>
      <c r="I751" s="46" t="str">
        <f>IFERROR(VLOOKUP(B751,Baza[[№]:[Profit]],6,0),"")</f>
        <v/>
      </c>
      <c r="J751" s="49" t="str">
        <f>IFERROR(VLOOKUP(B751,Baza[[№]:[Profit]],7,0),"")</f>
        <v/>
      </c>
      <c r="K751" s="43" t="str">
        <f>IFERROR(VLOOKUP(B751,Baza[[№]:[Profit]],8,0),"")</f>
        <v/>
      </c>
      <c r="L751" s="43" t="str">
        <f>IFERROR(VLOOKUP(B751,Baza[[№]:[Profit]],9,0),"")</f>
        <v/>
      </c>
      <c r="M751" s="43" t="str">
        <f>IFERROR(VLOOKUP(B751,Baza[[№]:[Profit]],10,0),"")</f>
        <v/>
      </c>
      <c r="N751" s="43" t="str">
        <f>IFERROR(IF(VLOOKUP(B751,Baza[[№]:[Profit]],11,0)=0,"-",VLOOKUP(B751,Baza[[№]:[Profit]],11,0)),"")</f>
        <v/>
      </c>
      <c r="O751" s="43" t="str">
        <f>IFERROR(IF(VLOOKUP(B751,Baza[[№]:[Profit]],12,0)=0,"-",VLOOKUP(B751,Baza[[№]:[Profit]],12,0)),"")</f>
        <v/>
      </c>
      <c r="P751" s="43" t="str">
        <f>IFERROR(IF(VLOOKUP(B751,Baza[[№]:[Profit]],13,0)=0,"-",VLOOKUP(B751,Baza[[№]:[Profit]],13,0)),"")</f>
        <v/>
      </c>
      <c r="Q751" s="43" t="str">
        <f>IFERROR(IF(VLOOKUP(B751,Baza[[№]:[Profit]],15,0)=0,"-",VLOOKUP(B751,Baza[[№]:[Profit]],15,0)),"")</f>
        <v/>
      </c>
      <c r="R751" s="43" t="str">
        <f>IFERROR(IF(VLOOKUP(B751,Baza[[№]:[Profit]],16,0)=0,"-",VLOOKUP(B751,Baza[[№]:[Profit]],16,0)),"")</f>
        <v/>
      </c>
      <c r="S751" s="43" t="str">
        <f>IFERROR(IF(VLOOKUP(B751,Baza[[№]:[Profit]],17,0)=0,"-",VLOOKUP(B751,Baza[[№]:[Profit]],17,0)),"")</f>
        <v/>
      </c>
      <c r="T751" s="43" t="str">
        <f>IFERROR(IF(VLOOKUP(B751,Baza[[№]:[Profit]],18,0)=0,"-",VLOOKUP(B751,Baza[[№]:[Profit]],18,0)),"")</f>
        <v/>
      </c>
      <c r="U751" s="41" t="str">
        <f>IFERROR(IF(VLOOKUP(B751,Baza[[№]:[Profit]],19,0)=0,"-",VLOOKUP(B751,Baza[[№]:[Profit]],19,0)),"")</f>
        <v/>
      </c>
      <c r="V751" s="41" t="str">
        <f>IFERROR(VLOOKUP(B751,Baza[[№]:[Profit]],20,0),"")</f>
        <v/>
      </c>
      <c r="W751" s="41" t="str">
        <f>IFERROR(IF(VLOOKUP(B751,Baza[[№]:[Profit]],21,0)=0,"-",VLOOKUP(B751,Baza[[№]:[Profit]],21,0)),"")</f>
        <v/>
      </c>
      <c r="X751" s="45" t="str">
        <f>IFERROR(IF(VLOOKUP(B751,Baza[[№]:[Profit]],22,0)=0,"-",VLOOKUP(B751,Baza[[№]:[Profit]],22,0)),"")</f>
        <v/>
      </c>
      <c r="Y751" s="45" t="str">
        <f>IFERROR(VLOOKUP(B751,Baza[[№]:[Profit]],23,0),"")</f>
        <v/>
      </c>
      <c r="Z751" s="44" t="str">
        <f>IFERROR(VLOOKUP(B751,Baza[[№]:[AFS]],24,0),"")</f>
        <v/>
      </c>
      <c r="AA751" s="45" t="str">
        <f>IF(Таблица2[[#This Row],[Profit]]="","#Н/Д",SUM($Y$40:Y751))</f>
        <v>#Н/Д</v>
      </c>
      <c r="AB751" s="45" t="b">
        <f>IF(Таблица2[[#This Row],[Grafik]]="#Н/Д",FALSE,TRUE)</f>
        <v>0</v>
      </c>
    </row>
    <row r="752" spans="2:28" ht="11.1" hidden="1" customHeight="1" x14ac:dyDescent="0.25">
      <c r="B752"/>
      <c r="C752" s="41" t="str">
        <f>IFERROR(VLOOKUP(B752,Baza[[№]:[Profit]],2,0),"")</f>
        <v/>
      </c>
      <c r="D75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5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52" s="43" t="str">
        <f>IFERROR(VLOOKUP(B752,Baza[[№]:[Profit]],3,0),"")</f>
        <v/>
      </c>
      <c r="G752" s="43" t="str">
        <f>IFERROR(VLOOKUP(B752,Baza[[№]:[Profit]],4,0),"")</f>
        <v/>
      </c>
      <c r="H752" s="43" t="str">
        <f>IFERROR(VLOOKUP(B752,Baza[[№]:[Profit]],5,0),"")</f>
        <v/>
      </c>
      <c r="I752" s="46" t="str">
        <f>IFERROR(VLOOKUP(B752,Baza[[№]:[Profit]],6,0),"")</f>
        <v/>
      </c>
      <c r="J752" s="49" t="str">
        <f>IFERROR(VLOOKUP(B752,Baza[[№]:[Profit]],7,0),"")</f>
        <v/>
      </c>
      <c r="K752" s="43" t="str">
        <f>IFERROR(VLOOKUP(B752,Baza[[№]:[Profit]],8,0),"")</f>
        <v/>
      </c>
      <c r="L752" s="43" t="str">
        <f>IFERROR(VLOOKUP(B752,Baza[[№]:[Profit]],9,0),"")</f>
        <v/>
      </c>
      <c r="M752" s="43" t="str">
        <f>IFERROR(VLOOKUP(B752,Baza[[№]:[Profit]],10,0),"")</f>
        <v/>
      </c>
      <c r="N752" s="43" t="str">
        <f>IFERROR(IF(VLOOKUP(B752,Baza[[№]:[Profit]],11,0)=0,"-",VLOOKUP(B752,Baza[[№]:[Profit]],11,0)),"")</f>
        <v/>
      </c>
      <c r="O752" s="43" t="str">
        <f>IFERROR(IF(VLOOKUP(B752,Baza[[№]:[Profit]],12,0)=0,"-",VLOOKUP(B752,Baza[[№]:[Profit]],12,0)),"")</f>
        <v/>
      </c>
      <c r="P752" s="43" t="str">
        <f>IFERROR(IF(VLOOKUP(B752,Baza[[№]:[Profit]],13,0)=0,"-",VLOOKUP(B752,Baza[[№]:[Profit]],13,0)),"")</f>
        <v/>
      </c>
      <c r="Q752" s="43" t="str">
        <f>IFERROR(IF(VLOOKUP(B752,Baza[[№]:[Profit]],15,0)=0,"-",VLOOKUP(B752,Baza[[№]:[Profit]],15,0)),"")</f>
        <v/>
      </c>
      <c r="R752" s="43" t="str">
        <f>IFERROR(IF(VLOOKUP(B752,Baza[[№]:[Profit]],16,0)=0,"-",VLOOKUP(B752,Baza[[№]:[Profit]],16,0)),"")</f>
        <v/>
      </c>
      <c r="S752" s="43" t="str">
        <f>IFERROR(IF(VLOOKUP(B752,Baza[[№]:[Profit]],17,0)=0,"-",VLOOKUP(B752,Baza[[№]:[Profit]],17,0)),"")</f>
        <v/>
      </c>
      <c r="T752" s="43" t="str">
        <f>IFERROR(IF(VLOOKUP(B752,Baza[[№]:[Profit]],18,0)=0,"-",VLOOKUP(B752,Baza[[№]:[Profit]],18,0)),"")</f>
        <v/>
      </c>
      <c r="U752" s="41" t="str">
        <f>IFERROR(IF(VLOOKUP(B752,Baza[[№]:[Profit]],19,0)=0,"-",VLOOKUP(B752,Baza[[№]:[Profit]],19,0)),"")</f>
        <v/>
      </c>
      <c r="V752" s="41" t="str">
        <f>IFERROR(VLOOKUP(B752,Baza[[№]:[Profit]],20,0),"")</f>
        <v/>
      </c>
      <c r="W752" s="41" t="str">
        <f>IFERROR(IF(VLOOKUP(B752,Baza[[№]:[Profit]],21,0)=0,"-",VLOOKUP(B752,Baza[[№]:[Profit]],21,0)),"")</f>
        <v/>
      </c>
      <c r="X752" s="45" t="str">
        <f>IFERROR(IF(VLOOKUP(B752,Baza[[№]:[Profit]],22,0)=0,"-",VLOOKUP(B752,Baza[[№]:[Profit]],22,0)),"")</f>
        <v/>
      </c>
      <c r="Y752" s="45" t="str">
        <f>IFERROR(VLOOKUP(B752,Baza[[№]:[Profit]],23,0),"")</f>
        <v/>
      </c>
      <c r="Z752" s="44" t="str">
        <f>IFERROR(VLOOKUP(B752,Baza[[№]:[AFS]],24,0),"")</f>
        <v/>
      </c>
      <c r="AA752" s="45" t="str">
        <f>IF(Таблица2[[#This Row],[Profit]]="","#Н/Д",SUM($Y$40:Y752))</f>
        <v>#Н/Д</v>
      </c>
      <c r="AB752" s="45" t="b">
        <f>IF(Таблица2[[#This Row],[Grafik]]="#Н/Д",FALSE,TRUE)</f>
        <v>0</v>
      </c>
    </row>
    <row r="753" spans="2:28" ht="11.1" hidden="1" customHeight="1" x14ac:dyDescent="0.25">
      <c r="B753"/>
      <c r="C753" s="41" t="str">
        <f>IFERROR(VLOOKUP(B753,Baza[[№]:[Profit]],2,0),"")</f>
        <v/>
      </c>
      <c r="D75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5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53" s="43" t="str">
        <f>IFERROR(VLOOKUP(B753,Baza[[№]:[Profit]],3,0),"")</f>
        <v/>
      </c>
      <c r="G753" s="43" t="str">
        <f>IFERROR(VLOOKUP(B753,Baza[[№]:[Profit]],4,0),"")</f>
        <v/>
      </c>
      <c r="H753" s="43" t="str">
        <f>IFERROR(VLOOKUP(B753,Baza[[№]:[Profit]],5,0),"")</f>
        <v/>
      </c>
      <c r="I753" s="46" t="str">
        <f>IFERROR(VLOOKUP(B753,Baza[[№]:[Profit]],6,0),"")</f>
        <v/>
      </c>
      <c r="J753" s="49" t="str">
        <f>IFERROR(VLOOKUP(B753,Baza[[№]:[Profit]],7,0),"")</f>
        <v/>
      </c>
      <c r="K753" s="43" t="str">
        <f>IFERROR(VLOOKUP(B753,Baza[[№]:[Profit]],8,0),"")</f>
        <v/>
      </c>
      <c r="L753" s="43" t="str">
        <f>IFERROR(VLOOKUP(B753,Baza[[№]:[Profit]],9,0),"")</f>
        <v/>
      </c>
      <c r="M753" s="43" t="str">
        <f>IFERROR(VLOOKUP(B753,Baza[[№]:[Profit]],10,0),"")</f>
        <v/>
      </c>
      <c r="N753" s="43" t="str">
        <f>IFERROR(IF(VLOOKUP(B753,Baza[[№]:[Profit]],11,0)=0,"-",VLOOKUP(B753,Baza[[№]:[Profit]],11,0)),"")</f>
        <v/>
      </c>
      <c r="O753" s="43" t="str">
        <f>IFERROR(IF(VLOOKUP(B753,Baza[[№]:[Profit]],12,0)=0,"-",VLOOKUP(B753,Baza[[№]:[Profit]],12,0)),"")</f>
        <v/>
      </c>
      <c r="P753" s="43" t="str">
        <f>IFERROR(IF(VLOOKUP(B753,Baza[[№]:[Profit]],13,0)=0,"-",VLOOKUP(B753,Baza[[№]:[Profit]],13,0)),"")</f>
        <v/>
      </c>
      <c r="Q753" s="43" t="str">
        <f>IFERROR(IF(VLOOKUP(B753,Baza[[№]:[Profit]],15,0)=0,"-",VLOOKUP(B753,Baza[[№]:[Profit]],15,0)),"")</f>
        <v/>
      </c>
      <c r="R753" s="43" t="str">
        <f>IFERROR(IF(VLOOKUP(B753,Baza[[№]:[Profit]],16,0)=0,"-",VLOOKUP(B753,Baza[[№]:[Profit]],16,0)),"")</f>
        <v/>
      </c>
      <c r="S753" s="43" t="str">
        <f>IFERROR(IF(VLOOKUP(B753,Baza[[№]:[Profit]],17,0)=0,"-",VLOOKUP(B753,Baza[[№]:[Profit]],17,0)),"")</f>
        <v/>
      </c>
      <c r="T753" s="43" t="str">
        <f>IFERROR(IF(VLOOKUP(B753,Baza[[№]:[Profit]],18,0)=0,"-",VLOOKUP(B753,Baza[[№]:[Profit]],18,0)),"")</f>
        <v/>
      </c>
      <c r="U753" s="41" t="str">
        <f>IFERROR(IF(VLOOKUP(B753,Baza[[№]:[Profit]],19,0)=0,"-",VLOOKUP(B753,Baza[[№]:[Profit]],19,0)),"")</f>
        <v/>
      </c>
      <c r="V753" s="41" t="str">
        <f>IFERROR(VLOOKUP(B753,Baza[[№]:[Profit]],20,0),"")</f>
        <v/>
      </c>
      <c r="W753" s="41" t="str">
        <f>IFERROR(IF(VLOOKUP(B753,Baza[[№]:[Profit]],21,0)=0,"-",VLOOKUP(B753,Baza[[№]:[Profit]],21,0)),"")</f>
        <v/>
      </c>
      <c r="X753" s="45" t="str">
        <f>IFERROR(IF(VLOOKUP(B753,Baza[[№]:[Profit]],22,0)=0,"-",VLOOKUP(B753,Baza[[№]:[Profit]],22,0)),"")</f>
        <v/>
      </c>
      <c r="Y753" s="45" t="str">
        <f>IFERROR(VLOOKUP(B753,Baza[[№]:[Profit]],23,0),"")</f>
        <v/>
      </c>
      <c r="Z753" s="44" t="str">
        <f>IFERROR(VLOOKUP(B753,Baza[[№]:[AFS]],24,0),"")</f>
        <v/>
      </c>
      <c r="AA753" s="45" t="str">
        <f>IF(Таблица2[[#This Row],[Profit]]="","#Н/Д",SUM($Y$40:Y753))</f>
        <v>#Н/Д</v>
      </c>
      <c r="AB753" s="45" t="b">
        <f>IF(Таблица2[[#This Row],[Grafik]]="#Н/Д",FALSE,TRUE)</f>
        <v>0</v>
      </c>
    </row>
    <row r="754" spans="2:28" ht="11.1" hidden="1" customHeight="1" x14ac:dyDescent="0.25">
      <c r="B754"/>
      <c r="C754" s="41" t="str">
        <f>IFERROR(VLOOKUP(B754,Baza[[№]:[Profit]],2,0),"")</f>
        <v/>
      </c>
      <c r="D75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5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54" s="43" t="str">
        <f>IFERROR(VLOOKUP(B754,Baza[[№]:[Profit]],3,0),"")</f>
        <v/>
      </c>
      <c r="G754" s="43" t="str">
        <f>IFERROR(VLOOKUP(B754,Baza[[№]:[Profit]],4,0),"")</f>
        <v/>
      </c>
      <c r="H754" s="43" t="str">
        <f>IFERROR(VLOOKUP(B754,Baza[[№]:[Profit]],5,0),"")</f>
        <v/>
      </c>
      <c r="I754" s="46" t="str">
        <f>IFERROR(VLOOKUP(B754,Baza[[№]:[Profit]],6,0),"")</f>
        <v/>
      </c>
      <c r="J754" s="49" t="str">
        <f>IFERROR(VLOOKUP(B754,Baza[[№]:[Profit]],7,0),"")</f>
        <v/>
      </c>
      <c r="K754" s="43" t="str">
        <f>IFERROR(VLOOKUP(B754,Baza[[№]:[Profit]],8,0),"")</f>
        <v/>
      </c>
      <c r="L754" s="43" t="str">
        <f>IFERROR(VLOOKUP(B754,Baza[[№]:[Profit]],9,0),"")</f>
        <v/>
      </c>
      <c r="M754" s="43" t="str">
        <f>IFERROR(VLOOKUP(B754,Baza[[№]:[Profit]],10,0),"")</f>
        <v/>
      </c>
      <c r="N754" s="43" t="str">
        <f>IFERROR(IF(VLOOKUP(B754,Baza[[№]:[Profit]],11,0)=0,"-",VLOOKUP(B754,Baza[[№]:[Profit]],11,0)),"")</f>
        <v/>
      </c>
      <c r="O754" s="43" t="str">
        <f>IFERROR(IF(VLOOKUP(B754,Baza[[№]:[Profit]],12,0)=0,"-",VLOOKUP(B754,Baza[[№]:[Profit]],12,0)),"")</f>
        <v/>
      </c>
      <c r="P754" s="43" t="str">
        <f>IFERROR(IF(VLOOKUP(B754,Baza[[№]:[Profit]],13,0)=0,"-",VLOOKUP(B754,Baza[[№]:[Profit]],13,0)),"")</f>
        <v/>
      </c>
      <c r="Q754" s="43" t="str">
        <f>IFERROR(IF(VLOOKUP(B754,Baza[[№]:[Profit]],15,0)=0,"-",VLOOKUP(B754,Baza[[№]:[Profit]],15,0)),"")</f>
        <v/>
      </c>
      <c r="R754" s="43" t="str">
        <f>IFERROR(IF(VLOOKUP(B754,Baza[[№]:[Profit]],16,0)=0,"-",VLOOKUP(B754,Baza[[№]:[Profit]],16,0)),"")</f>
        <v/>
      </c>
      <c r="S754" s="43" t="str">
        <f>IFERROR(IF(VLOOKUP(B754,Baza[[№]:[Profit]],17,0)=0,"-",VLOOKUP(B754,Baza[[№]:[Profit]],17,0)),"")</f>
        <v/>
      </c>
      <c r="T754" s="43" t="str">
        <f>IFERROR(IF(VLOOKUP(B754,Baza[[№]:[Profit]],18,0)=0,"-",VLOOKUP(B754,Baza[[№]:[Profit]],18,0)),"")</f>
        <v/>
      </c>
      <c r="U754" s="41" t="str">
        <f>IFERROR(IF(VLOOKUP(B754,Baza[[№]:[Profit]],19,0)=0,"-",VLOOKUP(B754,Baza[[№]:[Profit]],19,0)),"")</f>
        <v/>
      </c>
      <c r="V754" s="41" t="str">
        <f>IFERROR(VLOOKUP(B754,Baza[[№]:[Profit]],20,0),"")</f>
        <v/>
      </c>
      <c r="W754" s="41" t="str">
        <f>IFERROR(IF(VLOOKUP(B754,Baza[[№]:[Profit]],21,0)=0,"-",VLOOKUP(B754,Baza[[№]:[Profit]],21,0)),"")</f>
        <v/>
      </c>
      <c r="X754" s="45" t="str">
        <f>IFERROR(IF(VLOOKUP(B754,Baza[[№]:[Profit]],22,0)=0,"-",VLOOKUP(B754,Baza[[№]:[Profit]],22,0)),"")</f>
        <v/>
      </c>
      <c r="Y754" s="45" t="str">
        <f>IFERROR(VLOOKUP(B754,Baza[[№]:[Profit]],23,0),"")</f>
        <v/>
      </c>
      <c r="Z754" s="44" t="str">
        <f>IFERROR(VLOOKUP(B754,Baza[[№]:[AFS]],24,0),"")</f>
        <v/>
      </c>
      <c r="AA754" s="45" t="str">
        <f>IF(Таблица2[[#This Row],[Profit]]="","#Н/Д",SUM($Y$40:Y754))</f>
        <v>#Н/Д</v>
      </c>
      <c r="AB754" s="45" t="b">
        <f>IF(Таблица2[[#This Row],[Grafik]]="#Н/Д",FALSE,TRUE)</f>
        <v>0</v>
      </c>
    </row>
    <row r="755" spans="2:28" ht="11.1" hidden="1" customHeight="1" x14ac:dyDescent="0.25">
      <c r="B755"/>
      <c r="C755" s="41" t="str">
        <f>IFERROR(VLOOKUP(B755,Baza[[№]:[Profit]],2,0),"")</f>
        <v/>
      </c>
      <c r="D75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5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55" s="43" t="str">
        <f>IFERROR(VLOOKUP(B755,Baza[[№]:[Profit]],3,0),"")</f>
        <v/>
      </c>
      <c r="G755" s="43" t="str">
        <f>IFERROR(VLOOKUP(B755,Baza[[№]:[Profit]],4,0),"")</f>
        <v/>
      </c>
      <c r="H755" s="43" t="str">
        <f>IFERROR(VLOOKUP(B755,Baza[[№]:[Profit]],5,0),"")</f>
        <v/>
      </c>
      <c r="I755" s="46" t="str">
        <f>IFERROR(VLOOKUP(B755,Baza[[№]:[Profit]],6,0),"")</f>
        <v/>
      </c>
      <c r="J755" s="49" t="str">
        <f>IFERROR(VLOOKUP(B755,Baza[[№]:[Profit]],7,0),"")</f>
        <v/>
      </c>
      <c r="K755" s="43" t="str">
        <f>IFERROR(VLOOKUP(B755,Baza[[№]:[Profit]],8,0),"")</f>
        <v/>
      </c>
      <c r="L755" s="43" t="str">
        <f>IFERROR(VLOOKUP(B755,Baza[[№]:[Profit]],9,0),"")</f>
        <v/>
      </c>
      <c r="M755" s="43" t="str">
        <f>IFERROR(VLOOKUP(B755,Baza[[№]:[Profit]],10,0),"")</f>
        <v/>
      </c>
      <c r="N755" s="43" t="str">
        <f>IFERROR(IF(VLOOKUP(B755,Baza[[№]:[Profit]],11,0)=0,"-",VLOOKUP(B755,Baza[[№]:[Profit]],11,0)),"")</f>
        <v/>
      </c>
      <c r="O755" s="43" t="str">
        <f>IFERROR(IF(VLOOKUP(B755,Baza[[№]:[Profit]],12,0)=0,"-",VLOOKUP(B755,Baza[[№]:[Profit]],12,0)),"")</f>
        <v/>
      </c>
      <c r="P755" s="43" t="str">
        <f>IFERROR(IF(VLOOKUP(B755,Baza[[№]:[Profit]],13,0)=0,"-",VLOOKUP(B755,Baza[[№]:[Profit]],13,0)),"")</f>
        <v/>
      </c>
      <c r="Q755" s="43" t="str">
        <f>IFERROR(IF(VLOOKUP(B755,Baza[[№]:[Profit]],15,0)=0,"-",VLOOKUP(B755,Baza[[№]:[Profit]],15,0)),"")</f>
        <v/>
      </c>
      <c r="R755" s="43" t="str">
        <f>IFERROR(IF(VLOOKUP(B755,Baza[[№]:[Profit]],16,0)=0,"-",VLOOKUP(B755,Baza[[№]:[Profit]],16,0)),"")</f>
        <v/>
      </c>
      <c r="S755" s="43" t="str">
        <f>IFERROR(IF(VLOOKUP(B755,Baza[[№]:[Profit]],17,0)=0,"-",VLOOKUP(B755,Baza[[№]:[Profit]],17,0)),"")</f>
        <v/>
      </c>
      <c r="T755" s="43" t="str">
        <f>IFERROR(IF(VLOOKUP(B755,Baza[[№]:[Profit]],18,0)=0,"-",VLOOKUP(B755,Baza[[№]:[Profit]],18,0)),"")</f>
        <v/>
      </c>
      <c r="U755" s="41" t="str">
        <f>IFERROR(IF(VLOOKUP(B755,Baza[[№]:[Profit]],19,0)=0,"-",VLOOKUP(B755,Baza[[№]:[Profit]],19,0)),"")</f>
        <v/>
      </c>
      <c r="V755" s="41" t="str">
        <f>IFERROR(VLOOKUP(B755,Baza[[№]:[Profit]],20,0),"")</f>
        <v/>
      </c>
      <c r="W755" s="41" t="str">
        <f>IFERROR(IF(VLOOKUP(B755,Baza[[№]:[Profit]],21,0)=0,"-",VLOOKUP(B755,Baza[[№]:[Profit]],21,0)),"")</f>
        <v/>
      </c>
      <c r="X755" s="45" t="str">
        <f>IFERROR(IF(VLOOKUP(B755,Baza[[№]:[Profit]],22,0)=0,"-",VLOOKUP(B755,Baza[[№]:[Profit]],22,0)),"")</f>
        <v/>
      </c>
      <c r="Y755" s="45" t="str">
        <f>IFERROR(VLOOKUP(B755,Baza[[№]:[Profit]],23,0),"")</f>
        <v/>
      </c>
      <c r="Z755" s="44" t="str">
        <f>IFERROR(VLOOKUP(B755,Baza[[№]:[AFS]],24,0),"")</f>
        <v/>
      </c>
      <c r="AA755" s="45" t="str">
        <f>IF(Таблица2[[#This Row],[Profit]]="","#Н/Д",SUM($Y$40:Y755))</f>
        <v>#Н/Д</v>
      </c>
      <c r="AB755" s="45" t="b">
        <f>IF(Таблица2[[#This Row],[Grafik]]="#Н/Д",FALSE,TRUE)</f>
        <v>0</v>
      </c>
    </row>
    <row r="756" spans="2:28" ht="11.1" hidden="1" customHeight="1" x14ac:dyDescent="0.25">
      <c r="B756"/>
      <c r="C756" s="41" t="str">
        <f>IFERROR(VLOOKUP(B756,Baza[[№]:[Profit]],2,0),"")</f>
        <v/>
      </c>
      <c r="D75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5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56" s="43" t="str">
        <f>IFERROR(VLOOKUP(B756,Baza[[№]:[Profit]],3,0),"")</f>
        <v/>
      </c>
      <c r="G756" s="43" t="str">
        <f>IFERROR(VLOOKUP(B756,Baza[[№]:[Profit]],4,0),"")</f>
        <v/>
      </c>
      <c r="H756" s="43" t="str">
        <f>IFERROR(VLOOKUP(B756,Baza[[№]:[Profit]],5,0),"")</f>
        <v/>
      </c>
      <c r="I756" s="46" t="str">
        <f>IFERROR(VLOOKUP(B756,Baza[[№]:[Profit]],6,0),"")</f>
        <v/>
      </c>
      <c r="J756" s="49" t="str">
        <f>IFERROR(VLOOKUP(B756,Baza[[№]:[Profit]],7,0),"")</f>
        <v/>
      </c>
      <c r="K756" s="43" t="str">
        <f>IFERROR(VLOOKUP(B756,Baza[[№]:[Profit]],8,0),"")</f>
        <v/>
      </c>
      <c r="L756" s="43" t="str">
        <f>IFERROR(VLOOKUP(B756,Baza[[№]:[Profit]],9,0),"")</f>
        <v/>
      </c>
      <c r="M756" s="43" t="str">
        <f>IFERROR(VLOOKUP(B756,Baza[[№]:[Profit]],10,0),"")</f>
        <v/>
      </c>
      <c r="N756" s="43" t="str">
        <f>IFERROR(IF(VLOOKUP(B756,Baza[[№]:[Profit]],11,0)=0,"-",VLOOKUP(B756,Baza[[№]:[Profit]],11,0)),"")</f>
        <v/>
      </c>
      <c r="O756" s="43" t="str">
        <f>IFERROR(IF(VLOOKUP(B756,Baza[[№]:[Profit]],12,0)=0,"-",VLOOKUP(B756,Baza[[№]:[Profit]],12,0)),"")</f>
        <v/>
      </c>
      <c r="P756" s="43" t="str">
        <f>IFERROR(IF(VLOOKUP(B756,Baza[[№]:[Profit]],13,0)=0,"-",VLOOKUP(B756,Baza[[№]:[Profit]],13,0)),"")</f>
        <v/>
      </c>
      <c r="Q756" s="43" t="str">
        <f>IFERROR(IF(VLOOKUP(B756,Baza[[№]:[Profit]],15,0)=0,"-",VLOOKUP(B756,Baza[[№]:[Profit]],15,0)),"")</f>
        <v/>
      </c>
      <c r="R756" s="43" t="str">
        <f>IFERROR(IF(VLOOKUP(B756,Baza[[№]:[Profit]],16,0)=0,"-",VLOOKUP(B756,Baza[[№]:[Profit]],16,0)),"")</f>
        <v/>
      </c>
      <c r="S756" s="43" t="str">
        <f>IFERROR(IF(VLOOKUP(B756,Baza[[№]:[Profit]],17,0)=0,"-",VLOOKUP(B756,Baza[[№]:[Profit]],17,0)),"")</f>
        <v/>
      </c>
      <c r="T756" s="43" t="str">
        <f>IFERROR(IF(VLOOKUP(B756,Baza[[№]:[Profit]],18,0)=0,"-",VLOOKUP(B756,Baza[[№]:[Profit]],18,0)),"")</f>
        <v/>
      </c>
      <c r="U756" s="41" t="str">
        <f>IFERROR(IF(VLOOKUP(B756,Baza[[№]:[Profit]],19,0)=0,"-",VLOOKUP(B756,Baza[[№]:[Profit]],19,0)),"")</f>
        <v/>
      </c>
      <c r="V756" s="41" t="str">
        <f>IFERROR(VLOOKUP(B756,Baza[[№]:[Profit]],20,0),"")</f>
        <v/>
      </c>
      <c r="W756" s="41" t="str">
        <f>IFERROR(IF(VLOOKUP(B756,Baza[[№]:[Profit]],21,0)=0,"-",VLOOKUP(B756,Baza[[№]:[Profit]],21,0)),"")</f>
        <v/>
      </c>
      <c r="X756" s="45" t="str">
        <f>IFERROR(IF(VLOOKUP(B756,Baza[[№]:[Profit]],22,0)=0,"-",VLOOKUP(B756,Baza[[№]:[Profit]],22,0)),"")</f>
        <v/>
      </c>
      <c r="Y756" s="45" t="str">
        <f>IFERROR(VLOOKUP(B756,Baza[[№]:[Profit]],23,0),"")</f>
        <v/>
      </c>
      <c r="Z756" s="44" t="str">
        <f>IFERROR(VLOOKUP(B756,Baza[[№]:[AFS]],24,0),"")</f>
        <v/>
      </c>
      <c r="AA756" s="45" t="str">
        <f>IF(Таблица2[[#This Row],[Profit]]="","#Н/Д",SUM($Y$40:Y756))</f>
        <v>#Н/Д</v>
      </c>
      <c r="AB756" s="45" t="b">
        <f>IF(Таблица2[[#This Row],[Grafik]]="#Н/Д",FALSE,TRUE)</f>
        <v>0</v>
      </c>
    </row>
    <row r="757" spans="2:28" ht="11.1" hidden="1" customHeight="1" x14ac:dyDescent="0.25">
      <c r="B757"/>
      <c r="C757" s="41" t="str">
        <f>IFERROR(VLOOKUP(B757,Baza[[№]:[Profit]],2,0),"")</f>
        <v/>
      </c>
      <c r="D75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5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57" s="43" t="str">
        <f>IFERROR(VLOOKUP(B757,Baza[[№]:[Profit]],3,0),"")</f>
        <v/>
      </c>
      <c r="G757" s="43" t="str">
        <f>IFERROR(VLOOKUP(B757,Baza[[№]:[Profit]],4,0),"")</f>
        <v/>
      </c>
      <c r="H757" s="43" t="str">
        <f>IFERROR(VLOOKUP(B757,Baza[[№]:[Profit]],5,0),"")</f>
        <v/>
      </c>
      <c r="I757" s="46" t="str">
        <f>IFERROR(VLOOKUP(B757,Baza[[№]:[Profit]],6,0),"")</f>
        <v/>
      </c>
      <c r="J757" s="49" t="str">
        <f>IFERROR(VLOOKUP(B757,Baza[[№]:[Profit]],7,0),"")</f>
        <v/>
      </c>
      <c r="K757" s="43" t="str">
        <f>IFERROR(VLOOKUP(B757,Baza[[№]:[Profit]],8,0),"")</f>
        <v/>
      </c>
      <c r="L757" s="43" t="str">
        <f>IFERROR(VLOOKUP(B757,Baza[[№]:[Profit]],9,0),"")</f>
        <v/>
      </c>
      <c r="M757" s="43" t="str">
        <f>IFERROR(VLOOKUP(B757,Baza[[№]:[Profit]],10,0),"")</f>
        <v/>
      </c>
      <c r="N757" s="43" t="str">
        <f>IFERROR(IF(VLOOKUP(B757,Baza[[№]:[Profit]],11,0)=0,"-",VLOOKUP(B757,Baza[[№]:[Profit]],11,0)),"")</f>
        <v/>
      </c>
      <c r="O757" s="43" t="str">
        <f>IFERROR(IF(VLOOKUP(B757,Baza[[№]:[Profit]],12,0)=0,"-",VLOOKUP(B757,Baza[[№]:[Profit]],12,0)),"")</f>
        <v/>
      </c>
      <c r="P757" s="43" t="str">
        <f>IFERROR(IF(VLOOKUP(B757,Baza[[№]:[Profit]],13,0)=0,"-",VLOOKUP(B757,Baza[[№]:[Profit]],13,0)),"")</f>
        <v/>
      </c>
      <c r="Q757" s="43" t="str">
        <f>IFERROR(IF(VLOOKUP(B757,Baza[[№]:[Profit]],15,0)=0,"-",VLOOKUP(B757,Baza[[№]:[Profit]],15,0)),"")</f>
        <v/>
      </c>
      <c r="R757" s="43" t="str">
        <f>IFERROR(IF(VLOOKUP(B757,Baza[[№]:[Profit]],16,0)=0,"-",VLOOKUP(B757,Baza[[№]:[Profit]],16,0)),"")</f>
        <v/>
      </c>
      <c r="S757" s="43" t="str">
        <f>IFERROR(IF(VLOOKUP(B757,Baza[[№]:[Profit]],17,0)=0,"-",VLOOKUP(B757,Baza[[№]:[Profit]],17,0)),"")</f>
        <v/>
      </c>
      <c r="T757" s="43" t="str">
        <f>IFERROR(IF(VLOOKUP(B757,Baza[[№]:[Profit]],18,0)=0,"-",VLOOKUP(B757,Baza[[№]:[Profit]],18,0)),"")</f>
        <v/>
      </c>
      <c r="U757" s="41" t="str">
        <f>IFERROR(IF(VLOOKUP(B757,Baza[[№]:[Profit]],19,0)=0,"-",VLOOKUP(B757,Baza[[№]:[Profit]],19,0)),"")</f>
        <v/>
      </c>
      <c r="V757" s="41" t="str">
        <f>IFERROR(VLOOKUP(B757,Baza[[№]:[Profit]],20,0),"")</f>
        <v/>
      </c>
      <c r="W757" s="41" t="str">
        <f>IFERROR(IF(VLOOKUP(B757,Baza[[№]:[Profit]],21,0)=0,"-",VLOOKUP(B757,Baza[[№]:[Profit]],21,0)),"")</f>
        <v/>
      </c>
      <c r="X757" s="45" t="str">
        <f>IFERROR(IF(VLOOKUP(B757,Baza[[№]:[Profit]],22,0)=0,"-",VLOOKUP(B757,Baza[[№]:[Profit]],22,0)),"")</f>
        <v/>
      </c>
      <c r="Y757" s="45" t="str">
        <f>IFERROR(VLOOKUP(B757,Baza[[№]:[Profit]],23,0),"")</f>
        <v/>
      </c>
      <c r="Z757" s="44" t="str">
        <f>IFERROR(VLOOKUP(B757,Baza[[№]:[AFS]],24,0),"")</f>
        <v/>
      </c>
      <c r="AA757" s="45" t="str">
        <f>IF(Таблица2[[#This Row],[Profit]]="","#Н/Д",SUM($Y$40:Y757))</f>
        <v>#Н/Д</v>
      </c>
      <c r="AB757" s="45" t="b">
        <f>IF(Таблица2[[#This Row],[Grafik]]="#Н/Д",FALSE,TRUE)</f>
        <v>0</v>
      </c>
    </row>
    <row r="758" spans="2:28" ht="11.1" hidden="1" customHeight="1" x14ac:dyDescent="0.25">
      <c r="B758"/>
      <c r="C758" s="41" t="str">
        <f>IFERROR(VLOOKUP(B758,Baza[[№]:[Profit]],2,0),"")</f>
        <v/>
      </c>
      <c r="D75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5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58" s="43" t="str">
        <f>IFERROR(VLOOKUP(B758,Baza[[№]:[Profit]],3,0),"")</f>
        <v/>
      </c>
      <c r="G758" s="43" t="str">
        <f>IFERROR(VLOOKUP(B758,Baza[[№]:[Profit]],4,0),"")</f>
        <v/>
      </c>
      <c r="H758" s="43" t="str">
        <f>IFERROR(VLOOKUP(B758,Baza[[№]:[Profit]],5,0),"")</f>
        <v/>
      </c>
      <c r="I758" s="46" t="str">
        <f>IFERROR(VLOOKUP(B758,Baza[[№]:[Profit]],6,0),"")</f>
        <v/>
      </c>
      <c r="J758" s="49" t="str">
        <f>IFERROR(VLOOKUP(B758,Baza[[№]:[Profit]],7,0),"")</f>
        <v/>
      </c>
      <c r="K758" s="43" t="str">
        <f>IFERROR(VLOOKUP(B758,Baza[[№]:[Profit]],8,0),"")</f>
        <v/>
      </c>
      <c r="L758" s="43" t="str">
        <f>IFERROR(VLOOKUP(B758,Baza[[№]:[Profit]],9,0),"")</f>
        <v/>
      </c>
      <c r="M758" s="43" t="str">
        <f>IFERROR(VLOOKUP(B758,Baza[[№]:[Profit]],10,0),"")</f>
        <v/>
      </c>
      <c r="N758" s="43" t="str">
        <f>IFERROR(IF(VLOOKUP(B758,Baza[[№]:[Profit]],11,0)=0,"-",VLOOKUP(B758,Baza[[№]:[Profit]],11,0)),"")</f>
        <v/>
      </c>
      <c r="O758" s="43" t="str">
        <f>IFERROR(IF(VLOOKUP(B758,Baza[[№]:[Profit]],12,0)=0,"-",VLOOKUP(B758,Baza[[№]:[Profit]],12,0)),"")</f>
        <v/>
      </c>
      <c r="P758" s="43" t="str">
        <f>IFERROR(IF(VLOOKUP(B758,Baza[[№]:[Profit]],13,0)=0,"-",VLOOKUP(B758,Baza[[№]:[Profit]],13,0)),"")</f>
        <v/>
      </c>
      <c r="Q758" s="43" t="str">
        <f>IFERROR(IF(VLOOKUP(B758,Baza[[№]:[Profit]],15,0)=0,"-",VLOOKUP(B758,Baza[[№]:[Profit]],15,0)),"")</f>
        <v/>
      </c>
      <c r="R758" s="43" t="str">
        <f>IFERROR(IF(VLOOKUP(B758,Baza[[№]:[Profit]],16,0)=0,"-",VLOOKUP(B758,Baza[[№]:[Profit]],16,0)),"")</f>
        <v/>
      </c>
      <c r="S758" s="43" t="str">
        <f>IFERROR(IF(VLOOKUP(B758,Baza[[№]:[Profit]],17,0)=0,"-",VLOOKUP(B758,Baza[[№]:[Profit]],17,0)),"")</f>
        <v/>
      </c>
      <c r="T758" s="43" t="str">
        <f>IFERROR(IF(VLOOKUP(B758,Baza[[№]:[Profit]],18,0)=0,"-",VLOOKUP(B758,Baza[[№]:[Profit]],18,0)),"")</f>
        <v/>
      </c>
      <c r="U758" s="41" t="str">
        <f>IFERROR(IF(VLOOKUP(B758,Baza[[№]:[Profit]],19,0)=0,"-",VLOOKUP(B758,Baza[[№]:[Profit]],19,0)),"")</f>
        <v/>
      </c>
      <c r="V758" s="41" t="str">
        <f>IFERROR(VLOOKUP(B758,Baza[[№]:[Profit]],20,0),"")</f>
        <v/>
      </c>
      <c r="W758" s="41" t="str">
        <f>IFERROR(IF(VLOOKUP(B758,Baza[[№]:[Profit]],21,0)=0,"-",VLOOKUP(B758,Baza[[№]:[Profit]],21,0)),"")</f>
        <v/>
      </c>
      <c r="X758" s="45" t="str">
        <f>IFERROR(IF(VLOOKUP(B758,Baza[[№]:[Profit]],22,0)=0,"-",VLOOKUP(B758,Baza[[№]:[Profit]],22,0)),"")</f>
        <v/>
      </c>
      <c r="Y758" s="45" t="str">
        <f>IFERROR(VLOOKUP(B758,Baza[[№]:[Profit]],23,0),"")</f>
        <v/>
      </c>
      <c r="Z758" s="44" t="str">
        <f>IFERROR(VLOOKUP(B758,Baza[[№]:[AFS]],24,0),"")</f>
        <v/>
      </c>
      <c r="AA758" s="45" t="str">
        <f>IF(Таблица2[[#This Row],[Profit]]="","#Н/Д",SUM($Y$40:Y758))</f>
        <v>#Н/Д</v>
      </c>
      <c r="AB758" s="45" t="b">
        <f>IF(Таблица2[[#This Row],[Grafik]]="#Н/Д",FALSE,TRUE)</f>
        <v>0</v>
      </c>
    </row>
    <row r="759" spans="2:28" ht="11.1" hidden="1" customHeight="1" x14ac:dyDescent="0.25">
      <c r="B759"/>
      <c r="C759" s="41" t="str">
        <f>IFERROR(VLOOKUP(B759,Baza[[№]:[Profit]],2,0),"")</f>
        <v/>
      </c>
      <c r="D75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5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59" s="43" t="str">
        <f>IFERROR(VLOOKUP(B759,Baza[[№]:[Profit]],3,0),"")</f>
        <v/>
      </c>
      <c r="G759" s="43" t="str">
        <f>IFERROR(VLOOKUP(B759,Baza[[№]:[Profit]],4,0),"")</f>
        <v/>
      </c>
      <c r="H759" s="43" t="str">
        <f>IFERROR(VLOOKUP(B759,Baza[[№]:[Profit]],5,0),"")</f>
        <v/>
      </c>
      <c r="I759" s="46" t="str">
        <f>IFERROR(VLOOKUP(B759,Baza[[№]:[Profit]],6,0),"")</f>
        <v/>
      </c>
      <c r="J759" s="49" t="str">
        <f>IFERROR(VLOOKUP(B759,Baza[[№]:[Profit]],7,0),"")</f>
        <v/>
      </c>
      <c r="K759" s="43" t="str">
        <f>IFERROR(VLOOKUP(B759,Baza[[№]:[Profit]],8,0),"")</f>
        <v/>
      </c>
      <c r="L759" s="43" t="str">
        <f>IFERROR(VLOOKUP(B759,Baza[[№]:[Profit]],9,0),"")</f>
        <v/>
      </c>
      <c r="M759" s="43" t="str">
        <f>IFERROR(VLOOKUP(B759,Baza[[№]:[Profit]],10,0),"")</f>
        <v/>
      </c>
      <c r="N759" s="43" t="str">
        <f>IFERROR(IF(VLOOKUP(B759,Baza[[№]:[Profit]],11,0)=0,"-",VLOOKUP(B759,Baza[[№]:[Profit]],11,0)),"")</f>
        <v/>
      </c>
      <c r="O759" s="43" t="str">
        <f>IFERROR(IF(VLOOKUP(B759,Baza[[№]:[Profit]],12,0)=0,"-",VLOOKUP(B759,Baza[[№]:[Profit]],12,0)),"")</f>
        <v/>
      </c>
      <c r="P759" s="43" t="str">
        <f>IFERROR(IF(VLOOKUP(B759,Baza[[№]:[Profit]],13,0)=0,"-",VLOOKUP(B759,Baza[[№]:[Profit]],13,0)),"")</f>
        <v/>
      </c>
      <c r="Q759" s="43" t="str">
        <f>IFERROR(IF(VLOOKUP(B759,Baza[[№]:[Profit]],15,0)=0,"-",VLOOKUP(B759,Baza[[№]:[Profit]],15,0)),"")</f>
        <v/>
      </c>
      <c r="R759" s="43" t="str">
        <f>IFERROR(IF(VLOOKUP(B759,Baza[[№]:[Profit]],16,0)=0,"-",VLOOKUP(B759,Baza[[№]:[Profit]],16,0)),"")</f>
        <v/>
      </c>
      <c r="S759" s="43" t="str">
        <f>IFERROR(IF(VLOOKUP(B759,Baza[[№]:[Profit]],17,0)=0,"-",VLOOKUP(B759,Baza[[№]:[Profit]],17,0)),"")</f>
        <v/>
      </c>
      <c r="T759" s="43" t="str">
        <f>IFERROR(IF(VLOOKUP(B759,Baza[[№]:[Profit]],18,0)=0,"-",VLOOKUP(B759,Baza[[№]:[Profit]],18,0)),"")</f>
        <v/>
      </c>
      <c r="U759" s="41" t="str">
        <f>IFERROR(IF(VLOOKUP(B759,Baza[[№]:[Profit]],19,0)=0,"-",VLOOKUP(B759,Baza[[№]:[Profit]],19,0)),"")</f>
        <v/>
      </c>
      <c r="V759" s="41" t="str">
        <f>IFERROR(VLOOKUP(B759,Baza[[№]:[Profit]],20,0),"")</f>
        <v/>
      </c>
      <c r="W759" s="41" t="str">
        <f>IFERROR(IF(VLOOKUP(B759,Baza[[№]:[Profit]],21,0)=0,"-",VLOOKUP(B759,Baza[[№]:[Profit]],21,0)),"")</f>
        <v/>
      </c>
      <c r="X759" s="45" t="str">
        <f>IFERROR(IF(VLOOKUP(B759,Baza[[№]:[Profit]],22,0)=0,"-",VLOOKUP(B759,Baza[[№]:[Profit]],22,0)),"")</f>
        <v/>
      </c>
      <c r="Y759" s="45" t="str">
        <f>IFERROR(VLOOKUP(B759,Baza[[№]:[Profit]],23,0),"")</f>
        <v/>
      </c>
      <c r="Z759" s="44" t="str">
        <f>IFERROR(VLOOKUP(B759,Baza[[№]:[AFS]],24,0),"")</f>
        <v/>
      </c>
      <c r="AA759" s="45" t="str">
        <f>IF(Таблица2[[#This Row],[Profit]]="","#Н/Д",SUM($Y$40:Y759))</f>
        <v>#Н/Д</v>
      </c>
      <c r="AB759" s="45" t="b">
        <f>IF(Таблица2[[#This Row],[Grafik]]="#Н/Д",FALSE,TRUE)</f>
        <v>0</v>
      </c>
    </row>
    <row r="760" spans="2:28" ht="11.1" hidden="1" customHeight="1" x14ac:dyDescent="0.25">
      <c r="B760"/>
      <c r="C760" s="41" t="str">
        <f>IFERROR(VLOOKUP(B760,Baza[[№]:[Profit]],2,0),"")</f>
        <v/>
      </c>
      <c r="D76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6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60" s="43" t="str">
        <f>IFERROR(VLOOKUP(B760,Baza[[№]:[Profit]],3,0),"")</f>
        <v/>
      </c>
      <c r="G760" s="43" t="str">
        <f>IFERROR(VLOOKUP(B760,Baza[[№]:[Profit]],4,0),"")</f>
        <v/>
      </c>
      <c r="H760" s="43" t="str">
        <f>IFERROR(VLOOKUP(B760,Baza[[№]:[Profit]],5,0),"")</f>
        <v/>
      </c>
      <c r="I760" s="46" t="str">
        <f>IFERROR(VLOOKUP(B760,Baza[[№]:[Profit]],6,0),"")</f>
        <v/>
      </c>
      <c r="J760" s="49" t="str">
        <f>IFERROR(VLOOKUP(B760,Baza[[№]:[Profit]],7,0),"")</f>
        <v/>
      </c>
      <c r="K760" s="43" t="str">
        <f>IFERROR(VLOOKUP(B760,Baza[[№]:[Profit]],8,0),"")</f>
        <v/>
      </c>
      <c r="L760" s="43" t="str">
        <f>IFERROR(VLOOKUP(B760,Baza[[№]:[Profit]],9,0),"")</f>
        <v/>
      </c>
      <c r="M760" s="43" t="str">
        <f>IFERROR(VLOOKUP(B760,Baza[[№]:[Profit]],10,0),"")</f>
        <v/>
      </c>
      <c r="N760" s="43" t="str">
        <f>IFERROR(IF(VLOOKUP(B760,Baza[[№]:[Profit]],11,0)=0,"-",VLOOKUP(B760,Baza[[№]:[Profit]],11,0)),"")</f>
        <v/>
      </c>
      <c r="O760" s="43" t="str">
        <f>IFERROR(IF(VLOOKUP(B760,Baza[[№]:[Profit]],12,0)=0,"-",VLOOKUP(B760,Baza[[№]:[Profit]],12,0)),"")</f>
        <v/>
      </c>
      <c r="P760" s="43" t="str">
        <f>IFERROR(IF(VLOOKUP(B760,Baza[[№]:[Profit]],13,0)=0,"-",VLOOKUP(B760,Baza[[№]:[Profit]],13,0)),"")</f>
        <v/>
      </c>
      <c r="Q760" s="43" t="str">
        <f>IFERROR(IF(VLOOKUP(B760,Baza[[№]:[Profit]],15,0)=0,"-",VLOOKUP(B760,Baza[[№]:[Profit]],15,0)),"")</f>
        <v/>
      </c>
      <c r="R760" s="43" t="str">
        <f>IFERROR(IF(VLOOKUP(B760,Baza[[№]:[Profit]],16,0)=0,"-",VLOOKUP(B760,Baza[[№]:[Profit]],16,0)),"")</f>
        <v/>
      </c>
      <c r="S760" s="43" t="str">
        <f>IFERROR(IF(VLOOKUP(B760,Baza[[№]:[Profit]],17,0)=0,"-",VLOOKUP(B760,Baza[[№]:[Profit]],17,0)),"")</f>
        <v/>
      </c>
      <c r="T760" s="43" t="str">
        <f>IFERROR(IF(VLOOKUP(B760,Baza[[№]:[Profit]],18,0)=0,"-",VLOOKUP(B760,Baza[[№]:[Profit]],18,0)),"")</f>
        <v/>
      </c>
      <c r="U760" s="41" t="str">
        <f>IFERROR(IF(VLOOKUP(B760,Baza[[№]:[Profit]],19,0)=0,"-",VLOOKUP(B760,Baza[[№]:[Profit]],19,0)),"")</f>
        <v/>
      </c>
      <c r="V760" s="41" t="str">
        <f>IFERROR(VLOOKUP(B760,Baza[[№]:[Profit]],20,0),"")</f>
        <v/>
      </c>
      <c r="W760" s="41" t="str">
        <f>IFERROR(IF(VLOOKUP(B760,Baza[[№]:[Profit]],21,0)=0,"-",VLOOKUP(B760,Baza[[№]:[Profit]],21,0)),"")</f>
        <v/>
      </c>
      <c r="X760" s="45" t="str">
        <f>IFERROR(IF(VLOOKUP(B760,Baza[[№]:[Profit]],22,0)=0,"-",VLOOKUP(B760,Baza[[№]:[Profit]],22,0)),"")</f>
        <v/>
      </c>
      <c r="Y760" s="45" t="str">
        <f>IFERROR(VLOOKUP(B760,Baza[[№]:[Profit]],23,0),"")</f>
        <v/>
      </c>
      <c r="Z760" s="44" t="str">
        <f>IFERROR(VLOOKUP(B760,Baza[[№]:[AFS]],24,0),"")</f>
        <v/>
      </c>
      <c r="AA760" s="45" t="str">
        <f>IF(Таблица2[[#This Row],[Profit]]="","#Н/Д",SUM($Y$40:Y760))</f>
        <v>#Н/Д</v>
      </c>
      <c r="AB760" s="45" t="b">
        <f>IF(Таблица2[[#This Row],[Grafik]]="#Н/Д",FALSE,TRUE)</f>
        <v>0</v>
      </c>
    </row>
    <row r="761" spans="2:28" ht="11.1" hidden="1" customHeight="1" x14ac:dyDescent="0.25">
      <c r="B761"/>
      <c r="C761" s="41" t="str">
        <f>IFERROR(VLOOKUP(B761,Baza[[№]:[Profit]],2,0),"")</f>
        <v/>
      </c>
      <c r="D76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6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61" s="43" t="str">
        <f>IFERROR(VLOOKUP(B761,Baza[[№]:[Profit]],3,0),"")</f>
        <v/>
      </c>
      <c r="G761" s="43" t="str">
        <f>IFERROR(VLOOKUP(B761,Baza[[№]:[Profit]],4,0),"")</f>
        <v/>
      </c>
      <c r="H761" s="43" t="str">
        <f>IFERROR(VLOOKUP(B761,Baza[[№]:[Profit]],5,0),"")</f>
        <v/>
      </c>
      <c r="I761" s="46" t="str">
        <f>IFERROR(VLOOKUP(B761,Baza[[№]:[Profit]],6,0),"")</f>
        <v/>
      </c>
      <c r="J761" s="49" t="str">
        <f>IFERROR(VLOOKUP(B761,Baza[[№]:[Profit]],7,0),"")</f>
        <v/>
      </c>
      <c r="K761" s="43" t="str">
        <f>IFERROR(VLOOKUP(B761,Baza[[№]:[Profit]],8,0),"")</f>
        <v/>
      </c>
      <c r="L761" s="43" t="str">
        <f>IFERROR(VLOOKUP(B761,Baza[[№]:[Profit]],9,0),"")</f>
        <v/>
      </c>
      <c r="M761" s="43" t="str">
        <f>IFERROR(VLOOKUP(B761,Baza[[№]:[Profit]],10,0),"")</f>
        <v/>
      </c>
      <c r="N761" s="43" t="str">
        <f>IFERROR(IF(VLOOKUP(B761,Baza[[№]:[Profit]],11,0)=0,"-",VLOOKUP(B761,Baza[[№]:[Profit]],11,0)),"")</f>
        <v/>
      </c>
      <c r="O761" s="43" t="str">
        <f>IFERROR(IF(VLOOKUP(B761,Baza[[№]:[Profit]],12,0)=0,"-",VLOOKUP(B761,Baza[[№]:[Profit]],12,0)),"")</f>
        <v/>
      </c>
      <c r="P761" s="43" t="str">
        <f>IFERROR(IF(VLOOKUP(B761,Baza[[№]:[Profit]],13,0)=0,"-",VLOOKUP(B761,Baza[[№]:[Profit]],13,0)),"")</f>
        <v/>
      </c>
      <c r="Q761" s="43" t="str">
        <f>IFERROR(IF(VLOOKUP(B761,Baza[[№]:[Profit]],15,0)=0,"-",VLOOKUP(B761,Baza[[№]:[Profit]],15,0)),"")</f>
        <v/>
      </c>
      <c r="R761" s="43" t="str">
        <f>IFERROR(IF(VLOOKUP(B761,Baza[[№]:[Profit]],16,0)=0,"-",VLOOKUP(B761,Baza[[№]:[Profit]],16,0)),"")</f>
        <v/>
      </c>
      <c r="S761" s="43" t="str">
        <f>IFERROR(IF(VLOOKUP(B761,Baza[[№]:[Profit]],17,0)=0,"-",VLOOKUP(B761,Baza[[№]:[Profit]],17,0)),"")</f>
        <v/>
      </c>
      <c r="T761" s="43" t="str">
        <f>IFERROR(IF(VLOOKUP(B761,Baza[[№]:[Profit]],18,0)=0,"-",VLOOKUP(B761,Baza[[№]:[Profit]],18,0)),"")</f>
        <v/>
      </c>
      <c r="U761" s="41" t="str">
        <f>IFERROR(IF(VLOOKUP(B761,Baza[[№]:[Profit]],19,0)=0,"-",VLOOKUP(B761,Baza[[№]:[Profit]],19,0)),"")</f>
        <v/>
      </c>
      <c r="V761" s="41" t="str">
        <f>IFERROR(VLOOKUP(B761,Baza[[№]:[Profit]],20,0),"")</f>
        <v/>
      </c>
      <c r="W761" s="41" t="str">
        <f>IFERROR(IF(VLOOKUP(B761,Baza[[№]:[Profit]],21,0)=0,"-",VLOOKUP(B761,Baza[[№]:[Profit]],21,0)),"")</f>
        <v/>
      </c>
      <c r="X761" s="45" t="str">
        <f>IFERROR(IF(VLOOKUP(B761,Baza[[№]:[Profit]],22,0)=0,"-",VLOOKUP(B761,Baza[[№]:[Profit]],22,0)),"")</f>
        <v/>
      </c>
      <c r="Y761" s="45" t="str">
        <f>IFERROR(VLOOKUP(B761,Baza[[№]:[Profit]],23,0),"")</f>
        <v/>
      </c>
      <c r="Z761" s="44" t="str">
        <f>IFERROR(VLOOKUP(B761,Baza[[№]:[AFS]],24,0),"")</f>
        <v/>
      </c>
      <c r="AA761" s="45" t="str">
        <f>IF(Таблица2[[#This Row],[Profit]]="","#Н/Д",SUM($Y$40:Y761))</f>
        <v>#Н/Д</v>
      </c>
      <c r="AB761" s="45" t="b">
        <f>IF(Таблица2[[#This Row],[Grafik]]="#Н/Д",FALSE,TRUE)</f>
        <v>0</v>
      </c>
    </row>
    <row r="762" spans="2:28" ht="11.1" hidden="1" customHeight="1" x14ac:dyDescent="0.25">
      <c r="B762"/>
      <c r="C762" s="41" t="str">
        <f>IFERROR(VLOOKUP(B762,Baza[[№]:[Profit]],2,0),"")</f>
        <v/>
      </c>
      <c r="D76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6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62" s="43" t="str">
        <f>IFERROR(VLOOKUP(B762,Baza[[№]:[Profit]],3,0),"")</f>
        <v/>
      </c>
      <c r="G762" s="43" t="str">
        <f>IFERROR(VLOOKUP(B762,Baza[[№]:[Profit]],4,0),"")</f>
        <v/>
      </c>
      <c r="H762" s="43" t="str">
        <f>IFERROR(VLOOKUP(B762,Baza[[№]:[Profit]],5,0),"")</f>
        <v/>
      </c>
      <c r="I762" s="46" t="str">
        <f>IFERROR(VLOOKUP(B762,Baza[[№]:[Profit]],6,0),"")</f>
        <v/>
      </c>
      <c r="J762" s="49" t="str">
        <f>IFERROR(VLOOKUP(B762,Baza[[№]:[Profit]],7,0),"")</f>
        <v/>
      </c>
      <c r="K762" s="43" t="str">
        <f>IFERROR(VLOOKUP(B762,Baza[[№]:[Profit]],8,0),"")</f>
        <v/>
      </c>
      <c r="L762" s="43" t="str">
        <f>IFERROR(VLOOKUP(B762,Baza[[№]:[Profit]],9,0),"")</f>
        <v/>
      </c>
      <c r="M762" s="43" t="str">
        <f>IFERROR(VLOOKUP(B762,Baza[[№]:[Profit]],10,0),"")</f>
        <v/>
      </c>
      <c r="N762" s="43" t="str">
        <f>IFERROR(IF(VLOOKUP(B762,Baza[[№]:[Profit]],11,0)=0,"-",VLOOKUP(B762,Baza[[№]:[Profit]],11,0)),"")</f>
        <v/>
      </c>
      <c r="O762" s="43" t="str">
        <f>IFERROR(IF(VLOOKUP(B762,Baza[[№]:[Profit]],12,0)=0,"-",VLOOKUP(B762,Baza[[№]:[Profit]],12,0)),"")</f>
        <v/>
      </c>
      <c r="P762" s="43" t="str">
        <f>IFERROR(IF(VLOOKUP(B762,Baza[[№]:[Profit]],13,0)=0,"-",VLOOKUP(B762,Baza[[№]:[Profit]],13,0)),"")</f>
        <v/>
      </c>
      <c r="Q762" s="43" t="str">
        <f>IFERROR(IF(VLOOKUP(B762,Baza[[№]:[Profit]],15,0)=0,"-",VLOOKUP(B762,Baza[[№]:[Profit]],15,0)),"")</f>
        <v/>
      </c>
      <c r="R762" s="43" t="str">
        <f>IFERROR(IF(VLOOKUP(B762,Baza[[№]:[Profit]],16,0)=0,"-",VLOOKUP(B762,Baza[[№]:[Profit]],16,0)),"")</f>
        <v/>
      </c>
      <c r="S762" s="43" t="str">
        <f>IFERROR(IF(VLOOKUP(B762,Baza[[№]:[Profit]],17,0)=0,"-",VLOOKUP(B762,Baza[[№]:[Profit]],17,0)),"")</f>
        <v/>
      </c>
      <c r="T762" s="43" t="str">
        <f>IFERROR(IF(VLOOKUP(B762,Baza[[№]:[Profit]],18,0)=0,"-",VLOOKUP(B762,Baza[[№]:[Profit]],18,0)),"")</f>
        <v/>
      </c>
      <c r="U762" s="41" t="str">
        <f>IFERROR(IF(VLOOKUP(B762,Baza[[№]:[Profit]],19,0)=0,"-",VLOOKUP(B762,Baza[[№]:[Profit]],19,0)),"")</f>
        <v/>
      </c>
      <c r="V762" s="41" t="str">
        <f>IFERROR(VLOOKUP(B762,Baza[[№]:[Profit]],20,0),"")</f>
        <v/>
      </c>
      <c r="W762" s="41" t="str">
        <f>IFERROR(IF(VLOOKUP(B762,Baza[[№]:[Profit]],21,0)=0,"-",VLOOKUP(B762,Baza[[№]:[Profit]],21,0)),"")</f>
        <v/>
      </c>
      <c r="X762" s="45" t="str">
        <f>IFERROR(IF(VLOOKUP(B762,Baza[[№]:[Profit]],22,0)=0,"-",VLOOKUP(B762,Baza[[№]:[Profit]],22,0)),"")</f>
        <v/>
      </c>
      <c r="Y762" s="45" t="str">
        <f>IFERROR(VLOOKUP(B762,Baza[[№]:[Profit]],23,0),"")</f>
        <v/>
      </c>
      <c r="Z762" s="44" t="str">
        <f>IFERROR(VLOOKUP(B762,Baza[[№]:[AFS]],24,0),"")</f>
        <v/>
      </c>
      <c r="AA762" s="45" t="str">
        <f>IF(Таблица2[[#This Row],[Profit]]="","#Н/Д",SUM($Y$40:Y762))</f>
        <v>#Н/Д</v>
      </c>
      <c r="AB762" s="45" t="b">
        <f>IF(Таблица2[[#This Row],[Grafik]]="#Н/Д",FALSE,TRUE)</f>
        <v>0</v>
      </c>
    </row>
    <row r="763" spans="2:28" ht="11.1" hidden="1" customHeight="1" x14ac:dyDescent="0.25">
      <c r="B763"/>
      <c r="C763" s="41" t="str">
        <f>IFERROR(VLOOKUP(B763,Baza[[№]:[Profit]],2,0),"")</f>
        <v/>
      </c>
      <c r="D76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6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63" s="43" t="str">
        <f>IFERROR(VLOOKUP(B763,Baza[[№]:[Profit]],3,0),"")</f>
        <v/>
      </c>
      <c r="G763" s="43" t="str">
        <f>IFERROR(VLOOKUP(B763,Baza[[№]:[Profit]],4,0),"")</f>
        <v/>
      </c>
      <c r="H763" s="43" t="str">
        <f>IFERROR(VLOOKUP(B763,Baza[[№]:[Profit]],5,0),"")</f>
        <v/>
      </c>
      <c r="I763" s="46" t="str">
        <f>IFERROR(VLOOKUP(B763,Baza[[№]:[Profit]],6,0),"")</f>
        <v/>
      </c>
      <c r="J763" s="49" t="str">
        <f>IFERROR(VLOOKUP(B763,Baza[[№]:[Profit]],7,0),"")</f>
        <v/>
      </c>
      <c r="K763" s="43" t="str">
        <f>IFERROR(VLOOKUP(B763,Baza[[№]:[Profit]],8,0),"")</f>
        <v/>
      </c>
      <c r="L763" s="43" t="str">
        <f>IFERROR(VLOOKUP(B763,Baza[[№]:[Profit]],9,0),"")</f>
        <v/>
      </c>
      <c r="M763" s="43" t="str">
        <f>IFERROR(VLOOKUP(B763,Baza[[№]:[Profit]],10,0),"")</f>
        <v/>
      </c>
      <c r="N763" s="43" t="str">
        <f>IFERROR(IF(VLOOKUP(B763,Baza[[№]:[Profit]],11,0)=0,"-",VLOOKUP(B763,Baza[[№]:[Profit]],11,0)),"")</f>
        <v/>
      </c>
      <c r="O763" s="43" t="str">
        <f>IFERROR(IF(VLOOKUP(B763,Baza[[№]:[Profit]],12,0)=0,"-",VLOOKUP(B763,Baza[[№]:[Profit]],12,0)),"")</f>
        <v/>
      </c>
      <c r="P763" s="43" t="str">
        <f>IFERROR(IF(VLOOKUP(B763,Baza[[№]:[Profit]],13,0)=0,"-",VLOOKUP(B763,Baza[[№]:[Profit]],13,0)),"")</f>
        <v/>
      </c>
      <c r="Q763" s="43" t="str">
        <f>IFERROR(IF(VLOOKUP(B763,Baza[[№]:[Profit]],15,0)=0,"-",VLOOKUP(B763,Baza[[№]:[Profit]],15,0)),"")</f>
        <v/>
      </c>
      <c r="R763" s="43" t="str">
        <f>IFERROR(IF(VLOOKUP(B763,Baza[[№]:[Profit]],16,0)=0,"-",VLOOKUP(B763,Baza[[№]:[Profit]],16,0)),"")</f>
        <v/>
      </c>
      <c r="S763" s="43" t="str">
        <f>IFERROR(IF(VLOOKUP(B763,Baza[[№]:[Profit]],17,0)=0,"-",VLOOKUP(B763,Baza[[№]:[Profit]],17,0)),"")</f>
        <v/>
      </c>
      <c r="T763" s="43" t="str">
        <f>IFERROR(IF(VLOOKUP(B763,Baza[[№]:[Profit]],18,0)=0,"-",VLOOKUP(B763,Baza[[№]:[Profit]],18,0)),"")</f>
        <v/>
      </c>
      <c r="U763" s="41" t="str">
        <f>IFERROR(IF(VLOOKUP(B763,Baza[[№]:[Profit]],19,0)=0,"-",VLOOKUP(B763,Baza[[№]:[Profit]],19,0)),"")</f>
        <v/>
      </c>
      <c r="V763" s="41" t="str">
        <f>IFERROR(VLOOKUP(B763,Baza[[№]:[Profit]],20,0),"")</f>
        <v/>
      </c>
      <c r="W763" s="41" t="str">
        <f>IFERROR(IF(VLOOKUP(B763,Baza[[№]:[Profit]],21,0)=0,"-",VLOOKUP(B763,Baza[[№]:[Profit]],21,0)),"")</f>
        <v/>
      </c>
      <c r="X763" s="45" t="str">
        <f>IFERROR(IF(VLOOKUP(B763,Baza[[№]:[Profit]],22,0)=0,"-",VLOOKUP(B763,Baza[[№]:[Profit]],22,0)),"")</f>
        <v/>
      </c>
      <c r="Y763" s="45" t="str">
        <f>IFERROR(VLOOKUP(B763,Baza[[№]:[Profit]],23,0),"")</f>
        <v/>
      </c>
      <c r="Z763" s="44" t="str">
        <f>IFERROR(VLOOKUP(B763,Baza[[№]:[AFS]],24,0),"")</f>
        <v/>
      </c>
      <c r="AA763" s="45" t="str">
        <f>IF(Таблица2[[#This Row],[Profit]]="","#Н/Д",SUM($Y$40:Y763))</f>
        <v>#Н/Д</v>
      </c>
      <c r="AB763" s="45" t="b">
        <f>IF(Таблица2[[#This Row],[Grafik]]="#Н/Д",FALSE,TRUE)</f>
        <v>0</v>
      </c>
    </row>
    <row r="764" spans="2:28" ht="11.1" hidden="1" customHeight="1" x14ac:dyDescent="0.25">
      <c r="B764"/>
      <c r="C764" s="41" t="str">
        <f>IFERROR(VLOOKUP(B764,Baza[[№]:[Profit]],2,0),"")</f>
        <v/>
      </c>
      <c r="D76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6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64" s="43" t="str">
        <f>IFERROR(VLOOKUP(B764,Baza[[№]:[Profit]],3,0),"")</f>
        <v/>
      </c>
      <c r="G764" s="43" t="str">
        <f>IFERROR(VLOOKUP(B764,Baza[[№]:[Profit]],4,0),"")</f>
        <v/>
      </c>
      <c r="H764" s="43" t="str">
        <f>IFERROR(VLOOKUP(B764,Baza[[№]:[Profit]],5,0),"")</f>
        <v/>
      </c>
      <c r="I764" s="46" t="str">
        <f>IFERROR(VLOOKUP(B764,Baza[[№]:[Profit]],6,0),"")</f>
        <v/>
      </c>
      <c r="J764" s="49" t="str">
        <f>IFERROR(VLOOKUP(B764,Baza[[№]:[Profit]],7,0),"")</f>
        <v/>
      </c>
      <c r="K764" s="43" t="str">
        <f>IFERROR(VLOOKUP(B764,Baza[[№]:[Profit]],8,0),"")</f>
        <v/>
      </c>
      <c r="L764" s="43" t="str">
        <f>IFERROR(VLOOKUP(B764,Baza[[№]:[Profit]],9,0),"")</f>
        <v/>
      </c>
      <c r="M764" s="43" t="str">
        <f>IFERROR(VLOOKUP(B764,Baza[[№]:[Profit]],10,0),"")</f>
        <v/>
      </c>
      <c r="N764" s="43" t="str">
        <f>IFERROR(IF(VLOOKUP(B764,Baza[[№]:[Profit]],11,0)=0,"-",VLOOKUP(B764,Baza[[№]:[Profit]],11,0)),"")</f>
        <v/>
      </c>
      <c r="O764" s="43" t="str">
        <f>IFERROR(IF(VLOOKUP(B764,Baza[[№]:[Profit]],12,0)=0,"-",VLOOKUP(B764,Baza[[№]:[Profit]],12,0)),"")</f>
        <v/>
      </c>
      <c r="P764" s="43" t="str">
        <f>IFERROR(IF(VLOOKUP(B764,Baza[[№]:[Profit]],13,0)=0,"-",VLOOKUP(B764,Baza[[№]:[Profit]],13,0)),"")</f>
        <v/>
      </c>
      <c r="Q764" s="43" t="str">
        <f>IFERROR(IF(VLOOKUP(B764,Baza[[№]:[Profit]],15,0)=0,"-",VLOOKUP(B764,Baza[[№]:[Profit]],15,0)),"")</f>
        <v/>
      </c>
      <c r="R764" s="43" t="str">
        <f>IFERROR(IF(VLOOKUP(B764,Baza[[№]:[Profit]],16,0)=0,"-",VLOOKUP(B764,Baza[[№]:[Profit]],16,0)),"")</f>
        <v/>
      </c>
      <c r="S764" s="43" t="str">
        <f>IFERROR(IF(VLOOKUP(B764,Baza[[№]:[Profit]],17,0)=0,"-",VLOOKUP(B764,Baza[[№]:[Profit]],17,0)),"")</f>
        <v/>
      </c>
      <c r="T764" s="43" t="str">
        <f>IFERROR(IF(VLOOKUP(B764,Baza[[№]:[Profit]],18,0)=0,"-",VLOOKUP(B764,Baza[[№]:[Profit]],18,0)),"")</f>
        <v/>
      </c>
      <c r="U764" s="41" t="str">
        <f>IFERROR(IF(VLOOKUP(B764,Baza[[№]:[Profit]],19,0)=0,"-",VLOOKUP(B764,Baza[[№]:[Profit]],19,0)),"")</f>
        <v/>
      </c>
      <c r="V764" s="41" t="str">
        <f>IFERROR(VLOOKUP(B764,Baza[[№]:[Profit]],20,0),"")</f>
        <v/>
      </c>
      <c r="W764" s="41" t="str">
        <f>IFERROR(IF(VLOOKUP(B764,Baza[[№]:[Profit]],21,0)=0,"-",VLOOKUP(B764,Baza[[№]:[Profit]],21,0)),"")</f>
        <v/>
      </c>
      <c r="X764" s="45" t="str">
        <f>IFERROR(IF(VLOOKUP(B764,Baza[[№]:[Profit]],22,0)=0,"-",VLOOKUP(B764,Baza[[№]:[Profit]],22,0)),"")</f>
        <v/>
      </c>
      <c r="Y764" s="45" t="str">
        <f>IFERROR(VLOOKUP(B764,Baza[[№]:[Profit]],23,0),"")</f>
        <v/>
      </c>
      <c r="Z764" s="44" t="str">
        <f>IFERROR(VLOOKUP(B764,Baza[[№]:[AFS]],24,0),"")</f>
        <v/>
      </c>
      <c r="AA764" s="45" t="str">
        <f>IF(Таблица2[[#This Row],[Profit]]="","#Н/Д",SUM($Y$40:Y764))</f>
        <v>#Н/Д</v>
      </c>
      <c r="AB764" s="45" t="b">
        <f>IF(Таблица2[[#This Row],[Grafik]]="#Н/Д",FALSE,TRUE)</f>
        <v>0</v>
      </c>
    </row>
    <row r="765" spans="2:28" ht="11.1" hidden="1" customHeight="1" x14ac:dyDescent="0.25">
      <c r="B765"/>
      <c r="C765" s="41" t="str">
        <f>IFERROR(VLOOKUP(B765,Baza[[№]:[Profit]],2,0),"")</f>
        <v/>
      </c>
      <c r="D76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6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65" s="43" t="str">
        <f>IFERROR(VLOOKUP(B765,Baza[[№]:[Profit]],3,0),"")</f>
        <v/>
      </c>
      <c r="G765" s="43" t="str">
        <f>IFERROR(VLOOKUP(B765,Baza[[№]:[Profit]],4,0),"")</f>
        <v/>
      </c>
      <c r="H765" s="43" t="str">
        <f>IFERROR(VLOOKUP(B765,Baza[[№]:[Profit]],5,0),"")</f>
        <v/>
      </c>
      <c r="I765" s="46" t="str">
        <f>IFERROR(VLOOKUP(B765,Baza[[№]:[Profit]],6,0),"")</f>
        <v/>
      </c>
      <c r="J765" s="49" t="str">
        <f>IFERROR(VLOOKUP(B765,Baza[[№]:[Profit]],7,0),"")</f>
        <v/>
      </c>
      <c r="K765" s="43" t="str">
        <f>IFERROR(VLOOKUP(B765,Baza[[№]:[Profit]],8,0),"")</f>
        <v/>
      </c>
      <c r="L765" s="43" t="str">
        <f>IFERROR(VLOOKUP(B765,Baza[[№]:[Profit]],9,0),"")</f>
        <v/>
      </c>
      <c r="M765" s="43" t="str">
        <f>IFERROR(VLOOKUP(B765,Baza[[№]:[Profit]],10,0),"")</f>
        <v/>
      </c>
      <c r="N765" s="43" t="str">
        <f>IFERROR(IF(VLOOKUP(B765,Baza[[№]:[Profit]],11,0)=0,"-",VLOOKUP(B765,Baza[[№]:[Profit]],11,0)),"")</f>
        <v/>
      </c>
      <c r="O765" s="43" t="str">
        <f>IFERROR(IF(VLOOKUP(B765,Baza[[№]:[Profit]],12,0)=0,"-",VLOOKUP(B765,Baza[[№]:[Profit]],12,0)),"")</f>
        <v/>
      </c>
      <c r="P765" s="43" t="str">
        <f>IFERROR(IF(VLOOKUP(B765,Baza[[№]:[Profit]],13,0)=0,"-",VLOOKUP(B765,Baza[[№]:[Profit]],13,0)),"")</f>
        <v/>
      </c>
      <c r="Q765" s="43" t="str">
        <f>IFERROR(IF(VLOOKUP(B765,Baza[[№]:[Profit]],15,0)=0,"-",VLOOKUP(B765,Baza[[№]:[Profit]],15,0)),"")</f>
        <v/>
      </c>
      <c r="R765" s="43" t="str">
        <f>IFERROR(IF(VLOOKUP(B765,Baza[[№]:[Profit]],16,0)=0,"-",VLOOKUP(B765,Baza[[№]:[Profit]],16,0)),"")</f>
        <v/>
      </c>
      <c r="S765" s="43" t="str">
        <f>IFERROR(IF(VLOOKUP(B765,Baza[[№]:[Profit]],17,0)=0,"-",VLOOKUP(B765,Baza[[№]:[Profit]],17,0)),"")</f>
        <v/>
      </c>
      <c r="T765" s="43" t="str">
        <f>IFERROR(IF(VLOOKUP(B765,Baza[[№]:[Profit]],18,0)=0,"-",VLOOKUP(B765,Baza[[№]:[Profit]],18,0)),"")</f>
        <v/>
      </c>
      <c r="U765" s="41" t="str">
        <f>IFERROR(IF(VLOOKUP(B765,Baza[[№]:[Profit]],19,0)=0,"-",VLOOKUP(B765,Baza[[№]:[Profit]],19,0)),"")</f>
        <v/>
      </c>
      <c r="V765" s="41" t="str">
        <f>IFERROR(VLOOKUP(B765,Baza[[№]:[Profit]],20,0),"")</f>
        <v/>
      </c>
      <c r="W765" s="41" t="str">
        <f>IFERROR(IF(VLOOKUP(B765,Baza[[№]:[Profit]],21,0)=0,"-",VLOOKUP(B765,Baza[[№]:[Profit]],21,0)),"")</f>
        <v/>
      </c>
      <c r="X765" s="45" t="str">
        <f>IFERROR(IF(VLOOKUP(B765,Baza[[№]:[Profit]],22,0)=0,"-",VLOOKUP(B765,Baza[[№]:[Profit]],22,0)),"")</f>
        <v/>
      </c>
      <c r="Y765" s="45" t="str">
        <f>IFERROR(VLOOKUP(B765,Baza[[№]:[Profit]],23,0),"")</f>
        <v/>
      </c>
      <c r="Z765" s="44" t="str">
        <f>IFERROR(VLOOKUP(B765,Baza[[№]:[AFS]],24,0),"")</f>
        <v/>
      </c>
      <c r="AA765" s="45" t="str">
        <f>IF(Таблица2[[#This Row],[Profit]]="","#Н/Д",SUM($Y$40:Y765))</f>
        <v>#Н/Д</v>
      </c>
      <c r="AB765" s="45" t="b">
        <f>IF(Таблица2[[#This Row],[Grafik]]="#Н/Д",FALSE,TRUE)</f>
        <v>0</v>
      </c>
    </row>
    <row r="766" spans="2:28" ht="11.1" hidden="1" customHeight="1" x14ac:dyDescent="0.25">
      <c r="B766"/>
      <c r="C766" s="41" t="str">
        <f>IFERROR(VLOOKUP(B766,Baza[[№]:[Profit]],2,0),"")</f>
        <v/>
      </c>
      <c r="D76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6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66" s="43" t="str">
        <f>IFERROR(VLOOKUP(B766,Baza[[№]:[Profit]],3,0),"")</f>
        <v/>
      </c>
      <c r="G766" s="43" t="str">
        <f>IFERROR(VLOOKUP(B766,Baza[[№]:[Profit]],4,0),"")</f>
        <v/>
      </c>
      <c r="H766" s="43" t="str">
        <f>IFERROR(VLOOKUP(B766,Baza[[№]:[Profit]],5,0),"")</f>
        <v/>
      </c>
      <c r="I766" s="46" t="str">
        <f>IFERROR(VLOOKUP(B766,Baza[[№]:[Profit]],6,0),"")</f>
        <v/>
      </c>
      <c r="J766" s="49" t="str">
        <f>IFERROR(VLOOKUP(B766,Baza[[№]:[Profit]],7,0),"")</f>
        <v/>
      </c>
      <c r="K766" s="43" t="str">
        <f>IFERROR(VLOOKUP(B766,Baza[[№]:[Profit]],8,0),"")</f>
        <v/>
      </c>
      <c r="L766" s="43" t="str">
        <f>IFERROR(VLOOKUP(B766,Baza[[№]:[Profit]],9,0),"")</f>
        <v/>
      </c>
      <c r="M766" s="43" t="str">
        <f>IFERROR(VLOOKUP(B766,Baza[[№]:[Profit]],10,0),"")</f>
        <v/>
      </c>
      <c r="N766" s="43" t="str">
        <f>IFERROR(IF(VLOOKUP(B766,Baza[[№]:[Profit]],11,0)=0,"-",VLOOKUP(B766,Baza[[№]:[Profit]],11,0)),"")</f>
        <v/>
      </c>
      <c r="O766" s="43" t="str">
        <f>IFERROR(IF(VLOOKUP(B766,Baza[[№]:[Profit]],12,0)=0,"-",VLOOKUP(B766,Baza[[№]:[Profit]],12,0)),"")</f>
        <v/>
      </c>
      <c r="P766" s="43" t="str">
        <f>IFERROR(IF(VLOOKUP(B766,Baza[[№]:[Profit]],13,0)=0,"-",VLOOKUP(B766,Baza[[№]:[Profit]],13,0)),"")</f>
        <v/>
      </c>
      <c r="Q766" s="43" t="str">
        <f>IFERROR(IF(VLOOKUP(B766,Baza[[№]:[Profit]],15,0)=0,"-",VLOOKUP(B766,Baza[[№]:[Profit]],15,0)),"")</f>
        <v/>
      </c>
      <c r="R766" s="43" t="str">
        <f>IFERROR(IF(VLOOKUP(B766,Baza[[№]:[Profit]],16,0)=0,"-",VLOOKUP(B766,Baza[[№]:[Profit]],16,0)),"")</f>
        <v/>
      </c>
      <c r="S766" s="43" t="str">
        <f>IFERROR(IF(VLOOKUP(B766,Baza[[№]:[Profit]],17,0)=0,"-",VLOOKUP(B766,Baza[[№]:[Profit]],17,0)),"")</f>
        <v/>
      </c>
      <c r="T766" s="43" t="str">
        <f>IFERROR(IF(VLOOKUP(B766,Baza[[№]:[Profit]],18,0)=0,"-",VLOOKUP(B766,Baza[[№]:[Profit]],18,0)),"")</f>
        <v/>
      </c>
      <c r="U766" s="41" t="str">
        <f>IFERROR(IF(VLOOKUP(B766,Baza[[№]:[Profit]],19,0)=0,"-",VLOOKUP(B766,Baza[[№]:[Profit]],19,0)),"")</f>
        <v/>
      </c>
      <c r="V766" s="41" t="str">
        <f>IFERROR(VLOOKUP(B766,Baza[[№]:[Profit]],20,0),"")</f>
        <v/>
      </c>
      <c r="W766" s="41" t="str">
        <f>IFERROR(IF(VLOOKUP(B766,Baza[[№]:[Profit]],21,0)=0,"-",VLOOKUP(B766,Baza[[№]:[Profit]],21,0)),"")</f>
        <v/>
      </c>
      <c r="X766" s="45" t="str">
        <f>IFERROR(IF(VLOOKUP(B766,Baza[[№]:[Profit]],22,0)=0,"-",VLOOKUP(B766,Baza[[№]:[Profit]],22,0)),"")</f>
        <v/>
      </c>
      <c r="Y766" s="45" t="str">
        <f>IFERROR(VLOOKUP(B766,Baza[[№]:[Profit]],23,0),"")</f>
        <v/>
      </c>
      <c r="Z766" s="44" t="str">
        <f>IFERROR(VLOOKUP(B766,Baza[[№]:[AFS]],24,0),"")</f>
        <v/>
      </c>
      <c r="AA766" s="45" t="str">
        <f>IF(Таблица2[[#This Row],[Profit]]="","#Н/Д",SUM($Y$40:Y766))</f>
        <v>#Н/Д</v>
      </c>
      <c r="AB766" s="45" t="b">
        <f>IF(Таблица2[[#This Row],[Grafik]]="#Н/Д",FALSE,TRUE)</f>
        <v>0</v>
      </c>
    </row>
    <row r="767" spans="2:28" ht="11.1" hidden="1" customHeight="1" x14ac:dyDescent="0.25">
      <c r="B767"/>
      <c r="C767" s="41" t="str">
        <f>IFERROR(VLOOKUP(B767,Baza[[№]:[Profit]],2,0),"")</f>
        <v/>
      </c>
      <c r="D76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6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67" s="43" t="str">
        <f>IFERROR(VLOOKUP(B767,Baza[[№]:[Profit]],3,0),"")</f>
        <v/>
      </c>
      <c r="G767" s="43" t="str">
        <f>IFERROR(VLOOKUP(B767,Baza[[№]:[Profit]],4,0),"")</f>
        <v/>
      </c>
      <c r="H767" s="43" t="str">
        <f>IFERROR(VLOOKUP(B767,Baza[[№]:[Profit]],5,0),"")</f>
        <v/>
      </c>
      <c r="I767" s="46" t="str">
        <f>IFERROR(VLOOKUP(B767,Baza[[№]:[Profit]],6,0),"")</f>
        <v/>
      </c>
      <c r="J767" s="49" t="str">
        <f>IFERROR(VLOOKUP(B767,Baza[[№]:[Profit]],7,0),"")</f>
        <v/>
      </c>
      <c r="K767" s="43" t="str">
        <f>IFERROR(VLOOKUP(B767,Baza[[№]:[Profit]],8,0),"")</f>
        <v/>
      </c>
      <c r="L767" s="43" t="str">
        <f>IFERROR(VLOOKUP(B767,Baza[[№]:[Profit]],9,0),"")</f>
        <v/>
      </c>
      <c r="M767" s="43" t="str">
        <f>IFERROR(VLOOKUP(B767,Baza[[№]:[Profit]],10,0),"")</f>
        <v/>
      </c>
      <c r="N767" s="43" t="str">
        <f>IFERROR(IF(VLOOKUP(B767,Baza[[№]:[Profit]],11,0)=0,"-",VLOOKUP(B767,Baza[[№]:[Profit]],11,0)),"")</f>
        <v/>
      </c>
      <c r="O767" s="43" t="str">
        <f>IFERROR(IF(VLOOKUP(B767,Baza[[№]:[Profit]],12,0)=0,"-",VLOOKUP(B767,Baza[[№]:[Profit]],12,0)),"")</f>
        <v/>
      </c>
      <c r="P767" s="43" t="str">
        <f>IFERROR(IF(VLOOKUP(B767,Baza[[№]:[Profit]],13,0)=0,"-",VLOOKUP(B767,Baza[[№]:[Profit]],13,0)),"")</f>
        <v/>
      </c>
      <c r="Q767" s="43" t="str">
        <f>IFERROR(IF(VLOOKUP(B767,Baza[[№]:[Profit]],15,0)=0,"-",VLOOKUP(B767,Baza[[№]:[Profit]],15,0)),"")</f>
        <v/>
      </c>
      <c r="R767" s="43" t="str">
        <f>IFERROR(IF(VLOOKUP(B767,Baza[[№]:[Profit]],16,0)=0,"-",VLOOKUP(B767,Baza[[№]:[Profit]],16,0)),"")</f>
        <v/>
      </c>
      <c r="S767" s="43" t="str">
        <f>IFERROR(IF(VLOOKUP(B767,Baza[[№]:[Profit]],17,0)=0,"-",VLOOKUP(B767,Baza[[№]:[Profit]],17,0)),"")</f>
        <v/>
      </c>
      <c r="T767" s="43" t="str">
        <f>IFERROR(IF(VLOOKUP(B767,Baza[[№]:[Profit]],18,0)=0,"-",VLOOKUP(B767,Baza[[№]:[Profit]],18,0)),"")</f>
        <v/>
      </c>
      <c r="U767" s="41" t="str">
        <f>IFERROR(IF(VLOOKUP(B767,Baza[[№]:[Profit]],19,0)=0,"-",VLOOKUP(B767,Baza[[№]:[Profit]],19,0)),"")</f>
        <v/>
      </c>
      <c r="V767" s="41" t="str">
        <f>IFERROR(VLOOKUP(B767,Baza[[№]:[Profit]],20,0),"")</f>
        <v/>
      </c>
      <c r="W767" s="41" t="str">
        <f>IFERROR(IF(VLOOKUP(B767,Baza[[№]:[Profit]],21,0)=0,"-",VLOOKUP(B767,Baza[[№]:[Profit]],21,0)),"")</f>
        <v/>
      </c>
      <c r="X767" s="45" t="str">
        <f>IFERROR(IF(VLOOKUP(B767,Baza[[№]:[Profit]],22,0)=0,"-",VLOOKUP(B767,Baza[[№]:[Profit]],22,0)),"")</f>
        <v/>
      </c>
      <c r="Y767" s="45" t="str">
        <f>IFERROR(VLOOKUP(B767,Baza[[№]:[Profit]],23,0),"")</f>
        <v/>
      </c>
      <c r="Z767" s="44" t="str">
        <f>IFERROR(VLOOKUP(B767,Baza[[№]:[AFS]],24,0),"")</f>
        <v/>
      </c>
      <c r="AA767" s="45" t="str">
        <f>IF(Таблица2[[#This Row],[Profit]]="","#Н/Д",SUM($Y$40:Y767))</f>
        <v>#Н/Д</v>
      </c>
      <c r="AB767" s="45" t="b">
        <f>IF(Таблица2[[#This Row],[Grafik]]="#Н/Д",FALSE,TRUE)</f>
        <v>0</v>
      </c>
    </row>
    <row r="768" spans="2:28" ht="11.1" hidden="1" customHeight="1" x14ac:dyDescent="0.25">
      <c r="B768"/>
      <c r="C768" s="41" t="str">
        <f>IFERROR(VLOOKUP(B768,Baza[[№]:[Profit]],2,0),"")</f>
        <v/>
      </c>
      <c r="D76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6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68" s="43" t="str">
        <f>IFERROR(VLOOKUP(B768,Baza[[№]:[Profit]],3,0),"")</f>
        <v/>
      </c>
      <c r="G768" s="43" t="str">
        <f>IFERROR(VLOOKUP(B768,Baza[[№]:[Profit]],4,0),"")</f>
        <v/>
      </c>
      <c r="H768" s="43" t="str">
        <f>IFERROR(VLOOKUP(B768,Baza[[№]:[Profit]],5,0),"")</f>
        <v/>
      </c>
      <c r="I768" s="46" t="str">
        <f>IFERROR(VLOOKUP(B768,Baza[[№]:[Profit]],6,0),"")</f>
        <v/>
      </c>
      <c r="J768" s="49" t="str">
        <f>IFERROR(VLOOKUP(B768,Baza[[№]:[Profit]],7,0),"")</f>
        <v/>
      </c>
      <c r="K768" s="43" t="str">
        <f>IFERROR(VLOOKUP(B768,Baza[[№]:[Profit]],8,0),"")</f>
        <v/>
      </c>
      <c r="L768" s="43" t="str">
        <f>IFERROR(VLOOKUP(B768,Baza[[№]:[Profit]],9,0),"")</f>
        <v/>
      </c>
      <c r="M768" s="43" t="str">
        <f>IFERROR(VLOOKUP(B768,Baza[[№]:[Profit]],10,0),"")</f>
        <v/>
      </c>
      <c r="N768" s="43" t="str">
        <f>IFERROR(IF(VLOOKUP(B768,Baza[[№]:[Profit]],11,0)=0,"-",VLOOKUP(B768,Baza[[№]:[Profit]],11,0)),"")</f>
        <v/>
      </c>
      <c r="O768" s="43" t="str">
        <f>IFERROR(IF(VLOOKUP(B768,Baza[[№]:[Profit]],12,0)=0,"-",VLOOKUP(B768,Baza[[№]:[Profit]],12,0)),"")</f>
        <v/>
      </c>
      <c r="P768" s="43" t="str">
        <f>IFERROR(IF(VLOOKUP(B768,Baza[[№]:[Profit]],13,0)=0,"-",VLOOKUP(B768,Baza[[№]:[Profit]],13,0)),"")</f>
        <v/>
      </c>
      <c r="Q768" s="43" t="str">
        <f>IFERROR(IF(VLOOKUP(B768,Baza[[№]:[Profit]],15,0)=0,"-",VLOOKUP(B768,Baza[[№]:[Profit]],15,0)),"")</f>
        <v/>
      </c>
      <c r="R768" s="43" t="str">
        <f>IFERROR(IF(VLOOKUP(B768,Baza[[№]:[Profit]],16,0)=0,"-",VLOOKUP(B768,Baza[[№]:[Profit]],16,0)),"")</f>
        <v/>
      </c>
      <c r="S768" s="43" t="str">
        <f>IFERROR(IF(VLOOKUP(B768,Baza[[№]:[Profit]],17,0)=0,"-",VLOOKUP(B768,Baza[[№]:[Profit]],17,0)),"")</f>
        <v/>
      </c>
      <c r="T768" s="43" t="str">
        <f>IFERROR(IF(VLOOKUP(B768,Baza[[№]:[Profit]],18,0)=0,"-",VLOOKUP(B768,Baza[[№]:[Profit]],18,0)),"")</f>
        <v/>
      </c>
      <c r="U768" s="41" t="str">
        <f>IFERROR(IF(VLOOKUP(B768,Baza[[№]:[Profit]],19,0)=0,"-",VLOOKUP(B768,Baza[[№]:[Profit]],19,0)),"")</f>
        <v/>
      </c>
      <c r="V768" s="41" t="str">
        <f>IFERROR(VLOOKUP(B768,Baza[[№]:[Profit]],20,0),"")</f>
        <v/>
      </c>
      <c r="W768" s="41" t="str">
        <f>IFERROR(IF(VLOOKUP(B768,Baza[[№]:[Profit]],21,0)=0,"-",VLOOKUP(B768,Baza[[№]:[Profit]],21,0)),"")</f>
        <v/>
      </c>
      <c r="X768" s="45" t="str">
        <f>IFERROR(IF(VLOOKUP(B768,Baza[[№]:[Profit]],22,0)=0,"-",VLOOKUP(B768,Baza[[№]:[Profit]],22,0)),"")</f>
        <v/>
      </c>
      <c r="Y768" s="45" t="str">
        <f>IFERROR(VLOOKUP(B768,Baza[[№]:[Profit]],23,0),"")</f>
        <v/>
      </c>
      <c r="Z768" s="44" t="str">
        <f>IFERROR(VLOOKUP(B768,Baza[[№]:[AFS]],24,0),"")</f>
        <v/>
      </c>
      <c r="AA768" s="45" t="str">
        <f>IF(Таблица2[[#This Row],[Profit]]="","#Н/Д",SUM($Y$40:Y768))</f>
        <v>#Н/Д</v>
      </c>
      <c r="AB768" s="45" t="b">
        <f>IF(Таблица2[[#This Row],[Grafik]]="#Н/Д",FALSE,TRUE)</f>
        <v>0</v>
      </c>
    </row>
    <row r="769" spans="2:28" ht="11.1" hidden="1" customHeight="1" x14ac:dyDescent="0.25">
      <c r="B769"/>
      <c r="C769" s="41" t="str">
        <f>IFERROR(VLOOKUP(B769,Baza[[№]:[Profit]],2,0),"")</f>
        <v/>
      </c>
      <c r="D76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6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69" s="43" t="str">
        <f>IFERROR(VLOOKUP(B769,Baza[[№]:[Profit]],3,0),"")</f>
        <v/>
      </c>
      <c r="G769" s="43" t="str">
        <f>IFERROR(VLOOKUP(B769,Baza[[№]:[Profit]],4,0),"")</f>
        <v/>
      </c>
      <c r="H769" s="43" t="str">
        <f>IFERROR(VLOOKUP(B769,Baza[[№]:[Profit]],5,0),"")</f>
        <v/>
      </c>
      <c r="I769" s="46" t="str">
        <f>IFERROR(VLOOKUP(B769,Baza[[№]:[Profit]],6,0),"")</f>
        <v/>
      </c>
      <c r="J769" s="49" t="str">
        <f>IFERROR(VLOOKUP(B769,Baza[[№]:[Profit]],7,0),"")</f>
        <v/>
      </c>
      <c r="K769" s="43" t="str">
        <f>IFERROR(VLOOKUP(B769,Baza[[№]:[Profit]],8,0),"")</f>
        <v/>
      </c>
      <c r="L769" s="43" t="str">
        <f>IFERROR(VLOOKUP(B769,Baza[[№]:[Profit]],9,0),"")</f>
        <v/>
      </c>
      <c r="M769" s="43" t="str">
        <f>IFERROR(VLOOKUP(B769,Baza[[№]:[Profit]],10,0),"")</f>
        <v/>
      </c>
      <c r="N769" s="43" t="str">
        <f>IFERROR(IF(VLOOKUP(B769,Baza[[№]:[Profit]],11,0)=0,"-",VLOOKUP(B769,Baza[[№]:[Profit]],11,0)),"")</f>
        <v/>
      </c>
      <c r="O769" s="43" t="str">
        <f>IFERROR(IF(VLOOKUP(B769,Baza[[№]:[Profit]],12,0)=0,"-",VLOOKUP(B769,Baza[[№]:[Profit]],12,0)),"")</f>
        <v/>
      </c>
      <c r="P769" s="43" t="str">
        <f>IFERROR(IF(VLOOKUP(B769,Baza[[№]:[Profit]],13,0)=0,"-",VLOOKUP(B769,Baza[[№]:[Profit]],13,0)),"")</f>
        <v/>
      </c>
      <c r="Q769" s="43" t="str">
        <f>IFERROR(IF(VLOOKUP(B769,Baza[[№]:[Profit]],15,0)=0,"-",VLOOKUP(B769,Baza[[№]:[Profit]],15,0)),"")</f>
        <v/>
      </c>
      <c r="R769" s="43" t="str">
        <f>IFERROR(IF(VLOOKUP(B769,Baza[[№]:[Profit]],16,0)=0,"-",VLOOKUP(B769,Baza[[№]:[Profit]],16,0)),"")</f>
        <v/>
      </c>
      <c r="S769" s="43" t="str">
        <f>IFERROR(IF(VLOOKUP(B769,Baza[[№]:[Profit]],17,0)=0,"-",VLOOKUP(B769,Baza[[№]:[Profit]],17,0)),"")</f>
        <v/>
      </c>
      <c r="T769" s="43" t="str">
        <f>IFERROR(IF(VLOOKUP(B769,Baza[[№]:[Profit]],18,0)=0,"-",VLOOKUP(B769,Baza[[№]:[Profit]],18,0)),"")</f>
        <v/>
      </c>
      <c r="U769" s="41" t="str">
        <f>IFERROR(IF(VLOOKUP(B769,Baza[[№]:[Profit]],19,0)=0,"-",VLOOKUP(B769,Baza[[№]:[Profit]],19,0)),"")</f>
        <v/>
      </c>
      <c r="V769" s="41" t="str">
        <f>IFERROR(VLOOKUP(B769,Baza[[№]:[Profit]],20,0),"")</f>
        <v/>
      </c>
      <c r="W769" s="41" t="str">
        <f>IFERROR(IF(VLOOKUP(B769,Baza[[№]:[Profit]],21,0)=0,"-",VLOOKUP(B769,Baza[[№]:[Profit]],21,0)),"")</f>
        <v/>
      </c>
      <c r="X769" s="45" t="str">
        <f>IFERROR(IF(VLOOKUP(B769,Baza[[№]:[Profit]],22,0)=0,"-",VLOOKUP(B769,Baza[[№]:[Profit]],22,0)),"")</f>
        <v/>
      </c>
      <c r="Y769" s="45" t="str">
        <f>IFERROR(VLOOKUP(B769,Baza[[№]:[Profit]],23,0),"")</f>
        <v/>
      </c>
      <c r="Z769" s="44" t="str">
        <f>IFERROR(VLOOKUP(B769,Baza[[№]:[AFS]],24,0),"")</f>
        <v/>
      </c>
      <c r="AA769" s="45" t="str">
        <f>IF(Таблица2[[#This Row],[Profit]]="","#Н/Д",SUM($Y$40:Y769))</f>
        <v>#Н/Д</v>
      </c>
      <c r="AB769" s="45" t="b">
        <f>IF(Таблица2[[#This Row],[Grafik]]="#Н/Д",FALSE,TRUE)</f>
        <v>0</v>
      </c>
    </row>
    <row r="770" spans="2:28" ht="11.1" hidden="1" customHeight="1" x14ac:dyDescent="0.25">
      <c r="B770"/>
      <c r="C770" s="41" t="str">
        <f>IFERROR(VLOOKUP(B770,Baza[[№]:[Profit]],2,0),"")</f>
        <v/>
      </c>
      <c r="D77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7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70" s="43" t="str">
        <f>IFERROR(VLOOKUP(B770,Baza[[№]:[Profit]],3,0),"")</f>
        <v/>
      </c>
      <c r="G770" s="43" t="str">
        <f>IFERROR(VLOOKUP(B770,Baza[[№]:[Profit]],4,0),"")</f>
        <v/>
      </c>
      <c r="H770" s="43" t="str">
        <f>IFERROR(VLOOKUP(B770,Baza[[№]:[Profit]],5,0),"")</f>
        <v/>
      </c>
      <c r="I770" s="46" t="str">
        <f>IFERROR(VLOOKUP(B770,Baza[[№]:[Profit]],6,0),"")</f>
        <v/>
      </c>
      <c r="J770" s="49" t="str">
        <f>IFERROR(VLOOKUP(B770,Baza[[№]:[Profit]],7,0),"")</f>
        <v/>
      </c>
      <c r="K770" s="43" t="str">
        <f>IFERROR(VLOOKUP(B770,Baza[[№]:[Profit]],8,0),"")</f>
        <v/>
      </c>
      <c r="L770" s="43" t="str">
        <f>IFERROR(VLOOKUP(B770,Baza[[№]:[Profit]],9,0),"")</f>
        <v/>
      </c>
      <c r="M770" s="43" t="str">
        <f>IFERROR(VLOOKUP(B770,Baza[[№]:[Profit]],10,0),"")</f>
        <v/>
      </c>
      <c r="N770" s="43" t="str">
        <f>IFERROR(IF(VLOOKUP(B770,Baza[[№]:[Profit]],11,0)=0,"-",VLOOKUP(B770,Baza[[№]:[Profit]],11,0)),"")</f>
        <v/>
      </c>
      <c r="O770" s="43" t="str">
        <f>IFERROR(IF(VLOOKUP(B770,Baza[[№]:[Profit]],12,0)=0,"-",VLOOKUP(B770,Baza[[№]:[Profit]],12,0)),"")</f>
        <v/>
      </c>
      <c r="P770" s="43" t="str">
        <f>IFERROR(IF(VLOOKUP(B770,Baza[[№]:[Profit]],13,0)=0,"-",VLOOKUP(B770,Baza[[№]:[Profit]],13,0)),"")</f>
        <v/>
      </c>
      <c r="Q770" s="43" t="str">
        <f>IFERROR(IF(VLOOKUP(B770,Baza[[№]:[Profit]],15,0)=0,"-",VLOOKUP(B770,Baza[[№]:[Profit]],15,0)),"")</f>
        <v/>
      </c>
      <c r="R770" s="43" t="str">
        <f>IFERROR(IF(VLOOKUP(B770,Baza[[№]:[Profit]],16,0)=0,"-",VLOOKUP(B770,Baza[[№]:[Profit]],16,0)),"")</f>
        <v/>
      </c>
      <c r="S770" s="43" t="str">
        <f>IFERROR(IF(VLOOKUP(B770,Baza[[№]:[Profit]],17,0)=0,"-",VLOOKUP(B770,Baza[[№]:[Profit]],17,0)),"")</f>
        <v/>
      </c>
      <c r="T770" s="43" t="str">
        <f>IFERROR(IF(VLOOKUP(B770,Baza[[№]:[Profit]],18,0)=0,"-",VLOOKUP(B770,Baza[[№]:[Profit]],18,0)),"")</f>
        <v/>
      </c>
      <c r="U770" s="41" t="str">
        <f>IFERROR(IF(VLOOKUP(B770,Baza[[№]:[Profit]],19,0)=0,"-",VLOOKUP(B770,Baza[[№]:[Profit]],19,0)),"")</f>
        <v/>
      </c>
      <c r="V770" s="41" t="str">
        <f>IFERROR(VLOOKUP(B770,Baza[[№]:[Profit]],20,0),"")</f>
        <v/>
      </c>
      <c r="W770" s="41" t="str">
        <f>IFERROR(IF(VLOOKUP(B770,Baza[[№]:[Profit]],21,0)=0,"-",VLOOKUP(B770,Baza[[№]:[Profit]],21,0)),"")</f>
        <v/>
      </c>
      <c r="X770" s="45" t="str">
        <f>IFERROR(IF(VLOOKUP(B770,Baza[[№]:[Profit]],22,0)=0,"-",VLOOKUP(B770,Baza[[№]:[Profit]],22,0)),"")</f>
        <v/>
      </c>
      <c r="Y770" s="45" t="str">
        <f>IFERROR(VLOOKUP(B770,Baza[[№]:[Profit]],23,0),"")</f>
        <v/>
      </c>
      <c r="Z770" s="44" t="str">
        <f>IFERROR(VLOOKUP(B770,Baza[[№]:[AFS]],24,0),"")</f>
        <v/>
      </c>
      <c r="AA770" s="45" t="str">
        <f>IF(Таблица2[[#This Row],[Profit]]="","#Н/Д",SUM($Y$40:Y770))</f>
        <v>#Н/Д</v>
      </c>
      <c r="AB770" s="45" t="b">
        <f>IF(Таблица2[[#This Row],[Grafik]]="#Н/Д",FALSE,TRUE)</f>
        <v>0</v>
      </c>
    </row>
    <row r="771" spans="2:28" ht="11.1" hidden="1" customHeight="1" x14ac:dyDescent="0.25">
      <c r="B771"/>
      <c r="C771" s="41" t="str">
        <f>IFERROR(VLOOKUP(B771,Baza[[№]:[Profit]],2,0),"")</f>
        <v/>
      </c>
      <c r="D77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7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71" s="43" t="str">
        <f>IFERROR(VLOOKUP(B771,Baza[[№]:[Profit]],3,0),"")</f>
        <v/>
      </c>
      <c r="G771" s="43" t="str">
        <f>IFERROR(VLOOKUP(B771,Baza[[№]:[Profit]],4,0),"")</f>
        <v/>
      </c>
      <c r="H771" s="43" t="str">
        <f>IFERROR(VLOOKUP(B771,Baza[[№]:[Profit]],5,0),"")</f>
        <v/>
      </c>
      <c r="I771" s="46" t="str">
        <f>IFERROR(VLOOKUP(B771,Baza[[№]:[Profit]],6,0),"")</f>
        <v/>
      </c>
      <c r="J771" s="49" t="str">
        <f>IFERROR(VLOOKUP(B771,Baza[[№]:[Profit]],7,0),"")</f>
        <v/>
      </c>
      <c r="K771" s="43" t="str">
        <f>IFERROR(VLOOKUP(B771,Baza[[№]:[Profit]],8,0),"")</f>
        <v/>
      </c>
      <c r="L771" s="43" t="str">
        <f>IFERROR(VLOOKUP(B771,Baza[[№]:[Profit]],9,0),"")</f>
        <v/>
      </c>
      <c r="M771" s="43" t="str">
        <f>IFERROR(VLOOKUP(B771,Baza[[№]:[Profit]],10,0),"")</f>
        <v/>
      </c>
      <c r="N771" s="43" t="str">
        <f>IFERROR(IF(VLOOKUP(B771,Baza[[№]:[Profit]],11,0)=0,"-",VLOOKUP(B771,Baza[[№]:[Profit]],11,0)),"")</f>
        <v/>
      </c>
      <c r="O771" s="43" t="str">
        <f>IFERROR(IF(VLOOKUP(B771,Baza[[№]:[Profit]],12,0)=0,"-",VLOOKUP(B771,Baza[[№]:[Profit]],12,0)),"")</f>
        <v/>
      </c>
      <c r="P771" s="43" t="str">
        <f>IFERROR(IF(VLOOKUP(B771,Baza[[№]:[Profit]],13,0)=0,"-",VLOOKUP(B771,Baza[[№]:[Profit]],13,0)),"")</f>
        <v/>
      </c>
      <c r="Q771" s="43" t="str">
        <f>IFERROR(IF(VLOOKUP(B771,Baza[[№]:[Profit]],15,0)=0,"-",VLOOKUP(B771,Baza[[№]:[Profit]],15,0)),"")</f>
        <v/>
      </c>
      <c r="R771" s="43" t="str">
        <f>IFERROR(IF(VLOOKUP(B771,Baza[[№]:[Profit]],16,0)=0,"-",VLOOKUP(B771,Baza[[№]:[Profit]],16,0)),"")</f>
        <v/>
      </c>
      <c r="S771" s="43" t="str">
        <f>IFERROR(IF(VLOOKUP(B771,Baza[[№]:[Profit]],17,0)=0,"-",VLOOKUP(B771,Baza[[№]:[Profit]],17,0)),"")</f>
        <v/>
      </c>
      <c r="T771" s="43" t="str">
        <f>IFERROR(IF(VLOOKUP(B771,Baza[[№]:[Profit]],18,0)=0,"-",VLOOKUP(B771,Baza[[№]:[Profit]],18,0)),"")</f>
        <v/>
      </c>
      <c r="U771" s="41" t="str">
        <f>IFERROR(IF(VLOOKUP(B771,Baza[[№]:[Profit]],19,0)=0,"-",VLOOKUP(B771,Baza[[№]:[Profit]],19,0)),"")</f>
        <v/>
      </c>
      <c r="V771" s="41" t="str">
        <f>IFERROR(VLOOKUP(B771,Baza[[№]:[Profit]],20,0),"")</f>
        <v/>
      </c>
      <c r="W771" s="41" t="str">
        <f>IFERROR(IF(VLOOKUP(B771,Baza[[№]:[Profit]],21,0)=0,"-",VLOOKUP(B771,Baza[[№]:[Profit]],21,0)),"")</f>
        <v/>
      </c>
      <c r="X771" s="45" t="str">
        <f>IFERROR(IF(VLOOKUP(B771,Baza[[№]:[Profit]],22,0)=0,"-",VLOOKUP(B771,Baza[[№]:[Profit]],22,0)),"")</f>
        <v/>
      </c>
      <c r="Y771" s="45" t="str">
        <f>IFERROR(VLOOKUP(B771,Baza[[№]:[Profit]],23,0),"")</f>
        <v/>
      </c>
      <c r="Z771" s="44" t="str">
        <f>IFERROR(VLOOKUP(B771,Baza[[№]:[AFS]],24,0),"")</f>
        <v/>
      </c>
      <c r="AA771" s="45" t="str">
        <f>IF(Таблица2[[#This Row],[Profit]]="","#Н/Д",SUM($Y$40:Y771))</f>
        <v>#Н/Д</v>
      </c>
      <c r="AB771" s="45" t="b">
        <f>IF(Таблица2[[#This Row],[Grafik]]="#Н/Д",FALSE,TRUE)</f>
        <v>0</v>
      </c>
    </row>
    <row r="772" spans="2:28" ht="11.1" hidden="1" customHeight="1" x14ac:dyDescent="0.25">
      <c r="B772"/>
      <c r="C772" s="41" t="str">
        <f>IFERROR(VLOOKUP(B772,Baza[[№]:[Profit]],2,0),"")</f>
        <v/>
      </c>
      <c r="D77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7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72" s="43" t="str">
        <f>IFERROR(VLOOKUP(B772,Baza[[№]:[Profit]],3,0),"")</f>
        <v/>
      </c>
      <c r="G772" s="43" t="str">
        <f>IFERROR(VLOOKUP(B772,Baza[[№]:[Profit]],4,0),"")</f>
        <v/>
      </c>
      <c r="H772" s="43" t="str">
        <f>IFERROR(VLOOKUP(B772,Baza[[№]:[Profit]],5,0),"")</f>
        <v/>
      </c>
      <c r="I772" s="46" t="str">
        <f>IFERROR(VLOOKUP(B772,Baza[[№]:[Profit]],6,0),"")</f>
        <v/>
      </c>
      <c r="J772" s="49" t="str">
        <f>IFERROR(VLOOKUP(B772,Baza[[№]:[Profit]],7,0),"")</f>
        <v/>
      </c>
      <c r="K772" s="43" t="str">
        <f>IFERROR(VLOOKUP(B772,Baza[[№]:[Profit]],8,0),"")</f>
        <v/>
      </c>
      <c r="L772" s="43" t="str">
        <f>IFERROR(VLOOKUP(B772,Baza[[№]:[Profit]],9,0),"")</f>
        <v/>
      </c>
      <c r="M772" s="43" t="str">
        <f>IFERROR(VLOOKUP(B772,Baza[[№]:[Profit]],10,0),"")</f>
        <v/>
      </c>
      <c r="N772" s="43" t="str">
        <f>IFERROR(IF(VLOOKUP(B772,Baza[[№]:[Profit]],11,0)=0,"-",VLOOKUP(B772,Baza[[№]:[Profit]],11,0)),"")</f>
        <v/>
      </c>
      <c r="O772" s="43" t="str">
        <f>IFERROR(IF(VLOOKUP(B772,Baza[[№]:[Profit]],12,0)=0,"-",VLOOKUP(B772,Baza[[№]:[Profit]],12,0)),"")</f>
        <v/>
      </c>
      <c r="P772" s="43" t="str">
        <f>IFERROR(IF(VLOOKUP(B772,Baza[[№]:[Profit]],13,0)=0,"-",VLOOKUP(B772,Baza[[№]:[Profit]],13,0)),"")</f>
        <v/>
      </c>
      <c r="Q772" s="43" t="str">
        <f>IFERROR(IF(VLOOKUP(B772,Baza[[№]:[Profit]],15,0)=0,"-",VLOOKUP(B772,Baza[[№]:[Profit]],15,0)),"")</f>
        <v/>
      </c>
      <c r="R772" s="43" t="str">
        <f>IFERROR(IF(VLOOKUP(B772,Baza[[№]:[Profit]],16,0)=0,"-",VLOOKUP(B772,Baza[[№]:[Profit]],16,0)),"")</f>
        <v/>
      </c>
      <c r="S772" s="43" t="str">
        <f>IFERROR(IF(VLOOKUP(B772,Baza[[№]:[Profit]],17,0)=0,"-",VLOOKUP(B772,Baza[[№]:[Profit]],17,0)),"")</f>
        <v/>
      </c>
      <c r="T772" s="43" t="str">
        <f>IFERROR(IF(VLOOKUP(B772,Baza[[№]:[Profit]],18,0)=0,"-",VLOOKUP(B772,Baza[[№]:[Profit]],18,0)),"")</f>
        <v/>
      </c>
      <c r="U772" s="41" t="str">
        <f>IFERROR(IF(VLOOKUP(B772,Baza[[№]:[Profit]],19,0)=0,"-",VLOOKUP(B772,Baza[[№]:[Profit]],19,0)),"")</f>
        <v/>
      </c>
      <c r="V772" s="41" t="str">
        <f>IFERROR(VLOOKUP(B772,Baza[[№]:[Profit]],20,0),"")</f>
        <v/>
      </c>
      <c r="W772" s="41" t="str">
        <f>IFERROR(IF(VLOOKUP(B772,Baza[[№]:[Profit]],21,0)=0,"-",VLOOKUP(B772,Baza[[№]:[Profit]],21,0)),"")</f>
        <v/>
      </c>
      <c r="X772" s="45" t="str">
        <f>IFERROR(IF(VLOOKUP(B772,Baza[[№]:[Profit]],22,0)=0,"-",VLOOKUP(B772,Baza[[№]:[Profit]],22,0)),"")</f>
        <v/>
      </c>
      <c r="Y772" s="45" t="str">
        <f>IFERROR(VLOOKUP(B772,Baza[[№]:[Profit]],23,0),"")</f>
        <v/>
      </c>
      <c r="Z772" s="44" t="str">
        <f>IFERROR(VLOOKUP(B772,Baza[[№]:[AFS]],24,0),"")</f>
        <v/>
      </c>
      <c r="AA772" s="45" t="str">
        <f>IF(Таблица2[[#This Row],[Profit]]="","#Н/Д",SUM($Y$40:Y772))</f>
        <v>#Н/Д</v>
      </c>
      <c r="AB772" s="45" t="b">
        <f>IF(Таблица2[[#This Row],[Grafik]]="#Н/Д",FALSE,TRUE)</f>
        <v>0</v>
      </c>
    </row>
    <row r="773" spans="2:28" ht="11.1" hidden="1" customHeight="1" x14ac:dyDescent="0.25">
      <c r="B773"/>
      <c r="C773" s="41" t="str">
        <f>IFERROR(VLOOKUP(B773,Baza[[№]:[Profit]],2,0),"")</f>
        <v/>
      </c>
      <c r="D77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7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73" s="43" t="str">
        <f>IFERROR(VLOOKUP(B773,Baza[[№]:[Profit]],3,0),"")</f>
        <v/>
      </c>
      <c r="G773" s="43" t="str">
        <f>IFERROR(VLOOKUP(B773,Baza[[№]:[Profit]],4,0),"")</f>
        <v/>
      </c>
      <c r="H773" s="43" t="str">
        <f>IFERROR(VLOOKUP(B773,Baza[[№]:[Profit]],5,0),"")</f>
        <v/>
      </c>
      <c r="I773" s="46" t="str">
        <f>IFERROR(VLOOKUP(B773,Baza[[№]:[Profit]],6,0),"")</f>
        <v/>
      </c>
      <c r="J773" s="49" t="str">
        <f>IFERROR(VLOOKUP(B773,Baza[[№]:[Profit]],7,0),"")</f>
        <v/>
      </c>
      <c r="K773" s="43" t="str">
        <f>IFERROR(VLOOKUP(B773,Baza[[№]:[Profit]],8,0),"")</f>
        <v/>
      </c>
      <c r="L773" s="43" t="str">
        <f>IFERROR(VLOOKUP(B773,Baza[[№]:[Profit]],9,0),"")</f>
        <v/>
      </c>
      <c r="M773" s="43" t="str">
        <f>IFERROR(VLOOKUP(B773,Baza[[№]:[Profit]],10,0),"")</f>
        <v/>
      </c>
      <c r="N773" s="43" t="str">
        <f>IFERROR(IF(VLOOKUP(B773,Baza[[№]:[Profit]],11,0)=0,"-",VLOOKUP(B773,Baza[[№]:[Profit]],11,0)),"")</f>
        <v/>
      </c>
      <c r="O773" s="43" t="str">
        <f>IFERROR(IF(VLOOKUP(B773,Baza[[№]:[Profit]],12,0)=0,"-",VLOOKUP(B773,Baza[[№]:[Profit]],12,0)),"")</f>
        <v/>
      </c>
      <c r="P773" s="43" t="str">
        <f>IFERROR(IF(VLOOKUP(B773,Baza[[№]:[Profit]],13,0)=0,"-",VLOOKUP(B773,Baza[[№]:[Profit]],13,0)),"")</f>
        <v/>
      </c>
      <c r="Q773" s="43" t="str">
        <f>IFERROR(IF(VLOOKUP(B773,Baza[[№]:[Profit]],15,0)=0,"-",VLOOKUP(B773,Baza[[№]:[Profit]],15,0)),"")</f>
        <v/>
      </c>
      <c r="R773" s="43" t="str">
        <f>IFERROR(IF(VLOOKUP(B773,Baza[[№]:[Profit]],16,0)=0,"-",VLOOKUP(B773,Baza[[№]:[Profit]],16,0)),"")</f>
        <v/>
      </c>
      <c r="S773" s="43" t="str">
        <f>IFERROR(IF(VLOOKUP(B773,Baza[[№]:[Profit]],17,0)=0,"-",VLOOKUP(B773,Baza[[№]:[Profit]],17,0)),"")</f>
        <v/>
      </c>
      <c r="T773" s="43" t="str">
        <f>IFERROR(IF(VLOOKUP(B773,Baza[[№]:[Profit]],18,0)=0,"-",VLOOKUP(B773,Baza[[№]:[Profit]],18,0)),"")</f>
        <v/>
      </c>
      <c r="U773" s="41" t="str">
        <f>IFERROR(IF(VLOOKUP(B773,Baza[[№]:[Profit]],19,0)=0,"-",VLOOKUP(B773,Baza[[№]:[Profit]],19,0)),"")</f>
        <v/>
      </c>
      <c r="V773" s="41" t="str">
        <f>IFERROR(VLOOKUP(B773,Baza[[№]:[Profit]],20,0),"")</f>
        <v/>
      </c>
      <c r="W773" s="41" t="str">
        <f>IFERROR(IF(VLOOKUP(B773,Baza[[№]:[Profit]],21,0)=0,"-",VLOOKUP(B773,Baza[[№]:[Profit]],21,0)),"")</f>
        <v/>
      </c>
      <c r="X773" s="45" t="str">
        <f>IFERROR(IF(VLOOKUP(B773,Baza[[№]:[Profit]],22,0)=0,"-",VLOOKUP(B773,Baza[[№]:[Profit]],22,0)),"")</f>
        <v/>
      </c>
      <c r="Y773" s="45" t="str">
        <f>IFERROR(VLOOKUP(B773,Baza[[№]:[Profit]],23,0),"")</f>
        <v/>
      </c>
      <c r="Z773" s="44" t="str">
        <f>IFERROR(VLOOKUP(B773,Baza[[№]:[AFS]],24,0),"")</f>
        <v/>
      </c>
      <c r="AA773" s="45" t="str">
        <f>IF(Таблица2[[#This Row],[Profit]]="","#Н/Д",SUM($Y$40:Y773))</f>
        <v>#Н/Д</v>
      </c>
      <c r="AB773" s="45" t="b">
        <f>IF(Таблица2[[#This Row],[Grafik]]="#Н/Д",FALSE,TRUE)</f>
        <v>0</v>
      </c>
    </row>
    <row r="774" spans="2:28" ht="11.1" hidden="1" customHeight="1" x14ac:dyDescent="0.25">
      <c r="B774"/>
      <c r="C774" s="41" t="str">
        <f>IFERROR(VLOOKUP(B774,Baza[[№]:[Profit]],2,0),"")</f>
        <v/>
      </c>
      <c r="D77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7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74" s="43" t="str">
        <f>IFERROR(VLOOKUP(B774,Baza[[№]:[Profit]],3,0),"")</f>
        <v/>
      </c>
      <c r="G774" s="43" t="str">
        <f>IFERROR(VLOOKUP(B774,Baza[[№]:[Profit]],4,0),"")</f>
        <v/>
      </c>
      <c r="H774" s="43" t="str">
        <f>IFERROR(VLOOKUP(B774,Baza[[№]:[Profit]],5,0),"")</f>
        <v/>
      </c>
      <c r="I774" s="46" t="str">
        <f>IFERROR(VLOOKUP(B774,Baza[[№]:[Profit]],6,0),"")</f>
        <v/>
      </c>
      <c r="J774" s="49" t="str">
        <f>IFERROR(VLOOKUP(B774,Baza[[№]:[Profit]],7,0),"")</f>
        <v/>
      </c>
      <c r="K774" s="43" t="str">
        <f>IFERROR(VLOOKUP(B774,Baza[[№]:[Profit]],8,0),"")</f>
        <v/>
      </c>
      <c r="L774" s="43" t="str">
        <f>IFERROR(VLOOKUP(B774,Baza[[№]:[Profit]],9,0),"")</f>
        <v/>
      </c>
      <c r="M774" s="43" t="str">
        <f>IFERROR(VLOOKUP(B774,Baza[[№]:[Profit]],10,0),"")</f>
        <v/>
      </c>
      <c r="N774" s="43" t="str">
        <f>IFERROR(IF(VLOOKUP(B774,Baza[[№]:[Profit]],11,0)=0,"-",VLOOKUP(B774,Baza[[№]:[Profit]],11,0)),"")</f>
        <v/>
      </c>
      <c r="O774" s="43" t="str">
        <f>IFERROR(IF(VLOOKUP(B774,Baza[[№]:[Profit]],12,0)=0,"-",VLOOKUP(B774,Baza[[№]:[Profit]],12,0)),"")</f>
        <v/>
      </c>
      <c r="P774" s="43" t="str">
        <f>IFERROR(IF(VLOOKUP(B774,Baza[[№]:[Profit]],13,0)=0,"-",VLOOKUP(B774,Baza[[№]:[Profit]],13,0)),"")</f>
        <v/>
      </c>
      <c r="Q774" s="43" t="str">
        <f>IFERROR(IF(VLOOKUP(B774,Baza[[№]:[Profit]],15,0)=0,"-",VLOOKUP(B774,Baza[[№]:[Profit]],15,0)),"")</f>
        <v/>
      </c>
      <c r="R774" s="43" t="str">
        <f>IFERROR(IF(VLOOKUP(B774,Baza[[№]:[Profit]],16,0)=0,"-",VLOOKUP(B774,Baza[[№]:[Profit]],16,0)),"")</f>
        <v/>
      </c>
      <c r="S774" s="43" t="str">
        <f>IFERROR(IF(VLOOKUP(B774,Baza[[№]:[Profit]],17,0)=0,"-",VLOOKUP(B774,Baza[[№]:[Profit]],17,0)),"")</f>
        <v/>
      </c>
      <c r="T774" s="43" t="str">
        <f>IFERROR(IF(VLOOKUP(B774,Baza[[№]:[Profit]],18,0)=0,"-",VLOOKUP(B774,Baza[[№]:[Profit]],18,0)),"")</f>
        <v/>
      </c>
      <c r="U774" s="41" t="str">
        <f>IFERROR(IF(VLOOKUP(B774,Baza[[№]:[Profit]],19,0)=0,"-",VLOOKUP(B774,Baza[[№]:[Profit]],19,0)),"")</f>
        <v/>
      </c>
      <c r="V774" s="41" t="str">
        <f>IFERROR(VLOOKUP(B774,Baza[[№]:[Profit]],20,0),"")</f>
        <v/>
      </c>
      <c r="W774" s="41" t="str">
        <f>IFERROR(IF(VLOOKUP(B774,Baza[[№]:[Profit]],21,0)=0,"-",VLOOKUP(B774,Baza[[№]:[Profit]],21,0)),"")</f>
        <v/>
      </c>
      <c r="X774" s="45" t="str">
        <f>IFERROR(IF(VLOOKUP(B774,Baza[[№]:[Profit]],22,0)=0,"-",VLOOKUP(B774,Baza[[№]:[Profit]],22,0)),"")</f>
        <v/>
      </c>
      <c r="Y774" s="45" t="str">
        <f>IFERROR(VLOOKUP(B774,Baza[[№]:[Profit]],23,0),"")</f>
        <v/>
      </c>
      <c r="Z774" s="44" t="str">
        <f>IFERROR(VLOOKUP(B774,Baza[[№]:[AFS]],24,0),"")</f>
        <v/>
      </c>
      <c r="AA774" s="45" t="str">
        <f>IF(Таблица2[[#This Row],[Profit]]="","#Н/Д",SUM($Y$40:Y774))</f>
        <v>#Н/Д</v>
      </c>
      <c r="AB774" s="45" t="b">
        <f>IF(Таблица2[[#This Row],[Grafik]]="#Н/Д",FALSE,TRUE)</f>
        <v>0</v>
      </c>
    </row>
    <row r="775" spans="2:28" ht="11.1" hidden="1" customHeight="1" x14ac:dyDescent="0.25">
      <c r="B775"/>
      <c r="C775" s="41" t="str">
        <f>IFERROR(VLOOKUP(B775,Baza[[№]:[Profit]],2,0),"")</f>
        <v/>
      </c>
      <c r="D77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7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75" s="43" t="str">
        <f>IFERROR(VLOOKUP(B775,Baza[[№]:[Profit]],3,0),"")</f>
        <v/>
      </c>
      <c r="G775" s="43" t="str">
        <f>IFERROR(VLOOKUP(B775,Baza[[№]:[Profit]],4,0),"")</f>
        <v/>
      </c>
      <c r="H775" s="43" t="str">
        <f>IFERROR(VLOOKUP(B775,Baza[[№]:[Profit]],5,0),"")</f>
        <v/>
      </c>
      <c r="I775" s="46" t="str">
        <f>IFERROR(VLOOKUP(B775,Baza[[№]:[Profit]],6,0),"")</f>
        <v/>
      </c>
      <c r="J775" s="49" t="str">
        <f>IFERROR(VLOOKUP(B775,Baza[[№]:[Profit]],7,0),"")</f>
        <v/>
      </c>
      <c r="K775" s="43" t="str">
        <f>IFERROR(VLOOKUP(B775,Baza[[№]:[Profit]],8,0),"")</f>
        <v/>
      </c>
      <c r="L775" s="43" t="str">
        <f>IFERROR(VLOOKUP(B775,Baza[[№]:[Profit]],9,0),"")</f>
        <v/>
      </c>
      <c r="M775" s="43" t="str">
        <f>IFERROR(VLOOKUP(B775,Baza[[№]:[Profit]],10,0),"")</f>
        <v/>
      </c>
      <c r="N775" s="43" t="str">
        <f>IFERROR(IF(VLOOKUP(B775,Baza[[№]:[Profit]],11,0)=0,"-",VLOOKUP(B775,Baza[[№]:[Profit]],11,0)),"")</f>
        <v/>
      </c>
      <c r="O775" s="43" t="str">
        <f>IFERROR(IF(VLOOKUP(B775,Baza[[№]:[Profit]],12,0)=0,"-",VLOOKUP(B775,Baza[[№]:[Profit]],12,0)),"")</f>
        <v/>
      </c>
      <c r="P775" s="43" t="str">
        <f>IFERROR(IF(VLOOKUP(B775,Baza[[№]:[Profit]],13,0)=0,"-",VLOOKUP(B775,Baza[[№]:[Profit]],13,0)),"")</f>
        <v/>
      </c>
      <c r="Q775" s="43" t="str">
        <f>IFERROR(IF(VLOOKUP(B775,Baza[[№]:[Profit]],15,0)=0,"-",VLOOKUP(B775,Baza[[№]:[Profit]],15,0)),"")</f>
        <v/>
      </c>
      <c r="R775" s="43" t="str">
        <f>IFERROR(IF(VLOOKUP(B775,Baza[[№]:[Profit]],16,0)=0,"-",VLOOKUP(B775,Baza[[№]:[Profit]],16,0)),"")</f>
        <v/>
      </c>
      <c r="S775" s="43" t="str">
        <f>IFERROR(IF(VLOOKUP(B775,Baza[[№]:[Profit]],17,0)=0,"-",VLOOKUP(B775,Baza[[№]:[Profit]],17,0)),"")</f>
        <v/>
      </c>
      <c r="T775" s="43" t="str">
        <f>IFERROR(IF(VLOOKUP(B775,Baza[[№]:[Profit]],18,0)=0,"-",VLOOKUP(B775,Baza[[№]:[Profit]],18,0)),"")</f>
        <v/>
      </c>
      <c r="U775" s="41" t="str">
        <f>IFERROR(IF(VLOOKUP(B775,Baza[[№]:[Profit]],19,0)=0,"-",VLOOKUP(B775,Baza[[№]:[Profit]],19,0)),"")</f>
        <v/>
      </c>
      <c r="V775" s="41" t="str">
        <f>IFERROR(VLOOKUP(B775,Baza[[№]:[Profit]],20,0),"")</f>
        <v/>
      </c>
      <c r="W775" s="41" t="str">
        <f>IFERROR(IF(VLOOKUP(B775,Baza[[№]:[Profit]],21,0)=0,"-",VLOOKUP(B775,Baza[[№]:[Profit]],21,0)),"")</f>
        <v/>
      </c>
      <c r="X775" s="45" t="str">
        <f>IFERROR(IF(VLOOKUP(B775,Baza[[№]:[Profit]],22,0)=0,"-",VLOOKUP(B775,Baza[[№]:[Profit]],22,0)),"")</f>
        <v/>
      </c>
      <c r="Y775" s="45" t="str">
        <f>IFERROR(VLOOKUP(B775,Baza[[№]:[Profit]],23,0),"")</f>
        <v/>
      </c>
      <c r="Z775" s="44" t="str">
        <f>IFERROR(VLOOKUP(B775,Baza[[№]:[AFS]],24,0),"")</f>
        <v/>
      </c>
      <c r="AA775" s="45" t="str">
        <f>IF(Таблица2[[#This Row],[Profit]]="","#Н/Д",SUM($Y$40:Y775))</f>
        <v>#Н/Д</v>
      </c>
      <c r="AB775" s="45" t="b">
        <f>IF(Таблица2[[#This Row],[Grafik]]="#Н/Д",FALSE,TRUE)</f>
        <v>0</v>
      </c>
    </row>
    <row r="776" spans="2:28" ht="11.1" hidden="1" customHeight="1" x14ac:dyDescent="0.25">
      <c r="B776"/>
      <c r="C776" s="41" t="str">
        <f>IFERROR(VLOOKUP(B776,Baza[[№]:[Profit]],2,0),"")</f>
        <v/>
      </c>
      <c r="D77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7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76" s="43" t="str">
        <f>IFERROR(VLOOKUP(B776,Baza[[№]:[Profit]],3,0),"")</f>
        <v/>
      </c>
      <c r="G776" s="43" t="str">
        <f>IFERROR(VLOOKUP(B776,Baza[[№]:[Profit]],4,0),"")</f>
        <v/>
      </c>
      <c r="H776" s="43" t="str">
        <f>IFERROR(VLOOKUP(B776,Baza[[№]:[Profit]],5,0),"")</f>
        <v/>
      </c>
      <c r="I776" s="46" t="str">
        <f>IFERROR(VLOOKUP(B776,Baza[[№]:[Profit]],6,0),"")</f>
        <v/>
      </c>
      <c r="J776" s="49" t="str">
        <f>IFERROR(VLOOKUP(B776,Baza[[№]:[Profit]],7,0),"")</f>
        <v/>
      </c>
      <c r="K776" s="43" t="str">
        <f>IFERROR(VLOOKUP(B776,Baza[[№]:[Profit]],8,0),"")</f>
        <v/>
      </c>
      <c r="L776" s="43" t="str">
        <f>IFERROR(VLOOKUP(B776,Baza[[№]:[Profit]],9,0),"")</f>
        <v/>
      </c>
      <c r="M776" s="43" t="str">
        <f>IFERROR(VLOOKUP(B776,Baza[[№]:[Profit]],10,0),"")</f>
        <v/>
      </c>
      <c r="N776" s="43" t="str">
        <f>IFERROR(IF(VLOOKUP(B776,Baza[[№]:[Profit]],11,0)=0,"-",VLOOKUP(B776,Baza[[№]:[Profit]],11,0)),"")</f>
        <v/>
      </c>
      <c r="O776" s="43" t="str">
        <f>IFERROR(IF(VLOOKUP(B776,Baza[[№]:[Profit]],12,0)=0,"-",VLOOKUP(B776,Baza[[№]:[Profit]],12,0)),"")</f>
        <v/>
      </c>
      <c r="P776" s="43" t="str">
        <f>IFERROR(IF(VLOOKUP(B776,Baza[[№]:[Profit]],13,0)=0,"-",VLOOKUP(B776,Baza[[№]:[Profit]],13,0)),"")</f>
        <v/>
      </c>
      <c r="Q776" s="43" t="str">
        <f>IFERROR(IF(VLOOKUP(B776,Baza[[№]:[Profit]],15,0)=0,"-",VLOOKUP(B776,Baza[[№]:[Profit]],15,0)),"")</f>
        <v/>
      </c>
      <c r="R776" s="43" t="str">
        <f>IFERROR(IF(VLOOKUP(B776,Baza[[№]:[Profit]],16,0)=0,"-",VLOOKUP(B776,Baza[[№]:[Profit]],16,0)),"")</f>
        <v/>
      </c>
      <c r="S776" s="43" t="str">
        <f>IFERROR(IF(VLOOKUP(B776,Baza[[№]:[Profit]],17,0)=0,"-",VLOOKUP(B776,Baza[[№]:[Profit]],17,0)),"")</f>
        <v/>
      </c>
      <c r="T776" s="43" t="str">
        <f>IFERROR(IF(VLOOKUP(B776,Baza[[№]:[Profit]],18,0)=0,"-",VLOOKUP(B776,Baza[[№]:[Profit]],18,0)),"")</f>
        <v/>
      </c>
      <c r="U776" s="41" t="str">
        <f>IFERROR(IF(VLOOKUP(B776,Baza[[№]:[Profit]],19,0)=0,"-",VLOOKUP(B776,Baza[[№]:[Profit]],19,0)),"")</f>
        <v/>
      </c>
      <c r="V776" s="41" t="str">
        <f>IFERROR(VLOOKUP(B776,Baza[[№]:[Profit]],20,0),"")</f>
        <v/>
      </c>
      <c r="W776" s="41" t="str">
        <f>IFERROR(IF(VLOOKUP(B776,Baza[[№]:[Profit]],21,0)=0,"-",VLOOKUP(B776,Baza[[№]:[Profit]],21,0)),"")</f>
        <v/>
      </c>
      <c r="X776" s="45" t="str">
        <f>IFERROR(IF(VLOOKUP(B776,Baza[[№]:[Profit]],22,0)=0,"-",VLOOKUP(B776,Baza[[№]:[Profit]],22,0)),"")</f>
        <v/>
      </c>
      <c r="Y776" s="45" t="str">
        <f>IFERROR(VLOOKUP(B776,Baza[[№]:[Profit]],23,0),"")</f>
        <v/>
      </c>
      <c r="Z776" s="44" t="str">
        <f>IFERROR(VLOOKUP(B776,Baza[[№]:[AFS]],24,0),"")</f>
        <v/>
      </c>
      <c r="AA776" s="45" t="str">
        <f>IF(Таблица2[[#This Row],[Profit]]="","#Н/Д",SUM($Y$40:Y776))</f>
        <v>#Н/Д</v>
      </c>
      <c r="AB776" s="45" t="b">
        <f>IF(Таблица2[[#This Row],[Grafik]]="#Н/Д",FALSE,TRUE)</f>
        <v>0</v>
      </c>
    </row>
    <row r="777" spans="2:28" ht="11.1" hidden="1" customHeight="1" x14ac:dyDescent="0.25">
      <c r="B777"/>
      <c r="C777" s="41" t="str">
        <f>IFERROR(VLOOKUP(B777,Baza[[№]:[Profit]],2,0),"")</f>
        <v/>
      </c>
      <c r="D77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7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77" s="43" t="str">
        <f>IFERROR(VLOOKUP(B777,Baza[[№]:[Profit]],3,0),"")</f>
        <v/>
      </c>
      <c r="G777" s="43" t="str">
        <f>IFERROR(VLOOKUP(B777,Baza[[№]:[Profit]],4,0),"")</f>
        <v/>
      </c>
      <c r="H777" s="43" t="str">
        <f>IFERROR(VLOOKUP(B777,Baza[[№]:[Profit]],5,0),"")</f>
        <v/>
      </c>
      <c r="I777" s="46" t="str">
        <f>IFERROR(VLOOKUP(B777,Baza[[№]:[Profit]],6,0),"")</f>
        <v/>
      </c>
      <c r="J777" s="49" t="str">
        <f>IFERROR(VLOOKUP(B777,Baza[[№]:[Profit]],7,0),"")</f>
        <v/>
      </c>
      <c r="K777" s="43" t="str">
        <f>IFERROR(VLOOKUP(B777,Baza[[№]:[Profit]],8,0),"")</f>
        <v/>
      </c>
      <c r="L777" s="43" t="str">
        <f>IFERROR(VLOOKUP(B777,Baza[[№]:[Profit]],9,0),"")</f>
        <v/>
      </c>
      <c r="M777" s="43" t="str">
        <f>IFERROR(VLOOKUP(B777,Baza[[№]:[Profit]],10,0),"")</f>
        <v/>
      </c>
      <c r="N777" s="43" t="str">
        <f>IFERROR(IF(VLOOKUP(B777,Baza[[№]:[Profit]],11,0)=0,"-",VLOOKUP(B777,Baza[[№]:[Profit]],11,0)),"")</f>
        <v/>
      </c>
      <c r="O777" s="43" t="str">
        <f>IFERROR(IF(VLOOKUP(B777,Baza[[№]:[Profit]],12,0)=0,"-",VLOOKUP(B777,Baza[[№]:[Profit]],12,0)),"")</f>
        <v/>
      </c>
      <c r="P777" s="43" t="str">
        <f>IFERROR(IF(VLOOKUP(B777,Baza[[№]:[Profit]],13,0)=0,"-",VLOOKUP(B777,Baza[[№]:[Profit]],13,0)),"")</f>
        <v/>
      </c>
      <c r="Q777" s="43" t="str">
        <f>IFERROR(IF(VLOOKUP(B777,Baza[[№]:[Profit]],15,0)=0,"-",VLOOKUP(B777,Baza[[№]:[Profit]],15,0)),"")</f>
        <v/>
      </c>
      <c r="R777" s="43" t="str">
        <f>IFERROR(IF(VLOOKUP(B777,Baza[[№]:[Profit]],16,0)=0,"-",VLOOKUP(B777,Baza[[№]:[Profit]],16,0)),"")</f>
        <v/>
      </c>
      <c r="S777" s="43" t="str">
        <f>IFERROR(IF(VLOOKUP(B777,Baza[[№]:[Profit]],17,0)=0,"-",VLOOKUP(B777,Baza[[№]:[Profit]],17,0)),"")</f>
        <v/>
      </c>
      <c r="T777" s="43" t="str">
        <f>IFERROR(IF(VLOOKUP(B777,Baza[[№]:[Profit]],18,0)=0,"-",VLOOKUP(B777,Baza[[№]:[Profit]],18,0)),"")</f>
        <v/>
      </c>
      <c r="U777" s="41" t="str">
        <f>IFERROR(IF(VLOOKUP(B777,Baza[[№]:[Profit]],19,0)=0,"-",VLOOKUP(B777,Baza[[№]:[Profit]],19,0)),"")</f>
        <v/>
      </c>
      <c r="V777" s="41" t="str">
        <f>IFERROR(VLOOKUP(B777,Baza[[№]:[Profit]],20,0),"")</f>
        <v/>
      </c>
      <c r="W777" s="41" t="str">
        <f>IFERROR(IF(VLOOKUP(B777,Baza[[№]:[Profit]],21,0)=0,"-",VLOOKUP(B777,Baza[[№]:[Profit]],21,0)),"")</f>
        <v/>
      </c>
      <c r="X777" s="45" t="str">
        <f>IFERROR(IF(VLOOKUP(B777,Baza[[№]:[Profit]],22,0)=0,"-",VLOOKUP(B777,Baza[[№]:[Profit]],22,0)),"")</f>
        <v/>
      </c>
      <c r="Y777" s="45" t="str">
        <f>IFERROR(VLOOKUP(B777,Baza[[№]:[Profit]],23,0),"")</f>
        <v/>
      </c>
      <c r="Z777" s="44" t="str">
        <f>IFERROR(VLOOKUP(B777,Baza[[№]:[AFS]],24,0),"")</f>
        <v/>
      </c>
      <c r="AA777" s="45" t="str">
        <f>IF(Таблица2[[#This Row],[Profit]]="","#Н/Д",SUM($Y$40:Y777))</f>
        <v>#Н/Д</v>
      </c>
      <c r="AB777" s="45" t="b">
        <f>IF(Таблица2[[#This Row],[Grafik]]="#Н/Д",FALSE,TRUE)</f>
        <v>0</v>
      </c>
    </row>
    <row r="778" spans="2:28" ht="11.1" hidden="1" customHeight="1" x14ac:dyDescent="0.25">
      <c r="B778"/>
      <c r="C778" s="41" t="str">
        <f>IFERROR(VLOOKUP(B778,Baza[[№]:[Profit]],2,0),"")</f>
        <v/>
      </c>
      <c r="D77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7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78" s="43" t="str">
        <f>IFERROR(VLOOKUP(B778,Baza[[№]:[Profit]],3,0),"")</f>
        <v/>
      </c>
      <c r="G778" s="43" t="str">
        <f>IFERROR(VLOOKUP(B778,Baza[[№]:[Profit]],4,0),"")</f>
        <v/>
      </c>
      <c r="H778" s="43" t="str">
        <f>IFERROR(VLOOKUP(B778,Baza[[№]:[Profit]],5,0),"")</f>
        <v/>
      </c>
      <c r="I778" s="46" t="str">
        <f>IFERROR(VLOOKUP(B778,Baza[[№]:[Profit]],6,0),"")</f>
        <v/>
      </c>
      <c r="J778" s="49" t="str">
        <f>IFERROR(VLOOKUP(B778,Baza[[№]:[Profit]],7,0),"")</f>
        <v/>
      </c>
      <c r="K778" s="43" t="str">
        <f>IFERROR(VLOOKUP(B778,Baza[[№]:[Profit]],8,0),"")</f>
        <v/>
      </c>
      <c r="L778" s="43" t="str">
        <f>IFERROR(VLOOKUP(B778,Baza[[№]:[Profit]],9,0),"")</f>
        <v/>
      </c>
      <c r="M778" s="43" t="str">
        <f>IFERROR(VLOOKUP(B778,Baza[[№]:[Profit]],10,0),"")</f>
        <v/>
      </c>
      <c r="N778" s="43" t="str">
        <f>IFERROR(IF(VLOOKUP(B778,Baza[[№]:[Profit]],11,0)=0,"-",VLOOKUP(B778,Baza[[№]:[Profit]],11,0)),"")</f>
        <v/>
      </c>
      <c r="O778" s="43" t="str">
        <f>IFERROR(IF(VLOOKUP(B778,Baza[[№]:[Profit]],12,0)=0,"-",VLOOKUP(B778,Baza[[№]:[Profit]],12,0)),"")</f>
        <v/>
      </c>
      <c r="P778" s="43" t="str">
        <f>IFERROR(IF(VLOOKUP(B778,Baza[[№]:[Profit]],13,0)=0,"-",VLOOKUP(B778,Baza[[№]:[Profit]],13,0)),"")</f>
        <v/>
      </c>
      <c r="Q778" s="43" t="str">
        <f>IFERROR(IF(VLOOKUP(B778,Baza[[№]:[Profit]],15,0)=0,"-",VLOOKUP(B778,Baza[[№]:[Profit]],15,0)),"")</f>
        <v/>
      </c>
      <c r="R778" s="43" t="str">
        <f>IFERROR(IF(VLOOKUP(B778,Baza[[№]:[Profit]],16,0)=0,"-",VLOOKUP(B778,Baza[[№]:[Profit]],16,0)),"")</f>
        <v/>
      </c>
      <c r="S778" s="43" t="str">
        <f>IFERROR(IF(VLOOKUP(B778,Baza[[№]:[Profit]],17,0)=0,"-",VLOOKUP(B778,Baza[[№]:[Profit]],17,0)),"")</f>
        <v/>
      </c>
      <c r="T778" s="43" t="str">
        <f>IFERROR(IF(VLOOKUP(B778,Baza[[№]:[Profit]],18,0)=0,"-",VLOOKUP(B778,Baza[[№]:[Profit]],18,0)),"")</f>
        <v/>
      </c>
      <c r="U778" s="41" t="str">
        <f>IFERROR(IF(VLOOKUP(B778,Baza[[№]:[Profit]],19,0)=0,"-",VLOOKUP(B778,Baza[[№]:[Profit]],19,0)),"")</f>
        <v/>
      </c>
      <c r="V778" s="41" t="str">
        <f>IFERROR(VLOOKUP(B778,Baza[[№]:[Profit]],20,0),"")</f>
        <v/>
      </c>
      <c r="W778" s="41" t="str">
        <f>IFERROR(IF(VLOOKUP(B778,Baza[[№]:[Profit]],21,0)=0,"-",VLOOKUP(B778,Baza[[№]:[Profit]],21,0)),"")</f>
        <v/>
      </c>
      <c r="X778" s="45" t="str">
        <f>IFERROR(IF(VLOOKUP(B778,Baza[[№]:[Profit]],22,0)=0,"-",VLOOKUP(B778,Baza[[№]:[Profit]],22,0)),"")</f>
        <v/>
      </c>
      <c r="Y778" s="45" t="str">
        <f>IFERROR(VLOOKUP(B778,Baza[[№]:[Profit]],23,0),"")</f>
        <v/>
      </c>
      <c r="Z778" s="44" t="str">
        <f>IFERROR(VLOOKUP(B778,Baza[[№]:[AFS]],24,0),"")</f>
        <v/>
      </c>
      <c r="AA778" s="45" t="str">
        <f>IF(Таблица2[[#This Row],[Profit]]="","#Н/Д",SUM($Y$40:Y778))</f>
        <v>#Н/Д</v>
      </c>
      <c r="AB778" s="45" t="b">
        <f>IF(Таблица2[[#This Row],[Grafik]]="#Н/Д",FALSE,TRUE)</f>
        <v>0</v>
      </c>
    </row>
    <row r="779" spans="2:28" ht="11.1" hidden="1" customHeight="1" x14ac:dyDescent="0.25">
      <c r="B779"/>
      <c r="C779" s="41" t="str">
        <f>IFERROR(VLOOKUP(B779,Baza[[№]:[Profit]],2,0),"")</f>
        <v/>
      </c>
      <c r="D77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7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79" s="43" t="str">
        <f>IFERROR(VLOOKUP(B779,Baza[[№]:[Profit]],3,0),"")</f>
        <v/>
      </c>
      <c r="G779" s="43" t="str">
        <f>IFERROR(VLOOKUP(B779,Baza[[№]:[Profit]],4,0),"")</f>
        <v/>
      </c>
      <c r="H779" s="43" t="str">
        <f>IFERROR(VLOOKUP(B779,Baza[[№]:[Profit]],5,0),"")</f>
        <v/>
      </c>
      <c r="I779" s="46" t="str">
        <f>IFERROR(VLOOKUP(B779,Baza[[№]:[Profit]],6,0),"")</f>
        <v/>
      </c>
      <c r="J779" s="49" t="str">
        <f>IFERROR(VLOOKUP(B779,Baza[[№]:[Profit]],7,0),"")</f>
        <v/>
      </c>
      <c r="K779" s="43" t="str">
        <f>IFERROR(VLOOKUP(B779,Baza[[№]:[Profit]],8,0),"")</f>
        <v/>
      </c>
      <c r="L779" s="43" t="str">
        <f>IFERROR(VLOOKUP(B779,Baza[[№]:[Profit]],9,0),"")</f>
        <v/>
      </c>
      <c r="M779" s="43" t="str">
        <f>IFERROR(VLOOKUP(B779,Baza[[№]:[Profit]],10,0),"")</f>
        <v/>
      </c>
      <c r="N779" s="43" t="str">
        <f>IFERROR(IF(VLOOKUP(B779,Baza[[№]:[Profit]],11,0)=0,"-",VLOOKUP(B779,Baza[[№]:[Profit]],11,0)),"")</f>
        <v/>
      </c>
      <c r="O779" s="43" t="str">
        <f>IFERROR(IF(VLOOKUP(B779,Baza[[№]:[Profit]],12,0)=0,"-",VLOOKUP(B779,Baza[[№]:[Profit]],12,0)),"")</f>
        <v/>
      </c>
      <c r="P779" s="43" t="str">
        <f>IFERROR(IF(VLOOKUP(B779,Baza[[№]:[Profit]],13,0)=0,"-",VLOOKUP(B779,Baza[[№]:[Profit]],13,0)),"")</f>
        <v/>
      </c>
      <c r="Q779" s="43" t="str">
        <f>IFERROR(IF(VLOOKUP(B779,Baza[[№]:[Profit]],15,0)=0,"-",VLOOKUP(B779,Baza[[№]:[Profit]],15,0)),"")</f>
        <v/>
      </c>
      <c r="R779" s="43" t="str">
        <f>IFERROR(IF(VLOOKUP(B779,Baza[[№]:[Profit]],16,0)=0,"-",VLOOKUP(B779,Baza[[№]:[Profit]],16,0)),"")</f>
        <v/>
      </c>
      <c r="S779" s="43" t="str">
        <f>IFERROR(IF(VLOOKUP(B779,Baza[[№]:[Profit]],17,0)=0,"-",VLOOKUP(B779,Baza[[№]:[Profit]],17,0)),"")</f>
        <v/>
      </c>
      <c r="T779" s="43" t="str">
        <f>IFERROR(IF(VLOOKUP(B779,Baza[[№]:[Profit]],18,0)=0,"-",VLOOKUP(B779,Baza[[№]:[Profit]],18,0)),"")</f>
        <v/>
      </c>
      <c r="U779" s="41" t="str">
        <f>IFERROR(IF(VLOOKUP(B779,Baza[[№]:[Profit]],19,0)=0,"-",VLOOKUP(B779,Baza[[№]:[Profit]],19,0)),"")</f>
        <v/>
      </c>
      <c r="V779" s="41" t="str">
        <f>IFERROR(VLOOKUP(B779,Baza[[№]:[Profit]],20,0),"")</f>
        <v/>
      </c>
      <c r="W779" s="41" t="str">
        <f>IFERROR(IF(VLOOKUP(B779,Baza[[№]:[Profit]],21,0)=0,"-",VLOOKUP(B779,Baza[[№]:[Profit]],21,0)),"")</f>
        <v/>
      </c>
      <c r="X779" s="45" t="str">
        <f>IFERROR(IF(VLOOKUP(B779,Baza[[№]:[Profit]],22,0)=0,"-",VLOOKUP(B779,Baza[[№]:[Profit]],22,0)),"")</f>
        <v/>
      </c>
      <c r="Y779" s="45" t="str">
        <f>IFERROR(VLOOKUP(B779,Baza[[№]:[Profit]],23,0),"")</f>
        <v/>
      </c>
      <c r="Z779" s="44" t="str">
        <f>IFERROR(VLOOKUP(B779,Baza[[№]:[AFS]],24,0),"")</f>
        <v/>
      </c>
      <c r="AA779" s="45" t="str">
        <f>IF(Таблица2[[#This Row],[Profit]]="","#Н/Д",SUM($Y$40:Y779))</f>
        <v>#Н/Д</v>
      </c>
      <c r="AB779" s="45" t="b">
        <f>IF(Таблица2[[#This Row],[Grafik]]="#Н/Д",FALSE,TRUE)</f>
        <v>0</v>
      </c>
    </row>
    <row r="780" spans="2:28" ht="11.1" hidden="1" customHeight="1" x14ac:dyDescent="0.25">
      <c r="B780"/>
      <c r="C780" s="41" t="str">
        <f>IFERROR(VLOOKUP(B780,Baza[[№]:[Profit]],2,0),"")</f>
        <v/>
      </c>
      <c r="D78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8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80" s="43" t="str">
        <f>IFERROR(VLOOKUP(B780,Baza[[№]:[Profit]],3,0),"")</f>
        <v/>
      </c>
      <c r="G780" s="43" t="str">
        <f>IFERROR(VLOOKUP(B780,Baza[[№]:[Profit]],4,0),"")</f>
        <v/>
      </c>
      <c r="H780" s="43" t="str">
        <f>IFERROR(VLOOKUP(B780,Baza[[№]:[Profit]],5,0),"")</f>
        <v/>
      </c>
      <c r="I780" s="46" t="str">
        <f>IFERROR(VLOOKUP(B780,Baza[[№]:[Profit]],6,0),"")</f>
        <v/>
      </c>
      <c r="J780" s="49" t="str">
        <f>IFERROR(VLOOKUP(B780,Baza[[№]:[Profit]],7,0),"")</f>
        <v/>
      </c>
      <c r="K780" s="43" t="str">
        <f>IFERROR(VLOOKUP(B780,Baza[[№]:[Profit]],8,0),"")</f>
        <v/>
      </c>
      <c r="L780" s="43" t="str">
        <f>IFERROR(VLOOKUP(B780,Baza[[№]:[Profit]],9,0),"")</f>
        <v/>
      </c>
      <c r="M780" s="43" t="str">
        <f>IFERROR(VLOOKUP(B780,Baza[[№]:[Profit]],10,0),"")</f>
        <v/>
      </c>
      <c r="N780" s="43" t="str">
        <f>IFERROR(IF(VLOOKUP(B780,Baza[[№]:[Profit]],11,0)=0,"-",VLOOKUP(B780,Baza[[№]:[Profit]],11,0)),"")</f>
        <v/>
      </c>
      <c r="O780" s="43" t="str">
        <f>IFERROR(IF(VLOOKUP(B780,Baza[[№]:[Profit]],12,0)=0,"-",VLOOKUP(B780,Baza[[№]:[Profit]],12,0)),"")</f>
        <v/>
      </c>
      <c r="P780" s="43" t="str">
        <f>IFERROR(IF(VLOOKUP(B780,Baza[[№]:[Profit]],13,0)=0,"-",VLOOKUP(B780,Baza[[№]:[Profit]],13,0)),"")</f>
        <v/>
      </c>
      <c r="Q780" s="43" t="str">
        <f>IFERROR(IF(VLOOKUP(B780,Baza[[№]:[Profit]],15,0)=0,"-",VLOOKUP(B780,Baza[[№]:[Profit]],15,0)),"")</f>
        <v/>
      </c>
      <c r="R780" s="43" t="str">
        <f>IFERROR(IF(VLOOKUP(B780,Baza[[№]:[Profit]],16,0)=0,"-",VLOOKUP(B780,Baza[[№]:[Profit]],16,0)),"")</f>
        <v/>
      </c>
      <c r="S780" s="43" t="str">
        <f>IFERROR(IF(VLOOKUP(B780,Baza[[№]:[Profit]],17,0)=0,"-",VLOOKUP(B780,Baza[[№]:[Profit]],17,0)),"")</f>
        <v/>
      </c>
      <c r="T780" s="43" t="str">
        <f>IFERROR(IF(VLOOKUP(B780,Baza[[№]:[Profit]],18,0)=0,"-",VLOOKUP(B780,Baza[[№]:[Profit]],18,0)),"")</f>
        <v/>
      </c>
      <c r="U780" s="41" t="str">
        <f>IFERROR(IF(VLOOKUP(B780,Baza[[№]:[Profit]],19,0)=0,"-",VLOOKUP(B780,Baza[[№]:[Profit]],19,0)),"")</f>
        <v/>
      </c>
      <c r="V780" s="41" t="str">
        <f>IFERROR(VLOOKUP(B780,Baza[[№]:[Profit]],20,0),"")</f>
        <v/>
      </c>
      <c r="W780" s="41" t="str">
        <f>IFERROR(IF(VLOOKUP(B780,Baza[[№]:[Profit]],21,0)=0,"-",VLOOKUP(B780,Baza[[№]:[Profit]],21,0)),"")</f>
        <v/>
      </c>
      <c r="X780" s="45" t="str">
        <f>IFERROR(IF(VLOOKUP(B780,Baza[[№]:[Profit]],22,0)=0,"-",VLOOKUP(B780,Baza[[№]:[Profit]],22,0)),"")</f>
        <v/>
      </c>
      <c r="Y780" s="45" t="str">
        <f>IFERROR(VLOOKUP(B780,Baza[[№]:[Profit]],23,0),"")</f>
        <v/>
      </c>
      <c r="Z780" s="44" t="str">
        <f>IFERROR(VLOOKUP(B780,Baza[[№]:[AFS]],24,0),"")</f>
        <v/>
      </c>
      <c r="AA780" s="45" t="str">
        <f>IF(Таблица2[[#This Row],[Profit]]="","#Н/Д",SUM($Y$40:Y780))</f>
        <v>#Н/Д</v>
      </c>
      <c r="AB780" s="45" t="b">
        <f>IF(Таблица2[[#This Row],[Grafik]]="#Н/Д",FALSE,TRUE)</f>
        <v>0</v>
      </c>
    </row>
    <row r="781" spans="2:28" ht="11.1" hidden="1" customHeight="1" x14ac:dyDescent="0.25">
      <c r="B781"/>
      <c r="C781" s="41" t="str">
        <f>IFERROR(VLOOKUP(B781,Baza[[№]:[Profit]],2,0),"")</f>
        <v/>
      </c>
      <c r="D78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8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81" s="43" t="str">
        <f>IFERROR(VLOOKUP(B781,Baza[[№]:[Profit]],3,0),"")</f>
        <v/>
      </c>
      <c r="G781" s="43" t="str">
        <f>IFERROR(VLOOKUP(B781,Baza[[№]:[Profit]],4,0),"")</f>
        <v/>
      </c>
      <c r="H781" s="43" t="str">
        <f>IFERROR(VLOOKUP(B781,Baza[[№]:[Profit]],5,0),"")</f>
        <v/>
      </c>
      <c r="I781" s="46" t="str">
        <f>IFERROR(VLOOKUP(B781,Baza[[№]:[Profit]],6,0),"")</f>
        <v/>
      </c>
      <c r="J781" s="49" t="str">
        <f>IFERROR(VLOOKUP(B781,Baza[[№]:[Profit]],7,0),"")</f>
        <v/>
      </c>
      <c r="K781" s="43" t="str">
        <f>IFERROR(VLOOKUP(B781,Baza[[№]:[Profit]],8,0),"")</f>
        <v/>
      </c>
      <c r="L781" s="43" t="str">
        <f>IFERROR(VLOOKUP(B781,Baza[[№]:[Profit]],9,0),"")</f>
        <v/>
      </c>
      <c r="M781" s="43" t="str">
        <f>IFERROR(VLOOKUP(B781,Baza[[№]:[Profit]],10,0),"")</f>
        <v/>
      </c>
      <c r="N781" s="43" t="str">
        <f>IFERROR(IF(VLOOKUP(B781,Baza[[№]:[Profit]],11,0)=0,"-",VLOOKUP(B781,Baza[[№]:[Profit]],11,0)),"")</f>
        <v/>
      </c>
      <c r="O781" s="43" t="str">
        <f>IFERROR(IF(VLOOKUP(B781,Baza[[№]:[Profit]],12,0)=0,"-",VLOOKUP(B781,Baza[[№]:[Profit]],12,0)),"")</f>
        <v/>
      </c>
      <c r="P781" s="43" t="str">
        <f>IFERROR(IF(VLOOKUP(B781,Baza[[№]:[Profit]],13,0)=0,"-",VLOOKUP(B781,Baza[[№]:[Profit]],13,0)),"")</f>
        <v/>
      </c>
      <c r="Q781" s="43" t="str">
        <f>IFERROR(IF(VLOOKUP(B781,Baza[[№]:[Profit]],15,0)=0,"-",VLOOKUP(B781,Baza[[№]:[Profit]],15,0)),"")</f>
        <v/>
      </c>
      <c r="R781" s="43" t="str">
        <f>IFERROR(IF(VLOOKUP(B781,Baza[[№]:[Profit]],16,0)=0,"-",VLOOKUP(B781,Baza[[№]:[Profit]],16,0)),"")</f>
        <v/>
      </c>
      <c r="S781" s="43" t="str">
        <f>IFERROR(IF(VLOOKUP(B781,Baza[[№]:[Profit]],17,0)=0,"-",VLOOKUP(B781,Baza[[№]:[Profit]],17,0)),"")</f>
        <v/>
      </c>
      <c r="T781" s="43" t="str">
        <f>IFERROR(IF(VLOOKUP(B781,Baza[[№]:[Profit]],18,0)=0,"-",VLOOKUP(B781,Baza[[№]:[Profit]],18,0)),"")</f>
        <v/>
      </c>
      <c r="U781" s="41" t="str">
        <f>IFERROR(IF(VLOOKUP(B781,Baza[[№]:[Profit]],19,0)=0,"-",VLOOKUP(B781,Baza[[№]:[Profit]],19,0)),"")</f>
        <v/>
      </c>
      <c r="V781" s="41" t="str">
        <f>IFERROR(VLOOKUP(B781,Baza[[№]:[Profit]],20,0),"")</f>
        <v/>
      </c>
      <c r="W781" s="41" t="str">
        <f>IFERROR(IF(VLOOKUP(B781,Baza[[№]:[Profit]],21,0)=0,"-",VLOOKUP(B781,Baza[[№]:[Profit]],21,0)),"")</f>
        <v/>
      </c>
      <c r="X781" s="45" t="str">
        <f>IFERROR(IF(VLOOKUP(B781,Baza[[№]:[Profit]],22,0)=0,"-",VLOOKUP(B781,Baza[[№]:[Profit]],22,0)),"")</f>
        <v/>
      </c>
      <c r="Y781" s="45" t="str">
        <f>IFERROR(VLOOKUP(B781,Baza[[№]:[Profit]],23,0),"")</f>
        <v/>
      </c>
      <c r="Z781" s="44" t="str">
        <f>IFERROR(VLOOKUP(B781,Baza[[№]:[AFS]],24,0),"")</f>
        <v/>
      </c>
      <c r="AA781" s="45" t="str">
        <f>IF(Таблица2[[#This Row],[Profit]]="","#Н/Д",SUM($Y$40:Y781))</f>
        <v>#Н/Д</v>
      </c>
      <c r="AB781" s="45" t="b">
        <f>IF(Таблица2[[#This Row],[Grafik]]="#Н/Д",FALSE,TRUE)</f>
        <v>0</v>
      </c>
    </row>
    <row r="782" spans="2:28" ht="11.1" hidden="1" customHeight="1" x14ac:dyDescent="0.25">
      <c r="B782"/>
      <c r="C782" s="41" t="str">
        <f>IFERROR(VLOOKUP(B782,Baza[[№]:[Profit]],2,0),"")</f>
        <v/>
      </c>
      <c r="D78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8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82" s="43" t="str">
        <f>IFERROR(VLOOKUP(B782,Baza[[№]:[Profit]],3,0),"")</f>
        <v/>
      </c>
      <c r="G782" s="43" t="str">
        <f>IFERROR(VLOOKUP(B782,Baza[[№]:[Profit]],4,0),"")</f>
        <v/>
      </c>
      <c r="H782" s="43" t="str">
        <f>IFERROR(VLOOKUP(B782,Baza[[№]:[Profit]],5,0),"")</f>
        <v/>
      </c>
      <c r="I782" s="46" t="str">
        <f>IFERROR(VLOOKUP(B782,Baza[[№]:[Profit]],6,0),"")</f>
        <v/>
      </c>
      <c r="J782" s="49" t="str">
        <f>IFERROR(VLOOKUP(B782,Baza[[№]:[Profit]],7,0),"")</f>
        <v/>
      </c>
      <c r="K782" s="43" t="str">
        <f>IFERROR(VLOOKUP(B782,Baza[[№]:[Profit]],8,0),"")</f>
        <v/>
      </c>
      <c r="L782" s="43" t="str">
        <f>IFERROR(VLOOKUP(B782,Baza[[№]:[Profit]],9,0),"")</f>
        <v/>
      </c>
      <c r="M782" s="43" t="str">
        <f>IFERROR(VLOOKUP(B782,Baza[[№]:[Profit]],10,0),"")</f>
        <v/>
      </c>
      <c r="N782" s="43" t="str">
        <f>IFERROR(IF(VLOOKUP(B782,Baza[[№]:[Profit]],11,0)=0,"-",VLOOKUP(B782,Baza[[№]:[Profit]],11,0)),"")</f>
        <v/>
      </c>
      <c r="O782" s="43" t="str">
        <f>IFERROR(IF(VLOOKUP(B782,Baza[[№]:[Profit]],12,0)=0,"-",VLOOKUP(B782,Baza[[№]:[Profit]],12,0)),"")</f>
        <v/>
      </c>
      <c r="P782" s="43" t="str">
        <f>IFERROR(IF(VLOOKUP(B782,Baza[[№]:[Profit]],13,0)=0,"-",VLOOKUP(B782,Baza[[№]:[Profit]],13,0)),"")</f>
        <v/>
      </c>
      <c r="Q782" s="43" t="str">
        <f>IFERROR(IF(VLOOKUP(B782,Baza[[№]:[Profit]],15,0)=0,"-",VLOOKUP(B782,Baza[[№]:[Profit]],15,0)),"")</f>
        <v/>
      </c>
      <c r="R782" s="43" t="str">
        <f>IFERROR(IF(VLOOKUP(B782,Baza[[№]:[Profit]],16,0)=0,"-",VLOOKUP(B782,Baza[[№]:[Profit]],16,0)),"")</f>
        <v/>
      </c>
      <c r="S782" s="43" t="str">
        <f>IFERROR(IF(VLOOKUP(B782,Baza[[№]:[Profit]],17,0)=0,"-",VLOOKUP(B782,Baza[[№]:[Profit]],17,0)),"")</f>
        <v/>
      </c>
      <c r="T782" s="43" t="str">
        <f>IFERROR(IF(VLOOKUP(B782,Baza[[№]:[Profit]],18,0)=0,"-",VLOOKUP(B782,Baza[[№]:[Profit]],18,0)),"")</f>
        <v/>
      </c>
      <c r="U782" s="41" t="str">
        <f>IFERROR(IF(VLOOKUP(B782,Baza[[№]:[Profit]],19,0)=0,"-",VLOOKUP(B782,Baza[[№]:[Profit]],19,0)),"")</f>
        <v/>
      </c>
      <c r="V782" s="41" t="str">
        <f>IFERROR(VLOOKUP(B782,Baza[[№]:[Profit]],20,0),"")</f>
        <v/>
      </c>
      <c r="W782" s="41" t="str">
        <f>IFERROR(IF(VLOOKUP(B782,Baza[[№]:[Profit]],21,0)=0,"-",VLOOKUP(B782,Baza[[№]:[Profit]],21,0)),"")</f>
        <v/>
      </c>
      <c r="X782" s="45" t="str">
        <f>IFERROR(IF(VLOOKUP(B782,Baza[[№]:[Profit]],22,0)=0,"-",VLOOKUP(B782,Baza[[№]:[Profit]],22,0)),"")</f>
        <v/>
      </c>
      <c r="Y782" s="45" t="str">
        <f>IFERROR(VLOOKUP(B782,Baza[[№]:[Profit]],23,0),"")</f>
        <v/>
      </c>
      <c r="Z782" s="44" t="str">
        <f>IFERROR(VLOOKUP(B782,Baza[[№]:[AFS]],24,0),"")</f>
        <v/>
      </c>
      <c r="AA782" s="45" t="str">
        <f>IF(Таблица2[[#This Row],[Profit]]="","#Н/Д",SUM($Y$40:Y782))</f>
        <v>#Н/Д</v>
      </c>
      <c r="AB782" s="45" t="b">
        <f>IF(Таблица2[[#This Row],[Grafik]]="#Н/Д",FALSE,TRUE)</f>
        <v>0</v>
      </c>
    </row>
    <row r="783" spans="2:28" ht="11.1" hidden="1" customHeight="1" x14ac:dyDescent="0.25">
      <c r="B783"/>
      <c r="C783" s="41" t="str">
        <f>IFERROR(VLOOKUP(B783,Baza[[№]:[Profit]],2,0),"")</f>
        <v/>
      </c>
      <c r="D78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8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83" s="43" t="str">
        <f>IFERROR(VLOOKUP(B783,Baza[[№]:[Profit]],3,0),"")</f>
        <v/>
      </c>
      <c r="G783" s="43" t="str">
        <f>IFERROR(VLOOKUP(B783,Baza[[№]:[Profit]],4,0),"")</f>
        <v/>
      </c>
      <c r="H783" s="43" t="str">
        <f>IFERROR(VLOOKUP(B783,Baza[[№]:[Profit]],5,0),"")</f>
        <v/>
      </c>
      <c r="I783" s="46" t="str">
        <f>IFERROR(VLOOKUP(B783,Baza[[№]:[Profit]],6,0),"")</f>
        <v/>
      </c>
      <c r="J783" s="49" t="str">
        <f>IFERROR(VLOOKUP(B783,Baza[[№]:[Profit]],7,0),"")</f>
        <v/>
      </c>
      <c r="K783" s="43" t="str">
        <f>IFERROR(VLOOKUP(B783,Baza[[№]:[Profit]],8,0),"")</f>
        <v/>
      </c>
      <c r="L783" s="43" t="str">
        <f>IFERROR(VLOOKUP(B783,Baza[[№]:[Profit]],9,0),"")</f>
        <v/>
      </c>
      <c r="M783" s="43" t="str">
        <f>IFERROR(VLOOKUP(B783,Baza[[№]:[Profit]],10,0),"")</f>
        <v/>
      </c>
      <c r="N783" s="43" t="str">
        <f>IFERROR(IF(VLOOKUP(B783,Baza[[№]:[Profit]],11,0)=0,"-",VLOOKUP(B783,Baza[[№]:[Profit]],11,0)),"")</f>
        <v/>
      </c>
      <c r="O783" s="43" t="str">
        <f>IFERROR(IF(VLOOKUP(B783,Baza[[№]:[Profit]],12,0)=0,"-",VLOOKUP(B783,Baza[[№]:[Profit]],12,0)),"")</f>
        <v/>
      </c>
      <c r="P783" s="43" t="str">
        <f>IFERROR(IF(VLOOKUP(B783,Baza[[№]:[Profit]],13,0)=0,"-",VLOOKUP(B783,Baza[[№]:[Profit]],13,0)),"")</f>
        <v/>
      </c>
      <c r="Q783" s="43" t="str">
        <f>IFERROR(IF(VLOOKUP(B783,Baza[[№]:[Profit]],15,0)=0,"-",VLOOKUP(B783,Baza[[№]:[Profit]],15,0)),"")</f>
        <v/>
      </c>
      <c r="R783" s="43" t="str">
        <f>IFERROR(IF(VLOOKUP(B783,Baza[[№]:[Profit]],16,0)=0,"-",VLOOKUP(B783,Baza[[№]:[Profit]],16,0)),"")</f>
        <v/>
      </c>
      <c r="S783" s="43" t="str">
        <f>IFERROR(IF(VLOOKUP(B783,Baza[[№]:[Profit]],17,0)=0,"-",VLOOKUP(B783,Baza[[№]:[Profit]],17,0)),"")</f>
        <v/>
      </c>
      <c r="T783" s="43" t="str">
        <f>IFERROR(IF(VLOOKUP(B783,Baza[[№]:[Profit]],18,0)=0,"-",VLOOKUP(B783,Baza[[№]:[Profit]],18,0)),"")</f>
        <v/>
      </c>
      <c r="U783" s="41" t="str">
        <f>IFERROR(IF(VLOOKUP(B783,Baza[[№]:[Profit]],19,0)=0,"-",VLOOKUP(B783,Baza[[№]:[Profit]],19,0)),"")</f>
        <v/>
      </c>
      <c r="V783" s="41" t="str">
        <f>IFERROR(VLOOKUP(B783,Baza[[№]:[Profit]],20,0),"")</f>
        <v/>
      </c>
      <c r="W783" s="41" t="str">
        <f>IFERROR(IF(VLOOKUP(B783,Baza[[№]:[Profit]],21,0)=0,"-",VLOOKUP(B783,Baza[[№]:[Profit]],21,0)),"")</f>
        <v/>
      </c>
      <c r="X783" s="45" t="str">
        <f>IFERROR(IF(VLOOKUP(B783,Baza[[№]:[Profit]],22,0)=0,"-",VLOOKUP(B783,Baza[[№]:[Profit]],22,0)),"")</f>
        <v/>
      </c>
      <c r="Y783" s="45" t="str">
        <f>IFERROR(VLOOKUP(B783,Baza[[№]:[Profit]],23,0),"")</f>
        <v/>
      </c>
      <c r="Z783" s="44" t="str">
        <f>IFERROR(VLOOKUP(B783,Baza[[№]:[AFS]],24,0),"")</f>
        <v/>
      </c>
      <c r="AA783" s="45" t="str">
        <f>IF(Таблица2[[#This Row],[Profit]]="","#Н/Д",SUM($Y$40:Y783))</f>
        <v>#Н/Д</v>
      </c>
      <c r="AB783" s="45" t="b">
        <f>IF(Таблица2[[#This Row],[Grafik]]="#Н/Д",FALSE,TRUE)</f>
        <v>0</v>
      </c>
    </row>
    <row r="784" spans="2:28" ht="11.1" hidden="1" customHeight="1" x14ac:dyDescent="0.25">
      <c r="B784"/>
      <c r="C784" s="41" t="str">
        <f>IFERROR(VLOOKUP(B784,Baza[[№]:[Profit]],2,0),"")</f>
        <v/>
      </c>
      <c r="D78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8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84" s="43" t="str">
        <f>IFERROR(VLOOKUP(B784,Baza[[№]:[Profit]],3,0),"")</f>
        <v/>
      </c>
      <c r="G784" s="43" t="str">
        <f>IFERROR(VLOOKUP(B784,Baza[[№]:[Profit]],4,0),"")</f>
        <v/>
      </c>
      <c r="H784" s="43" t="str">
        <f>IFERROR(VLOOKUP(B784,Baza[[№]:[Profit]],5,0),"")</f>
        <v/>
      </c>
      <c r="I784" s="46" t="str">
        <f>IFERROR(VLOOKUP(B784,Baza[[№]:[Profit]],6,0),"")</f>
        <v/>
      </c>
      <c r="J784" s="49" t="str">
        <f>IFERROR(VLOOKUP(B784,Baza[[№]:[Profit]],7,0),"")</f>
        <v/>
      </c>
      <c r="K784" s="43" t="str">
        <f>IFERROR(VLOOKUP(B784,Baza[[№]:[Profit]],8,0),"")</f>
        <v/>
      </c>
      <c r="L784" s="43" t="str">
        <f>IFERROR(VLOOKUP(B784,Baza[[№]:[Profit]],9,0),"")</f>
        <v/>
      </c>
      <c r="M784" s="43" t="str">
        <f>IFERROR(VLOOKUP(B784,Baza[[№]:[Profit]],10,0),"")</f>
        <v/>
      </c>
      <c r="N784" s="43" t="str">
        <f>IFERROR(IF(VLOOKUP(B784,Baza[[№]:[Profit]],11,0)=0,"-",VLOOKUP(B784,Baza[[№]:[Profit]],11,0)),"")</f>
        <v/>
      </c>
      <c r="O784" s="43" t="str">
        <f>IFERROR(IF(VLOOKUP(B784,Baza[[№]:[Profit]],12,0)=0,"-",VLOOKUP(B784,Baza[[№]:[Profit]],12,0)),"")</f>
        <v/>
      </c>
      <c r="P784" s="43" t="str">
        <f>IFERROR(IF(VLOOKUP(B784,Baza[[№]:[Profit]],13,0)=0,"-",VLOOKUP(B784,Baza[[№]:[Profit]],13,0)),"")</f>
        <v/>
      </c>
      <c r="Q784" s="43" t="str">
        <f>IFERROR(IF(VLOOKUP(B784,Baza[[№]:[Profit]],15,0)=0,"-",VLOOKUP(B784,Baza[[№]:[Profit]],15,0)),"")</f>
        <v/>
      </c>
      <c r="R784" s="43" t="str">
        <f>IFERROR(IF(VLOOKUP(B784,Baza[[№]:[Profit]],16,0)=0,"-",VLOOKUP(B784,Baza[[№]:[Profit]],16,0)),"")</f>
        <v/>
      </c>
      <c r="S784" s="43" t="str">
        <f>IFERROR(IF(VLOOKUP(B784,Baza[[№]:[Profit]],17,0)=0,"-",VLOOKUP(B784,Baza[[№]:[Profit]],17,0)),"")</f>
        <v/>
      </c>
      <c r="T784" s="43" t="str">
        <f>IFERROR(IF(VLOOKUP(B784,Baza[[№]:[Profit]],18,0)=0,"-",VLOOKUP(B784,Baza[[№]:[Profit]],18,0)),"")</f>
        <v/>
      </c>
      <c r="U784" s="41" t="str">
        <f>IFERROR(IF(VLOOKUP(B784,Baza[[№]:[Profit]],19,0)=0,"-",VLOOKUP(B784,Baza[[№]:[Profit]],19,0)),"")</f>
        <v/>
      </c>
      <c r="V784" s="41" t="str">
        <f>IFERROR(VLOOKUP(B784,Baza[[№]:[Profit]],20,0),"")</f>
        <v/>
      </c>
      <c r="W784" s="41" t="str">
        <f>IFERROR(IF(VLOOKUP(B784,Baza[[№]:[Profit]],21,0)=0,"-",VLOOKUP(B784,Baza[[№]:[Profit]],21,0)),"")</f>
        <v/>
      </c>
      <c r="X784" s="45" t="str">
        <f>IFERROR(IF(VLOOKUP(B784,Baza[[№]:[Profit]],22,0)=0,"-",VLOOKUP(B784,Baza[[№]:[Profit]],22,0)),"")</f>
        <v/>
      </c>
      <c r="Y784" s="45" t="str">
        <f>IFERROR(VLOOKUP(B784,Baza[[№]:[Profit]],23,0),"")</f>
        <v/>
      </c>
      <c r="Z784" s="44" t="str">
        <f>IFERROR(VLOOKUP(B784,Baza[[№]:[AFS]],24,0),"")</f>
        <v/>
      </c>
      <c r="AA784" s="45" t="str">
        <f>IF(Таблица2[[#This Row],[Profit]]="","#Н/Д",SUM($Y$40:Y784))</f>
        <v>#Н/Д</v>
      </c>
      <c r="AB784" s="45" t="b">
        <f>IF(Таблица2[[#This Row],[Grafik]]="#Н/Д",FALSE,TRUE)</f>
        <v>0</v>
      </c>
    </row>
    <row r="785" spans="2:28" ht="11.1" hidden="1" customHeight="1" x14ac:dyDescent="0.25">
      <c r="B785"/>
      <c r="C785" s="41" t="str">
        <f>IFERROR(VLOOKUP(B785,Baza[[№]:[Profit]],2,0),"")</f>
        <v/>
      </c>
      <c r="D78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8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85" s="43" t="str">
        <f>IFERROR(VLOOKUP(B785,Baza[[№]:[Profit]],3,0),"")</f>
        <v/>
      </c>
      <c r="G785" s="43" t="str">
        <f>IFERROR(VLOOKUP(B785,Baza[[№]:[Profit]],4,0),"")</f>
        <v/>
      </c>
      <c r="H785" s="43" t="str">
        <f>IFERROR(VLOOKUP(B785,Baza[[№]:[Profit]],5,0),"")</f>
        <v/>
      </c>
      <c r="I785" s="46" t="str">
        <f>IFERROR(VLOOKUP(B785,Baza[[№]:[Profit]],6,0),"")</f>
        <v/>
      </c>
      <c r="J785" s="49" t="str">
        <f>IFERROR(VLOOKUP(B785,Baza[[№]:[Profit]],7,0),"")</f>
        <v/>
      </c>
      <c r="K785" s="43" t="str">
        <f>IFERROR(VLOOKUP(B785,Baza[[№]:[Profit]],8,0),"")</f>
        <v/>
      </c>
      <c r="L785" s="43" t="str">
        <f>IFERROR(VLOOKUP(B785,Baza[[№]:[Profit]],9,0),"")</f>
        <v/>
      </c>
      <c r="M785" s="43" t="str">
        <f>IFERROR(VLOOKUP(B785,Baza[[№]:[Profit]],10,0),"")</f>
        <v/>
      </c>
      <c r="N785" s="43" t="str">
        <f>IFERROR(IF(VLOOKUP(B785,Baza[[№]:[Profit]],11,0)=0,"-",VLOOKUP(B785,Baza[[№]:[Profit]],11,0)),"")</f>
        <v/>
      </c>
      <c r="O785" s="43" t="str">
        <f>IFERROR(IF(VLOOKUP(B785,Baza[[№]:[Profit]],12,0)=0,"-",VLOOKUP(B785,Baza[[№]:[Profit]],12,0)),"")</f>
        <v/>
      </c>
      <c r="P785" s="43" t="str">
        <f>IFERROR(IF(VLOOKUP(B785,Baza[[№]:[Profit]],13,0)=0,"-",VLOOKUP(B785,Baza[[№]:[Profit]],13,0)),"")</f>
        <v/>
      </c>
      <c r="Q785" s="43" t="str">
        <f>IFERROR(IF(VLOOKUP(B785,Baza[[№]:[Profit]],15,0)=0,"-",VLOOKUP(B785,Baza[[№]:[Profit]],15,0)),"")</f>
        <v/>
      </c>
      <c r="R785" s="43" t="str">
        <f>IFERROR(IF(VLOOKUP(B785,Baza[[№]:[Profit]],16,0)=0,"-",VLOOKUP(B785,Baza[[№]:[Profit]],16,0)),"")</f>
        <v/>
      </c>
      <c r="S785" s="43" t="str">
        <f>IFERROR(IF(VLOOKUP(B785,Baza[[№]:[Profit]],17,0)=0,"-",VLOOKUP(B785,Baza[[№]:[Profit]],17,0)),"")</f>
        <v/>
      </c>
      <c r="T785" s="43" t="str">
        <f>IFERROR(IF(VLOOKUP(B785,Baza[[№]:[Profit]],18,0)=0,"-",VLOOKUP(B785,Baza[[№]:[Profit]],18,0)),"")</f>
        <v/>
      </c>
      <c r="U785" s="41" t="str">
        <f>IFERROR(IF(VLOOKUP(B785,Baza[[№]:[Profit]],19,0)=0,"-",VLOOKUP(B785,Baza[[№]:[Profit]],19,0)),"")</f>
        <v/>
      </c>
      <c r="V785" s="41" t="str">
        <f>IFERROR(VLOOKUP(B785,Baza[[№]:[Profit]],20,0),"")</f>
        <v/>
      </c>
      <c r="W785" s="41" t="str">
        <f>IFERROR(IF(VLOOKUP(B785,Baza[[№]:[Profit]],21,0)=0,"-",VLOOKUP(B785,Baza[[№]:[Profit]],21,0)),"")</f>
        <v/>
      </c>
      <c r="X785" s="45" t="str">
        <f>IFERROR(IF(VLOOKUP(B785,Baza[[№]:[Profit]],22,0)=0,"-",VLOOKUP(B785,Baza[[№]:[Profit]],22,0)),"")</f>
        <v/>
      </c>
      <c r="Y785" s="45" t="str">
        <f>IFERROR(VLOOKUP(B785,Baza[[№]:[Profit]],23,0),"")</f>
        <v/>
      </c>
      <c r="Z785" s="44" t="str">
        <f>IFERROR(VLOOKUP(B785,Baza[[№]:[AFS]],24,0),"")</f>
        <v/>
      </c>
      <c r="AA785" s="45" t="str">
        <f>IF(Таблица2[[#This Row],[Profit]]="","#Н/Д",SUM($Y$40:Y785))</f>
        <v>#Н/Д</v>
      </c>
      <c r="AB785" s="45" t="b">
        <f>IF(Таблица2[[#This Row],[Grafik]]="#Н/Д",FALSE,TRUE)</f>
        <v>0</v>
      </c>
    </row>
    <row r="786" spans="2:28" ht="11.1" hidden="1" customHeight="1" x14ac:dyDescent="0.25">
      <c r="B786"/>
      <c r="C786" s="41" t="str">
        <f>IFERROR(VLOOKUP(B786,Baza[[№]:[Profit]],2,0),"")</f>
        <v/>
      </c>
      <c r="D78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8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86" s="43" t="str">
        <f>IFERROR(VLOOKUP(B786,Baza[[№]:[Profit]],3,0),"")</f>
        <v/>
      </c>
      <c r="G786" s="43" t="str">
        <f>IFERROR(VLOOKUP(B786,Baza[[№]:[Profit]],4,0),"")</f>
        <v/>
      </c>
      <c r="H786" s="43" t="str">
        <f>IFERROR(VLOOKUP(B786,Baza[[№]:[Profit]],5,0),"")</f>
        <v/>
      </c>
      <c r="I786" s="46" t="str">
        <f>IFERROR(VLOOKUP(B786,Baza[[№]:[Profit]],6,0),"")</f>
        <v/>
      </c>
      <c r="J786" s="49" t="str">
        <f>IFERROR(VLOOKUP(B786,Baza[[№]:[Profit]],7,0),"")</f>
        <v/>
      </c>
      <c r="K786" s="43" t="str">
        <f>IFERROR(VLOOKUP(B786,Baza[[№]:[Profit]],8,0),"")</f>
        <v/>
      </c>
      <c r="L786" s="43" t="str">
        <f>IFERROR(VLOOKUP(B786,Baza[[№]:[Profit]],9,0),"")</f>
        <v/>
      </c>
      <c r="M786" s="43" t="str">
        <f>IFERROR(VLOOKUP(B786,Baza[[№]:[Profit]],10,0),"")</f>
        <v/>
      </c>
      <c r="N786" s="43" t="str">
        <f>IFERROR(IF(VLOOKUP(B786,Baza[[№]:[Profit]],11,0)=0,"-",VLOOKUP(B786,Baza[[№]:[Profit]],11,0)),"")</f>
        <v/>
      </c>
      <c r="O786" s="43" t="str">
        <f>IFERROR(IF(VLOOKUP(B786,Baza[[№]:[Profit]],12,0)=0,"-",VLOOKUP(B786,Baza[[№]:[Profit]],12,0)),"")</f>
        <v/>
      </c>
      <c r="P786" s="43" t="str">
        <f>IFERROR(IF(VLOOKUP(B786,Baza[[№]:[Profit]],13,0)=0,"-",VLOOKUP(B786,Baza[[№]:[Profit]],13,0)),"")</f>
        <v/>
      </c>
      <c r="Q786" s="43" t="str">
        <f>IFERROR(IF(VLOOKUP(B786,Baza[[№]:[Profit]],15,0)=0,"-",VLOOKUP(B786,Baza[[№]:[Profit]],15,0)),"")</f>
        <v/>
      </c>
      <c r="R786" s="43" t="str">
        <f>IFERROR(IF(VLOOKUP(B786,Baza[[№]:[Profit]],16,0)=0,"-",VLOOKUP(B786,Baza[[№]:[Profit]],16,0)),"")</f>
        <v/>
      </c>
      <c r="S786" s="43" t="str">
        <f>IFERROR(IF(VLOOKUP(B786,Baza[[№]:[Profit]],17,0)=0,"-",VLOOKUP(B786,Baza[[№]:[Profit]],17,0)),"")</f>
        <v/>
      </c>
      <c r="T786" s="43" t="str">
        <f>IFERROR(IF(VLOOKUP(B786,Baza[[№]:[Profit]],18,0)=0,"-",VLOOKUP(B786,Baza[[№]:[Profit]],18,0)),"")</f>
        <v/>
      </c>
      <c r="U786" s="41" t="str">
        <f>IFERROR(IF(VLOOKUP(B786,Baza[[№]:[Profit]],19,0)=0,"-",VLOOKUP(B786,Baza[[№]:[Profit]],19,0)),"")</f>
        <v/>
      </c>
      <c r="V786" s="41" t="str">
        <f>IFERROR(VLOOKUP(B786,Baza[[№]:[Profit]],20,0),"")</f>
        <v/>
      </c>
      <c r="W786" s="41" t="str">
        <f>IFERROR(IF(VLOOKUP(B786,Baza[[№]:[Profit]],21,0)=0,"-",VLOOKUP(B786,Baza[[№]:[Profit]],21,0)),"")</f>
        <v/>
      </c>
      <c r="X786" s="45" t="str">
        <f>IFERROR(IF(VLOOKUP(B786,Baza[[№]:[Profit]],22,0)=0,"-",VLOOKUP(B786,Baza[[№]:[Profit]],22,0)),"")</f>
        <v/>
      </c>
      <c r="Y786" s="45" t="str">
        <f>IFERROR(VLOOKUP(B786,Baza[[№]:[Profit]],23,0),"")</f>
        <v/>
      </c>
      <c r="Z786" s="44" t="str">
        <f>IFERROR(VLOOKUP(B786,Baza[[№]:[AFS]],24,0),"")</f>
        <v/>
      </c>
      <c r="AA786" s="45" t="str">
        <f>IF(Таблица2[[#This Row],[Profit]]="","#Н/Д",SUM($Y$40:Y786))</f>
        <v>#Н/Д</v>
      </c>
      <c r="AB786" s="45" t="b">
        <f>IF(Таблица2[[#This Row],[Grafik]]="#Н/Д",FALSE,TRUE)</f>
        <v>0</v>
      </c>
    </row>
    <row r="787" spans="2:28" ht="11.1" hidden="1" customHeight="1" x14ac:dyDescent="0.25">
      <c r="B787"/>
      <c r="C787" s="41" t="str">
        <f>IFERROR(VLOOKUP(B787,Baza[[№]:[Profit]],2,0),"")</f>
        <v/>
      </c>
      <c r="D78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8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87" s="43" t="str">
        <f>IFERROR(VLOOKUP(B787,Baza[[№]:[Profit]],3,0),"")</f>
        <v/>
      </c>
      <c r="G787" s="43" t="str">
        <f>IFERROR(VLOOKUP(B787,Baza[[№]:[Profit]],4,0),"")</f>
        <v/>
      </c>
      <c r="H787" s="43" t="str">
        <f>IFERROR(VLOOKUP(B787,Baza[[№]:[Profit]],5,0),"")</f>
        <v/>
      </c>
      <c r="I787" s="46" t="str">
        <f>IFERROR(VLOOKUP(B787,Baza[[№]:[Profit]],6,0),"")</f>
        <v/>
      </c>
      <c r="J787" s="49" t="str">
        <f>IFERROR(VLOOKUP(B787,Baza[[№]:[Profit]],7,0),"")</f>
        <v/>
      </c>
      <c r="K787" s="43" t="str">
        <f>IFERROR(VLOOKUP(B787,Baza[[№]:[Profit]],8,0),"")</f>
        <v/>
      </c>
      <c r="L787" s="43" t="str">
        <f>IFERROR(VLOOKUP(B787,Baza[[№]:[Profit]],9,0),"")</f>
        <v/>
      </c>
      <c r="M787" s="43" t="str">
        <f>IFERROR(VLOOKUP(B787,Baza[[№]:[Profit]],10,0),"")</f>
        <v/>
      </c>
      <c r="N787" s="43" t="str">
        <f>IFERROR(IF(VLOOKUP(B787,Baza[[№]:[Profit]],11,0)=0,"-",VLOOKUP(B787,Baza[[№]:[Profit]],11,0)),"")</f>
        <v/>
      </c>
      <c r="O787" s="43" t="str">
        <f>IFERROR(IF(VLOOKUP(B787,Baza[[№]:[Profit]],12,0)=0,"-",VLOOKUP(B787,Baza[[№]:[Profit]],12,0)),"")</f>
        <v/>
      </c>
      <c r="P787" s="43" t="str">
        <f>IFERROR(IF(VLOOKUP(B787,Baza[[№]:[Profit]],13,0)=0,"-",VLOOKUP(B787,Baza[[№]:[Profit]],13,0)),"")</f>
        <v/>
      </c>
      <c r="Q787" s="43" t="str">
        <f>IFERROR(IF(VLOOKUP(B787,Baza[[№]:[Profit]],15,0)=0,"-",VLOOKUP(B787,Baza[[№]:[Profit]],15,0)),"")</f>
        <v/>
      </c>
      <c r="R787" s="43" t="str">
        <f>IFERROR(IF(VLOOKUP(B787,Baza[[№]:[Profit]],16,0)=0,"-",VLOOKUP(B787,Baza[[№]:[Profit]],16,0)),"")</f>
        <v/>
      </c>
      <c r="S787" s="43" t="str">
        <f>IFERROR(IF(VLOOKUP(B787,Baza[[№]:[Profit]],17,0)=0,"-",VLOOKUP(B787,Baza[[№]:[Profit]],17,0)),"")</f>
        <v/>
      </c>
      <c r="T787" s="43" t="str">
        <f>IFERROR(IF(VLOOKUP(B787,Baza[[№]:[Profit]],18,0)=0,"-",VLOOKUP(B787,Baza[[№]:[Profit]],18,0)),"")</f>
        <v/>
      </c>
      <c r="U787" s="41" t="str">
        <f>IFERROR(IF(VLOOKUP(B787,Baza[[№]:[Profit]],19,0)=0,"-",VLOOKUP(B787,Baza[[№]:[Profit]],19,0)),"")</f>
        <v/>
      </c>
      <c r="V787" s="41" t="str">
        <f>IFERROR(VLOOKUP(B787,Baza[[№]:[Profit]],20,0),"")</f>
        <v/>
      </c>
      <c r="W787" s="41" t="str">
        <f>IFERROR(IF(VLOOKUP(B787,Baza[[№]:[Profit]],21,0)=0,"-",VLOOKUP(B787,Baza[[№]:[Profit]],21,0)),"")</f>
        <v/>
      </c>
      <c r="X787" s="45" t="str">
        <f>IFERROR(IF(VLOOKUP(B787,Baza[[№]:[Profit]],22,0)=0,"-",VLOOKUP(B787,Baza[[№]:[Profit]],22,0)),"")</f>
        <v/>
      </c>
      <c r="Y787" s="45" t="str">
        <f>IFERROR(VLOOKUP(B787,Baza[[№]:[Profit]],23,0),"")</f>
        <v/>
      </c>
      <c r="Z787" s="44" t="str">
        <f>IFERROR(VLOOKUP(B787,Baza[[№]:[AFS]],24,0),"")</f>
        <v/>
      </c>
      <c r="AA787" s="45" t="str">
        <f>IF(Таблица2[[#This Row],[Profit]]="","#Н/Д",SUM($Y$40:Y787))</f>
        <v>#Н/Д</v>
      </c>
      <c r="AB787" s="45" t="b">
        <f>IF(Таблица2[[#This Row],[Grafik]]="#Н/Д",FALSE,TRUE)</f>
        <v>0</v>
      </c>
    </row>
    <row r="788" spans="2:28" ht="11.1" hidden="1" customHeight="1" x14ac:dyDescent="0.25">
      <c r="B788"/>
      <c r="C788" s="41" t="str">
        <f>IFERROR(VLOOKUP(B788,Baza[[№]:[Profit]],2,0),"")</f>
        <v/>
      </c>
      <c r="D78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8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88" s="43" t="str">
        <f>IFERROR(VLOOKUP(B788,Baza[[№]:[Profit]],3,0),"")</f>
        <v/>
      </c>
      <c r="G788" s="43" t="str">
        <f>IFERROR(VLOOKUP(B788,Baza[[№]:[Profit]],4,0),"")</f>
        <v/>
      </c>
      <c r="H788" s="43" t="str">
        <f>IFERROR(VLOOKUP(B788,Baza[[№]:[Profit]],5,0),"")</f>
        <v/>
      </c>
      <c r="I788" s="46" t="str">
        <f>IFERROR(VLOOKUP(B788,Baza[[№]:[Profit]],6,0),"")</f>
        <v/>
      </c>
      <c r="J788" s="49" t="str">
        <f>IFERROR(VLOOKUP(B788,Baza[[№]:[Profit]],7,0),"")</f>
        <v/>
      </c>
      <c r="K788" s="43" t="str">
        <f>IFERROR(VLOOKUP(B788,Baza[[№]:[Profit]],8,0),"")</f>
        <v/>
      </c>
      <c r="L788" s="43" t="str">
        <f>IFERROR(VLOOKUP(B788,Baza[[№]:[Profit]],9,0),"")</f>
        <v/>
      </c>
      <c r="M788" s="43" t="str">
        <f>IFERROR(VLOOKUP(B788,Baza[[№]:[Profit]],10,0),"")</f>
        <v/>
      </c>
      <c r="N788" s="43" t="str">
        <f>IFERROR(IF(VLOOKUP(B788,Baza[[№]:[Profit]],11,0)=0,"-",VLOOKUP(B788,Baza[[№]:[Profit]],11,0)),"")</f>
        <v/>
      </c>
      <c r="O788" s="43" t="str">
        <f>IFERROR(IF(VLOOKUP(B788,Baza[[№]:[Profit]],12,0)=0,"-",VLOOKUP(B788,Baza[[№]:[Profit]],12,0)),"")</f>
        <v/>
      </c>
      <c r="P788" s="43" t="str">
        <f>IFERROR(IF(VLOOKUP(B788,Baza[[№]:[Profit]],13,0)=0,"-",VLOOKUP(B788,Baza[[№]:[Profit]],13,0)),"")</f>
        <v/>
      </c>
      <c r="Q788" s="43" t="str">
        <f>IFERROR(IF(VLOOKUP(B788,Baza[[№]:[Profit]],15,0)=0,"-",VLOOKUP(B788,Baza[[№]:[Profit]],15,0)),"")</f>
        <v/>
      </c>
      <c r="R788" s="43" t="str">
        <f>IFERROR(IF(VLOOKUP(B788,Baza[[№]:[Profit]],16,0)=0,"-",VLOOKUP(B788,Baza[[№]:[Profit]],16,0)),"")</f>
        <v/>
      </c>
      <c r="S788" s="43" t="str">
        <f>IFERROR(IF(VLOOKUP(B788,Baza[[№]:[Profit]],17,0)=0,"-",VLOOKUP(B788,Baza[[№]:[Profit]],17,0)),"")</f>
        <v/>
      </c>
      <c r="T788" s="43" t="str">
        <f>IFERROR(IF(VLOOKUP(B788,Baza[[№]:[Profit]],18,0)=0,"-",VLOOKUP(B788,Baza[[№]:[Profit]],18,0)),"")</f>
        <v/>
      </c>
      <c r="U788" s="41" t="str">
        <f>IFERROR(IF(VLOOKUP(B788,Baza[[№]:[Profit]],19,0)=0,"-",VLOOKUP(B788,Baza[[№]:[Profit]],19,0)),"")</f>
        <v/>
      </c>
      <c r="V788" s="41" t="str">
        <f>IFERROR(VLOOKUP(B788,Baza[[№]:[Profit]],20,0),"")</f>
        <v/>
      </c>
      <c r="W788" s="41" t="str">
        <f>IFERROR(IF(VLOOKUP(B788,Baza[[№]:[Profit]],21,0)=0,"-",VLOOKUP(B788,Baza[[№]:[Profit]],21,0)),"")</f>
        <v/>
      </c>
      <c r="X788" s="45" t="str">
        <f>IFERROR(IF(VLOOKUP(B788,Baza[[№]:[Profit]],22,0)=0,"-",VLOOKUP(B788,Baza[[№]:[Profit]],22,0)),"")</f>
        <v/>
      </c>
      <c r="Y788" s="45" t="str">
        <f>IFERROR(VLOOKUP(B788,Baza[[№]:[Profit]],23,0),"")</f>
        <v/>
      </c>
      <c r="Z788" s="44" t="str">
        <f>IFERROR(VLOOKUP(B788,Baza[[№]:[AFS]],24,0),"")</f>
        <v/>
      </c>
      <c r="AA788" s="45" t="str">
        <f>IF(Таблица2[[#This Row],[Profit]]="","#Н/Д",SUM($Y$40:Y788))</f>
        <v>#Н/Д</v>
      </c>
      <c r="AB788" s="45" t="b">
        <f>IF(Таблица2[[#This Row],[Grafik]]="#Н/Д",FALSE,TRUE)</f>
        <v>0</v>
      </c>
    </row>
    <row r="789" spans="2:28" ht="11.1" hidden="1" customHeight="1" x14ac:dyDescent="0.25">
      <c r="B789"/>
      <c r="C789" s="41" t="str">
        <f>IFERROR(VLOOKUP(B789,Baza[[№]:[Profit]],2,0),"")</f>
        <v/>
      </c>
      <c r="D78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8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89" s="43" t="str">
        <f>IFERROR(VLOOKUP(B789,Baza[[№]:[Profit]],3,0),"")</f>
        <v/>
      </c>
      <c r="G789" s="43" t="str">
        <f>IFERROR(VLOOKUP(B789,Baza[[№]:[Profit]],4,0),"")</f>
        <v/>
      </c>
      <c r="H789" s="43" t="str">
        <f>IFERROR(VLOOKUP(B789,Baza[[№]:[Profit]],5,0),"")</f>
        <v/>
      </c>
      <c r="I789" s="46" t="str">
        <f>IFERROR(VLOOKUP(B789,Baza[[№]:[Profit]],6,0),"")</f>
        <v/>
      </c>
      <c r="J789" s="49" t="str">
        <f>IFERROR(VLOOKUP(B789,Baza[[№]:[Profit]],7,0),"")</f>
        <v/>
      </c>
      <c r="K789" s="43" t="str">
        <f>IFERROR(VLOOKUP(B789,Baza[[№]:[Profit]],8,0),"")</f>
        <v/>
      </c>
      <c r="L789" s="43" t="str">
        <f>IFERROR(VLOOKUP(B789,Baza[[№]:[Profit]],9,0),"")</f>
        <v/>
      </c>
      <c r="M789" s="43" t="str">
        <f>IFERROR(VLOOKUP(B789,Baza[[№]:[Profit]],10,0),"")</f>
        <v/>
      </c>
      <c r="N789" s="43" t="str">
        <f>IFERROR(IF(VLOOKUP(B789,Baza[[№]:[Profit]],11,0)=0,"-",VLOOKUP(B789,Baza[[№]:[Profit]],11,0)),"")</f>
        <v/>
      </c>
      <c r="O789" s="43" t="str">
        <f>IFERROR(IF(VLOOKUP(B789,Baza[[№]:[Profit]],12,0)=0,"-",VLOOKUP(B789,Baza[[№]:[Profit]],12,0)),"")</f>
        <v/>
      </c>
      <c r="P789" s="43" t="str">
        <f>IFERROR(IF(VLOOKUP(B789,Baza[[№]:[Profit]],13,0)=0,"-",VLOOKUP(B789,Baza[[№]:[Profit]],13,0)),"")</f>
        <v/>
      </c>
      <c r="Q789" s="43" t="str">
        <f>IFERROR(IF(VLOOKUP(B789,Baza[[№]:[Profit]],15,0)=0,"-",VLOOKUP(B789,Baza[[№]:[Profit]],15,0)),"")</f>
        <v/>
      </c>
      <c r="R789" s="43" t="str">
        <f>IFERROR(IF(VLOOKUP(B789,Baza[[№]:[Profit]],16,0)=0,"-",VLOOKUP(B789,Baza[[№]:[Profit]],16,0)),"")</f>
        <v/>
      </c>
      <c r="S789" s="43" t="str">
        <f>IFERROR(IF(VLOOKUP(B789,Baza[[№]:[Profit]],17,0)=0,"-",VLOOKUP(B789,Baza[[№]:[Profit]],17,0)),"")</f>
        <v/>
      </c>
      <c r="T789" s="43" t="str">
        <f>IFERROR(IF(VLOOKUP(B789,Baza[[№]:[Profit]],18,0)=0,"-",VLOOKUP(B789,Baza[[№]:[Profit]],18,0)),"")</f>
        <v/>
      </c>
      <c r="U789" s="41" t="str">
        <f>IFERROR(IF(VLOOKUP(B789,Baza[[№]:[Profit]],19,0)=0,"-",VLOOKUP(B789,Baza[[№]:[Profit]],19,0)),"")</f>
        <v/>
      </c>
      <c r="V789" s="41" t="str">
        <f>IFERROR(VLOOKUP(B789,Baza[[№]:[Profit]],20,0),"")</f>
        <v/>
      </c>
      <c r="W789" s="41" t="str">
        <f>IFERROR(IF(VLOOKUP(B789,Baza[[№]:[Profit]],21,0)=0,"-",VLOOKUP(B789,Baza[[№]:[Profit]],21,0)),"")</f>
        <v/>
      </c>
      <c r="X789" s="45" t="str">
        <f>IFERROR(IF(VLOOKUP(B789,Baza[[№]:[Profit]],22,0)=0,"-",VLOOKUP(B789,Baza[[№]:[Profit]],22,0)),"")</f>
        <v/>
      </c>
      <c r="Y789" s="45" t="str">
        <f>IFERROR(VLOOKUP(B789,Baza[[№]:[Profit]],23,0),"")</f>
        <v/>
      </c>
      <c r="Z789" s="44" t="str">
        <f>IFERROR(VLOOKUP(B789,Baza[[№]:[AFS]],24,0),"")</f>
        <v/>
      </c>
      <c r="AA789" s="45" t="str">
        <f>IF(Таблица2[[#This Row],[Profit]]="","#Н/Д",SUM($Y$40:Y789))</f>
        <v>#Н/Д</v>
      </c>
      <c r="AB789" s="45" t="b">
        <f>IF(Таблица2[[#This Row],[Grafik]]="#Н/Д",FALSE,TRUE)</f>
        <v>0</v>
      </c>
    </row>
    <row r="790" spans="2:28" ht="11.1" hidden="1" customHeight="1" x14ac:dyDescent="0.25">
      <c r="B790"/>
      <c r="C790" s="41" t="str">
        <f>IFERROR(VLOOKUP(B790,Baza[[№]:[Profit]],2,0),"")</f>
        <v/>
      </c>
      <c r="D79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9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90" s="43" t="str">
        <f>IFERROR(VLOOKUP(B790,Baza[[№]:[Profit]],3,0),"")</f>
        <v/>
      </c>
      <c r="G790" s="43" t="str">
        <f>IFERROR(VLOOKUP(B790,Baza[[№]:[Profit]],4,0),"")</f>
        <v/>
      </c>
      <c r="H790" s="43" t="str">
        <f>IFERROR(VLOOKUP(B790,Baza[[№]:[Profit]],5,0),"")</f>
        <v/>
      </c>
      <c r="I790" s="46" t="str">
        <f>IFERROR(VLOOKUP(B790,Baza[[№]:[Profit]],6,0),"")</f>
        <v/>
      </c>
      <c r="J790" s="49" t="str">
        <f>IFERROR(VLOOKUP(B790,Baza[[№]:[Profit]],7,0),"")</f>
        <v/>
      </c>
      <c r="K790" s="43" t="str">
        <f>IFERROR(VLOOKUP(B790,Baza[[№]:[Profit]],8,0),"")</f>
        <v/>
      </c>
      <c r="L790" s="43" t="str">
        <f>IFERROR(VLOOKUP(B790,Baza[[№]:[Profit]],9,0),"")</f>
        <v/>
      </c>
      <c r="M790" s="43" t="str">
        <f>IFERROR(VLOOKUP(B790,Baza[[№]:[Profit]],10,0),"")</f>
        <v/>
      </c>
      <c r="N790" s="43" t="str">
        <f>IFERROR(IF(VLOOKUP(B790,Baza[[№]:[Profit]],11,0)=0,"-",VLOOKUP(B790,Baza[[№]:[Profit]],11,0)),"")</f>
        <v/>
      </c>
      <c r="O790" s="43" t="str">
        <f>IFERROR(IF(VLOOKUP(B790,Baza[[№]:[Profit]],12,0)=0,"-",VLOOKUP(B790,Baza[[№]:[Profit]],12,0)),"")</f>
        <v/>
      </c>
      <c r="P790" s="43" t="str">
        <f>IFERROR(IF(VLOOKUP(B790,Baza[[№]:[Profit]],13,0)=0,"-",VLOOKUP(B790,Baza[[№]:[Profit]],13,0)),"")</f>
        <v/>
      </c>
      <c r="Q790" s="43" t="str">
        <f>IFERROR(IF(VLOOKUP(B790,Baza[[№]:[Profit]],15,0)=0,"-",VLOOKUP(B790,Baza[[№]:[Profit]],15,0)),"")</f>
        <v/>
      </c>
      <c r="R790" s="43" t="str">
        <f>IFERROR(IF(VLOOKUP(B790,Baza[[№]:[Profit]],16,0)=0,"-",VLOOKUP(B790,Baza[[№]:[Profit]],16,0)),"")</f>
        <v/>
      </c>
      <c r="S790" s="43" t="str">
        <f>IFERROR(IF(VLOOKUP(B790,Baza[[№]:[Profit]],17,0)=0,"-",VLOOKUP(B790,Baza[[№]:[Profit]],17,0)),"")</f>
        <v/>
      </c>
      <c r="T790" s="43" t="str">
        <f>IFERROR(IF(VLOOKUP(B790,Baza[[№]:[Profit]],18,0)=0,"-",VLOOKUP(B790,Baza[[№]:[Profit]],18,0)),"")</f>
        <v/>
      </c>
      <c r="U790" s="41" t="str">
        <f>IFERROR(IF(VLOOKUP(B790,Baza[[№]:[Profit]],19,0)=0,"-",VLOOKUP(B790,Baza[[№]:[Profit]],19,0)),"")</f>
        <v/>
      </c>
      <c r="V790" s="41" t="str">
        <f>IFERROR(VLOOKUP(B790,Baza[[№]:[Profit]],20,0),"")</f>
        <v/>
      </c>
      <c r="W790" s="41" t="str">
        <f>IFERROR(IF(VLOOKUP(B790,Baza[[№]:[Profit]],21,0)=0,"-",VLOOKUP(B790,Baza[[№]:[Profit]],21,0)),"")</f>
        <v/>
      </c>
      <c r="X790" s="45" t="str">
        <f>IFERROR(IF(VLOOKUP(B790,Baza[[№]:[Profit]],22,0)=0,"-",VLOOKUP(B790,Baza[[№]:[Profit]],22,0)),"")</f>
        <v/>
      </c>
      <c r="Y790" s="45" t="str">
        <f>IFERROR(VLOOKUP(B790,Baza[[№]:[Profit]],23,0),"")</f>
        <v/>
      </c>
      <c r="Z790" s="44" t="str">
        <f>IFERROR(VLOOKUP(B790,Baza[[№]:[AFS]],24,0),"")</f>
        <v/>
      </c>
      <c r="AA790" s="45" t="str">
        <f>IF(Таблица2[[#This Row],[Profit]]="","#Н/Д",SUM($Y$40:Y790))</f>
        <v>#Н/Д</v>
      </c>
      <c r="AB790" s="45" t="b">
        <f>IF(Таблица2[[#This Row],[Grafik]]="#Н/Д",FALSE,TRUE)</f>
        <v>0</v>
      </c>
    </row>
    <row r="791" spans="2:28" ht="11.1" hidden="1" customHeight="1" x14ac:dyDescent="0.25">
      <c r="B791"/>
      <c r="C791" s="41" t="str">
        <f>IFERROR(VLOOKUP(B791,Baza[[№]:[Profit]],2,0),"")</f>
        <v/>
      </c>
      <c r="D79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9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91" s="43" t="str">
        <f>IFERROR(VLOOKUP(B791,Baza[[№]:[Profit]],3,0),"")</f>
        <v/>
      </c>
      <c r="G791" s="43" t="str">
        <f>IFERROR(VLOOKUP(B791,Baza[[№]:[Profit]],4,0),"")</f>
        <v/>
      </c>
      <c r="H791" s="43" t="str">
        <f>IFERROR(VLOOKUP(B791,Baza[[№]:[Profit]],5,0),"")</f>
        <v/>
      </c>
      <c r="I791" s="46" t="str">
        <f>IFERROR(VLOOKUP(B791,Baza[[№]:[Profit]],6,0),"")</f>
        <v/>
      </c>
      <c r="J791" s="49" t="str">
        <f>IFERROR(VLOOKUP(B791,Baza[[№]:[Profit]],7,0),"")</f>
        <v/>
      </c>
      <c r="K791" s="43" t="str">
        <f>IFERROR(VLOOKUP(B791,Baza[[№]:[Profit]],8,0),"")</f>
        <v/>
      </c>
      <c r="L791" s="43" t="str">
        <f>IFERROR(VLOOKUP(B791,Baza[[№]:[Profit]],9,0),"")</f>
        <v/>
      </c>
      <c r="M791" s="43" t="str">
        <f>IFERROR(VLOOKUP(B791,Baza[[№]:[Profit]],10,0),"")</f>
        <v/>
      </c>
      <c r="N791" s="43" t="str">
        <f>IFERROR(IF(VLOOKUP(B791,Baza[[№]:[Profit]],11,0)=0,"-",VLOOKUP(B791,Baza[[№]:[Profit]],11,0)),"")</f>
        <v/>
      </c>
      <c r="O791" s="43" t="str">
        <f>IFERROR(IF(VLOOKUP(B791,Baza[[№]:[Profit]],12,0)=0,"-",VLOOKUP(B791,Baza[[№]:[Profit]],12,0)),"")</f>
        <v/>
      </c>
      <c r="P791" s="43" t="str">
        <f>IFERROR(IF(VLOOKUP(B791,Baza[[№]:[Profit]],13,0)=0,"-",VLOOKUP(B791,Baza[[№]:[Profit]],13,0)),"")</f>
        <v/>
      </c>
      <c r="Q791" s="43" t="str">
        <f>IFERROR(IF(VLOOKUP(B791,Baza[[№]:[Profit]],15,0)=0,"-",VLOOKUP(B791,Baza[[№]:[Profit]],15,0)),"")</f>
        <v/>
      </c>
      <c r="R791" s="43" t="str">
        <f>IFERROR(IF(VLOOKUP(B791,Baza[[№]:[Profit]],16,0)=0,"-",VLOOKUP(B791,Baza[[№]:[Profit]],16,0)),"")</f>
        <v/>
      </c>
      <c r="S791" s="43" t="str">
        <f>IFERROR(IF(VLOOKUP(B791,Baza[[№]:[Profit]],17,0)=0,"-",VLOOKUP(B791,Baza[[№]:[Profit]],17,0)),"")</f>
        <v/>
      </c>
      <c r="T791" s="43" t="str">
        <f>IFERROR(IF(VLOOKUP(B791,Baza[[№]:[Profit]],18,0)=0,"-",VLOOKUP(B791,Baza[[№]:[Profit]],18,0)),"")</f>
        <v/>
      </c>
      <c r="U791" s="41" t="str">
        <f>IFERROR(IF(VLOOKUP(B791,Baza[[№]:[Profit]],19,0)=0,"-",VLOOKUP(B791,Baza[[№]:[Profit]],19,0)),"")</f>
        <v/>
      </c>
      <c r="V791" s="41" t="str">
        <f>IFERROR(VLOOKUP(B791,Baza[[№]:[Profit]],20,0),"")</f>
        <v/>
      </c>
      <c r="W791" s="41" t="str">
        <f>IFERROR(IF(VLOOKUP(B791,Baza[[№]:[Profit]],21,0)=0,"-",VLOOKUP(B791,Baza[[№]:[Profit]],21,0)),"")</f>
        <v/>
      </c>
      <c r="X791" s="45" t="str">
        <f>IFERROR(IF(VLOOKUP(B791,Baza[[№]:[Profit]],22,0)=0,"-",VLOOKUP(B791,Baza[[№]:[Profit]],22,0)),"")</f>
        <v/>
      </c>
      <c r="Y791" s="45" t="str">
        <f>IFERROR(VLOOKUP(B791,Baza[[№]:[Profit]],23,0),"")</f>
        <v/>
      </c>
      <c r="Z791" s="44" t="str">
        <f>IFERROR(VLOOKUP(B791,Baza[[№]:[AFS]],24,0),"")</f>
        <v/>
      </c>
      <c r="AA791" s="45" t="str">
        <f>IF(Таблица2[[#This Row],[Profit]]="","#Н/Д",SUM($Y$40:Y791))</f>
        <v>#Н/Д</v>
      </c>
      <c r="AB791" s="45" t="b">
        <f>IF(Таблица2[[#This Row],[Grafik]]="#Н/Д",FALSE,TRUE)</f>
        <v>0</v>
      </c>
    </row>
    <row r="792" spans="2:28" ht="11.1" hidden="1" customHeight="1" x14ac:dyDescent="0.25">
      <c r="B792"/>
      <c r="C792" s="41" t="str">
        <f>IFERROR(VLOOKUP(B792,Baza[[№]:[Profit]],2,0),"")</f>
        <v/>
      </c>
      <c r="D79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9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92" s="43" t="str">
        <f>IFERROR(VLOOKUP(B792,Baza[[№]:[Profit]],3,0),"")</f>
        <v/>
      </c>
      <c r="G792" s="43" t="str">
        <f>IFERROR(VLOOKUP(B792,Baza[[№]:[Profit]],4,0),"")</f>
        <v/>
      </c>
      <c r="H792" s="43" t="str">
        <f>IFERROR(VLOOKUP(B792,Baza[[№]:[Profit]],5,0),"")</f>
        <v/>
      </c>
      <c r="I792" s="46" t="str">
        <f>IFERROR(VLOOKUP(B792,Baza[[№]:[Profit]],6,0),"")</f>
        <v/>
      </c>
      <c r="J792" s="49" t="str">
        <f>IFERROR(VLOOKUP(B792,Baza[[№]:[Profit]],7,0),"")</f>
        <v/>
      </c>
      <c r="K792" s="43" t="str">
        <f>IFERROR(VLOOKUP(B792,Baza[[№]:[Profit]],8,0),"")</f>
        <v/>
      </c>
      <c r="L792" s="43" t="str">
        <f>IFERROR(VLOOKUP(B792,Baza[[№]:[Profit]],9,0),"")</f>
        <v/>
      </c>
      <c r="M792" s="43" t="str">
        <f>IFERROR(VLOOKUP(B792,Baza[[№]:[Profit]],10,0),"")</f>
        <v/>
      </c>
      <c r="N792" s="43" t="str">
        <f>IFERROR(IF(VLOOKUP(B792,Baza[[№]:[Profit]],11,0)=0,"-",VLOOKUP(B792,Baza[[№]:[Profit]],11,0)),"")</f>
        <v/>
      </c>
      <c r="O792" s="43" t="str">
        <f>IFERROR(IF(VLOOKUP(B792,Baza[[№]:[Profit]],12,0)=0,"-",VLOOKUP(B792,Baza[[№]:[Profit]],12,0)),"")</f>
        <v/>
      </c>
      <c r="P792" s="43" t="str">
        <f>IFERROR(IF(VLOOKUP(B792,Baza[[№]:[Profit]],13,0)=0,"-",VLOOKUP(B792,Baza[[№]:[Profit]],13,0)),"")</f>
        <v/>
      </c>
      <c r="Q792" s="43" t="str">
        <f>IFERROR(IF(VLOOKUP(B792,Baza[[№]:[Profit]],15,0)=0,"-",VLOOKUP(B792,Baza[[№]:[Profit]],15,0)),"")</f>
        <v/>
      </c>
      <c r="R792" s="43" t="str">
        <f>IFERROR(IF(VLOOKUP(B792,Baza[[№]:[Profit]],16,0)=0,"-",VLOOKUP(B792,Baza[[№]:[Profit]],16,0)),"")</f>
        <v/>
      </c>
      <c r="S792" s="43" t="str">
        <f>IFERROR(IF(VLOOKUP(B792,Baza[[№]:[Profit]],17,0)=0,"-",VLOOKUP(B792,Baza[[№]:[Profit]],17,0)),"")</f>
        <v/>
      </c>
      <c r="T792" s="43" t="str">
        <f>IFERROR(IF(VLOOKUP(B792,Baza[[№]:[Profit]],18,0)=0,"-",VLOOKUP(B792,Baza[[№]:[Profit]],18,0)),"")</f>
        <v/>
      </c>
      <c r="U792" s="41" t="str">
        <f>IFERROR(IF(VLOOKUP(B792,Baza[[№]:[Profit]],19,0)=0,"-",VLOOKUP(B792,Baza[[№]:[Profit]],19,0)),"")</f>
        <v/>
      </c>
      <c r="V792" s="41" t="str">
        <f>IFERROR(VLOOKUP(B792,Baza[[№]:[Profit]],20,0),"")</f>
        <v/>
      </c>
      <c r="W792" s="41" t="str">
        <f>IFERROR(IF(VLOOKUP(B792,Baza[[№]:[Profit]],21,0)=0,"-",VLOOKUP(B792,Baza[[№]:[Profit]],21,0)),"")</f>
        <v/>
      </c>
      <c r="X792" s="45" t="str">
        <f>IFERROR(IF(VLOOKUP(B792,Baza[[№]:[Profit]],22,0)=0,"-",VLOOKUP(B792,Baza[[№]:[Profit]],22,0)),"")</f>
        <v/>
      </c>
      <c r="Y792" s="45" t="str">
        <f>IFERROR(VLOOKUP(B792,Baza[[№]:[Profit]],23,0),"")</f>
        <v/>
      </c>
      <c r="Z792" s="44" t="str">
        <f>IFERROR(VLOOKUP(B792,Baza[[№]:[AFS]],24,0),"")</f>
        <v/>
      </c>
      <c r="AA792" s="45" t="str">
        <f>IF(Таблица2[[#This Row],[Profit]]="","#Н/Д",SUM($Y$40:Y792))</f>
        <v>#Н/Д</v>
      </c>
      <c r="AB792" s="45" t="b">
        <f>IF(Таблица2[[#This Row],[Grafik]]="#Н/Д",FALSE,TRUE)</f>
        <v>0</v>
      </c>
    </row>
    <row r="793" spans="2:28" ht="11.1" hidden="1" customHeight="1" x14ac:dyDescent="0.25">
      <c r="B793"/>
      <c r="C793" s="41" t="str">
        <f>IFERROR(VLOOKUP(B793,Baza[[№]:[Profit]],2,0),"")</f>
        <v/>
      </c>
      <c r="D79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9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93" s="43" t="str">
        <f>IFERROR(VLOOKUP(B793,Baza[[№]:[Profit]],3,0),"")</f>
        <v/>
      </c>
      <c r="G793" s="43" t="str">
        <f>IFERROR(VLOOKUP(B793,Baza[[№]:[Profit]],4,0),"")</f>
        <v/>
      </c>
      <c r="H793" s="43" t="str">
        <f>IFERROR(VLOOKUP(B793,Baza[[№]:[Profit]],5,0),"")</f>
        <v/>
      </c>
      <c r="I793" s="46" t="str">
        <f>IFERROR(VLOOKUP(B793,Baza[[№]:[Profit]],6,0),"")</f>
        <v/>
      </c>
      <c r="J793" s="49" t="str">
        <f>IFERROR(VLOOKUP(B793,Baza[[№]:[Profit]],7,0),"")</f>
        <v/>
      </c>
      <c r="K793" s="43" t="str">
        <f>IFERROR(VLOOKUP(B793,Baza[[№]:[Profit]],8,0),"")</f>
        <v/>
      </c>
      <c r="L793" s="43" t="str">
        <f>IFERROR(VLOOKUP(B793,Baza[[№]:[Profit]],9,0),"")</f>
        <v/>
      </c>
      <c r="M793" s="43" t="str">
        <f>IFERROR(VLOOKUP(B793,Baza[[№]:[Profit]],10,0),"")</f>
        <v/>
      </c>
      <c r="N793" s="43" t="str">
        <f>IFERROR(IF(VLOOKUP(B793,Baza[[№]:[Profit]],11,0)=0,"-",VLOOKUP(B793,Baza[[№]:[Profit]],11,0)),"")</f>
        <v/>
      </c>
      <c r="O793" s="43" t="str">
        <f>IFERROR(IF(VLOOKUP(B793,Baza[[№]:[Profit]],12,0)=0,"-",VLOOKUP(B793,Baza[[№]:[Profit]],12,0)),"")</f>
        <v/>
      </c>
      <c r="P793" s="43" t="str">
        <f>IFERROR(IF(VLOOKUP(B793,Baza[[№]:[Profit]],13,0)=0,"-",VLOOKUP(B793,Baza[[№]:[Profit]],13,0)),"")</f>
        <v/>
      </c>
      <c r="Q793" s="43" t="str">
        <f>IFERROR(IF(VLOOKUP(B793,Baza[[№]:[Profit]],15,0)=0,"-",VLOOKUP(B793,Baza[[№]:[Profit]],15,0)),"")</f>
        <v/>
      </c>
      <c r="R793" s="43" t="str">
        <f>IFERROR(IF(VLOOKUP(B793,Baza[[№]:[Profit]],16,0)=0,"-",VLOOKUP(B793,Baza[[№]:[Profit]],16,0)),"")</f>
        <v/>
      </c>
      <c r="S793" s="43" t="str">
        <f>IFERROR(IF(VLOOKUP(B793,Baza[[№]:[Profit]],17,0)=0,"-",VLOOKUP(B793,Baza[[№]:[Profit]],17,0)),"")</f>
        <v/>
      </c>
      <c r="T793" s="43" t="str">
        <f>IFERROR(IF(VLOOKUP(B793,Baza[[№]:[Profit]],18,0)=0,"-",VLOOKUP(B793,Baza[[№]:[Profit]],18,0)),"")</f>
        <v/>
      </c>
      <c r="U793" s="41" t="str">
        <f>IFERROR(IF(VLOOKUP(B793,Baza[[№]:[Profit]],19,0)=0,"-",VLOOKUP(B793,Baza[[№]:[Profit]],19,0)),"")</f>
        <v/>
      </c>
      <c r="V793" s="41" t="str">
        <f>IFERROR(VLOOKUP(B793,Baza[[№]:[Profit]],20,0),"")</f>
        <v/>
      </c>
      <c r="W793" s="41" t="str">
        <f>IFERROR(IF(VLOOKUP(B793,Baza[[№]:[Profit]],21,0)=0,"-",VLOOKUP(B793,Baza[[№]:[Profit]],21,0)),"")</f>
        <v/>
      </c>
      <c r="X793" s="45" t="str">
        <f>IFERROR(IF(VLOOKUP(B793,Baza[[№]:[Profit]],22,0)=0,"-",VLOOKUP(B793,Baza[[№]:[Profit]],22,0)),"")</f>
        <v/>
      </c>
      <c r="Y793" s="45" t="str">
        <f>IFERROR(VLOOKUP(B793,Baza[[№]:[Profit]],23,0),"")</f>
        <v/>
      </c>
      <c r="Z793" s="44" t="str">
        <f>IFERROR(VLOOKUP(B793,Baza[[№]:[AFS]],24,0),"")</f>
        <v/>
      </c>
      <c r="AA793" s="45" t="str">
        <f>IF(Таблица2[[#This Row],[Profit]]="","#Н/Д",SUM($Y$40:Y793))</f>
        <v>#Н/Д</v>
      </c>
      <c r="AB793" s="45" t="b">
        <f>IF(Таблица2[[#This Row],[Grafik]]="#Н/Д",FALSE,TRUE)</f>
        <v>0</v>
      </c>
    </row>
    <row r="794" spans="2:28" ht="11.1" hidden="1" customHeight="1" x14ac:dyDescent="0.25">
      <c r="B794"/>
      <c r="C794" s="41" t="str">
        <f>IFERROR(VLOOKUP(B794,Baza[[№]:[Profit]],2,0),"")</f>
        <v/>
      </c>
      <c r="D79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9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94" s="43" t="str">
        <f>IFERROR(VLOOKUP(B794,Baza[[№]:[Profit]],3,0),"")</f>
        <v/>
      </c>
      <c r="G794" s="43" t="str">
        <f>IFERROR(VLOOKUP(B794,Baza[[№]:[Profit]],4,0),"")</f>
        <v/>
      </c>
      <c r="H794" s="43" t="str">
        <f>IFERROR(VLOOKUP(B794,Baza[[№]:[Profit]],5,0),"")</f>
        <v/>
      </c>
      <c r="I794" s="46" t="str">
        <f>IFERROR(VLOOKUP(B794,Baza[[№]:[Profit]],6,0),"")</f>
        <v/>
      </c>
      <c r="J794" s="49" t="str">
        <f>IFERROR(VLOOKUP(B794,Baza[[№]:[Profit]],7,0),"")</f>
        <v/>
      </c>
      <c r="K794" s="43" t="str">
        <f>IFERROR(VLOOKUP(B794,Baza[[№]:[Profit]],8,0),"")</f>
        <v/>
      </c>
      <c r="L794" s="43" t="str">
        <f>IFERROR(VLOOKUP(B794,Baza[[№]:[Profit]],9,0),"")</f>
        <v/>
      </c>
      <c r="M794" s="43" t="str">
        <f>IFERROR(VLOOKUP(B794,Baza[[№]:[Profit]],10,0),"")</f>
        <v/>
      </c>
      <c r="N794" s="43" t="str">
        <f>IFERROR(IF(VLOOKUP(B794,Baza[[№]:[Profit]],11,0)=0,"-",VLOOKUP(B794,Baza[[№]:[Profit]],11,0)),"")</f>
        <v/>
      </c>
      <c r="O794" s="43" t="str">
        <f>IFERROR(IF(VLOOKUP(B794,Baza[[№]:[Profit]],12,0)=0,"-",VLOOKUP(B794,Baza[[№]:[Profit]],12,0)),"")</f>
        <v/>
      </c>
      <c r="P794" s="43" t="str">
        <f>IFERROR(IF(VLOOKUP(B794,Baza[[№]:[Profit]],13,0)=0,"-",VLOOKUP(B794,Baza[[№]:[Profit]],13,0)),"")</f>
        <v/>
      </c>
      <c r="Q794" s="43" t="str">
        <f>IFERROR(IF(VLOOKUP(B794,Baza[[№]:[Profit]],15,0)=0,"-",VLOOKUP(B794,Baza[[№]:[Profit]],15,0)),"")</f>
        <v/>
      </c>
      <c r="R794" s="43" t="str">
        <f>IFERROR(IF(VLOOKUP(B794,Baza[[№]:[Profit]],16,0)=0,"-",VLOOKUP(B794,Baza[[№]:[Profit]],16,0)),"")</f>
        <v/>
      </c>
      <c r="S794" s="43" t="str">
        <f>IFERROR(IF(VLOOKUP(B794,Baza[[№]:[Profit]],17,0)=0,"-",VLOOKUP(B794,Baza[[№]:[Profit]],17,0)),"")</f>
        <v/>
      </c>
      <c r="T794" s="43" t="str">
        <f>IFERROR(IF(VLOOKUP(B794,Baza[[№]:[Profit]],18,0)=0,"-",VLOOKUP(B794,Baza[[№]:[Profit]],18,0)),"")</f>
        <v/>
      </c>
      <c r="U794" s="41" t="str">
        <f>IFERROR(IF(VLOOKUP(B794,Baza[[№]:[Profit]],19,0)=0,"-",VLOOKUP(B794,Baza[[№]:[Profit]],19,0)),"")</f>
        <v/>
      </c>
      <c r="V794" s="41" t="str">
        <f>IFERROR(VLOOKUP(B794,Baza[[№]:[Profit]],20,0),"")</f>
        <v/>
      </c>
      <c r="W794" s="41" t="str">
        <f>IFERROR(IF(VLOOKUP(B794,Baza[[№]:[Profit]],21,0)=0,"-",VLOOKUP(B794,Baza[[№]:[Profit]],21,0)),"")</f>
        <v/>
      </c>
      <c r="X794" s="45" t="str">
        <f>IFERROR(IF(VLOOKUP(B794,Baza[[№]:[Profit]],22,0)=0,"-",VLOOKUP(B794,Baza[[№]:[Profit]],22,0)),"")</f>
        <v/>
      </c>
      <c r="Y794" s="45" t="str">
        <f>IFERROR(VLOOKUP(B794,Baza[[№]:[Profit]],23,0),"")</f>
        <v/>
      </c>
      <c r="Z794" s="44" t="str">
        <f>IFERROR(VLOOKUP(B794,Baza[[№]:[AFS]],24,0),"")</f>
        <v/>
      </c>
      <c r="AA794" s="45" t="str">
        <f>IF(Таблица2[[#This Row],[Profit]]="","#Н/Д",SUM($Y$40:Y794))</f>
        <v>#Н/Д</v>
      </c>
      <c r="AB794" s="45" t="b">
        <f>IF(Таблица2[[#This Row],[Grafik]]="#Н/Д",FALSE,TRUE)</f>
        <v>0</v>
      </c>
    </row>
    <row r="795" spans="2:28" ht="11.1" hidden="1" customHeight="1" x14ac:dyDescent="0.25">
      <c r="B795"/>
      <c r="C795" s="41" t="str">
        <f>IFERROR(VLOOKUP(B795,Baza[[№]:[Profit]],2,0),"")</f>
        <v/>
      </c>
      <c r="D79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9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95" s="43" t="str">
        <f>IFERROR(VLOOKUP(B795,Baza[[№]:[Profit]],3,0),"")</f>
        <v/>
      </c>
      <c r="G795" s="43" t="str">
        <f>IFERROR(VLOOKUP(B795,Baza[[№]:[Profit]],4,0),"")</f>
        <v/>
      </c>
      <c r="H795" s="43" t="str">
        <f>IFERROR(VLOOKUP(B795,Baza[[№]:[Profit]],5,0),"")</f>
        <v/>
      </c>
      <c r="I795" s="46" t="str">
        <f>IFERROR(VLOOKUP(B795,Baza[[№]:[Profit]],6,0),"")</f>
        <v/>
      </c>
      <c r="J795" s="49" t="str">
        <f>IFERROR(VLOOKUP(B795,Baza[[№]:[Profit]],7,0),"")</f>
        <v/>
      </c>
      <c r="K795" s="43" t="str">
        <f>IFERROR(VLOOKUP(B795,Baza[[№]:[Profit]],8,0),"")</f>
        <v/>
      </c>
      <c r="L795" s="43" t="str">
        <f>IFERROR(VLOOKUP(B795,Baza[[№]:[Profit]],9,0),"")</f>
        <v/>
      </c>
      <c r="M795" s="43" t="str">
        <f>IFERROR(VLOOKUP(B795,Baza[[№]:[Profit]],10,0),"")</f>
        <v/>
      </c>
      <c r="N795" s="43" t="str">
        <f>IFERROR(IF(VLOOKUP(B795,Baza[[№]:[Profit]],11,0)=0,"-",VLOOKUP(B795,Baza[[№]:[Profit]],11,0)),"")</f>
        <v/>
      </c>
      <c r="O795" s="43" t="str">
        <f>IFERROR(IF(VLOOKUP(B795,Baza[[№]:[Profit]],12,0)=0,"-",VLOOKUP(B795,Baza[[№]:[Profit]],12,0)),"")</f>
        <v/>
      </c>
      <c r="P795" s="43" t="str">
        <f>IFERROR(IF(VLOOKUP(B795,Baza[[№]:[Profit]],13,0)=0,"-",VLOOKUP(B795,Baza[[№]:[Profit]],13,0)),"")</f>
        <v/>
      </c>
      <c r="Q795" s="43" t="str">
        <f>IFERROR(IF(VLOOKUP(B795,Baza[[№]:[Profit]],15,0)=0,"-",VLOOKUP(B795,Baza[[№]:[Profit]],15,0)),"")</f>
        <v/>
      </c>
      <c r="R795" s="43" t="str">
        <f>IFERROR(IF(VLOOKUP(B795,Baza[[№]:[Profit]],16,0)=0,"-",VLOOKUP(B795,Baza[[№]:[Profit]],16,0)),"")</f>
        <v/>
      </c>
      <c r="S795" s="43" t="str">
        <f>IFERROR(IF(VLOOKUP(B795,Baza[[№]:[Profit]],17,0)=0,"-",VLOOKUP(B795,Baza[[№]:[Profit]],17,0)),"")</f>
        <v/>
      </c>
      <c r="T795" s="43" t="str">
        <f>IFERROR(IF(VLOOKUP(B795,Baza[[№]:[Profit]],18,0)=0,"-",VLOOKUP(B795,Baza[[№]:[Profit]],18,0)),"")</f>
        <v/>
      </c>
      <c r="U795" s="41" t="str">
        <f>IFERROR(IF(VLOOKUP(B795,Baza[[№]:[Profit]],19,0)=0,"-",VLOOKUP(B795,Baza[[№]:[Profit]],19,0)),"")</f>
        <v/>
      </c>
      <c r="V795" s="41" t="str">
        <f>IFERROR(VLOOKUP(B795,Baza[[№]:[Profit]],20,0),"")</f>
        <v/>
      </c>
      <c r="W795" s="41" t="str">
        <f>IFERROR(IF(VLOOKUP(B795,Baza[[№]:[Profit]],21,0)=0,"-",VLOOKUP(B795,Baza[[№]:[Profit]],21,0)),"")</f>
        <v/>
      </c>
      <c r="X795" s="45" t="str">
        <f>IFERROR(IF(VLOOKUP(B795,Baza[[№]:[Profit]],22,0)=0,"-",VLOOKUP(B795,Baza[[№]:[Profit]],22,0)),"")</f>
        <v/>
      </c>
      <c r="Y795" s="45" t="str">
        <f>IFERROR(VLOOKUP(B795,Baza[[№]:[Profit]],23,0),"")</f>
        <v/>
      </c>
      <c r="Z795" s="44" t="str">
        <f>IFERROR(VLOOKUP(B795,Baza[[№]:[AFS]],24,0),"")</f>
        <v/>
      </c>
      <c r="AA795" s="45" t="str">
        <f>IF(Таблица2[[#This Row],[Profit]]="","#Н/Д",SUM($Y$40:Y795))</f>
        <v>#Н/Д</v>
      </c>
      <c r="AB795" s="45" t="b">
        <f>IF(Таблица2[[#This Row],[Grafik]]="#Н/Д",FALSE,TRUE)</f>
        <v>0</v>
      </c>
    </row>
    <row r="796" spans="2:28" ht="11.1" hidden="1" customHeight="1" x14ac:dyDescent="0.25">
      <c r="B796"/>
      <c r="C796" s="41" t="str">
        <f>IFERROR(VLOOKUP(B796,Baza[[№]:[Profit]],2,0),"")</f>
        <v/>
      </c>
      <c r="D79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9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96" s="43" t="str">
        <f>IFERROR(VLOOKUP(B796,Baza[[№]:[Profit]],3,0),"")</f>
        <v/>
      </c>
      <c r="G796" s="43" t="str">
        <f>IFERROR(VLOOKUP(B796,Baza[[№]:[Profit]],4,0),"")</f>
        <v/>
      </c>
      <c r="H796" s="43" t="str">
        <f>IFERROR(VLOOKUP(B796,Baza[[№]:[Profit]],5,0),"")</f>
        <v/>
      </c>
      <c r="I796" s="46" t="str">
        <f>IFERROR(VLOOKUP(B796,Baza[[№]:[Profit]],6,0),"")</f>
        <v/>
      </c>
      <c r="J796" s="49" t="str">
        <f>IFERROR(VLOOKUP(B796,Baza[[№]:[Profit]],7,0),"")</f>
        <v/>
      </c>
      <c r="K796" s="43" t="str">
        <f>IFERROR(VLOOKUP(B796,Baza[[№]:[Profit]],8,0),"")</f>
        <v/>
      </c>
      <c r="L796" s="43" t="str">
        <f>IFERROR(VLOOKUP(B796,Baza[[№]:[Profit]],9,0),"")</f>
        <v/>
      </c>
      <c r="M796" s="43" t="str">
        <f>IFERROR(VLOOKUP(B796,Baza[[№]:[Profit]],10,0),"")</f>
        <v/>
      </c>
      <c r="N796" s="43" t="str">
        <f>IFERROR(IF(VLOOKUP(B796,Baza[[№]:[Profit]],11,0)=0,"-",VLOOKUP(B796,Baza[[№]:[Profit]],11,0)),"")</f>
        <v/>
      </c>
      <c r="O796" s="43" t="str">
        <f>IFERROR(IF(VLOOKUP(B796,Baza[[№]:[Profit]],12,0)=0,"-",VLOOKUP(B796,Baza[[№]:[Profit]],12,0)),"")</f>
        <v/>
      </c>
      <c r="P796" s="43" t="str">
        <f>IFERROR(IF(VLOOKUP(B796,Baza[[№]:[Profit]],13,0)=0,"-",VLOOKUP(B796,Baza[[№]:[Profit]],13,0)),"")</f>
        <v/>
      </c>
      <c r="Q796" s="43" t="str">
        <f>IFERROR(IF(VLOOKUP(B796,Baza[[№]:[Profit]],15,0)=0,"-",VLOOKUP(B796,Baza[[№]:[Profit]],15,0)),"")</f>
        <v/>
      </c>
      <c r="R796" s="43" t="str">
        <f>IFERROR(IF(VLOOKUP(B796,Baza[[№]:[Profit]],16,0)=0,"-",VLOOKUP(B796,Baza[[№]:[Profit]],16,0)),"")</f>
        <v/>
      </c>
      <c r="S796" s="43" t="str">
        <f>IFERROR(IF(VLOOKUP(B796,Baza[[№]:[Profit]],17,0)=0,"-",VLOOKUP(B796,Baza[[№]:[Profit]],17,0)),"")</f>
        <v/>
      </c>
      <c r="T796" s="43" t="str">
        <f>IFERROR(IF(VLOOKUP(B796,Baza[[№]:[Profit]],18,0)=0,"-",VLOOKUP(B796,Baza[[№]:[Profit]],18,0)),"")</f>
        <v/>
      </c>
      <c r="U796" s="41" t="str">
        <f>IFERROR(IF(VLOOKUP(B796,Baza[[№]:[Profit]],19,0)=0,"-",VLOOKUP(B796,Baza[[№]:[Profit]],19,0)),"")</f>
        <v/>
      </c>
      <c r="V796" s="41" t="str">
        <f>IFERROR(VLOOKUP(B796,Baza[[№]:[Profit]],20,0),"")</f>
        <v/>
      </c>
      <c r="W796" s="41" t="str">
        <f>IFERROR(IF(VLOOKUP(B796,Baza[[№]:[Profit]],21,0)=0,"-",VLOOKUP(B796,Baza[[№]:[Profit]],21,0)),"")</f>
        <v/>
      </c>
      <c r="X796" s="45" t="str">
        <f>IFERROR(IF(VLOOKUP(B796,Baza[[№]:[Profit]],22,0)=0,"-",VLOOKUP(B796,Baza[[№]:[Profit]],22,0)),"")</f>
        <v/>
      </c>
      <c r="Y796" s="45" t="str">
        <f>IFERROR(VLOOKUP(B796,Baza[[№]:[Profit]],23,0),"")</f>
        <v/>
      </c>
      <c r="Z796" s="44" t="str">
        <f>IFERROR(VLOOKUP(B796,Baza[[№]:[AFS]],24,0),"")</f>
        <v/>
      </c>
      <c r="AA796" s="45" t="str">
        <f>IF(Таблица2[[#This Row],[Profit]]="","#Н/Д",SUM($Y$40:Y796))</f>
        <v>#Н/Д</v>
      </c>
      <c r="AB796" s="45" t="b">
        <f>IF(Таблица2[[#This Row],[Grafik]]="#Н/Д",FALSE,TRUE)</f>
        <v>0</v>
      </c>
    </row>
    <row r="797" spans="2:28" ht="11.1" hidden="1" customHeight="1" x14ac:dyDescent="0.25">
      <c r="B797"/>
      <c r="C797" s="41" t="str">
        <f>IFERROR(VLOOKUP(B797,Baza[[№]:[Profit]],2,0),"")</f>
        <v/>
      </c>
      <c r="D79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9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97" s="43" t="str">
        <f>IFERROR(VLOOKUP(B797,Baza[[№]:[Profit]],3,0),"")</f>
        <v/>
      </c>
      <c r="G797" s="43" t="str">
        <f>IFERROR(VLOOKUP(B797,Baza[[№]:[Profit]],4,0),"")</f>
        <v/>
      </c>
      <c r="H797" s="43" t="str">
        <f>IFERROR(VLOOKUP(B797,Baza[[№]:[Profit]],5,0),"")</f>
        <v/>
      </c>
      <c r="I797" s="46" t="str">
        <f>IFERROR(VLOOKUP(B797,Baza[[№]:[Profit]],6,0),"")</f>
        <v/>
      </c>
      <c r="J797" s="49" t="str">
        <f>IFERROR(VLOOKUP(B797,Baza[[№]:[Profit]],7,0),"")</f>
        <v/>
      </c>
      <c r="K797" s="43" t="str">
        <f>IFERROR(VLOOKUP(B797,Baza[[№]:[Profit]],8,0),"")</f>
        <v/>
      </c>
      <c r="L797" s="43" t="str">
        <f>IFERROR(VLOOKUP(B797,Baza[[№]:[Profit]],9,0),"")</f>
        <v/>
      </c>
      <c r="M797" s="43" t="str">
        <f>IFERROR(VLOOKUP(B797,Baza[[№]:[Profit]],10,0),"")</f>
        <v/>
      </c>
      <c r="N797" s="43" t="str">
        <f>IFERROR(IF(VLOOKUP(B797,Baza[[№]:[Profit]],11,0)=0,"-",VLOOKUP(B797,Baza[[№]:[Profit]],11,0)),"")</f>
        <v/>
      </c>
      <c r="O797" s="43" t="str">
        <f>IFERROR(IF(VLOOKUP(B797,Baza[[№]:[Profit]],12,0)=0,"-",VLOOKUP(B797,Baza[[№]:[Profit]],12,0)),"")</f>
        <v/>
      </c>
      <c r="P797" s="43" t="str">
        <f>IFERROR(IF(VLOOKUP(B797,Baza[[№]:[Profit]],13,0)=0,"-",VLOOKUP(B797,Baza[[№]:[Profit]],13,0)),"")</f>
        <v/>
      </c>
      <c r="Q797" s="43" t="str">
        <f>IFERROR(IF(VLOOKUP(B797,Baza[[№]:[Profit]],15,0)=0,"-",VLOOKUP(B797,Baza[[№]:[Profit]],15,0)),"")</f>
        <v/>
      </c>
      <c r="R797" s="43" t="str">
        <f>IFERROR(IF(VLOOKUP(B797,Baza[[№]:[Profit]],16,0)=0,"-",VLOOKUP(B797,Baza[[№]:[Profit]],16,0)),"")</f>
        <v/>
      </c>
      <c r="S797" s="43" t="str">
        <f>IFERROR(IF(VLOOKUP(B797,Baza[[№]:[Profit]],17,0)=0,"-",VLOOKUP(B797,Baza[[№]:[Profit]],17,0)),"")</f>
        <v/>
      </c>
      <c r="T797" s="43" t="str">
        <f>IFERROR(IF(VLOOKUP(B797,Baza[[№]:[Profit]],18,0)=0,"-",VLOOKUP(B797,Baza[[№]:[Profit]],18,0)),"")</f>
        <v/>
      </c>
      <c r="U797" s="41" t="str">
        <f>IFERROR(IF(VLOOKUP(B797,Baza[[№]:[Profit]],19,0)=0,"-",VLOOKUP(B797,Baza[[№]:[Profit]],19,0)),"")</f>
        <v/>
      </c>
      <c r="V797" s="41" t="str">
        <f>IFERROR(VLOOKUP(B797,Baza[[№]:[Profit]],20,0),"")</f>
        <v/>
      </c>
      <c r="W797" s="41" t="str">
        <f>IFERROR(IF(VLOOKUP(B797,Baza[[№]:[Profit]],21,0)=0,"-",VLOOKUP(B797,Baza[[№]:[Profit]],21,0)),"")</f>
        <v/>
      </c>
      <c r="X797" s="45" t="str">
        <f>IFERROR(IF(VLOOKUP(B797,Baza[[№]:[Profit]],22,0)=0,"-",VLOOKUP(B797,Baza[[№]:[Profit]],22,0)),"")</f>
        <v/>
      </c>
      <c r="Y797" s="45" t="str">
        <f>IFERROR(VLOOKUP(B797,Baza[[№]:[Profit]],23,0),"")</f>
        <v/>
      </c>
      <c r="Z797" s="44" t="str">
        <f>IFERROR(VLOOKUP(B797,Baza[[№]:[AFS]],24,0),"")</f>
        <v/>
      </c>
      <c r="AA797" s="45" t="str">
        <f>IF(Таблица2[[#This Row],[Profit]]="","#Н/Д",SUM($Y$40:Y797))</f>
        <v>#Н/Д</v>
      </c>
      <c r="AB797" s="45" t="b">
        <f>IF(Таблица2[[#This Row],[Grafik]]="#Н/Д",FALSE,TRUE)</f>
        <v>0</v>
      </c>
    </row>
    <row r="798" spans="2:28" ht="11.1" hidden="1" customHeight="1" x14ac:dyDescent="0.25">
      <c r="B798"/>
      <c r="C798" s="41" t="str">
        <f>IFERROR(VLOOKUP(B798,Baza[[№]:[Profit]],2,0),"")</f>
        <v/>
      </c>
      <c r="D79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9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98" s="43" t="str">
        <f>IFERROR(VLOOKUP(B798,Baza[[№]:[Profit]],3,0),"")</f>
        <v/>
      </c>
      <c r="G798" s="43" t="str">
        <f>IFERROR(VLOOKUP(B798,Baza[[№]:[Profit]],4,0),"")</f>
        <v/>
      </c>
      <c r="H798" s="43" t="str">
        <f>IFERROR(VLOOKUP(B798,Baza[[№]:[Profit]],5,0),"")</f>
        <v/>
      </c>
      <c r="I798" s="46" t="str">
        <f>IFERROR(VLOOKUP(B798,Baza[[№]:[Profit]],6,0),"")</f>
        <v/>
      </c>
      <c r="J798" s="49" t="str">
        <f>IFERROR(VLOOKUP(B798,Baza[[№]:[Profit]],7,0),"")</f>
        <v/>
      </c>
      <c r="K798" s="43" t="str">
        <f>IFERROR(VLOOKUP(B798,Baza[[№]:[Profit]],8,0),"")</f>
        <v/>
      </c>
      <c r="L798" s="43" t="str">
        <f>IFERROR(VLOOKUP(B798,Baza[[№]:[Profit]],9,0),"")</f>
        <v/>
      </c>
      <c r="M798" s="43" t="str">
        <f>IFERROR(VLOOKUP(B798,Baza[[№]:[Profit]],10,0),"")</f>
        <v/>
      </c>
      <c r="N798" s="43" t="str">
        <f>IFERROR(IF(VLOOKUP(B798,Baza[[№]:[Profit]],11,0)=0,"-",VLOOKUP(B798,Baza[[№]:[Profit]],11,0)),"")</f>
        <v/>
      </c>
      <c r="O798" s="43" t="str">
        <f>IFERROR(IF(VLOOKUP(B798,Baza[[№]:[Profit]],12,0)=0,"-",VLOOKUP(B798,Baza[[№]:[Profit]],12,0)),"")</f>
        <v/>
      </c>
      <c r="P798" s="43" t="str">
        <f>IFERROR(IF(VLOOKUP(B798,Baza[[№]:[Profit]],13,0)=0,"-",VLOOKUP(B798,Baza[[№]:[Profit]],13,0)),"")</f>
        <v/>
      </c>
      <c r="Q798" s="43" t="str">
        <f>IFERROR(IF(VLOOKUP(B798,Baza[[№]:[Profit]],15,0)=0,"-",VLOOKUP(B798,Baza[[№]:[Profit]],15,0)),"")</f>
        <v/>
      </c>
      <c r="R798" s="43" t="str">
        <f>IFERROR(IF(VLOOKUP(B798,Baza[[№]:[Profit]],16,0)=0,"-",VLOOKUP(B798,Baza[[№]:[Profit]],16,0)),"")</f>
        <v/>
      </c>
      <c r="S798" s="43" t="str">
        <f>IFERROR(IF(VLOOKUP(B798,Baza[[№]:[Profit]],17,0)=0,"-",VLOOKUP(B798,Baza[[№]:[Profit]],17,0)),"")</f>
        <v/>
      </c>
      <c r="T798" s="43" t="str">
        <f>IFERROR(IF(VLOOKUP(B798,Baza[[№]:[Profit]],18,0)=0,"-",VLOOKUP(B798,Baza[[№]:[Profit]],18,0)),"")</f>
        <v/>
      </c>
      <c r="U798" s="41" t="str">
        <f>IFERROR(IF(VLOOKUP(B798,Baza[[№]:[Profit]],19,0)=0,"-",VLOOKUP(B798,Baza[[№]:[Profit]],19,0)),"")</f>
        <v/>
      </c>
      <c r="V798" s="41" t="str">
        <f>IFERROR(VLOOKUP(B798,Baza[[№]:[Profit]],20,0),"")</f>
        <v/>
      </c>
      <c r="W798" s="41" t="str">
        <f>IFERROR(IF(VLOOKUP(B798,Baza[[№]:[Profit]],21,0)=0,"-",VLOOKUP(B798,Baza[[№]:[Profit]],21,0)),"")</f>
        <v/>
      </c>
      <c r="X798" s="45" t="str">
        <f>IFERROR(IF(VLOOKUP(B798,Baza[[№]:[Profit]],22,0)=0,"-",VLOOKUP(B798,Baza[[№]:[Profit]],22,0)),"")</f>
        <v/>
      </c>
      <c r="Y798" s="45" t="str">
        <f>IFERROR(VLOOKUP(B798,Baza[[№]:[Profit]],23,0),"")</f>
        <v/>
      </c>
      <c r="Z798" s="44" t="str">
        <f>IFERROR(VLOOKUP(B798,Baza[[№]:[AFS]],24,0),"")</f>
        <v/>
      </c>
      <c r="AA798" s="45" t="str">
        <f>IF(Таблица2[[#This Row],[Profit]]="","#Н/Д",SUM($Y$40:Y798))</f>
        <v>#Н/Д</v>
      </c>
      <c r="AB798" s="45" t="b">
        <f>IF(Таблица2[[#This Row],[Grafik]]="#Н/Д",FALSE,TRUE)</f>
        <v>0</v>
      </c>
    </row>
    <row r="799" spans="2:28" ht="11.1" hidden="1" customHeight="1" x14ac:dyDescent="0.25">
      <c r="B799"/>
      <c r="C799" s="41" t="str">
        <f>IFERROR(VLOOKUP(B799,Baza[[№]:[Profit]],2,0),"")</f>
        <v/>
      </c>
      <c r="D79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9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99" s="43" t="str">
        <f>IFERROR(VLOOKUP(B799,Baza[[№]:[Profit]],3,0),"")</f>
        <v/>
      </c>
      <c r="G799" s="43" t="str">
        <f>IFERROR(VLOOKUP(B799,Baza[[№]:[Profit]],4,0),"")</f>
        <v/>
      </c>
      <c r="H799" s="43" t="str">
        <f>IFERROR(VLOOKUP(B799,Baza[[№]:[Profit]],5,0),"")</f>
        <v/>
      </c>
      <c r="I799" s="46" t="str">
        <f>IFERROR(VLOOKUP(B799,Baza[[№]:[Profit]],6,0),"")</f>
        <v/>
      </c>
      <c r="J799" s="49" t="str">
        <f>IFERROR(VLOOKUP(B799,Baza[[№]:[Profit]],7,0),"")</f>
        <v/>
      </c>
      <c r="K799" s="43" t="str">
        <f>IFERROR(VLOOKUP(B799,Baza[[№]:[Profit]],8,0),"")</f>
        <v/>
      </c>
      <c r="L799" s="43" t="str">
        <f>IFERROR(VLOOKUP(B799,Baza[[№]:[Profit]],9,0),"")</f>
        <v/>
      </c>
      <c r="M799" s="43" t="str">
        <f>IFERROR(VLOOKUP(B799,Baza[[№]:[Profit]],10,0),"")</f>
        <v/>
      </c>
      <c r="N799" s="43" t="str">
        <f>IFERROR(IF(VLOOKUP(B799,Baza[[№]:[Profit]],11,0)=0,"-",VLOOKUP(B799,Baza[[№]:[Profit]],11,0)),"")</f>
        <v/>
      </c>
      <c r="O799" s="43" t="str">
        <f>IFERROR(IF(VLOOKUP(B799,Baza[[№]:[Profit]],12,0)=0,"-",VLOOKUP(B799,Baza[[№]:[Profit]],12,0)),"")</f>
        <v/>
      </c>
      <c r="P799" s="43" t="str">
        <f>IFERROR(IF(VLOOKUP(B799,Baza[[№]:[Profit]],13,0)=0,"-",VLOOKUP(B799,Baza[[№]:[Profit]],13,0)),"")</f>
        <v/>
      </c>
      <c r="Q799" s="43" t="str">
        <f>IFERROR(IF(VLOOKUP(B799,Baza[[№]:[Profit]],15,0)=0,"-",VLOOKUP(B799,Baza[[№]:[Profit]],15,0)),"")</f>
        <v/>
      </c>
      <c r="R799" s="43" t="str">
        <f>IFERROR(IF(VLOOKUP(B799,Baza[[№]:[Profit]],16,0)=0,"-",VLOOKUP(B799,Baza[[№]:[Profit]],16,0)),"")</f>
        <v/>
      </c>
      <c r="S799" s="43" t="str">
        <f>IFERROR(IF(VLOOKUP(B799,Baza[[№]:[Profit]],17,0)=0,"-",VLOOKUP(B799,Baza[[№]:[Profit]],17,0)),"")</f>
        <v/>
      </c>
      <c r="T799" s="43" t="str">
        <f>IFERROR(IF(VLOOKUP(B799,Baza[[№]:[Profit]],18,0)=0,"-",VLOOKUP(B799,Baza[[№]:[Profit]],18,0)),"")</f>
        <v/>
      </c>
      <c r="U799" s="41" t="str">
        <f>IFERROR(IF(VLOOKUP(B799,Baza[[№]:[Profit]],19,0)=0,"-",VLOOKUP(B799,Baza[[№]:[Profit]],19,0)),"")</f>
        <v/>
      </c>
      <c r="V799" s="41" t="str">
        <f>IFERROR(VLOOKUP(B799,Baza[[№]:[Profit]],20,0),"")</f>
        <v/>
      </c>
      <c r="W799" s="41" t="str">
        <f>IFERROR(IF(VLOOKUP(B799,Baza[[№]:[Profit]],21,0)=0,"-",VLOOKUP(B799,Baza[[№]:[Profit]],21,0)),"")</f>
        <v/>
      </c>
      <c r="X799" s="45" t="str">
        <f>IFERROR(IF(VLOOKUP(B799,Baza[[№]:[Profit]],22,0)=0,"-",VLOOKUP(B799,Baza[[№]:[Profit]],22,0)),"")</f>
        <v/>
      </c>
      <c r="Y799" s="45" t="str">
        <f>IFERROR(VLOOKUP(B799,Baza[[№]:[Profit]],23,0),"")</f>
        <v/>
      </c>
      <c r="Z799" s="44" t="str">
        <f>IFERROR(VLOOKUP(B799,Baza[[№]:[AFS]],24,0),"")</f>
        <v/>
      </c>
      <c r="AA799" s="45" t="str">
        <f>IF(Таблица2[[#This Row],[Profit]]="","#Н/Д",SUM($Y$40:Y799))</f>
        <v>#Н/Д</v>
      </c>
      <c r="AB799" s="45" t="b">
        <f>IF(Таблица2[[#This Row],[Grafik]]="#Н/Д",FALSE,TRUE)</f>
        <v>0</v>
      </c>
    </row>
    <row r="800" spans="2:28" ht="11.1" hidden="1" customHeight="1" x14ac:dyDescent="0.25">
      <c r="B800"/>
      <c r="C800" s="41" t="str">
        <f>IFERROR(VLOOKUP(B800,Baza[[№]:[Profit]],2,0),"")</f>
        <v/>
      </c>
      <c r="D80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0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00" s="43" t="str">
        <f>IFERROR(VLOOKUP(B800,Baza[[№]:[Profit]],3,0),"")</f>
        <v/>
      </c>
      <c r="G800" s="43" t="str">
        <f>IFERROR(VLOOKUP(B800,Baza[[№]:[Profit]],4,0),"")</f>
        <v/>
      </c>
      <c r="H800" s="43" t="str">
        <f>IFERROR(VLOOKUP(B800,Baza[[№]:[Profit]],5,0),"")</f>
        <v/>
      </c>
      <c r="I800" s="46" t="str">
        <f>IFERROR(VLOOKUP(B800,Baza[[№]:[Profit]],6,0),"")</f>
        <v/>
      </c>
      <c r="J800" s="49" t="str">
        <f>IFERROR(VLOOKUP(B800,Baza[[№]:[Profit]],7,0),"")</f>
        <v/>
      </c>
      <c r="K800" s="43" t="str">
        <f>IFERROR(VLOOKUP(B800,Baza[[№]:[Profit]],8,0),"")</f>
        <v/>
      </c>
      <c r="L800" s="43" t="str">
        <f>IFERROR(VLOOKUP(B800,Baza[[№]:[Profit]],9,0),"")</f>
        <v/>
      </c>
      <c r="M800" s="43" t="str">
        <f>IFERROR(VLOOKUP(B800,Baza[[№]:[Profit]],10,0),"")</f>
        <v/>
      </c>
      <c r="N800" s="43" t="str">
        <f>IFERROR(IF(VLOOKUP(B800,Baza[[№]:[Profit]],11,0)=0,"-",VLOOKUP(B800,Baza[[№]:[Profit]],11,0)),"")</f>
        <v/>
      </c>
      <c r="O800" s="43" t="str">
        <f>IFERROR(IF(VLOOKUP(B800,Baza[[№]:[Profit]],12,0)=0,"-",VLOOKUP(B800,Baza[[№]:[Profit]],12,0)),"")</f>
        <v/>
      </c>
      <c r="P800" s="43" t="str">
        <f>IFERROR(IF(VLOOKUP(B800,Baza[[№]:[Profit]],13,0)=0,"-",VLOOKUP(B800,Baza[[№]:[Profit]],13,0)),"")</f>
        <v/>
      </c>
      <c r="Q800" s="43" t="str">
        <f>IFERROR(IF(VLOOKUP(B800,Baza[[№]:[Profit]],15,0)=0,"-",VLOOKUP(B800,Baza[[№]:[Profit]],15,0)),"")</f>
        <v/>
      </c>
      <c r="R800" s="43" t="str">
        <f>IFERROR(IF(VLOOKUP(B800,Baza[[№]:[Profit]],16,0)=0,"-",VLOOKUP(B800,Baza[[№]:[Profit]],16,0)),"")</f>
        <v/>
      </c>
      <c r="S800" s="43" t="str">
        <f>IFERROR(IF(VLOOKUP(B800,Baza[[№]:[Profit]],17,0)=0,"-",VLOOKUP(B800,Baza[[№]:[Profit]],17,0)),"")</f>
        <v/>
      </c>
      <c r="T800" s="43" t="str">
        <f>IFERROR(IF(VLOOKUP(B800,Baza[[№]:[Profit]],18,0)=0,"-",VLOOKUP(B800,Baza[[№]:[Profit]],18,0)),"")</f>
        <v/>
      </c>
      <c r="U800" s="41" t="str">
        <f>IFERROR(IF(VLOOKUP(B800,Baza[[№]:[Profit]],19,0)=0,"-",VLOOKUP(B800,Baza[[№]:[Profit]],19,0)),"")</f>
        <v/>
      </c>
      <c r="V800" s="41" t="str">
        <f>IFERROR(VLOOKUP(B800,Baza[[№]:[Profit]],20,0),"")</f>
        <v/>
      </c>
      <c r="W800" s="41" t="str">
        <f>IFERROR(IF(VLOOKUP(B800,Baza[[№]:[Profit]],21,0)=0,"-",VLOOKUP(B800,Baza[[№]:[Profit]],21,0)),"")</f>
        <v/>
      </c>
      <c r="X800" s="45" t="str">
        <f>IFERROR(IF(VLOOKUP(B800,Baza[[№]:[Profit]],22,0)=0,"-",VLOOKUP(B800,Baza[[№]:[Profit]],22,0)),"")</f>
        <v/>
      </c>
      <c r="Y800" s="45" t="str">
        <f>IFERROR(VLOOKUP(B800,Baza[[№]:[Profit]],23,0),"")</f>
        <v/>
      </c>
      <c r="Z800" s="44" t="str">
        <f>IFERROR(VLOOKUP(B800,Baza[[№]:[AFS]],24,0),"")</f>
        <v/>
      </c>
      <c r="AA800" s="45" t="str">
        <f>IF(Таблица2[[#This Row],[Profit]]="","#Н/Д",SUM($Y$40:Y800))</f>
        <v>#Н/Д</v>
      </c>
      <c r="AB800" s="45" t="b">
        <f>IF(Таблица2[[#This Row],[Grafik]]="#Н/Д",FALSE,TRUE)</f>
        <v>0</v>
      </c>
    </row>
    <row r="801" spans="2:28" ht="11.1" hidden="1" customHeight="1" x14ac:dyDescent="0.25">
      <c r="B801"/>
      <c r="C801" s="41" t="str">
        <f>IFERROR(VLOOKUP(B801,Baza[[№]:[Profit]],2,0),"")</f>
        <v/>
      </c>
      <c r="D80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0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01" s="43" t="str">
        <f>IFERROR(VLOOKUP(B801,Baza[[№]:[Profit]],3,0),"")</f>
        <v/>
      </c>
      <c r="G801" s="43" t="str">
        <f>IFERROR(VLOOKUP(B801,Baza[[№]:[Profit]],4,0),"")</f>
        <v/>
      </c>
      <c r="H801" s="43" t="str">
        <f>IFERROR(VLOOKUP(B801,Baza[[№]:[Profit]],5,0),"")</f>
        <v/>
      </c>
      <c r="I801" s="46" t="str">
        <f>IFERROR(VLOOKUP(B801,Baza[[№]:[Profit]],6,0),"")</f>
        <v/>
      </c>
      <c r="J801" s="49" t="str">
        <f>IFERROR(VLOOKUP(B801,Baza[[№]:[Profit]],7,0),"")</f>
        <v/>
      </c>
      <c r="K801" s="43" t="str">
        <f>IFERROR(VLOOKUP(B801,Baza[[№]:[Profit]],8,0),"")</f>
        <v/>
      </c>
      <c r="L801" s="43" t="str">
        <f>IFERROR(VLOOKUP(B801,Baza[[№]:[Profit]],9,0),"")</f>
        <v/>
      </c>
      <c r="M801" s="43" t="str">
        <f>IFERROR(VLOOKUP(B801,Baza[[№]:[Profit]],10,0),"")</f>
        <v/>
      </c>
      <c r="N801" s="43" t="str">
        <f>IFERROR(IF(VLOOKUP(B801,Baza[[№]:[Profit]],11,0)=0,"-",VLOOKUP(B801,Baza[[№]:[Profit]],11,0)),"")</f>
        <v/>
      </c>
      <c r="O801" s="43" t="str">
        <f>IFERROR(IF(VLOOKUP(B801,Baza[[№]:[Profit]],12,0)=0,"-",VLOOKUP(B801,Baza[[№]:[Profit]],12,0)),"")</f>
        <v/>
      </c>
      <c r="P801" s="43" t="str">
        <f>IFERROR(IF(VLOOKUP(B801,Baza[[№]:[Profit]],13,0)=0,"-",VLOOKUP(B801,Baza[[№]:[Profit]],13,0)),"")</f>
        <v/>
      </c>
      <c r="Q801" s="43" t="str">
        <f>IFERROR(IF(VLOOKUP(B801,Baza[[№]:[Profit]],15,0)=0,"-",VLOOKUP(B801,Baza[[№]:[Profit]],15,0)),"")</f>
        <v/>
      </c>
      <c r="R801" s="43" t="str">
        <f>IFERROR(IF(VLOOKUP(B801,Baza[[№]:[Profit]],16,0)=0,"-",VLOOKUP(B801,Baza[[№]:[Profit]],16,0)),"")</f>
        <v/>
      </c>
      <c r="S801" s="43" t="str">
        <f>IFERROR(IF(VLOOKUP(B801,Baza[[№]:[Profit]],17,0)=0,"-",VLOOKUP(B801,Baza[[№]:[Profit]],17,0)),"")</f>
        <v/>
      </c>
      <c r="T801" s="43" t="str">
        <f>IFERROR(IF(VLOOKUP(B801,Baza[[№]:[Profit]],18,0)=0,"-",VLOOKUP(B801,Baza[[№]:[Profit]],18,0)),"")</f>
        <v/>
      </c>
      <c r="U801" s="41" t="str">
        <f>IFERROR(IF(VLOOKUP(B801,Baza[[№]:[Profit]],19,0)=0,"-",VLOOKUP(B801,Baza[[№]:[Profit]],19,0)),"")</f>
        <v/>
      </c>
      <c r="V801" s="41" t="str">
        <f>IFERROR(VLOOKUP(B801,Baza[[№]:[Profit]],20,0),"")</f>
        <v/>
      </c>
      <c r="W801" s="41" t="str">
        <f>IFERROR(IF(VLOOKUP(B801,Baza[[№]:[Profit]],21,0)=0,"-",VLOOKUP(B801,Baza[[№]:[Profit]],21,0)),"")</f>
        <v/>
      </c>
      <c r="X801" s="45" t="str">
        <f>IFERROR(IF(VLOOKUP(B801,Baza[[№]:[Profit]],22,0)=0,"-",VLOOKUP(B801,Baza[[№]:[Profit]],22,0)),"")</f>
        <v/>
      </c>
      <c r="Y801" s="45" t="str">
        <f>IFERROR(VLOOKUP(B801,Baza[[№]:[Profit]],23,0),"")</f>
        <v/>
      </c>
      <c r="Z801" s="44" t="str">
        <f>IFERROR(VLOOKUP(B801,Baza[[№]:[AFS]],24,0),"")</f>
        <v/>
      </c>
      <c r="AA801" s="45" t="str">
        <f>IF(Таблица2[[#This Row],[Profit]]="","#Н/Д",SUM($Y$40:Y801))</f>
        <v>#Н/Д</v>
      </c>
      <c r="AB801" s="45" t="b">
        <f>IF(Таблица2[[#This Row],[Grafik]]="#Н/Д",FALSE,TRUE)</f>
        <v>0</v>
      </c>
    </row>
    <row r="802" spans="2:28" ht="11.1" hidden="1" customHeight="1" x14ac:dyDescent="0.25">
      <c r="B802"/>
      <c r="C802" s="41" t="str">
        <f>IFERROR(VLOOKUP(B802,Baza[[№]:[Profit]],2,0),"")</f>
        <v/>
      </c>
      <c r="D80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0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02" s="43" t="str">
        <f>IFERROR(VLOOKUP(B802,Baza[[№]:[Profit]],3,0),"")</f>
        <v/>
      </c>
      <c r="G802" s="43" t="str">
        <f>IFERROR(VLOOKUP(B802,Baza[[№]:[Profit]],4,0),"")</f>
        <v/>
      </c>
      <c r="H802" s="43" t="str">
        <f>IFERROR(VLOOKUP(B802,Baza[[№]:[Profit]],5,0),"")</f>
        <v/>
      </c>
      <c r="I802" s="46" t="str">
        <f>IFERROR(VLOOKUP(B802,Baza[[№]:[Profit]],6,0),"")</f>
        <v/>
      </c>
      <c r="J802" s="49" t="str">
        <f>IFERROR(VLOOKUP(B802,Baza[[№]:[Profit]],7,0),"")</f>
        <v/>
      </c>
      <c r="K802" s="43" t="str">
        <f>IFERROR(VLOOKUP(B802,Baza[[№]:[Profit]],8,0),"")</f>
        <v/>
      </c>
      <c r="L802" s="43" t="str">
        <f>IFERROR(VLOOKUP(B802,Baza[[№]:[Profit]],9,0),"")</f>
        <v/>
      </c>
      <c r="M802" s="43" t="str">
        <f>IFERROR(VLOOKUP(B802,Baza[[№]:[Profit]],10,0),"")</f>
        <v/>
      </c>
      <c r="N802" s="43" t="str">
        <f>IFERROR(IF(VLOOKUP(B802,Baza[[№]:[Profit]],11,0)=0,"-",VLOOKUP(B802,Baza[[№]:[Profit]],11,0)),"")</f>
        <v/>
      </c>
      <c r="O802" s="43" t="str">
        <f>IFERROR(IF(VLOOKUP(B802,Baza[[№]:[Profit]],12,0)=0,"-",VLOOKUP(B802,Baza[[№]:[Profit]],12,0)),"")</f>
        <v/>
      </c>
      <c r="P802" s="43" t="str">
        <f>IFERROR(IF(VLOOKUP(B802,Baza[[№]:[Profit]],13,0)=0,"-",VLOOKUP(B802,Baza[[№]:[Profit]],13,0)),"")</f>
        <v/>
      </c>
      <c r="Q802" s="43" t="str">
        <f>IFERROR(IF(VLOOKUP(B802,Baza[[№]:[Profit]],15,0)=0,"-",VLOOKUP(B802,Baza[[№]:[Profit]],15,0)),"")</f>
        <v/>
      </c>
      <c r="R802" s="43" t="str">
        <f>IFERROR(IF(VLOOKUP(B802,Baza[[№]:[Profit]],16,0)=0,"-",VLOOKUP(B802,Baza[[№]:[Profit]],16,0)),"")</f>
        <v/>
      </c>
      <c r="S802" s="43" t="str">
        <f>IFERROR(IF(VLOOKUP(B802,Baza[[№]:[Profit]],17,0)=0,"-",VLOOKUP(B802,Baza[[№]:[Profit]],17,0)),"")</f>
        <v/>
      </c>
      <c r="T802" s="43" t="str">
        <f>IFERROR(IF(VLOOKUP(B802,Baza[[№]:[Profit]],18,0)=0,"-",VLOOKUP(B802,Baza[[№]:[Profit]],18,0)),"")</f>
        <v/>
      </c>
      <c r="U802" s="41" t="str">
        <f>IFERROR(IF(VLOOKUP(B802,Baza[[№]:[Profit]],19,0)=0,"-",VLOOKUP(B802,Baza[[№]:[Profit]],19,0)),"")</f>
        <v/>
      </c>
      <c r="V802" s="41" t="str">
        <f>IFERROR(VLOOKUP(B802,Baza[[№]:[Profit]],20,0),"")</f>
        <v/>
      </c>
      <c r="W802" s="41" t="str">
        <f>IFERROR(IF(VLOOKUP(B802,Baza[[№]:[Profit]],21,0)=0,"-",VLOOKUP(B802,Baza[[№]:[Profit]],21,0)),"")</f>
        <v/>
      </c>
      <c r="X802" s="45" t="str">
        <f>IFERROR(IF(VLOOKUP(B802,Baza[[№]:[Profit]],22,0)=0,"-",VLOOKUP(B802,Baza[[№]:[Profit]],22,0)),"")</f>
        <v/>
      </c>
      <c r="Y802" s="45" t="str">
        <f>IFERROR(VLOOKUP(B802,Baza[[№]:[Profit]],23,0),"")</f>
        <v/>
      </c>
      <c r="Z802" s="44" t="str">
        <f>IFERROR(VLOOKUP(B802,Baza[[№]:[AFS]],24,0),"")</f>
        <v/>
      </c>
      <c r="AA802" s="45" t="str">
        <f>IF(Таблица2[[#This Row],[Profit]]="","#Н/Д",SUM($Y$40:Y802))</f>
        <v>#Н/Д</v>
      </c>
      <c r="AB802" s="45" t="b">
        <f>IF(Таблица2[[#This Row],[Grafik]]="#Н/Д",FALSE,TRUE)</f>
        <v>0</v>
      </c>
    </row>
    <row r="803" spans="2:28" ht="11.1" hidden="1" customHeight="1" x14ac:dyDescent="0.25">
      <c r="B803"/>
      <c r="C803" s="41" t="str">
        <f>IFERROR(VLOOKUP(B803,Baza[[№]:[Profit]],2,0),"")</f>
        <v/>
      </c>
      <c r="D80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0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03" s="43" t="str">
        <f>IFERROR(VLOOKUP(B803,Baza[[№]:[Profit]],3,0),"")</f>
        <v/>
      </c>
      <c r="G803" s="43" t="str">
        <f>IFERROR(VLOOKUP(B803,Baza[[№]:[Profit]],4,0),"")</f>
        <v/>
      </c>
      <c r="H803" s="43" t="str">
        <f>IFERROR(VLOOKUP(B803,Baza[[№]:[Profit]],5,0),"")</f>
        <v/>
      </c>
      <c r="I803" s="46" t="str">
        <f>IFERROR(VLOOKUP(B803,Baza[[№]:[Profit]],6,0),"")</f>
        <v/>
      </c>
      <c r="J803" s="49" t="str">
        <f>IFERROR(VLOOKUP(B803,Baza[[№]:[Profit]],7,0),"")</f>
        <v/>
      </c>
      <c r="K803" s="43" t="str">
        <f>IFERROR(VLOOKUP(B803,Baza[[№]:[Profit]],8,0),"")</f>
        <v/>
      </c>
      <c r="L803" s="43" t="str">
        <f>IFERROR(VLOOKUP(B803,Baza[[№]:[Profit]],9,0),"")</f>
        <v/>
      </c>
      <c r="M803" s="43" t="str">
        <f>IFERROR(VLOOKUP(B803,Baza[[№]:[Profit]],10,0),"")</f>
        <v/>
      </c>
      <c r="N803" s="43" t="str">
        <f>IFERROR(IF(VLOOKUP(B803,Baza[[№]:[Profit]],11,0)=0,"-",VLOOKUP(B803,Baza[[№]:[Profit]],11,0)),"")</f>
        <v/>
      </c>
      <c r="O803" s="43" t="str">
        <f>IFERROR(IF(VLOOKUP(B803,Baza[[№]:[Profit]],12,0)=0,"-",VLOOKUP(B803,Baza[[№]:[Profit]],12,0)),"")</f>
        <v/>
      </c>
      <c r="P803" s="43" t="str">
        <f>IFERROR(IF(VLOOKUP(B803,Baza[[№]:[Profit]],13,0)=0,"-",VLOOKUP(B803,Baza[[№]:[Profit]],13,0)),"")</f>
        <v/>
      </c>
      <c r="Q803" s="43" t="str">
        <f>IFERROR(IF(VLOOKUP(B803,Baza[[№]:[Profit]],15,0)=0,"-",VLOOKUP(B803,Baza[[№]:[Profit]],15,0)),"")</f>
        <v/>
      </c>
      <c r="R803" s="43" t="str">
        <f>IFERROR(IF(VLOOKUP(B803,Baza[[№]:[Profit]],16,0)=0,"-",VLOOKUP(B803,Baza[[№]:[Profit]],16,0)),"")</f>
        <v/>
      </c>
      <c r="S803" s="43" t="str">
        <f>IFERROR(IF(VLOOKUP(B803,Baza[[№]:[Profit]],17,0)=0,"-",VLOOKUP(B803,Baza[[№]:[Profit]],17,0)),"")</f>
        <v/>
      </c>
      <c r="T803" s="43" t="str">
        <f>IFERROR(IF(VLOOKUP(B803,Baza[[№]:[Profit]],18,0)=0,"-",VLOOKUP(B803,Baza[[№]:[Profit]],18,0)),"")</f>
        <v/>
      </c>
      <c r="U803" s="41" t="str">
        <f>IFERROR(IF(VLOOKUP(B803,Baza[[№]:[Profit]],19,0)=0,"-",VLOOKUP(B803,Baza[[№]:[Profit]],19,0)),"")</f>
        <v/>
      </c>
      <c r="V803" s="41" t="str">
        <f>IFERROR(VLOOKUP(B803,Baza[[№]:[Profit]],20,0),"")</f>
        <v/>
      </c>
      <c r="W803" s="41" t="str">
        <f>IFERROR(IF(VLOOKUP(B803,Baza[[№]:[Profit]],21,0)=0,"-",VLOOKUP(B803,Baza[[№]:[Profit]],21,0)),"")</f>
        <v/>
      </c>
      <c r="X803" s="45" t="str">
        <f>IFERROR(IF(VLOOKUP(B803,Baza[[№]:[Profit]],22,0)=0,"-",VLOOKUP(B803,Baza[[№]:[Profit]],22,0)),"")</f>
        <v/>
      </c>
      <c r="Y803" s="45" t="str">
        <f>IFERROR(VLOOKUP(B803,Baza[[№]:[Profit]],23,0),"")</f>
        <v/>
      </c>
      <c r="Z803" s="44" t="str">
        <f>IFERROR(VLOOKUP(B803,Baza[[№]:[AFS]],24,0),"")</f>
        <v/>
      </c>
      <c r="AA803" s="45" t="str">
        <f>IF(Таблица2[[#This Row],[Profit]]="","#Н/Д",SUM($Y$40:Y803))</f>
        <v>#Н/Д</v>
      </c>
      <c r="AB803" s="45" t="b">
        <f>IF(Таблица2[[#This Row],[Grafik]]="#Н/Д",FALSE,TRUE)</f>
        <v>0</v>
      </c>
    </row>
    <row r="804" spans="2:28" ht="11.1" hidden="1" customHeight="1" x14ac:dyDescent="0.25">
      <c r="B804"/>
      <c r="C804" s="41" t="str">
        <f>IFERROR(VLOOKUP(B804,Baza[[№]:[Profit]],2,0),"")</f>
        <v/>
      </c>
      <c r="D80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0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04" s="43" t="str">
        <f>IFERROR(VLOOKUP(B804,Baza[[№]:[Profit]],3,0),"")</f>
        <v/>
      </c>
      <c r="G804" s="43" t="str">
        <f>IFERROR(VLOOKUP(B804,Baza[[№]:[Profit]],4,0),"")</f>
        <v/>
      </c>
      <c r="H804" s="43" t="str">
        <f>IFERROR(VLOOKUP(B804,Baza[[№]:[Profit]],5,0),"")</f>
        <v/>
      </c>
      <c r="I804" s="46" t="str">
        <f>IFERROR(VLOOKUP(B804,Baza[[№]:[Profit]],6,0),"")</f>
        <v/>
      </c>
      <c r="J804" s="49" t="str">
        <f>IFERROR(VLOOKUP(B804,Baza[[№]:[Profit]],7,0),"")</f>
        <v/>
      </c>
      <c r="K804" s="43" t="str">
        <f>IFERROR(VLOOKUP(B804,Baza[[№]:[Profit]],8,0),"")</f>
        <v/>
      </c>
      <c r="L804" s="43" t="str">
        <f>IFERROR(VLOOKUP(B804,Baza[[№]:[Profit]],9,0),"")</f>
        <v/>
      </c>
      <c r="M804" s="43" t="str">
        <f>IFERROR(VLOOKUP(B804,Baza[[№]:[Profit]],10,0),"")</f>
        <v/>
      </c>
      <c r="N804" s="43" t="str">
        <f>IFERROR(IF(VLOOKUP(B804,Baza[[№]:[Profit]],11,0)=0,"-",VLOOKUP(B804,Baza[[№]:[Profit]],11,0)),"")</f>
        <v/>
      </c>
      <c r="O804" s="43" t="str">
        <f>IFERROR(IF(VLOOKUP(B804,Baza[[№]:[Profit]],12,0)=0,"-",VLOOKUP(B804,Baza[[№]:[Profit]],12,0)),"")</f>
        <v/>
      </c>
      <c r="P804" s="43" t="str">
        <f>IFERROR(IF(VLOOKUP(B804,Baza[[№]:[Profit]],13,0)=0,"-",VLOOKUP(B804,Baza[[№]:[Profit]],13,0)),"")</f>
        <v/>
      </c>
      <c r="Q804" s="43" t="str">
        <f>IFERROR(IF(VLOOKUP(B804,Baza[[№]:[Profit]],15,0)=0,"-",VLOOKUP(B804,Baza[[№]:[Profit]],15,0)),"")</f>
        <v/>
      </c>
      <c r="R804" s="43" t="str">
        <f>IFERROR(IF(VLOOKUP(B804,Baza[[№]:[Profit]],16,0)=0,"-",VLOOKUP(B804,Baza[[№]:[Profit]],16,0)),"")</f>
        <v/>
      </c>
      <c r="S804" s="43" t="str">
        <f>IFERROR(IF(VLOOKUP(B804,Baza[[№]:[Profit]],17,0)=0,"-",VLOOKUP(B804,Baza[[№]:[Profit]],17,0)),"")</f>
        <v/>
      </c>
      <c r="T804" s="43" t="str">
        <f>IFERROR(IF(VLOOKUP(B804,Baza[[№]:[Profit]],18,0)=0,"-",VLOOKUP(B804,Baza[[№]:[Profit]],18,0)),"")</f>
        <v/>
      </c>
      <c r="U804" s="41" t="str">
        <f>IFERROR(IF(VLOOKUP(B804,Baza[[№]:[Profit]],19,0)=0,"-",VLOOKUP(B804,Baza[[№]:[Profit]],19,0)),"")</f>
        <v/>
      </c>
      <c r="V804" s="41" t="str">
        <f>IFERROR(VLOOKUP(B804,Baza[[№]:[Profit]],20,0),"")</f>
        <v/>
      </c>
      <c r="W804" s="41" t="str">
        <f>IFERROR(IF(VLOOKUP(B804,Baza[[№]:[Profit]],21,0)=0,"-",VLOOKUP(B804,Baza[[№]:[Profit]],21,0)),"")</f>
        <v/>
      </c>
      <c r="X804" s="45" t="str">
        <f>IFERROR(IF(VLOOKUP(B804,Baza[[№]:[Profit]],22,0)=0,"-",VLOOKUP(B804,Baza[[№]:[Profit]],22,0)),"")</f>
        <v/>
      </c>
      <c r="Y804" s="45" t="str">
        <f>IFERROR(VLOOKUP(B804,Baza[[№]:[Profit]],23,0),"")</f>
        <v/>
      </c>
      <c r="Z804" s="44" t="str">
        <f>IFERROR(VLOOKUP(B804,Baza[[№]:[AFS]],24,0),"")</f>
        <v/>
      </c>
      <c r="AA804" s="45" t="str">
        <f>IF(Таблица2[[#This Row],[Profit]]="","#Н/Д",SUM($Y$40:Y804))</f>
        <v>#Н/Д</v>
      </c>
      <c r="AB804" s="45" t="b">
        <f>IF(Таблица2[[#This Row],[Grafik]]="#Н/Д",FALSE,TRUE)</f>
        <v>0</v>
      </c>
    </row>
    <row r="805" spans="2:28" ht="11.1" hidden="1" customHeight="1" x14ac:dyDescent="0.25">
      <c r="C805" s="41" t="str">
        <f>IFERROR(VLOOKUP(B805,Baza[[№]:[Profit]],2,0),"")</f>
        <v/>
      </c>
      <c r="D80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0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05" s="43" t="str">
        <f>IFERROR(VLOOKUP(B805,Baza[[№]:[Profit]],3,0),"")</f>
        <v/>
      </c>
      <c r="G805" s="43" t="str">
        <f>IFERROR(VLOOKUP(B805,Baza[[№]:[Profit]],4,0),"")</f>
        <v/>
      </c>
      <c r="H805" s="43" t="str">
        <f>IFERROR(VLOOKUP(B805,Baza[[№]:[Profit]],5,0),"")</f>
        <v/>
      </c>
      <c r="I805" s="46" t="str">
        <f>IFERROR(VLOOKUP(B805,Baza[[№]:[Profit]],6,0),"")</f>
        <v/>
      </c>
      <c r="J805" s="49" t="str">
        <f>IFERROR(VLOOKUP(B805,Baza[[№]:[Profit]],7,0),"")</f>
        <v/>
      </c>
      <c r="K805" s="43" t="str">
        <f>IFERROR(VLOOKUP(B805,Baza[[№]:[Profit]],8,0),"")</f>
        <v/>
      </c>
      <c r="L805" s="43" t="str">
        <f>IFERROR(VLOOKUP(B805,Baza[[№]:[Profit]],9,0),"")</f>
        <v/>
      </c>
      <c r="M805" s="43" t="str">
        <f>IFERROR(VLOOKUP(B805,Baza[[№]:[Profit]],10,0),"")</f>
        <v/>
      </c>
      <c r="N805" s="43" t="str">
        <f>IFERROR(IF(VLOOKUP(B805,Baza[[№]:[Profit]],11,0)=0,"-",VLOOKUP(B805,Baza[[№]:[Profit]],11,0)),"")</f>
        <v/>
      </c>
      <c r="O805" s="43" t="str">
        <f>IFERROR(IF(VLOOKUP(B805,Baza[[№]:[Profit]],12,0)=0,"-",VLOOKUP(B805,Baza[[№]:[Profit]],12,0)),"")</f>
        <v/>
      </c>
      <c r="P805" s="43" t="str">
        <f>IFERROR(IF(VLOOKUP(B805,Baza[[№]:[Profit]],13,0)=0,"-",VLOOKUP(B805,Baza[[№]:[Profit]],13,0)),"")</f>
        <v/>
      </c>
      <c r="Q805" s="43" t="str">
        <f>IFERROR(IF(VLOOKUP(B805,Baza[[№]:[Profit]],15,0)=0,"-",VLOOKUP(B805,Baza[[№]:[Profit]],15,0)),"")</f>
        <v/>
      </c>
      <c r="R805" s="43" t="str">
        <f>IFERROR(IF(VLOOKUP(B805,Baza[[№]:[Profit]],16,0)=0,"-",VLOOKUP(B805,Baza[[№]:[Profit]],16,0)),"")</f>
        <v/>
      </c>
      <c r="S805" s="43" t="str">
        <f>IFERROR(IF(VLOOKUP(B805,Baza[[№]:[Profit]],17,0)=0,"-",VLOOKUP(B805,Baza[[№]:[Profit]],17,0)),"")</f>
        <v/>
      </c>
      <c r="T805" s="43" t="str">
        <f>IFERROR(IF(VLOOKUP(B805,Baza[[№]:[Profit]],18,0)=0,"-",VLOOKUP(B805,Baza[[№]:[Profit]],18,0)),"")</f>
        <v/>
      </c>
      <c r="U805" s="41" t="str">
        <f>IFERROR(IF(VLOOKUP(B805,Baza[[№]:[Profit]],19,0)=0,"-",VLOOKUP(B805,Baza[[№]:[Profit]],19,0)),"")</f>
        <v/>
      </c>
      <c r="V805" s="41" t="str">
        <f>IFERROR(VLOOKUP(B805,Baza[[№]:[Profit]],20,0),"")</f>
        <v/>
      </c>
      <c r="W805" s="41" t="str">
        <f>IFERROR(IF(VLOOKUP(B805,Baza[[№]:[Profit]],21,0)=0,"-",VLOOKUP(B805,Baza[[№]:[Profit]],21,0)),"")</f>
        <v/>
      </c>
      <c r="X805" s="45" t="str">
        <f>IFERROR(IF(VLOOKUP(B805,Baza[[№]:[Profit]],22,0)=0,"-",VLOOKUP(B805,Baza[[№]:[Profit]],22,0)),"")</f>
        <v/>
      </c>
      <c r="Y805" s="45" t="str">
        <f>IFERROR(VLOOKUP(B805,Baza[[№]:[Profit]],23,0),"")</f>
        <v/>
      </c>
      <c r="Z805" s="44" t="str">
        <f>IFERROR(VLOOKUP(B805,Baza[[№]:[AFS]],24,0),"")</f>
        <v/>
      </c>
      <c r="AA805" s="45" t="str">
        <f>IF(Таблица2[[#This Row],[Profit]]="","#Н/Д",SUM($Y$40:Y805))</f>
        <v>#Н/Д</v>
      </c>
      <c r="AB805" s="45" t="b">
        <f>IF(Таблица2[[#This Row],[Grafik]]="#Н/Д",FALSE,TRUE)</f>
        <v>0</v>
      </c>
    </row>
    <row r="806" spans="2:28" ht="11.1" hidden="1" customHeight="1" x14ac:dyDescent="0.25">
      <c r="C806" s="41" t="str">
        <f>IFERROR(VLOOKUP(B806,Baza[[№]:[Profit]],2,0),"")</f>
        <v/>
      </c>
      <c r="D80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0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06" s="43" t="str">
        <f>IFERROR(VLOOKUP(B806,Baza[[№]:[Profit]],3,0),"")</f>
        <v/>
      </c>
      <c r="G806" s="43" t="str">
        <f>IFERROR(VLOOKUP(B806,Baza[[№]:[Profit]],4,0),"")</f>
        <v/>
      </c>
      <c r="H806" s="43" t="str">
        <f>IFERROR(VLOOKUP(B806,Baza[[№]:[Profit]],5,0),"")</f>
        <v/>
      </c>
      <c r="I806" s="46" t="str">
        <f>IFERROR(VLOOKUP(B806,Baza[[№]:[Profit]],6,0),"")</f>
        <v/>
      </c>
      <c r="J806" s="49" t="str">
        <f>IFERROR(VLOOKUP(B806,Baza[[№]:[Profit]],7,0),"")</f>
        <v/>
      </c>
      <c r="K806" s="43" t="str">
        <f>IFERROR(VLOOKUP(B806,Baza[[№]:[Profit]],8,0),"")</f>
        <v/>
      </c>
      <c r="L806" s="43" t="str">
        <f>IFERROR(VLOOKUP(B806,Baza[[№]:[Profit]],9,0),"")</f>
        <v/>
      </c>
      <c r="M806" s="43" t="str">
        <f>IFERROR(VLOOKUP(B806,Baza[[№]:[Profit]],10,0),"")</f>
        <v/>
      </c>
      <c r="N806" s="43" t="str">
        <f>IFERROR(IF(VLOOKUP(B806,Baza[[№]:[Profit]],11,0)=0,"-",VLOOKUP(B806,Baza[[№]:[Profit]],11,0)),"")</f>
        <v/>
      </c>
      <c r="O806" s="43" t="str">
        <f>IFERROR(IF(VLOOKUP(B806,Baza[[№]:[Profit]],12,0)=0,"-",VLOOKUP(B806,Baza[[№]:[Profit]],12,0)),"")</f>
        <v/>
      </c>
      <c r="P806" s="43" t="str">
        <f>IFERROR(IF(VLOOKUP(B806,Baza[[№]:[Profit]],13,0)=0,"-",VLOOKUP(B806,Baza[[№]:[Profit]],13,0)),"")</f>
        <v/>
      </c>
      <c r="Q806" s="43" t="str">
        <f>IFERROR(IF(VLOOKUP(B806,Baza[[№]:[Profit]],15,0)=0,"-",VLOOKUP(B806,Baza[[№]:[Profit]],15,0)),"")</f>
        <v/>
      </c>
      <c r="R806" s="43" t="str">
        <f>IFERROR(IF(VLOOKUP(B806,Baza[[№]:[Profit]],16,0)=0,"-",VLOOKUP(B806,Baza[[№]:[Profit]],16,0)),"")</f>
        <v/>
      </c>
      <c r="S806" s="43" t="str">
        <f>IFERROR(IF(VLOOKUP(B806,Baza[[№]:[Profit]],17,0)=0,"-",VLOOKUP(B806,Baza[[№]:[Profit]],17,0)),"")</f>
        <v/>
      </c>
      <c r="T806" s="43" t="str">
        <f>IFERROR(IF(VLOOKUP(B806,Baza[[№]:[Profit]],18,0)=0,"-",VLOOKUP(B806,Baza[[№]:[Profit]],18,0)),"")</f>
        <v/>
      </c>
      <c r="U806" s="41" t="str">
        <f>IFERROR(IF(VLOOKUP(B806,Baza[[№]:[Profit]],19,0)=0,"-",VLOOKUP(B806,Baza[[№]:[Profit]],19,0)),"")</f>
        <v/>
      </c>
      <c r="V806" s="41" t="str">
        <f>IFERROR(VLOOKUP(B806,Baza[[№]:[Profit]],20,0),"")</f>
        <v/>
      </c>
      <c r="W806" s="41" t="str">
        <f>IFERROR(IF(VLOOKUP(B806,Baza[[№]:[Profit]],21,0)=0,"-",VLOOKUP(B806,Baza[[№]:[Profit]],21,0)),"")</f>
        <v/>
      </c>
      <c r="X806" s="45" t="str">
        <f>IFERROR(IF(VLOOKUP(B806,Baza[[№]:[Profit]],22,0)=0,"-",VLOOKUP(B806,Baza[[№]:[Profit]],22,0)),"")</f>
        <v/>
      </c>
      <c r="Y806" s="45" t="str">
        <f>IFERROR(VLOOKUP(B806,Baza[[№]:[Profit]],23,0),"")</f>
        <v/>
      </c>
      <c r="Z806" s="44" t="str">
        <f>IFERROR(VLOOKUP(B806,Baza[[№]:[AFS]],24,0),"")</f>
        <v/>
      </c>
      <c r="AA806" s="45" t="str">
        <f>IF(Таблица2[[#This Row],[Profit]]="","#Н/Д",SUM($Y$40:Y806))</f>
        <v>#Н/Д</v>
      </c>
      <c r="AB806" s="45" t="b">
        <f>IF(Таблица2[[#This Row],[Grafik]]="#Н/Д",FALSE,TRUE)</f>
        <v>0</v>
      </c>
    </row>
    <row r="807" spans="2:28" ht="11.1" hidden="1" customHeight="1" x14ac:dyDescent="0.25">
      <c r="C807" s="41" t="str">
        <f>IFERROR(VLOOKUP(B807,Baza[[№]:[Profit]],2,0),"")</f>
        <v/>
      </c>
      <c r="D80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0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07" s="43" t="str">
        <f>IFERROR(VLOOKUP(B807,Baza[[№]:[Profit]],3,0),"")</f>
        <v/>
      </c>
      <c r="G807" s="43" t="str">
        <f>IFERROR(VLOOKUP(B807,Baza[[№]:[Profit]],4,0),"")</f>
        <v/>
      </c>
      <c r="H807" s="43" t="str">
        <f>IFERROR(VLOOKUP(B807,Baza[[№]:[Profit]],5,0),"")</f>
        <v/>
      </c>
      <c r="I807" s="46" t="str">
        <f>IFERROR(VLOOKUP(B807,Baza[[№]:[Profit]],6,0),"")</f>
        <v/>
      </c>
      <c r="J807" s="49" t="str">
        <f>IFERROR(VLOOKUP(B807,Baza[[№]:[Profit]],7,0),"")</f>
        <v/>
      </c>
      <c r="K807" s="43" t="str">
        <f>IFERROR(VLOOKUP(B807,Baza[[№]:[Profit]],8,0),"")</f>
        <v/>
      </c>
      <c r="L807" s="43" t="str">
        <f>IFERROR(VLOOKUP(B807,Baza[[№]:[Profit]],9,0),"")</f>
        <v/>
      </c>
      <c r="M807" s="43" t="str">
        <f>IFERROR(VLOOKUP(B807,Baza[[№]:[Profit]],10,0),"")</f>
        <v/>
      </c>
      <c r="N807" s="43" t="str">
        <f>IFERROR(IF(VLOOKUP(B807,Baza[[№]:[Profit]],11,0)=0,"-",VLOOKUP(B807,Baza[[№]:[Profit]],11,0)),"")</f>
        <v/>
      </c>
      <c r="O807" s="43" t="str">
        <f>IFERROR(IF(VLOOKUP(B807,Baza[[№]:[Profit]],12,0)=0,"-",VLOOKUP(B807,Baza[[№]:[Profit]],12,0)),"")</f>
        <v/>
      </c>
      <c r="P807" s="43" t="str">
        <f>IFERROR(IF(VLOOKUP(B807,Baza[[№]:[Profit]],13,0)=0,"-",VLOOKUP(B807,Baza[[№]:[Profit]],13,0)),"")</f>
        <v/>
      </c>
      <c r="Q807" s="43" t="str">
        <f>IFERROR(IF(VLOOKUP(B807,Baza[[№]:[Profit]],15,0)=0,"-",VLOOKUP(B807,Baza[[№]:[Profit]],15,0)),"")</f>
        <v/>
      </c>
      <c r="R807" s="43" t="str">
        <f>IFERROR(IF(VLOOKUP(B807,Baza[[№]:[Profit]],16,0)=0,"-",VLOOKUP(B807,Baza[[№]:[Profit]],16,0)),"")</f>
        <v/>
      </c>
      <c r="S807" s="43" t="str">
        <f>IFERROR(IF(VLOOKUP(B807,Baza[[№]:[Profit]],17,0)=0,"-",VLOOKUP(B807,Baza[[№]:[Profit]],17,0)),"")</f>
        <v/>
      </c>
      <c r="T807" s="43" t="str">
        <f>IFERROR(IF(VLOOKUP(B807,Baza[[№]:[Profit]],18,0)=0,"-",VLOOKUP(B807,Baza[[№]:[Profit]],18,0)),"")</f>
        <v/>
      </c>
      <c r="U807" s="41" t="str">
        <f>IFERROR(IF(VLOOKUP(B807,Baza[[№]:[Profit]],19,0)=0,"-",VLOOKUP(B807,Baza[[№]:[Profit]],19,0)),"")</f>
        <v/>
      </c>
      <c r="V807" s="41" t="str">
        <f>IFERROR(VLOOKUP(B807,Baza[[№]:[Profit]],20,0),"")</f>
        <v/>
      </c>
      <c r="W807" s="41" t="str">
        <f>IFERROR(IF(VLOOKUP(B807,Baza[[№]:[Profit]],21,0)=0,"-",VLOOKUP(B807,Baza[[№]:[Profit]],21,0)),"")</f>
        <v/>
      </c>
      <c r="X807" s="45" t="str">
        <f>IFERROR(IF(VLOOKUP(B807,Baza[[№]:[Profit]],22,0)=0,"-",VLOOKUP(B807,Baza[[№]:[Profit]],22,0)),"")</f>
        <v/>
      </c>
      <c r="Y807" s="45" t="str">
        <f>IFERROR(VLOOKUP(B807,Baza[[№]:[Profit]],23,0),"")</f>
        <v/>
      </c>
      <c r="Z807" s="44" t="str">
        <f>IFERROR(VLOOKUP(B807,Baza[[№]:[AFS]],24,0),"")</f>
        <v/>
      </c>
      <c r="AA807" s="45" t="str">
        <f>IF(Таблица2[[#This Row],[Profit]]="","#Н/Д",SUM($Y$40:Y807))</f>
        <v>#Н/Д</v>
      </c>
      <c r="AB807" s="45" t="b">
        <f>IF(Таблица2[[#This Row],[Grafik]]="#Н/Д",FALSE,TRUE)</f>
        <v>0</v>
      </c>
    </row>
    <row r="808" spans="2:28" ht="11.1" hidden="1" customHeight="1" x14ac:dyDescent="0.25">
      <c r="C808" s="41" t="str">
        <f>IFERROR(VLOOKUP(B808,Baza[[№]:[Profit]],2,0),"")</f>
        <v/>
      </c>
      <c r="D80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0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08" s="43" t="str">
        <f>IFERROR(VLOOKUP(B808,Baza[[№]:[Profit]],3,0),"")</f>
        <v/>
      </c>
      <c r="G808" s="43" t="str">
        <f>IFERROR(VLOOKUP(B808,Baza[[№]:[Profit]],4,0),"")</f>
        <v/>
      </c>
      <c r="H808" s="43" t="str">
        <f>IFERROR(VLOOKUP(B808,Baza[[№]:[Profit]],5,0),"")</f>
        <v/>
      </c>
      <c r="I808" s="46" t="str">
        <f>IFERROR(VLOOKUP(B808,Baza[[№]:[Profit]],6,0),"")</f>
        <v/>
      </c>
      <c r="J808" s="49" t="str">
        <f>IFERROR(VLOOKUP(B808,Baza[[№]:[Profit]],7,0),"")</f>
        <v/>
      </c>
      <c r="K808" s="43" t="str">
        <f>IFERROR(VLOOKUP(B808,Baza[[№]:[Profit]],8,0),"")</f>
        <v/>
      </c>
      <c r="L808" s="43" t="str">
        <f>IFERROR(VLOOKUP(B808,Baza[[№]:[Profit]],9,0),"")</f>
        <v/>
      </c>
      <c r="M808" s="43" t="str">
        <f>IFERROR(VLOOKUP(B808,Baza[[№]:[Profit]],10,0),"")</f>
        <v/>
      </c>
      <c r="N808" s="43" t="str">
        <f>IFERROR(IF(VLOOKUP(B808,Baza[[№]:[Profit]],11,0)=0,"-",VLOOKUP(B808,Baza[[№]:[Profit]],11,0)),"")</f>
        <v/>
      </c>
      <c r="O808" s="43" t="str">
        <f>IFERROR(IF(VLOOKUP(B808,Baza[[№]:[Profit]],12,0)=0,"-",VLOOKUP(B808,Baza[[№]:[Profit]],12,0)),"")</f>
        <v/>
      </c>
      <c r="P808" s="43" t="str">
        <f>IFERROR(IF(VLOOKUP(B808,Baza[[№]:[Profit]],13,0)=0,"-",VLOOKUP(B808,Baza[[№]:[Profit]],13,0)),"")</f>
        <v/>
      </c>
      <c r="Q808" s="43" t="str">
        <f>IFERROR(IF(VLOOKUP(B808,Baza[[№]:[Profit]],15,0)=0,"-",VLOOKUP(B808,Baza[[№]:[Profit]],15,0)),"")</f>
        <v/>
      </c>
      <c r="R808" s="43" t="str">
        <f>IFERROR(IF(VLOOKUP(B808,Baza[[№]:[Profit]],16,0)=0,"-",VLOOKUP(B808,Baza[[№]:[Profit]],16,0)),"")</f>
        <v/>
      </c>
      <c r="S808" s="43" t="str">
        <f>IFERROR(IF(VLOOKUP(B808,Baza[[№]:[Profit]],17,0)=0,"-",VLOOKUP(B808,Baza[[№]:[Profit]],17,0)),"")</f>
        <v/>
      </c>
      <c r="T808" s="43" t="str">
        <f>IFERROR(IF(VLOOKUP(B808,Baza[[№]:[Profit]],18,0)=0,"-",VLOOKUP(B808,Baza[[№]:[Profit]],18,0)),"")</f>
        <v/>
      </c>
      <c r="U808" s="41" t="str">
        <f>IFERROR(IF(VLOOKUP(B808,Baza[[№]:[Profit]],19,0)=0,"-",VLOOKUP(B808,Baza[[№]:[Profit]],19,0)),"")</f>
        <v/>
      </c>
      <c r="V808" s="41" t="str">
        <f>IFERROR(VLOOKUP(B808,Baza[[№]:[Profit]],20,0),"")</f>
        <v/>
      </c>
      <c r="W808" s="41" t="str">
        <f>IFERROR(IF(VLOOKUP(B808,Baza[[№]:[Profit]],21,0)=0,"-",VLOOKUP(B808,Baza[[№]:[Profit]],21,0)),"")</f>
        <v/>
      </c>
      <c r="X808" s="45" t="str">
        <f>IFERROR(IF(VLOOKUP(B808,Baza[[№]:[Profit]],22,0)=0,"-",VLOOKUP(B808,Baza[[№]:[Profit]],22,0)),"")</f>
        <v/>
      </c>
      <c r="Y808" s="45" t="str">
        <f>IFERROR(VLOOKUP(B808,Baza[[№]:[Profit]],23,0),"")</f>
        <v/>
      </c>
      <c r="Z808" s="44" t="str">
        <f>IFERROR(VLOOKUP(B808,Baza[[№]:[AFS]],24,0),"")</f>
        <v/>
      </c>
      <c r="AA808" s="45" t="str">
        <f>IF(Таблица2[[#This Row],[Profit]]="","#Н/Д",SUM($Y$40:Y808))</f>
        <v>#Н/Д</v>
      </c>
      <c r="AB808" s="45" t="b">
        <f>IF(Таблица2[[#This Row],[Grafik]]="#Н/Д",FALSE,TRUE)</f>
        <v>0</v>
      </c>
    </row>
    <row r="809" spans="2:28" ht="11.1" hidden="1" customHeight="1" x14ac:dyDescent="0.25">
      <c r="C809" s="41" t="str">
        <f>IFERROR(VLOOKUP(B809,Baza[[№]:[Profit]],2,0),"")</f>
        <v/>
      </c>
      <c r="D80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0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09" s="43" t="str">
        <f>IFERROR(VLOOKUP(B809,Baza[[№]:[Profit]],3,0),"")</f>
        <v/>
      </c>
      <c r="G809" s="43" t="str">
        <f>IFERROR(VLOOKUP(B809,Baza[[№]:[Profit]],4,0),"")</f>
        <v/>
      </c>
      <c r="H809" s="43" t="str">
        <f>IFERROR(VLOOKUP(B809,Baza[[№]:[Profit]],5,0),"")</f>
        <v/>
      </c>
      <c r="I809" s="46" t="str">
        <f>IFERROR(VLOOKUP(B809,Baza[[№]:[Profit]],6,0),"")</f>
        <v/>
      </c>
      <c r="J809" s="49" t="str">
        <f>IFERROR(VLOOKUP(B809,Baza[[№]:[Profit]],7,0),"")</f>
        <v/>
      </c>
      <c r="K809" s="43" t="str">
        <f>IFERROR(VLOOKUP(B809,Baza[[№]:[Profit]],8,0),"")</f>
        <v/>
      </c>
      <c r="L809" s="43" t="str">
        <f>IFERROR(VLOOKUP(B809,Baza[[№]:[Profit]],9,0),"")</f>
        <v/>
      </c>
      <c r="M809" s="43" t="str">
        <f>IFERROR(VLOOKUP(B809,Baza[[№]:[Profit]],10,0),"")</f>
        <v/>
      </c>
      <c r="N809" s="43" t="str">
        <f>IFERROR(IF(VLOOKUP(B809,Baza[[№]:[Profit]],11,0)=0,"-",VLOOKUP(B809,Baza[[№]:[Profit]],11,0)),"")</f>
        <v/>
      </c>
      <c r="O809" s="43" t="str">
        <f>IFERROR(IF(VLOOKUP(B809,Baza[[№]:[Profit]],12,0)=0,"-",VLOOKUP(B809,Baza[[№]:[Profit]],12,0)),"")</f>
        <v/>
      </c>
      <c r="P809" s="43" t="str">
        <f>IFERROR(IF(VLOOKUP(B809,Baza[[№]:[Profit]],13,0)=0,"-",VLOOKUP(B809,Baza[[№]:[Profit]],13,0)),"")</f>
        <v/>
      </c>
      <c r="Q809" s="43" t="str">
        <f>IFERROR(IF(VLOOKUP(B809,Baza[[№]:[Profit]],15,0)=0,"-",VLOOKUP(B809,Baza[[№]:[Profit]],15,0)),"")</f>
        <v/>
      </c>
      <c r="R809" s="43" t="str">
        <f>IFERROR(IF(VLOOKUP(B809,Baza[[№]:[Profit]],16,0)=0,"-",VLOOKUP(B809,Baza[[№]:[Profit]],16,0)),"")</f>
        <v/>
      </c>
      <c r="S809" s="43" t="str">
        <f>IFERROR(IF(VLOOKUP(B809,Baza[[№]:[Profit]],17,0)=0,"-",VLOOKUP(B809,Baza[[№]:[Profit]],17,0)),"")</f>
        <v/>
      </c>
      <c r="T809" s="43" t="str">
        <f>IFERROR(IF(VLOOKUP(B809,Baza[[№]:[Profit]],18,0)=0,"-",VLOOKUP(B809,Baza[[№]:[Profit]],18,0)),"")</f>
        <v/>
      </c>
      <c r="U809" s="41" t="str">
        <f>IFERROR(IF(VLOOKUP(B809,Baza[[№]:[Profit]],19,0)=0,"-",VLOOKUP(B809,Baza[[№]:[Profit]],19,0)),"")</f>
        <v/>
      </c>
      <c r="V809" s="41" t="str">
        <f>IFERROR(VLOOKUP(B809,Baza[[№]:[Profit]],20,0),"")</f>
        <v/>
      </c>
      <c r="W809" s="41" t="str">
        <f>IFERROR(IF(VLOOKUP(B809,Baza[[№]:[Profit]],21,0)=0,"-",VLOOKUP(B809,Baza[[№]:[Profit]],21,0)),"")</f>
        <v/>
      </c>
      <c r="X809" s="45" t="str">
        <f>IFERROR(IF(VLOOKUP(B809,Baza[[№]:[Profit]],22,0)=0,"-",VLOOKUP(B809,Baza[[№]:[Profit]],22,0)),"")</f>
        <v/>
      </c>
      <c r="Y809" s="45" t="str">
        <f>IFERROR(VLOOKUP(B809,Baza[[№]:[Profit]],23,0),"")</f>
        <v/>
      </c>
      <c r="Z809" s="44" t="str">
        <f>IFERROR(VLOOKUP(B809,Baza[[№]:[AFS]],24,0),"")</f>
        <v/>
      </c>
      <c r="AA809" s="45" t="str">
        <f>IF(Таблица2[[#This Row],[Profit]]="","#Н/Д",SUM($Y$40:Y809))</f>
        <v>#Н/Д</v>
      </c>
      <c r="AB809" s="45" t="b">
        <f>IF(Таблица2[[#This Row],[Grafik]]="#Н/Д",FALSE,TRUE)</f>
        <v>0</v>
      </c>
    </row>
    <row r="810" spans="2:28" ht="11.1" hidden="1" customHeight="1" x14ac:dyDescent="0.25">
      <c r="C810" s="41" t="str">
        <f>IFERROR(VLOOKUP(B810,Baza[[№]:[Profit]],2,0),"")</f>
        <v/>
      </c>
      <c r="D81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1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10" s="43" t="str">
        <f>IFERROR(VLOOKUP(B810,Baza[[№]:[Profit]],3,0),"")</f>
        <v/>
      </c>
      <c r="G810" s="43" t="str">
        <f>IFERROR(VLOOKUP(B810,Baza[[№]:[Profit]],4,0),"")</f>
        <v/>
      </c>
      <c r="H810" s="43" t="str">
        <f>IFERROR(VLOOKUP(B810,Baza[[№]:[Profit]],5,0),"")</f>
        <v/>
      </c>
      <c r="I810" s="46" t="str">
        <f>IFERROR(VLOOKUP(B810,Baza[[№]:[Profit]],6,0),"")</f>
        <v/>
      </c>
      <c r="J810" s="49" t="str">
        <f>IFERROR(VLOOKUP(B810,Baza[[№]:[Profit]],7,0),"")</f>
        <v/>
      </c>
      <c r="K810" s="43" t="str">
        <f>IFERROR(VLOOKUP(B810,Baza[[№]:[Profit]],8,0),"")</f>
        <v/>
      </c>
      <c r="L810" s="43" t="str">
        <f>IFERROR(VLOOKUP(B810,Baza[[№]:[Profit]],9,0),"")</f>
        <v/>
      </c>
      <c r="M810" s="43" t="str">
        <f>IFERROR(VLOOKUP(B810,Baza[[№]:[Profit]],10,0),"")</f>
        <v/>
      </c>
      <c r="N810" s="43" t="str">
        <f>IFERROR(IF(VLOOKUP(B810,Baza[[№]:[Profit]],11,0)=0,"-",VLOOKUP(B810,Baza[[№]:[Profit]],11,0)),"")</f>
        <v/>
      </c>
      <c r="O810" s="43" t="str">
        <f>IFERROR(IF(VLOOKUP(B810,Baza[[№]:[Profit]],12,0)=0,"-",VLOOKUP(B810,Baza[[№]:[Profit]],12,0)),"")</f>
        <v/>
      </c>
      <c r="P810" s="43" t="str">
        <f>IFERROR(IF(VLOOKUP(B810,Baza[[№]:[Profit]],13,0)=0,"-",VLOOKUP(B810,Baza[[№]:[Profit]],13,0)),"")</f>
        <v/>
      </c>
      <c r="Q810" s="43" t="str">
        <f>IFERROR(IF(VLOOKUP(B810,Baza[[№]:[Profit]],15,0)=0,"-",VLOOKUP(B810,Baza[[№]:[Profit]],15,0)),"")</f>
        <v/>
      </c>
      <c r="R810" s="43" t="str">
        <f>IFERROR(IF(VLOOKUP(B810,Baza[[№]:[Profit]],16,0)=0,"-",VLOOKUP(B810,Baza[[№]:[Profit]],16,0)),"")</f>
        <v/>
      </c>
      <c r="S810" s="43" t="str">
        <f>IFERROR(IF(VLOOKUP(B810,Baza[[№]:[Profit]],17,0)=0,"-",VLOOKUP(B810,Baza[[№]:[Profit]],17,0)),"")</f>
        <v/>
      </c>
      <c r="T810" s="43" t="str">
        <f>IFERROR(IF(VLOOKUP(B810,Baza[[№]:[Profit]],18,0)=0,"-",VLOOKUP(B810,Baza[[№]:[Profit]],18,0)),"")</f>
        <v/>
      </c>
      <c r="U810" s="41" t="str">
        <f>IFERROR(IF(VLOOKUP(B810,Baza[[№]:[Profit]],19,0)=0,"-",VLOOKUP(B810,Baza[[№]:[Profit]],19,0)),"")</f>
        <v/>
      </c>
      <c r="V810" s="41" t="str">
        <f>IFERROR(VLOOKUP(B810,Baza[[№]:[Profit]],20,0),"")</f>
        <v/>
      </c>
      <c r="W810" s="41" t="str">
        <f>IFERROR(IF(VLOOKUP(B810,Baza[[№]:[Profit]],21,0)=0,"-",VLOOKUP(B810,Baza[[№]:[Profit]],21,0)),"")</f>
        <v/>
      </c>
      <c r="X810" s="45" t="str">
        <f>IFERROR(IF(VLOOKUP(B810,Baza[[№]:[Profit]],22,0)=0,"-",VLOOKUP(B810,Baza[[№]:[Profit]],22,0)),"")</f>
        <v/>
      </c>
      <c r="Y810" s="45" t="str">
        <f>IFERROR(VLOOKUP(B810,Baza[[№]:[Profit]],23,0),"")</f>
        <v/>
      </c>
      <c r="Z810" s="44" t="str">
        <f>IFERROR(VLOOKUP(B810,Baza[[№]:[AFS]],24,0),"")</f>
        <v/>
      </c>
      <c r="AA810" s="45" t="str">
        <f>IF(Таблица2[[#This Row],[Profit]]="","#Н/Д",SUM($Y$40:Y810))</f>
        <v>#Н/Д</v>
      </c>
      <c r="AB810" s="45" t="b">
        <f>IF(Таблица2[[#This Row],[Grafik]]="#Н/Д",FALSE,TRUE)</f>
        <v>0</v>
      </c>
    </row>
    <row r="811" spans="2:28" ht="11.1" hidden="1" customHeight="1" x14ac:dyDescent="0.25">
      <c r="C811" s="41" t="str">
        <f>IFERROR(VLOOKUP(B811,Baza[[№]:[Profit]],2,0),"")</f>
        <v/>
      </c>
      <c r="D81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1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11" s="43" t="str">
        <f>IFERROR(VLOOKUP(B811,Baza[[№]:[Profit]],3,0),"")</f>
        <v/>
      </c>
      <c r="G811" s="43" t="str">
        <f>IFERROR(VLOOKUP(B811,Baza[[№]:[Profit]],4,0),"")</f>
        <v/>
      </c>
      <c r="H811" s="43" t="str">
        <f>IFERROR(VLOOKUP(B811,Baza[[№]:[Profit]],5,0),"")</f>
        <v/>
      </c>
      <c r="I811" s="46" t="str">
        <f>IFERROR(VLOOKUP(B811,Baza[[№]:[Profit]],6,0),"")</f>
        <v/>
      </c>
      <c r="J811" s="49" t="str">
        <f>IFERROR(VLOOKUP(B811,Baza[[№]:[Profit]],7,0),"")</f>
        <v/>
      </c>
      <c r="K811" s="43" t="str">
        <f>IFERROR(VLOOKUP(B811,Baza[[№]:[Profit]],8,0),"")</f>
        <v/>
      </c>
      <c r="L811" s="43" t="str">
        <f>IFERROR(VLOOKUP(B811,Baza[[№]:[Profit]],9,0),"")</f>
        <v/>
      </c>
      <c r="M811" s="43" t="str">
        <f>IFERROR(VLOOKUP(B811,Baza[[№]:[Profit]],10,0),"")</f>
        <v/>
      </c>
      <c r="N811" s="43" t="str">
        <f>IFERROR(IF(VLOOKUP(B811,Baza[[№]:[Profit]],11,0)=0,"-",VLOOKUP(B811,Baza[[№]:[Profit]],11,0)),"")</f>
        <v/>
      </c>
      <c r="O811" s="43" t="str">
        <f>IFERROR(IF(VLOOKUP(B811,Baza[[№]:[Profit]],12,0)=0,"-",VLOOKUP(B811,Baza[[№]:[Profit]],12,0)),"")</f>
        <v/>
      </c>
      <c r="P811" s="43" t="str">
        <f>IFERROR(IF(VLOOKUP(B811,Baza[[№]:[Profit]],13,0)=0,"-",VLOOKUP(B811,Baza[[№]:[Profit]],13,0)),"")</f>
        <v/>
      </c>
      <c r="Q811" s="43" t="str">
        <f>IFERROR(IF(VLOOKUP(B811,Baza[[№]:[Profit]],15,0)=0,"-",VLOOKUP(B811,Baza[[№]:[Profit]],15,0)),"")</f>
        <v/>
      </c>
      <c r="R811" s="43" t="str">
        <f>IFERROR(IF(VLOOKUP(B811,Baza[[№]:[Profit]],16,0)=0,"-",VLOOKUP(B811,Baza[[№]:[Profit]],16,0)),"")</f>
        <v/>
      </c>
      <c r="S811" s="43" t="str">
        <f>IFERROR(IF(VLOOKUP(B811,Baza[[№]:[Profit]],17,0)=0,"-",VLOOKUP(B811,Baza[[№]:[Profit]],17,0)),"")</f>
        <v/>
      </c>
      <c r="T811" s="43" t="str">
        <f>IFERROR(IF(VLOOKUP(B811,Baza[[№]:[Profit]],18,0)=0,"-",VLOOKUP(B811,Baza[[№]:[Profit]],18,0)),"")</f>
        <v/>
      </c>
      <c r="U811" s="41" t="str">
        <f>IFERROR(IF(VLOOKUP(B811,Baza[[№]:[Profit]],19,0)=0,"-",VLOOKUP(B811,Baza[[№]:[Profit]],19,0)),"")</f>
        <v/>
      </c>
      <c r="V811" s="41" t="str">
        <f>IFERROR(VLOOKUP(B811,Baza[[№]:[Profit]],20,0),"")</f>
        <v/>
      </c>
      <c r="W811" s="41" t="str">
        <f>IFERROR(IF(VLOOKUP(B811,Baza[[№]:[Profit]],21,0)=0,"-",VLOOKUP(B811,Baza[[№]:[Profit]],21,0)),"")</f>
        <v/>
      </c>
      <c r="X811" s="45" t="str">
        <f>IFERROR(IF(VLOOKUP(B811,Baza[[№]:[Profit]],22,0)=0,"-",VLOOKUP(B811,Baza[[№]:[Profit]],22,0)),"")</f>
        <v/>
      </c>
      <c r="Y811" s="45" t="str">
        <f>IFERROR(VLOOKUP(B811,Baza[[№]:[Profit]],23,0),"")</f>
        <v/>
      </c>
      <c r="Z811" s="44" t="str">
        <f>IFERROR(VLOOKUP(B811,Baza[[№]:[AFS]],24,0),"")</f>
        <v/>
      </c>
      <c r="AA811" s="45" t="str">
        <f>IF(Таблица2[[#This Row],[Profit]]="","#Н/Д",SUM($Y$40:Y811))</f>
        <v>#Н/Д</v>
      </c>
      <c r="AB811" s="45" t="b">
        <f>IF(Таблица2[[#This Row],[Grafik]]="#Н/Д",FALSE,TRUE)</f>
        <v>0</v>
      </c>
    </row>
    <row r="812" spans="2:28" ht="11.1" hidden="1" customHeight="1" x14ac:dyDescent="0.25">
      <c r="C812" s="41" t="str">
        <f>IFERROR(VLOOKUP(B812,Baza[[№]:[Profit]],2,0),"")</f>
        <v/>
      </c>
      <c r="D81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1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12" s="43" t="str">
        <f>IFERROR(VLOOKUP(B812,Baza[[№]:[Profit]],3,0),"")</f>
        <v/>
      </c>
      <c r="G812" s="43" t="str">
        <f>IFERROR(VLOOKUP(B812,Baza[[№]:[Profit]],4,0),"")</f>
        <v/>
      </c>
      <c r="H812" s="43" t="str">
        <f>IFERROR(VLOOKUP(B812,Baza[[№]:[Profit]],5,0),"")</f>
        <v/>
      </c>
      <c r="I812" s="46" t="str">
        <f>IFERROR(VLOOKUP(B812,Baza[[№]:[Profit]],6,0),"")</f>
        <v/>
      </c>
      <c r="J812" s="49" t="str">
        <f>IFERROR(VLOOKUP(B812,Baza[[№]:[Profit]],7,0),"")</f>
        <v/>
      </c>
      <c r="K812" s="43" t="str">
        <f>IFERROR(VLOOKUP(B812,Baza[[№]:[Profit]],8,0),"")</f>
        <v/>
      </c>
      <c r="L812" s="43" t="str">
        <f>IFERROR(VLOOKUP(B812,Baza[[№]:[Profit]],9,0),"")</f>
        <v/>
      </c>
      <c r="M812" s="43" t="str">
        <f>IFERROR(VLOOKUP(B812,Baza[[№]:[Profit]],10,0),"")</f>
        <v/>
      </c>
      <c r="N812" s="43" t="str">
        <f>IFERROR(IF(VLOOKUP(B812,Baza[[№]:[Profit]],11,0)=0,"-",VLOOKUP(B812,Baza[[№]:[Profit]],11,0)),"")</f>
        <v/>
      </c>
      <c r="O812" s="43" t="str">
        <f>IFERROR(IF(VLOOKUP(B812,Baza[[№]:[Profit]],12,0)=0,"-",VLOOKUP(B812,Baza[[№]:[Profit]],12,0)),"")</f>
        <v/>
      </c>
      <c r="P812" s="43" t="str">
        <f>IFERROR(IF(VLOOKUP(B812,Baza[[№]:[Profit]],13,0)=0,"-",VLOOKUP(B812,Baza[[№]:[Profit]],13,0)),"")</f>
        <v/>
      </c>
      <c r="Q812" s="43" t="str">
        <f>IFERROR(IF(VLOOKUP(B812,Baza[[№]:[Profit]],15,0)=0,"-",VLOOKUP(B812,Baza[[№]:[Profit]],15,0)),"")</f>
        <v/>
      </c>
      <c r="R812" s="43" t="str">
        <f>IFERROR(IF(VLOOKUP(B812,Baza[[№]:[Profit]],16,0)=0,"-",VLOOKUP(B812,Baza[[№]:[Profit]],16,0)),"")</f>
        <v/>
      </c>
      <c r="S812" s="43" t="str">
        <f>IFERROR(IF(VLOOKUP(B812,Baza[[№]:[Profit]],17,0)=0,"-",VLOOKUP(B812,Baza[[№]:[Profit]],17,0)),"")</f>
        <v/>
      </c>
      <c r="T812" s="43" t="str">
        <f>IFERROR(IF(VLOOKUP(B812,Baza[[№]:[Profit]],18,0)=0,"-",VLOOKUP(B812,Baza[[№]:[Profit]],18,0)),"")</f>
        <v/>
      </c>
      <c r="U812" s="41" t="str">
        <f>IFERROR(IF(VLOOKUP(B812,Baza[[№]:[Profit]],19,0)=0,"-",VLOOKUP(B812,Baza[[№]:[Profit]],19,0)),"")</f>
        <v/>
      </c>
      <c r="V812" s="41" t="str">
        <f>IFERROR(VLOOKUP(B812,Baza[[№]:[Profit]],20,0),"")</f>
        <v/>
      </c>
      <c r="W812" s="41" t="str">
        <f>IFERROR(IF(VLOOKUP(B812,Baza[[№]:[Profit]],21,0)=0,"-",VLOOKUP(B812,Baza[[№]:[Profit]],21,0)),"")</f>
        <v/>
      </c>
      <c r="X812" s="45" t="str">
        <f>IFERROR(IF(VLOOKUP(B812,Baza[[№]:[Profit]],22,0)=0,"-",VLOOKUP(B812,Baza[[№]:[Profit]],22,0)),"")</f>
        <v/>
      </c>
      <c r="Y812" s="45" t="str">
        <f>IFERROR(VLOOKUP(B812,Baza[[№]:[Profit]],23,0),"")</f>
        <v/>
      </c>
      <c r="Z812" s="44" t="str">
        <f>IFERROR(VLOOKUP(B812,Baza[[№]:[AFS]],24,0),"")</f>
        <v/>
      </c>
      <c r="AA812" s="45" t="str">
        <f>IF(Таблица2[[#This Row],[Profit]]="","#Н/Д",SUM($Y$40:Y812))</f>
        <v>#Н/Д</v>
      </c>
      <c r="AB812" s="45" t="b">
        <f>IF(Таблица2[[#This Row],[Grafik]]="#Н/Д",FALSE,TRUE)</f>
        <v>0</v>
      </c>
    </row>
    <row r="813" spans="2:28" ht="11.1" hidden="1" customHeight="1" x14ac:dyDescent="0.25">
      <c r="C813" s="41" t="str">
        <f>IFERROR(VLOOKUP(B813,Baza[[№]:[Profit]],2,0),"")</f>
        <v/>
      </c>
      <c r="D81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1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13" s="43" t="str">
        <f>IFERROR(VLOOKUP(B813,Baza[[№]:[Profit]],3,0),"")</f>
        <v/>
      </c>
      <c r="G813" s="43" t="str">
        <f>IFERROR(VLOOKUP(B813,Baza[[№]:[Profit]],4,0),"")</f>
        <v/>
      </c>
      <c r="H813" s="43" t="str">
        <f>IFERROR(VLOOKUP(B813,Baza[[№]:[Profit]],5,0),"")</f>
        <v/>
      </c>
      <c r="I813" s="46" t="str">
        <f>IFERROR(VLOOKUP(B813,Baza[[№]:[Profit]],6,0),"")</f>
        <v/>
      </c>
      <c r="J813" s="49" t="str">
        <f>IFERROR(VLOOKUP(B813,Baza[[№]:[Profit]],7,0),"")</f>
        <v/>
      </c>
      <c r="K813" s="43" t="str">
        <f>IFERROR(VLOOKUP(B813,Baza[[№]:[Profit]],8,0),"")</f>
        <v/>
      </c>
      <c r="L813" s="43" t="str">
        <f>IFERROR(VLOOKUP(B813,Baza[[№]:[Profit]],9,0),"")</f>
        <v/>
      </c>
      <c r="M813" s="43" t="str">
        <f>IFERROR(VLOOKUP(B813,Baza[[№]:[Profit]],10,0),"")</f>
        <v/>
      </c>
      <c r="N813" s="43" t="str">
        <f>IFERROR(IF(VLOOKUP(B813,Baza[[№]:[Profit]],11,0)=0,"-",VLOOKUP(B813,Baza[[№]:[Profit]],11,0)),"")</f>
        <v/>
      </c>
      <c r="O813" s="43" t="str">
        <f>IFERROR(IF(VLOOKUP(B813,Baza[[№]:[Profit]],12,0)=0,"-",VLOOKUP(B813,Baza[[№]:[Profit]],12,0)),"")</f>
        <v/>
      </c>
      <c r="P813" s="43" t="str">
        <f>IFERROR(IF(VLOOKUP(B813,Baza[[№]:[Profit]],13,0)=0,"-",VLOOKUP(B813,Baza[[№]:[Profit]],13,0)),"")</f>
        <v/>
      </c>
      <c r="Q813" s="43" t="str">
        <f>IFERROR(IF(VLOOKUP(B813,Baza[[№]:[Profit]],15,0)=0,"-",VLOOKUP(B813,Baza[[№]:[Profit]],15,0)),"")</f>
        <v/>
      </c>
      <c r="R813" s="43" t="str">
        <f>IFERROR(IF(VLOOKUP(B813,Baza[[№]:[Profit]],16,0)=0,"-",VLOOKUP(B813,Baza[[№]:[Profit]],16,0)),"")</f>
        <v/>
      </c>
      <c r="S813" s="43" t="str">
        <f>IFERROR(IF(VLOOKUP(B813,Baza[[№]:[Profit]],17,0)=0,"-",VLOOKUP(B813,Baza[[№]:[Profit]],17,0)),"")</f>
        <v/>
      </c>
      <c r="T813" s="43" t="str">
        <f>IFERROR(IF(VLOOKUP(B813,Baza[[№]:[Profit]],18,0)=0,"-",VLOOKUP(B813,Baza[[№]:[Profit]],18,0)),"")</f>
        <v/>
      </c>
      <c r="U813" s="41" t="str">
        <f>IFERROR(IF(VLOOKUP(B813,Baza[[№]:[Profit]],19,0)=0,"-",VLOOKUP(B813,Baza[[№]:[Profit]],19,0)),"")</f>
        <v/>
      </c>
      <c r="V813" s="41" t="str">
        <f>IFERROR(VLOOKUP(B813,Baza[[№]:[Profit]],20,0),"")</f>
        <v/>
      </c>
      <c r="W813" s="41" t="str">
        <f>IFERROR(IF(VLOOKUP(B813,Baza[[№]:[Profit]],21,0)=0,"-",VLOOKUP(B813,Baza[[№]:[Profit]],21,0)),"")</f>
        <v/>
      </c>
      <c r="X813" s="45" t="str">
        <f>IFERROR(IF(VLOOKUP(B813,Baza[[№]:[Profit]],22,0)=0,"-",VLOOKUP(B813,Baza[[№]:[Profit]],22,0)),"")</f>
        <v/>
      </c>
      <c r="Y813" s="45" t="str">
        <f>IFERROR(VLOOKUP(B813,Baza[[№]:[Profit]],23,0),"")</f>
        <v/>
      </c>
      <c r="Z813" s="44" t="str">
        <f>IFERROR(VLOOKUP(B813,Baza[[№]:[AFS]],24,0),"")</f>
        <v/>
      </c>
      <c r="AA813" s="45" t="str">
        <f>IF(Таблица2[[#This Row],[Profit]]="","#Н/Д",SUM($Y$40:Y813))</f>
        <v>#Н/Д</v>
      </c>
      <c r="AB813" s="45" t="b">
        <f>IF(Таблица2[[#This Row],[Grafik]]="#Н/Д",FALSE,TRUE)</f>
        <v>0</v>
      </c>
    </row>
    <row r="814" spans="2:28" ht="11.1" hidden="1" customHeight="1" x14ac:dyDescent="0.25">
      <c r="C814" s="41" t="str">
        <f>IFERROR(VLOOKUP(B814,Baza[[№]:[Profit]],2,0),"")</f>
        <v/>
      </c>
      <c r="D81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1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14" s="43" t="str">
        <f>IFERROR(VLOOKUP(B814,Baza[[№]:[Profit]],3,0),"")</f>
        <v/>
      </c>
      <c r="G814" s="43" t="str">
        <f>IFERROR(VLOOKUP(B814,Baza[[№]:[Profit]],4,0),"")</f>
        <v/>
      </c>
      <c r="H814" s="43" t="str">
        <f>IFERROR(VLOOKUP(B814,Baza[[№]:[Profit]],5,0),"")</f>
        <v/>
      </c>
      <c r="I814" s="46" t="str">
        <f>IFERROR(VLOOKUP(B814,Baza[[№]:[Profit]],6,0),"")</f>
        <v/>
      </c>
      <c r="J814" s="49" t="str">
        <f>IFERROR(VLOOKUP(B814,Baza[[№]:[Profit]],7,0),"")</f>
        <v/>
      </c>
      <c r="K814" s="43" t="str">
        <f>IFERROR(VLOOKUP(B814,Baza[[№]:[Profit]],8,0),"")</f>
        <v/>
      </c>
      <c r="L814" s="43" t="str">
        <f>IFERROR(VLOOKUP(B814,Baza[[№]:[Profit]],9,0),"")</f>
        <v/>
      </c>
      <c r="M814" s="43" t="str">
        <f>IFERROR(VLOOKUP(B814,Baza[[№]:[Profit]],10,0),"")</f>
        <v/>
      </c>
      <c r="N814" s="43" t="str">
        <f>IFERROR(IF(VLOOKUP(B814,Baza[[№]:[Profit]],11,0)=0,"-",VLOOKUP(B814,Baza[[№]:[Profit]],11,0)),"")</f>
        <v/>
      </c>
      <c r="O814" s="43" t="str">
        <f>IFERROR(IF(VLOOKUP(B814,Baza[[№]:[Profit]],12,0)=0,"-",VLOOKUP(B814,Baza[[№]:[Profit]],12,0)),"")</f>
        <v/>
      </c>
      <c r="P814" s="43" t="str">
        <f>IFERROR(IF(VLOOKUP(B814,Baza[[№]:[Profit]],13,0)=0,"-",VLOOKUP(B814,Baza[[№]:[Profit]],13,0)),"")</f>
        <v/>
      </c>
      <c r="Q814" s="43" t="str">
        <f>IFERROR(IF(VLOOKUP(B814,Baza[[№]:[Profit]],15,0)=0,"-",VLOOKUP(B814,Baza[[№]:[Profit]],15,0)),"")</f>
        <v/>
      </c>
      <c r="R814" s="43" t="str">
        <f>IFERROR(IF(VLOOKUP(B814,Baza[[№]:[Profit]],16,0)=0,"-",VLOOKUP(B814,Baza[[№]:[Profit]],16,0)),"")</f>
        <v/>
      </c>
      <c r="S814" s="43" t="str">
        <f>IFERROR(IF(VLOOKUP(B814,Baza[[№]:[Profit]],17,0)=0,"-",VLOOKUP(B814,Baza[[№]:[Profit]],17,0)),"")</f>
        <v/>
      </c>
      <c r="T814" s="43" t="str">
        <f>IFERROR(IF(VLOOKUP(B814,Baza[[№]:[Profit]],18,0)=0,"-",VLOOKUP(B814,Baza[[№]:[Profit]],18,0)),"")</f>
        <v/>
      </c>
      <c r="U814" s="41" t="str">
        <f>IFERROR(IF(VLOOKUP(B814,Baza[[№]:[Profit]],19,0)=0,"-",VLOOKUP(B814,Baza[[№]:[Profit]],19,0)),"")</f>
        <v/>
      </c>
      <c r="V814" s="41" t="str">
        <f>IFERROR(VLOOKUP(B814,Baza[[№]:[Profit]],20,0),"")</f>
        <v/>
      </c>
      <c r="W814" s="41" t="str">
        <f>IFERROR(IF(VLOOKUP(B814,Baza[[№]:[Profit]],21,0)=0,"-",VLOOKUP(B814,Baza[[№]:[Profit]],21,0)),"")</f>
        <v/>
      </c>
      <c r="X814" s="45" t="str">
        <f>IFERROR(IF(VLOOKUP(B814,Baza[[№]:[Profit]],22,0)=0,"-",VLOOKUP(B814,Baza[[№]:[Profit]],22,0)),"")</f>
        <v/>
      </c>
      <c r="Y814" s="45" t="str">
        <f>IFERROR(VLOOKUP(B814,Baza[[№]:[Profit]],23,0),"")</f>
        <v/>
      </c>
      <c r="Z814" s="44" t="str">
        <f>IFERROR(VLOOKUP(B814,Baza[[№]:[AFS]],24,0),"")</f>
        <v/>
      </c>
      <c r="AA814" s="45" t="str">
        <f>IF(Таблица2[[#This Row],[Profit]]="","#Н/Д",SUM($Y$40:Y814))</f>
        <v>#Н/Д</v>
      </c>
      <c r="AB814" s="45" t="b">
        <f>IF(Таблица2[[#This Row],[Grafik]]="#Н/Д",FALSE,TRUE)</f>
        <v>0</v>
      </c>
    </row>
    <row r="815" spans="2:28" ht="11.1" hidden="1" customHeight="1" x14ac:dyDescent="0.25">
      <c r="C815" s="41" t="str">
        <f>IFERROR(VLOOKUP(B815,Baza[[№]:[Profit]],2,0),"")</f>
        <v/>
      </c>
      <c r="D81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1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15" s="43" t="str">
        <f>IFERROR(VLOOKUP(B815,Baza[[№]:[Profit]],3,0),"")</f>
        <v/>
      </c>
      <c r="G815" s="43" t="str">
        <f>IFERROR(VLOOKUP(B815,Baza[[№]:[Profit]],4,0),"")</f>
        <v/>
      </c>
      <c r="H815" s="43" t="str">
        <f>IFERROR(VLOOKUP(B815,Baza[[№]:[Profit]],5,0),"")</f>
        <v/>
      </c>
      <c r="I815" s="46" t="str">
        <f>IFERROR(VLOOKUP(B815,Baza[[№]:[Profit]],6,0),"")</f>
        <v/>
      </c>
      <c r="J815" s="49" t="str">
        <f>IFERROR(VLOOKUP(B815,Baza[[№]:[Profit]],7,0),"")</f>
        <v/>
      </c>
      <c r="K815" s="43" t="str">
        <f>IFERROR(VLOOKUP(B815,Baza[[№]:[Profit]],8,0),"")</f>
        <v/>
      </c>
      <c r="L815" s="43" t="str">
        <f>IFERROR(VLOOKUP(B815,Baza[[№]:[Profit]],9,0),"")</f>
        <v/>
      </c>
      <c r="M815" s="43" t="str">
        <f>IFERROR(VLOOKUP(B815,Baza[[№]:[Profit]],10,0),"")</f>
        <v/>
      </c>
      <c r="N815" s="43" t="str">
        <f>IFERROR(IF(VLOOKUP(B815,Baza[[№]:[Profit]],11,0)=0,"-",VLOOKUP(B815,Baza[[№]:[Profit]],11,0)),"")</f>
        <v/>
      </c>
      <c r="O815" s="43" t="str">
        <f>IFERROR(IF(VLOOKUP(B815,Baza[[№]:[Profit]],12,0)=0,"-",VLOOKUP(B815,Baza[[№]:[Profit]],12,0)),"")</f>
        <v/>
      </c>
      <c r="P815" s="43" t="str">
        <f>IFERROR(IF(VLOOKUP(B815,Baza[[№]:[Profit]],13,0)=0,"-",VLOOKUP(B815,Baza[[№]:[Profit]],13,0)),"")</f>
        <v/>
      </c>
      <c r="Q815" s="43" t="str">
        <f>IFERROR(IF(VLOOKUP(B815,Baza[[№]:[Profit]],15,0)=0,"-",VLOOKUP(B815,Baza[[№]:[Profit]],15,0)),"")</f>
        <v/>
      </c>
      <c r="R815" s="43" t="str">
        <f>IFERROR(IF(VLOOKUP(B815,Baza[[№]:[Profit]],16,0)=0,"-",VLOOKUP(B815,Baza[[№]:[Profit]],16,0)),"")</f>
        <v/>
      </c>
      <c r="S815" s="43" t="str">
        <f>IFERROR(IF(VLOOKUP(B815,Baza[[№]:[Profit]],17,0)=0,"-",VLOOKUP(B815,Baza[[№]:[Profit]],17,0)),"")</f>
        <v/>
      </c>
      <c r="T815" s="43" t="str">
        <f>IFERROR(IF(VLOOKUP(B815,Baza[[№]:[Profit]],18,0)=0,"-",VLOOKUP(B815,Baza[[№]:[Profit]],18,0)),"")</f>
        <v/>
      </c>
      <c r="U815" s="41" t="str">
        <f>IFERROR(IF(VLOOKUP(B815,Baza[[№]:[Profit]],19,0)=0,"-",VLOOKUP(B815,Baza[[№]:[Profit]],19,0)),"")</f>
        <v/>
      </c>
      <c r="V815" s="41" t="str">
        <f>IFERROR(VLOOKUP(B815,Baza[[№]:[Profit]],20,0),"")</f>
        <v/>
      </c>
      <c r="W815" s="41" t="str">
        <f>IFERROR(IF(VLOOKUP(B815,Baza[[№]:[Profit]],21,0)=0,"-",VLOOKUP(B815,Baza[[№]:[Profit]],21,0)),"")</f>
        <v/>
      </c>
      <c r="X815" s="45" t="str">
        <f>IFERROR(IF(VLOOKUP(B815,Baza[[№]:[Profit]],22,0)=0,"-",VLOOKUP(B815,Baza[[№]:[Profit]],22,0)),"")</f>
        <v/>
      </c>
      <c r="Y815" s="45" t="str">
        <f>IFERROR(VLOOKUP(B815,Baza[[№]:[Profit]],23,0),"")</f>
        <v/>
      </c>
      <c r="Z815" s="44" t="str">
        <f>IFERROR(VLOOKUP(B815,Baza[[№]:[AFS]],24,0),"")</f>
        <v/>
      </c>
      <c r="AA815" s="45" t="str">
        <f>IF(Таблица2[[#This Row],[Profit]]="","#Н/Д",SUM($Y$40:Y815))</f>
        <v>#Н/Д</v>
      </c>
      <c r="AB815" s="45" t="b">
        <f>IF(Таблица2[[#This Row],[Grafik]]="#Н/Д",FALSE,TRUE)</f>
        <v>0</v>
      </c>
    </row>
    <row r="816" spans="2:28" ht="11.1" hidden="1" customHeight="1" x14ac:dyDescent="0.25">
      <c r="C816" s="41" t="str">
        <f>IFERROR(VLOOKUP(B816,Baza[[№]:[Profit]],2,0),"")</f>
        <v/>
      </c>
      <c r="D81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1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16" s="43" t="str">
        <f>IFERROR(VLOOKUP(B816,Baza[[№]:[Profit]],3,0),"")</f>
        <v/>
      </c>
      <c r="G816" s="43" t="str">
        <f>IFERROR(VLOOKUP(B816,Baza[[№]:[Profit]],4,0),"")</f>
        <v/>
      </c>
      <c r="H816" s="43" t="str">
        <f>IFERROR(VLOOKUP(B816,Baza[[№]:[Profit]],5,0),"")</f>
        <v/>
      </c>
      <c r="I816" s="46" t="str">
        <f>IFERROR(VLOOKUP(B816,Baza[[№]:[Profit]],6,0),"")</f>
        <v/>
      </c>
      <c r="J816" s="49" t="str">
        <f>IFERROR(VLOOKUP(B816,Baza[[№]:[Profit]],7,0),"")</f>
        <v/>
      </c>
      <c r="K816" s="43" t="str">
        <f>IFERROR(VLOOKUP(B816,Baza[[№]:[Profit]],8,0),"")</f>
        <v/>
      </c>
      <c r="L816" s="43" t="str">
        <f>IFERROR(VLOOKUP(B816,Baza[[№]:[Profit]],9,0),"")</f>
        <v/>
      </c>
      <c r="M816" s="43" t="str">
        <f>IFERROR(VLOOKUP(B816,Baza[[№]:[Profit]],10,0),"")</f>
        <v/>
      </c>
      <c r="N816" s="43" t="str">
        <f>IFERROR(IF(VLOOKUP(B816,Baza[[№]:[Profit]],11,0)=0,"-",VLOOKUP(B816,Baza[[№]:[Profit]],11,0)),"")</f>
        <v/>
      </c>
      <c r="O816" s="43" t="str">
        <f>IFERROR(IF(VLOOKUP(B816,Baza[[№]:[Profit]],12,0)=0,"-",VLOOKUP(B816,Baza[[№]:[Profit]],12,0)),"")</f>
        <v/>
      </c>
      <c r="P816" s="43" t="str">
        <f>IFERROR(IF(VLOOKUP(B816,Baza[[№]:[Profit]],13,0)=0,"-",VLOOKUP(B816,Baza[[№]:[Profit]],13,0)),"")</f>
        <v/>
      </c>
      <c r="Q816" s="43" t="str">
        <f>IFERROR(IF(VLOOKUP(B816,Baza[[№]:[Profit]],15,0)=0,"-",VLOOKUP(B816,Baza[[№]:[Profit]],15,0)),"")</f>
        <v/>
      </c>
      <c r="R816" s="43" t="str">
        <f>IFERROR(IF(VLOOKUP(B816,Baza[[№]:[Profit]],16,0)=0,"-",VLOOKUP(B816,Baza[[№]:[Profit]],16,0)),"")</f>
        <v/>
      </c>
      <c r="S816" s="43" t="str">
        <f>IFERROR(IF(VLOOKUP(B816,Baza[[№]:[Profit]],17,0)=0,"-",VLOOKUP(B816,Baza[[№]:[Profit]],17,0)),"")</f>
        <v/>
      </c>
      <c r="T816" s="43" t="str">
        <f>IFERROR(IF(VLOOKUP(B816,Baza[[№]:[Profit]],18,0)=0,"-",VLOOKUP(B816,Baza[[№]:[Profit]],18,0)),"")</f>
        <v/>
      </c>
      <c r="U816" s="41" t="str">
        <f>IFERROR(IF(VLOOKUP(B816,Baza[[№]:[Profit]],19,0)=0,"-",VLOOKUP(B816,Baza[[№]:[Profit]],19,0)),"")</f>
        <v/>
      </c>
      <c r="V816" s="41" t="str">
        <f>IFERROR(VLOOKUP(B816,Baza[[№]:[Profit]],20,0),"")</f>
        <v/>
      </c>
      <c r="W816" s="41" t="str">
        <f>IFERROR(IF(VLOOKUP(B816,Baza[[№]:[Profit]],21,0)=0,"-",VLOOKUP(B816,Baza[[№]:[Profit]],21,0)),"")</f>
        <v/>
      </c>
      <c r="X816" s="45" t="str">
        <f>IFERROR(IF(VLOOKUP(B816,Baza[[№]:[Profit]],22,0)=0,"-",VLOOKUP(B816,Baza[[№]:[Profit]],22,0)),"")</f>
        <v/>
      </c>
      <c r="Y816" s="45" t="str">
        <f>IFERROR(VLOOKUP(B816,Baza[[№]:[Profit]],23,0),"")</f>
        <v/>
      </c>
      <c r="Z816" s="44" t="str">
        <f>IFERROR(VLOOKUP(B816,Baza[[№]:[AFS]],24,0),"")</f>
        <v/>
      </c>
      <c r="AA816" s="45" t="str">
        <f>IF(Таблица2[[#This Row],[Profit]]="","#Н/Д",SUM($Y$40:Y816))</f>
        <v>#Н/Д</v>
      </c>
      <c r="AB816" s="45" t="b">
        <f>IF(Таблица2[[#This Row],[Grafik]]="#Н/Д",FALSE,TRUE)</f>
        <v>0</v>
      </c>
    </row>
    <row r="817" spans="3:28" ht="11.1" hidden="1" customHeight="1" x14ac:dyDescent="0.25">
      <c r="C817" s="41" t="str">
        <f>IFERROR(VLOOKUP(B817,Baza[[№]:[Profit]],2,0),"")</f>
        <v/>
      </c>
      <c r="D81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1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17" s="43" t="str">
        <f>IFERROR(VLOOKUP(B817,Baza[[№]:[Profit]],3,0),"")</f>
        <v/>
      </c>
      <c r="G817" s="43" t="str">
        <f>IFERROR(VLOOKUP(B817,Baza[[№]:[Profit]],4,0),"")</f>
        <v/>
      </c>
      <c r="H817" s="43" t="str">
        <f>IFERROR(VLOOKUP(B817,Baza[[№]:[Profit]],5,0),"")</f>
        <v/>
      </c>
      <c r="I817" s="46" t="str">
        <f>IFERROR(VLOOKUP(B817,Baza[[№]:[Profit]],6,0),"")</f>
        <v/>
      </c>
      <c r="J817" s="49" t="str">
        <f>IFERROR(VLOOKUP(B817,Baza[[№]:[Profit]],7,0),"")</f>
        <v/>
      </c>
      <c r="K817" s="43" t="str">
        <f>IFERROR(VLOOKUP(B817,Baza[[№]:[Profit]],8,0),"")</f>
        <v/>
      </c>
      <c r="L817" s="43" t="str">
        <f>IFERROR(VLOOKUP(B817,Baza[[№]:[Profit]],9,0),"")</f>
        <v/>
      </c>
      <c r="M817" s="43" t="str">
        <f>IFERROR(VLOOKUP(B817,Baza[[№]:[Profit]],10,0),"")</f>
        <v/>
      </c>
      <c r="N817" s="43" t="str">
        <f>IFERROR(IF(VLOOKUP(B817,Baza[[№]:[Profit]],11,0)=0,"-",VLOOKUP(B817,Baza[[№]:[Profit]],11,0)),"")</f>
        <v/>
      </c>
      <c r="O817" s="43" t="str">
        <f>IFERROR(IF(VLOOKUP(B817,Baza[[№]:[Profit]],12,0)=0,"-",VLOOKUP(B817,Baza[[№]:[Profit]],12,0)),"")</f>
        <v/>
      </c>
      <c r="P817" s="43" t="str">
        <f>IFERROR(IF(VLOOKUP(B817,Baza[[№]:[Profit]],13,0)=0,"-",VLOOKUP(B817,Baza[[№]:[Profit]],13,0)),"")</f>
        <v/>
      </c>
      <c r="Q817" s="43" t="str">
        <f>IFERROR(IF(VLOOKUP(B817,Baza[[№]:[Profit]],15,0)=0,"-",VLOOKUP(B817,Baza[[№]:[Profit]],15,0)),"")</f>
        <v/>
      </c>
      <c r="R817" s="43" t="str">
        <f>IFERROR(IF(VLOOKUP(B817,Baza[[№]:[Profit]],16,0)=0,"-",VLOOKUP(B817,Baza[[№]:[Profit]],16,0)),"")</f>
        <v/>
      </c>
      <c r="S817" s="43" t="str">
        <f>IFERROR(IF(VLOOKUP(B817,Baza[[№]:[Profit]],17,0)=0,"-",VLOOKUP(B817,Baza[[№]:[Profit]],17,0)),"")</f>
        <v/>
      </c>
      <c r="T817" s="43" t="str">
        <f>IFERROR(IF(VLOOKUP(B817,Baza[[№]:[Profit]],18,0)=0,"-",VLOOKUP(B817,Baza[[№]:[Profit]],18,0)),"")</f>
        <v/>
      </c>
      <c r="U817" s="41" t="str">
        <f>IFERROR(IF(VLOOKUP(B817,Baza[[№]:[Profit]],19,0)=0,"-",VLOOKUP(B817,Baza[[№]:[Profit]],19,0)),"")</f>
        <v/>
      </c>
      <c r="V817" s="41" t="str">
        <f>IFERROR(VLOOKUP(B817,Baza[[№]:[Profit]],20,0),"")</f>
        <v/>
      </c>
      <c r="W817" s="41" t="str">
        <f>IFERROR(IF(VLOOKUP(B817,Baza[[№]:[Profit]],21,0)=0,"-",VLOOKUP(B817,Baza[[№]:[Profit]],21,0)),"")</f>
        <v/>
      </c>
      <c r="X817" s="45" t="str">
        <f>IFERROR(IF(VLOOKUP(B817,Baza[[№]:[Profit]],22,0)=0,"-",VLOOKUP(B817,Baza[[№]:[Profit]],22,0)),"")</f>
        <v/>
      </c>
      <c r="Y817" s="45" t="str">
        <f>IFERROR(VLOOKUP(B817,Baza[[№]:[Profit]],23,0),"")</f>
        <v/>
      </c>
      <c r="Z817" s="44" t="str">
        <f>IFERROR(VLOOKUP(B817,Baza[[№]:[AFS]],24,0),"")</f>
        <v/>
      </c>
      <c r="AA817" s="45" t="str">
        <f>IF(Таблица2[[#This Row],[Profit]]="","#Н/Д",SUM($Y$40:Y817))</f>
        <v>#Н/Д</v>
      </c>
      <c r="AB817" s="45" t="b">
        <f>IF(Таблица2[[#This Row],[Grafik]]="#Н/Д",FALSE,TRUE)</f>
        <v>0</v>
      </c>
    </row>
    <row r="818" spans="3:28" ht="11.1" hidden="1" customHeight="1" x14ac:dyDescent="0.25">
      <c r="C818" s="41" t="str">
        <f>IFERROR(VLOOKUP(B818,Baza[[№]:[Profit]],2,0),"")</f>
        <v/>
      </c>
      <c r="D81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1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18" s="43" t="str">
        <f>IFERROR(VLOOKUP(B818,Baza[[№]:[Profit]],3,0),"")</f>
        <v/>
      </c>
      <c r="G818" s="43" t="str">
        <f>IFERROR(VLOOKUP(B818,Baza[[№]:[Profit]],4,0),"")</f>
        <v/>
      </c>
      <c r="H818" s="43" t="str">
        <f>IFERROR(VLOOKUP(B818,Baza[[№]:[Profit]],5,0),"")</f>
        <v/>
      </c>
      <c r="I818" s="46" t="str">
        <f>IFERROR(VLOOKUP(B818,Baza[[№]:[Profit]],6,0),"")</f>
        <v/>
      </c>
      <c r="J818" s="49" t="str">
        <f>IFERROR(VLOOKUP(B818,Baza[[№]:[Profit]],7,0),"")</f>
        <v/>
      </c>
      <c r="K818" s="43" t="str">
        <f>IFERROR(VLOOKUP(B818,Baza[[№]:[Profit]],8,0),"")</f>
        <v/>
      </c>
      <c r="L818" s="43" t="str">
        <f>IFERROR(VLOOKUP(B818,Baza[[№]:[Profit]],9,0),"")</f>
        <v/>
      </c>
      <c r="M818" s="43" t="str">
        <f>IFERROR(VLOOKUP(B818,Baza[[№]:[Profit]],10,0),"")</f>
        <v/>
      </c>
      <c r="N818" s="43" t="str">
        <f>IFERROR(IF(VLOOKUP(B818,Baza[[№]:[Profit]],11,0)=0,"-",VLOOKUP(B818,Baza[[№]:[Profit]],11,0)),"")</f>
        <v/>
      </c>
      <c r="O818" s="43" t="str">
        <f>IFERROR(IF(VLOOKUP(B818,Baza[[№]:[Profit]],12,0)=0,"-",VLOOKUP(B818,Baza[[№]:[Profit]],12,0)),"")</f>
        <v/>
      </c>
      <c r="P818" s="43" t="str">
        <f>IFERROR(IF(VLOOKUP(B818,Baza[[№]:[Profit]],13,0)=0,"-",VLOOKUP(B818,Baza[[№]:[Profit]],13,0)),"")</f>
        <v/>
      </c>
      <c r="Q818" s="43" t="str">
        <f>IFERROR(IF(VLOOKUP(B818,Baza[[№]:[Profit]],15,0)=0,"-",VLOOKUP(B818,Baza[[№]:[Profit]],15,0)),"")</f>
        <v/>
      </c>
      <c r="R818" s="43" t="str">
        <f>IFERROR(IF(VLOOKUP(B818,Baza[[№]:[Profit]],16,0)=0,"-",VLOOKUP(B818,Baza[[№]:[Profit]],16,0)),"")</f>
        <v/>
      </c>
      <c r="S818" s="43" t="str">
        <f>IFERROR(IF(VLOOKUP(B818,Baza[[№]:[Profit]],17,0)=0,"-",VLOOKUP(B818,Baza[[№]:[Profit]],17,0)),"")</f>
        <v/>
      </c>
      <c r="T818" s="43" t="str">
        <f>IFERROR(IF(VLOOKUP(B818,Baza[[№]:[Profit]],18,0)=0,"-",VLOOKUP(B818,Baza[[№]:[Profit]],18,0)),"")</f>
        <v/>
      </c>
      <c r="U818" s="41" t="str">
        <f>IFERROR(IF(VLOOKUP(B818,Baza[[№]:[Profit]],19,0)=0,"-",VLOOKUP(B818,Baza[[№]:[Profit]],19,0)),"")</f>
        <v/>
      </c>
      <c r="V818" s="41" t="str">
        <f>IFERROR(VLOOKUP(B818,Baza[[№]:[Profit]],20,0),"")</f>
        <v/>
      </c>
      <c r="W818" s="41" t="str">
        <f>IFERROR(IF(VLOOKUP(B818,Baza[[№]:[Profit]],21,0)=0,"-",VLOOKUP(B818,Baza[[№]:[Profit]],21,0)),"")</f>
        <v/>
      </c>
      <c r="X818" s="45" t="str">
        <f>IFERROR(IF(VLOOKUP(B818,Baza[[№]:[Profit]],22,0)=0,"-",VLOOKUP(B818,Baza[[№]:[Profit]],22,0)),"")</f>
        <v/>
      </c>
      <c r="Y818" s="45" t="str">
        <f>IFERROR(VLOOKUP(B818,Baza[[№]:[Profit]],23,0),"")</f>
        <v/>
      </c>
      <c r="Z818" s="44" t="str">
        <f>IFERROR(VLOOKUP(B818,Baza[[№]:[AFS]],24,0),"")</f>
        <v/>
      </c>
      <c r="AA818" s="45" t="str">
        <f>IF(Таблица2[[#This Row],[Profit]]="","#Н/Д",SUM($Y$40:Y818))</f>
        <v>#Н/Д</v>
      </c>
      <c r="AB818" s="45" t="b">
        <f>IF(Таблица2[[#This Row],[Grafik]]="#Н/Д",FALSE,TRUE)</f>
        <v>0</v>
      </c>
    </row>
    <row r="819" spans="3:28" ht="11.1" hidden="1" customHeight="1" x14ac:dyDescent="0.25">
      <c r="C819" s="41" t="str">
        <f>IFERROR(VLOOKUP(B819,Baza[[№]:[Profit]],2,0),"")</f>
        <v/>
      </c>
      <c r="D81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1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19" s="43" t="str">
        <f>IFERROR(VLOOKUP(B819,Baza[[№]:[Profit]],3,0),"")</f>
        <v/>
      </c>
      <c r="G819" s="43" t="str">
        <f>IFERROR(VLOOKUP(B819,Baza[[№]:[Profit]],4,0),"")</f>
        <v/>
      </c>
      <c r="H819" s="43" t="str">
        <f>IFERROR(VLOOKUP(B819,Baza[[№]:[Profit]],5,0),"")</f>
        <v/>
      </c>
      <c r="I819" s="46" t="str">
        <f>IFERROR(VLOOKUP(B819,Baza[[№]:[Profit]],6,0),"")</f>
        <v/>
      </c>
      <c r="J819" s="49" t="str">
        <f>IFERROR(VLOOKUP(B819,Baza[[№]:[Profit]],7,0),"")</f>
        <v/>
      </c>
      <c r="K819" s="43" t="str">
        <f>IFERROR(VLOOKUP(B819,Baza[[№]:[Profit]],8,0),"")</f>
        <v/>
      </c>
      <c r="L819" s="43" t="str">
        <f>IFERROR(VLOOKUP(B819,Baza[[№]:[Profit]],9,0),"")</f>
        <v/>
      </c>
      <c r="M819" s="43" t="str">
        <f>IFERROR(VLOOKUP(B819,Baza[[№]:[Profit]],10,0),"")</f>
        <v/>
      </c>
      <c r="N819" s="43" t="str">
        <f>IFERROR(IF(VLOOKUP(B819,Baza[[№]:[Profit]],11,0)=0,"-",VLOOKUP(B819,Baza[[№]:[Profit]],11,0)),"")</f>
        <v/>
      </c>
      <c r="O819" s="43" t="str">
        <f>IFERROR(IF(VLOOKUP(B819,Baza[[№]:[Profit]],12,0)=0,"-",VLOOKUP(B819,Baza[[№]:[Profit]],12,0)),"")</f>
        <v/>
      </c>
      <c r="P819" s="43" t="str">
        <f>IFERROR(IF(VLOOKUP(B819,Baza[[№]:[Profit]],13,0)=0,"-",VLOOKUP(B819,Baza[[№]:[Profit]],13,0)),"")</f>
        <v/>
      </c>
      <c r="Q819" s="43" t="str">
        <f>IFERROR(IF(VLOOKUP(B819,Baza[[№]:[Profit]],15,0)=0,"-",VLOOKUP(B819,Baza[[№]:[Profit]],15,0)),"")</f>
        <v/>
      </c>
      <c r="R819" s="43" t="str">
        <f>IFERROR(IF(VLOOKUP(B819,Baza[[№]:[Profit]],16,0)=0,"-",VLOOKUP(B819,Baza[[№]:[Profit]],16,0)),"")</f>
        <v/>
      </c>
      <c r="S819" s="43" t="str">
        <f>IFERROR(IF(VLOOKUP(B819,Baza[[№]:[Profit]],17,0)=0,"-",VLOOKUP(B819,Baza[[№]:[Profit]],17,0)),"")</f>
        <v/>
      </c>
      <c r="T819" s="43" t="str">
        <f>IFERROR(IF(VLOOKUP(B819,Baza[[№]:[Profit]],18,0)=0,"-",VLOOKUP(B819,Baza[[№]:[Profit]],18,0)),"")</f>
        <v/>
      </c>
      <c r="U819" s="41" t="str">
        <f>IFERROR(IF(VLOOKUP(B819,Baza[[№]:[Profit]],19,0)=0,"-",VLOOKUP(B819,Baza[[№]:[Profit]],19,0)),"")</f>
        <v/>
      </c>
      <c r="V819" s="41" t="str">
        <f>IFERROR(VLOOKUP(B819,Baza[[№]:[Profit]],20,0),"")</f>
        <v/>
      </c>
      <c r="W819" s="41" t="str">
        <f>IFERROR(IF(VLOOKUP(B819,Baza[[№]:[Profit]],21,0)=0,"-",VLOOKUP(B819,Baza[[№]:[Profit]],21,0)),"")</f>
        <v/>
      </c>
      <c r="X819" s="45" t="str">
        <f>IFERROR(IF(VLOOKUP(B819,Baza[[№]:[Profit]],22,0)=0,"-",VLOOKUP(B819,Baza[[№]:[Profit]],22,0)),"")</f>
        <v/>
      </c>
      <c r="Y819" s="45" t="str">
        <f>IFERROR(VLOOKUP(B819,Baza[[№]:[Profit]],23,0),"")</f>
        <v/>
      </c>
      <c r="Z819" s="44" t="str">
        <f>IFERROR(VLOOKUP(B819,Baza[[№]:[AFS]],24,0),"")</f>
        <v/>
      </c>
      <c r="AA819" s="45" t="str">
        <f>IF(Таблица2[[#This Row],[Profit]]="","#Н/Д",SUM($Y$40:Y819))</f>
        <v>#Н/Д</v>
      </c>
      <c r="AB819" s="45" t="b">
        <f>IF(Таблица2[[#This Row],[Grafik]]="#Н/Д",FALSE,TRUE)</f>
        <v>0</v>
      </c>
    </row>
    <row r="820" spans="3:28" ht="11.1" hidden="1" customHeight="1" x14ac:dyDescent="0.25">
      <c r="C820" s="41" t="str">
        <f>IFERROR(VLOOKUP(B820,Baza[[№]:[Profit]],2,0),"")</f>
        <v/>
      </c>
      <c r="D82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2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20" s="43" t="str">
        <f>IFERROR(VLOOKUP(B820,Baza[[№]:[Profit]],3,0),"")</f>
        <v/>
      </c>
      <c r="G820" s="43" t="str">
        <f>IFERROR(VLOOKUP(B820,Baza[[№]:[Profit]],4,0),"")</f>
        <v/>
      </c>
      <c r="H820" s="43" t="str">
        <f>IFERROR(VLOOKUP(B820,Baza[[№]:[Profit]],5,0),"")</f>
        <v/>
      </c>
      <c r="I820" s="46" t="str">
        <f>IFERROR(VLOOKUP(B820,Baza[[№]:[Profit]],6,0),"")</f>
        <v/>
      </c>
      <c r="J820" s="49" t="str">
        <f>IFERROR(VLOOKUP(B820,Baza[[№]:[Profit]],7,0),"")</f>
        <v/>
      </c>
      <c r="K820" s="43" t="str">
        <f>IFERROR(VLOOKUP(B820,Baza[[№]:[Profit]],8,0),"")</f>
        <v/>
      </c>
      <c r="L820" s="43" t="str">
        <f>IFERROR(VLOOKUP(B820,Baza[[№]:[Profit]],9,0),"")</f>
        <v/>
      </c>
      <c r="M820" s="43" t="str">
        <f>IFERROR(VLOOKUP(B820,Baza[[№]:[Profit]],10,0),"")</f>
        <v/>
      </c>
      <c r="N820" s="43" t="str">
        <f>IFERROR(IF(VLOOKUP(B820,Baza[[№]:[Profit]],11,0)=0,"-",VLOOKUP(B820,Baza[[№]:[Profit]],11,0)),"")</f>
        <v/>
      </c>
      <c r="O820" s="43" t="str">
        <f>IFERROR(IF(VLOOKUP(B820,Baza[[№]:[Profit]],12,0)=0,"-",VLOOKUP(B820,Baza[[№]:[Profit]],12,0)),"")</f>
        <v/>
      </c>
      <c r="P820" s="43" t="str">
        <f>IFERROR(IF(VLOOKUP(B820,Baza[[№]:[Profit]],13,0)=0,"-",VLOOKUP(B820,Baza[[№]:[Profit]],13,0)),"")</f>
        <v/>
      </c>
      <c r="Q820" s="43" t="str">
        <f>IFERROR(IF(VLOOKUP(B820,Baza[[№]:[Profit]],15,0)=0,"-",VLOOKUP(B820,Baza[[№]:[Profit]],15,0)),"")</f>
        <v/>
      </c>
      <c r="R820" s="43" t="str">
        <f>IFERROR(IF(VLOOKUP(B820,Baza[[№]:[Profit]],16,0)=0,"-",VLOOKUP(B820,Baza[[№]:[Profit]],16,0)),"")</f>
        <v/>
      </c>
      <c r="S820" s="43" t="str">
        <f>IFERROR(IF(VLOOKUP(B820,Baza[[№]:[Profit]],17,0)=0,"-",VLOOKUP(B820,Baza[[№]:[Profit]],17,0)),"")</f>
        <v/>
      </c>
      <c r="T820" s="43" t="str">
        <f>IFERROR(IF(VLOOKUP(B820,Baza[[№]:[Profit]],18,0)=0,"-",VLOOKUP(B820,Baza[[№]:[Profit]],18,0)),"")</f>
        <v/>
      </c>
      <c r="U820" s="41" t="str">
        <f>IFERROR(IF(VLOOKUP(B820,Baza[[№]:[Profit]],19,0)=0,"-",VLOOKUP(B820,Baza[[№]:[Profit]],19,0)),"")</f>
        <v/>
      </c>
      <c r="V820" s="41" t="str">
        <f>IFERROR(VLOOKUP(B820,Baza[[№]:[Profit]],20,0),"")</f>
        <v/>
      </c>
      <c r="W820" s="41" t="str">
        <f>IFERROR(IF(VLOOKUP(B820,Baza[[№]:[Profit]],21,0)=0,"-",VLOOKUP(B820,Baza[[№]:[Profit]],21,0)),"")</f>
        <v/>
      </c>
      <c r="X820" s="45" t="str">
        <f>IFERROR(IF(VLOOKUP(B820,Baza[[№]:[Profit]],22,0)=0,"-",VLOOKUP(B820,Baza[[№]:[Profit]],22,0)),"")</f>
        <v/>
      </c>
      <c r="Y820" s="45" t="str">
        <f>IFERROR(VLOOKUP(B820,Baza[[№]:[Profit]],23,0),"")</f>
        <v/>
      </c>
      <c r="Z820" s="44" t="str">
        <f>IFERROR(VLOOKUP(B820,Baza[[№]:[AFS]],24,0),"")</f>
        <v/>
      </c>
      <c r="AA820" s="45" t="str">
        <f>IF(Таблица2[[#This Row],[Profit]]="","#Н/Д",SUM($Y$40:Y820))</f>
        <v>#Н/Д</v>
      </c>
      <c r="AB820" s="45" t="b">
        <f>IF(Таблица2[[#This Row],[Grafik]]="#Н/Д",FALSE,TRUE)</f>
        <v>0</v>
      </c>
    </row>
    <row r="821" spans="3:28" ht="11.1" hidden="1" customHeight="1" x14ac:dyDescent="0.25">
      <c r="C821" s="41" t="str">
        <f>IFERROR(VLOOKUP(B821,Baza[[№]:[Profit]],2,0),"")</f>
        <v/>
      </c>
      <c r="D82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2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21" s="43" t="str">
        <f>IFERROR(VLOOKUP(B821,Baza[[№]:[Profit]],3,0),"")</f>
        <v/>
      </c>
      <c r="G821" s="43" t="str">
        <f>IFERROR(VLOOKUP(B821,Baza[[№]:[Profit]],4,0),"")</f>
        <v/>
      </c>
      <c r="H821" s="43" t="str">
        <f>IFERROR(VLOOKUP(B821,Baza[[№]:[Profit]],5,0),"")</f>
        <v/>
      </c>
      <c r="I821" s="46" t="str">
        <f>IFERROR(VLOOKUP(B821,Baza[[№]:[Profit]],6,0),"")</f>
        <v/>
      </c>
      <c r="J821" s="49" t="str">
        <f>IFERROR(VLOOKUP(B821,Baza[[№]:[Profit]],7,0),"")</f>
        <v/>
      </c>
      <c r="K821" s="43" t="str">
        <f>IFERROR(VLOOKUP(B821,Baza[[№]:[Profit]],8,0),"")</f>
        <v/>
      </c>
      <c r="L821" s="43" t="str">
        <f>IFERROR(VLOOKUP(B821,Baza[[№]:[Profit]],9,0),"")</f>
        <v/>
      </c>
      <c r="M821" s="43" t="str">
        <f>IFERROR(VLOOKUP(B821,Baza[[№]:[Profit]],10,0),"")</f>
        <v/>
      </c>
      <c r="N821" s="43" t="str">
        <f>IFERROR(IF(VLOOKUP(B821,Baza[[№]:[Profit]],11,0)=0,"-",VLOOKUP(B821,Baza[[№]:[Profit]],11,0)),"")</f>
        <v/>
      </c>
      <c r="O821" s="43" t="str">
        <f>IFERROR(IF(VLOOKUP(B821,Baza[[№]:[Profit]],12,0)=0,"-",VLOOKUP(B821,Baza[[№]:[Profit]],12,0)),"")</f>
        <v/>
      </c>
      <c r="P821" s="43" t="str">
        <f>IFERROR(IF(VLOOKUP(B821,Baza[[№]:[Profit]],13,0)=0,"-",VLOOKUP(B821,Baza[[№]:[Profit]],13,0)),"")</f>
        <v/>
      </c>
      <c r="Q821" s="43" t="str">
        <f>IFERROR(IF(VLOOKUP(B821,Baza[[№]:[Profit]],15,0)=0,"-",VLOOKUP(B821,Baza[[№]:[Profit]],15,0)),"")</f>
        <v/>
      </c>
      <c r="R821" s="43" t="str">
        <f>IFERROR(IF(VLOOKUP(B821,Baza[[№]:[Profit]],16,0)=0,"-",VLOOKUP(B821,Baza[[№]:[Profit]],16,0)),"")</f>
        <v/>
      </c>
      <c r="S821" s="43" t="str">
        <f>IFERROR(IF(VLOOKUP(B821,Baza[[№]:[Profit]],17,0)=0,"-",VLOOKUP(B821,Baza[[№]:[Profit]],17,0)),"")</f>
        <v/>
      </c>
      <c r="T821" s="43" t="str">
        <f>IFERROR(IF(VLOOKUP(B821,Baza[[№]:[Profit]],18,0)=0,"-",VLOOKUP(B821,Baza[[№]:[Profit]],18,0)),"")</f>
        <v/>
      </c>
      <c r="U821" s="41" t="str">
        <f>IFERROR(IF(VLOOKUP(B821,Baza[[№]:[Profit]],19,0)=0,"-",VLOOKUP(B821,Baza[[№]:[Profit]],19,0)),"")</f>
        <v/>
      </c>
      <c r="V821" s="41" t="str">
        <f>IFERROR(VLOOKUP(B821,Baza[[№]:[Profit]],20,0),"")</f>
        <v/>
      </c>
      <c r="W821" s="41" t="str">
        <f>IFERROR(IF(VLOOKUP(B821,Baza[[№]:[Profit]],21,0)=0,"-",VLOOKUP(B821,Baza[[№]:[Profit]],21,0)),"")</f>
        <v/>
      </c>
      <c r="X821" s="45" t="str">
        <f>IFERROR(IF(VLOOKUP(B821,Baza[[№]:[Profit]],22,0)=0,"-",VLOOKUP(B821,Baza[[№]:[Profit]],22,0)),"")</f>
        <v/>
      </c>
      <c r="Y821" s="45" t="str">
        <f>IFERROR(VLOOKUP(B821,Baza[[№]:[Profit]],23,0),"")</f>
        <v/>
      </c>
      <c r="Z821" s="44" t="str">
        <f>IFERROR(VLOOKUP(B821,Baza[[№]:[AFS]],24,0),"")</f>
        <v/>
      </c>
      <c r="AA821" s="45" t="str">
        <f>IF(Таблица2[[#This Row],[Profit]]="","#Н/Д",SUM($Y$40:Y821))</f>
        <v>#Н/Д</v>
      </c>
      <c r="AB821" s="45" t="b">
        <f>IF(Таблица2[[#This Row],[Grafik]]="#Н/Д",FALSE,TRUE)</f>
        <v>0</v>
      </c>
    </row>
    <row r="822" spans="3:28" ht="11.1" hidden="1" customHeight="1" x14ac:dyDescent="0.25">
      <c r="C822" s="41" t="str">
        <f>IFERROR(VLOOKUP(B822,Baza[[№]:[Profit]],2,0),"")</f>
        <v/>
      </c>
      <c r="D82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2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22" s="43" t="str">
        <f>IFERROR(VLOOKUP(B822,Baza[[№]:[Profit]],3,0),"")</f>
        <v/>
      </c>
      <c r="G822" s="43" t="str">
        <f>IFERROR(VLOOKUP(B822,Baza[[№]:[Profit]],4,0),"")</f>
        <v/>
      </c>
      <c r="H822" s="43" t="str">
        <f>IFERROR(VLOOKUP(B822,Baza[[№]:[Profit]],5,0),"")</f>
        <v/>
      </c>
      <c r="I822" s="46" t="str">
        <f>IFERROR(VLOOKUP(B822,Baza[[№]:[Profit]],6,0),"")</f>
        <v/>
      </c>
      <c r="J822" s="49" t="str">
        <f>IFERROR(VLOOKUP(B822,Baza[[№]:[Profit]],7,0),"")</f>
        <v/>
      </c>
      <c r="K822" s="43" t="str">
        <f>IFERROR(VLOOKUP(B822,Baza[[№]:[Profit]],8,0),"")</f>
        <v/>
      </c>
      <c r="L822" s="43" t="str">
        <f>IFERROR(VLOOKUP(B822,Baza[[№]:[Profit]],9,0),"")</f>
        <v/>
      </c>
      <c r="M822" s="43" t="str">
        <f>IFERROR(VLOOKUP(B822,Baza[[№]:[Profit]],10,0),"")</f>
        <v/>
      </c>
      <c r="N822" s="43" t="str">
        <f>IFERROR(IF(VLOOKUP(B822,Baza[[№]:[Profit]],11,0)=0,"-",VLOOKUP(B822,Baza[[№]:[Profit]],11,0)),"")</f>
        <v/>
      </c>
      <c r="O822" s="43" t="str">
        <f>IFERROR(IF(VLOOKUP(B822,Baza[[№]:[Profit]],12,0)=0,"-",VLOOKUP(B822,Baza[[№]:[Profit]],12,0)),"")</f>
        <v/>
      </c>
      <c r="P822" s="43" t="str">
        <f>IFERROR(IF(VLOOKUP(B822,Baza[[№]:[Profit]],13,0)=0,"-",VLOOKUP(B822,Baza[[№]:[Profit]],13,0)),"")</f>
        <v/>
      </c>
      <c r="Q822" s="43" t="str">
        <f>IFERROR(IF(VLOOKUP(B822,Baza[[№]:[Profit]],15,0)=0,"-",VLOOKUP(B822,Baza[[№]:[Profit]],15,0)),"")</f>
        <v/>
      </c>
      <c r="R822" s="43" t="str">
        <f>IFERROR(IF(VLOOKUP(B822,Baza[[№]:[Profit]],16,0)=0,"-",VLOOKUP(B822,Baza[[№]:[Profit]],16,0)),"")</f>
        <v/>
      </c>
      <c r="S822" s="43" t="str">
        <f>IFERROR(IF(VLOOKUP(B822,Baza[[№]:[Profit]],17,0)=0,"-",VLOOKUP(B822,Baza[[№]:[Profit]],17,0)),"")</f>
        <v/>
      </c>
      <c r="T822" s="43" t="str">
        <f>IFERROR(IF(VLOOKUP(B822,Baza[[№]:[Profit]],18,0)=0,"-",VLOOKUP(B822,Baza[[№]:[Profit]],18,0)),"")</f>
        <v/>
      </c>
      <c r="U822" s="41" t="str">
        <f>IFERROR(IF(VLOOKUP(B822,Baza[[№]:[Profit]],19,0)=0,"-",VLOOKUP(B822,Baza[[№]:[Profit]],19,0)),"")</f>
        <v/>
      </c>
      <c r="V822" s="41" t="str">
        <f>IFERROR(VLOOKUP(B822,Baza[[№]:[Profit]],20,0),"")</f>
        <v/>
      </c>
      <c r="W822" s="41" t="str">
        <f>IFERROR(IF(VLOOKUP(B822,Baza[[№]:[Profit]],21,0)=0,"-",VLOOKUP(B822,Baza[[№]:[Profit]],21,0)),"")</f>
        <v/>
      </c>
      <c r="X822" s="45" t="str">
        <f>IFERROR(IF(VLOOKUP(B822,Baza[[№]:[Profit]],22,0)=0,"-",VLOOKUP(B822,Baza[[№]:[Profit]],22,0)),"")</f>
        <v/>
      </c>
      <c r="Y822" s="45" t="str">
        <f>IFERROR(VLOOKUP(B822,Baza[[№]:[Profit]],23,0),"")</f>
        <v/>
      </c>
      <c r="Z822" s="44" t="str">
        <f>IFERROR(VLOOKUP(B822,Baza[[№]:[AFS]],24,0),"")</f>
        <v/>
      </c>
      <c r="AA822" s="45" t="str">
        <f>IF(Таблица2[[#This Row],[Profit]]="","#Н/Д",SUM($Y$40:Y822))</f>
        <v>#Н/Д</v>
      </c>
      <c r="AB822" s="45" t="b">
        <f>IF(Таблица2[[#This Row],[Grafik]]="#Н/Д",FALSE,TRUE)</f>
        <v>0</v>
      </c>
    </row>
    <row r="823" spans="3:28" ht="11.1" hidden="1" customHeight="1" x14ac:dyDescent="0.25">
      <c r="C823" s="41" t="str">
        <f>IFERROR(VLOOKUP(B823,Baza[[№]:[Profit]],2,0),"")</f>
        <v/>
      </c>
      <c r="D82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2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23" s="43" t="str">
        <f>IFERROR(VLOOKUP(B823,Baza[[№]:[Profit]],3,0),"")</f>
        <v/>
      </c>
      <c r="G823" s="43" t="str">
        <f>IFERROR(VLOOKUP(B823,Baza[[№]:[Profit]],4,0),"")</f>
        <v/>
      </c>
      <c r="H823" s="43" t="str">
        <f>IFERROR(VLOOKUP(B823,Baza[[№]:[Profit]],5,0),"")</f>
        <v/>
      </c>
      <c r="I823" s="46" t="str">
        <f>IFERROR(VLOOKUP(B823,Baza[[№]:[Profit]],6,0),"")</f>
        <v/>
      </c>
      <c r="J823" s="49" t="str">
        <f>IFERROR(VLOOKUP(B823,Baza[[№]:[Profit]],7,0),"")</f>
        <v/>
      </c>
      <c r="K823" s="43" t="str">
        <f>IFERROR(VLOOKUP(B823,Baza[[№]:[Profit]],8,0),"")</f>
        <v/>
      </c>
      <c r="L823" s="43" t="str">
        <f>IFERROR(VLOOKUP(B823,Baza[[№]:[Profit]],9,0),"")</f>
        <v/>
      </c>
      <c r="M823" s="43" t="str">
        <f>IFERROR(VLOOKUP(B823,Baza[[№]:[Profit]],10,0),"")</f>
        <v/>
      </c>
      <c r="N823" s="43" t="str">
        <f>IFERROR(IF(VLOOKUP(B823,Baza[[№]:[Profit]],11,0)=0,"-",VLOOKUP(B823,Baza[[№]:[Profit]],11,0)),"")</f>
        <v/>
      </c>
      <c r="O823" s="43" t="str">
        <f>IFERROR(IF(VLOOKUP(B823,Baza[[№]:[Profit]],12,0)=0,"-",VLOOKUP(B823,Baza[[№]:[Profit]],12,0)),"")</f>
        <v/>
      </c>
      <c r="P823" s="43" t="str">
        <f>IFERROR(IF(VLOOKUP(B823,Baza[[№]:[Profit]],13,0)=0,"-",VLOOKUP(B823,Baza[[№]:[Profit]],13,0)),"")</f>
        <v/>
      </c>
      <c r="Q823" s="43" t="str">
        <f>IFERROR(IF(VLOOKUP(B823,Baza[[№]:[Profit]],15,0)=0,"-",VLOOKUP(B823,Baza[[№]:[Profit]],15,0)),"")</f>
        <v/>
      </c>
      <c r="R823" s="43" t="str">
        <f>IFERROR(IF(VLOOKUP(B823,Baza[[№]:[Profit]],16,0)=0,"-",VLOOKUP(B823,Baza[[№]:[Profit]],16,0)),"")</f>
        <v/>
      </c>
      <c r="S823" s="43" t="str">
        <f>IFERROR(IF(VLOOKUP(B823,Baza[[№]:[Profit]],17,0)=0,"-",VLOOKUP(B823,Baza[[№]:[Profit]],17,0)),"")</f>
        <v/>
      </c>
      <c r="T823" s="43" t="str">
        <f>IFERROR(IF(VLOOKUP(B823,Baza[[№]:[Profit]],18,0)=0,"-",VLOOKUP(B823,Baza[[№]:[Profit]],18,0)),"")</f>
        <v/>
      </c>
      <c r="U823" s="41" t="str">
        <f>IFERROR(IF(VLOOKUP(B823,Baza[[№]:[Profit]],19,0)=0,"-",VLOOKUP(B823,Baza[[№]:[Profit]],19,0)),"")</f>
        <v/>
      </c>
      <c r="V823" s="41" t="str">
        <f>IFERROR(VLOOKUP(B823,Baza[[№]:[Profit]],20,0),"")</f>
        <v/>
      </c>
      <c r="W823" s="41" t="str">
        <f>IFERROR(IF(VLOOKUP(B823,Baza[[№]:[Profit]],21,0)=0,"-",VLOOKUP(B823,Baza[[№]:[Profit]],21,0)),"")</f>
        <v/>
      </c>
      <c r="X823" s="45" t="str">
        <f>IFERROR(IF(VLOOKUP(B823,Baza[[№]:[Profit]],22,0)=0,"-",VLOOKUP(B823,Baza[[№]:[Profit]],22,0)),"")</f>
        <v/>
      </c>
      <c r="Y823" s="45" t="str">
        <f>IFERROR(VLOOKUP(B823,Baza[[№]:[Profit]],23,0),"")</f>
        <v/>
      </c>
      <c r="Z823" s="44" t="str">
        <f>IFERROR(VLOOKUP(B823,Baza[[№]:[AFS]],24,0),"")</f>
        <v/>
      </c>
      <c r="AA823" s="45" t="str">
        <f>IF(Таблица2[[#This Row],[Profit]]="","#Н/Д",SUM($Y$40:Y823))</f>
        <v>#Н/Д</v>
      </c>
      <c r="AB823" s="45" t="b">
        <f>IF(Таблица2[[#This Row],[Grafik]]="#Н/Д",FALSE,TRUE)</f>
        <v>0</v>
      </c>
    </row>
    <row r="824" spans="3:28" ht="11.1" hidden="1" customHeight="1" x14ac:dyDescent="0.25">
      <c r="C824" s="41" t="str">
        <f>IFERROR(VLOOKUP(B824,Baza[[№]:[Profit]],2,0),"")</f>
        <v/>
      </c>
      <c r="D82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2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24" s="43" t="str">
        <f>IFERROR(VLOOKUP(B824,Baza[[№]:[Profit]],3,0),"")</f>
        <v/>
      </c>
      <c r="G824" s="43" t="str">
        <f>IFERROR(VLOOKUP(B824,Baza[[№]:[Profit]],4,0),"")</f>
        <v/>
      </c>
      <c r="H824" s="43" t="str">
        <f>IFERROR(VLOOKUP(B824,Baza[[№]:[Profit]],5,0),"")</f>
        <v/>
      </c>
      <c r="I824" s="46" t="str">
        <f>IFERROR(VLOOKUP(B824,Baza[[№]:[Profit]],6,0),"")</f>
        <v/>
      </c>
      <c r="J824" s="49" t="str">
        <f>IFERROR(VLOOKUP(B824,Baza[[№]:[Profit]],7,0),"")</f>
        <v/>
      </c>
      <c r="K824" s="43" t="str">
        <f>IFERROR(VLOOKUP(B824,Baza[[№]:[Profit]],8,0),"")</f>
        <v/>
      </c>
      <c r="L824" s="43" t="str">
        <f>IFERROR(VLOOKUP(B824,Baza[[№]:[Profit]],9,0),"")</f>
        <v/>
      </c>
      <c r="M824" s="43" t="str">
        <f>IFERROR(VLOOKUP(B824,Baza[[№]:[Profit]],10,0),"")</f>
        <v/>
      </c>
      <c r="N824" s="43" t="str">
        <f>IFERROR(IF(VLOOKUP(B824,Baza[[№]:[Profit]],11,0)=0,"-",VLOOKUP(B824,Baza[[№]:[Profit]],11,0)),"")</f>
        <v/>
      </c>
      <c r="O824" s="43" t="str">
        <f>IFERROR(IF(VLOOKUP(B824,Baza[[№]:[Profit]],12,0)=0,"-",VLOOKUP(B824,Baza[[№]:[Profit]],12,0)),"")</f>
        <v/>
      </c>
      <c r="P824" s="43" t="str">
        <f>IFERROR(IF(VLOOKUP(B824,Baza[[№]:[Profit]],13,0)=0,"-",VLOOKUP(B824,Baza[[№]:[Profit]],13,0)),"")</f>
        <v/>
      </c>
      <c r="Q824" s="43" t="str">
        <f>IFERROR(IF(VLOOKUP(B824,Baza[[№]:[Profit]],15,0)=0,"-",VLOOKUP(B824,Baza[[№]:[Profit]],15,0)),"")</f>
        <v/>
      </c>
      <c r="R824" s="43" t="str">
        <f>IFERROR(IF(VLOOKUP(B824,Baza[[№]:[Profit]],16,0)=0,"-",VLOOKUP(B824,Baza[[№]:[Profit]],16,0)),"")</f>
        <v/>
      </c>
      <c r="S824" s="43" t="str">
        <f>IFERROR(IF(VLOOKUP(B824,Baza[[№]:[Profit]],17,0)=0,"-",VLOOKUP(B824,Baza[[№]:[Profit]],17,0)),"")</f>
        <v/>
      </c>
      <c r="T824" s="43" t="str">
        <f>IFERROR(IF(VLOOKUP(B824,Baza[[№]:[Profit]],18,0)=0,"-",VLOOKUP(B824,Baza[[№]:[Profit]],18,0)),"")</f>
        <v/>
      </c>
      <c r="U824" s="41" t="str">
        <f>IFERROR(IF(VLOOKUP(B824,Baza[[№]:[Profit]],19,0)=0,"-",VLOOKUP(B824,Baza[[№]:[Profit]],19,0)),"")</f>
        <v/>
      </c>
      <c r="V824" s="41" t="str">
        <f>IFERROR(VLOOKUP(B824,Baza[[№]:[Profit]],20,0),"")</f>
        <v/>
      </c>
      <c r="W824" s="41" t="str">
        <f>IFERROR(IF(VLOOKUP(B824,Baza[[№]:[Profit]],21,0)=0,"-",VLOOKUP(B824,Baza[[№]:[Profit]],21,0)),"")</f>
        <v/>
      </c>
      <c r="X824" s="45" t="str">
        <f>IFERROR(IF(VLOOKUP(B824,Baza[[№]:[Profit]],22,0)=0,"-",VLOOKUP(B824,Baza[[№]:[Profit]],22,0)),"")</f>
        <v/>
      </c>
      <c r="Y824" s="45" t="str">
        <f>IFERROR(VLOOKUP(B824,Baza[[№]:[Profit]],23,0),"")</f>
        <v/>
      </c>
      <c r="Z824" s="44" t="str">
        <f>IFERROR(VLOOKUP(B824,Baza[[№]:[AFS]],24,0),"")</f>
        <v/>
      </c>
      <c r="AA824" s="45" t="str">
        <f>IF(Таблица2[[#This Row],[Profit]]="","#Н/Д",SUM($Y$40:Y824))</f>
        <v>#Н/Д</v>
      </c>
      <c r="AB824" s="45" t="b">
        <f>IF(Таблица2[[#This Row],[Grafik]]="#Н/Д",FALSE,TRUE)</f>
        <v>0</v>
      </c>
    </row>
    <row r="825" spans="3:28" ht="11.1" hidden="1" customHeight="1" x14ac:dyDescent="0.25">
      <c r="C825" s="41" t="str">
        <f>IFERROR(VLOOKUP(B825,Baza[[№]:[Profit]],2,0),"")</f>
        <v/>
      </c>
      <c r="D82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2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25" s="43" t="str">
        <f>IFERROR(VLOOKUP(B825,Baza[[№]:[Profit]],3,0),"")</f>
        <v/>
      </c>
      <c r="G825" s="43" t="str">
        <f>IFERROR(VLOOKUP(B825,Baza[[№]:[Profit]],4,0),"")</f>
        <v/>
      </c>
      <c r="H825" s="43" t="str">
        <f>IFERROR(VLOOKUP(B825,Baza[[№]:[Profit]],5,0),"")</f>
        <v/>
      </c>
      <c r="I825" s="46" t="str">
        <f>IFERROR(VLOOKUP(B825,Baza[[№]:[Profit]],6,0),"")</f>
        <v/>
      </c>
      <c r="J825" s="49" t="str">
        <f>IFERROR(VLOOKUP(B825,Baza[[№]:[Profit]],7,0),"")</f>
        <v/>
      </c>
      <c r="K825" s="43" t="str">
        <f>IFERROR(VLOOKUP(B825,Baza[[№]:[Profit]],8,0),"")</f>
        <v/>
      </c>
      <c r="L825" s="43" t="str">
        <f>IFERROR(VLOOKUP(B825,Baza[[№]:[Profit]],9,0),"")</f>
        <v/>
      </c>
      <c r="M825" s="43" t="str">
        <f>IFERROR(VLOOKUP(B825,Baza[[№]:[Profit]],10,0),"")</f>
        <v/>
      </c>
      <c r="N825" s="43" t="str">
        <f>IFERROR(IF(VLOOKUP(B825,Baza[[№]:[Profit]],11,0)=0,"-",VLOOKUP(B825,Baza[[№]:[Profit]],11,0)),"")</f>
        <v/>
      </c>
      <c r="O825" s="43" t="str">
        <f>IFERROR(IF(VLOOKUP(B825,Baza[[№]:[Profit]],12,0)=0,"-",VLOOKUP(B825,Baza[[№]:[Profit]],12,0)),"")</f>
        <v/>
      </c>
      <c r="P825" s="43" t="str">
        <f>IFERROR(IF(VLOOKUP(B825,Baza[[№]:[Profit]],13,0)=0,"-",VLOOKUP(B825,Baza[[№]:[Profit]],13,0)),"")</f>
        <v/>
      </c>
      <c r="Q825" s="43" t="str">
        <f>IFERROR(IF(VLOOKUP(B825,Baza[[№]:[Profit]],15,0)=0,"-",VLOOKUP(B825,Baza[[№]:[Profit]],15,0)),"")</f>
        <v/>
      </c>
      <c r="R825" s="43" t="str">
        <f>IFERROR(IF(VLOOKUP(B825,Baza[[№]:[Profit]],16,0)=0,"-",VLOOKUP(B825,Baza[[№]:[Profit]],16,0)),"")</f>
        <v/>
      </c>
      <c r="S825" s="43" t="str">
        <f>IFERROR(IF(VLOOKUP(B825,Baza[[№]:[Profit]],17,0)=0,"-",VLOOKUP(B825,Baza[[№]:[Profit]],17,0)),"")</f>
        <v/>
      </c>
      <c r="T825" s="43" t="str">
        <f>IFERROR(IF(VLOOKUP(B825,Baza[[№]:[Profit]],18,0)=0,"-",VLOOKUP(B825,Baza[[№]:[Profit]],18,0)),"")</f>
        <v/>
      </c>
      <c r="U825" s="41" t="str">
        <f>IFERROR(IF(VLOOKUP(B825,Baza[[№]:[Profit]],19,0)=0,"-",VLOOKUP(B825,Baza[[№]:[Profit]],19,0)),"")</f>
        <v/>
      </c>
      <c r="V825" s="41" t="str">
        <f>IFERROR(VLOOKUP(B825,Baza[[№]:[Profit]],20,0),"")</f>
        <v/>
      </c>
      <c r="W825" s="41" t="str">
        <f>IFERROR(IF(VLOOKUP(B825,Baza[[№]:[Profit]],21,0)=0,"-",VLOOKUP(B825,Baza[[№]:[Profit]],21,0)),"")</f>
        <v/>
      </c>
      <c r="X825" s="45" t="str">
        <f>IFERROR(IF(VLOOKUP(B825,Baza[[№]:[Profit]],22,0)=0,"-",VLOOKUP(B825,Baza[[№]:[Profit]],22,0)),"")</f>
        <v/>
      </c>
      <c r="Y825" s="45" t="str">
        <f>IFERROR(VLOOKUP(B825,Baza[[№]:[Profit]],23,0),"")</f>
        <v/>
      </c>
      <c r="Z825" s="44" t="str">
        <f>IFERROR(VLOOKUP(B825,Baza[[№]:[AFS]],24,0),"")</f>
        <v/>
      </c>
      <c r="AA825" s="45" t="str">
        <f>IF(Таблица2[[#This Row],[Profit]]="","#Н/Д",SUM($Y$40:Y825))</f>
        <v>#Н/Д</v>
      </c>
      <c r="AB825" s="45" t="b">
        <f>IF(Таблица2[[#This Row],[Grafik]]="#Н/Д",FALSE,TRUE)</f>
        <v>0</v>
      </c>
    </row>
    <row r="826" spans="3:28" ht="11.1" hidden="1" customHeight="1" x14ac:dyDescent="0.25">
      <c r="C826" s="41" t="str">
        <f>IFERROR(VLOOKUP(B826,Baza[[№]:[Profit]],2,0),"")</f>
        <v/>
      </c>
      <c r="D82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2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26" s="43" t="str">
        <f>IFERROR(VLOOKUP(B826,Baza[[№]:[Profit]],3,0),"")</f>
        <v/>
      </c>
      <c r="G826" s="43" t="str">
        <f>IFERROR(VLOOKUP(B826,Baza[[№]:[Profit]],4,0),"")</f>
        <v/>
      </c>
      <c r="H826" s="43" t="str">
        <f>IFERROR(VLOOKUP(B826,Baza[[№]:[Profit]],5,0),"")</f>
        <v/>
      </c>
      <c r="I826" s="46" t="str">
        <f>IFERROR(VLOOKUP(B826,Baza[[№]:[Profit]],6,0),"")</f>
        <v/>
      </c>
      <c r="J826" s="49" t="str">
        <f>IFERROR(VLOOKUP(B826,Baza[[№]:[Profit]],7,0),"")</f>
        <v/>
      </c>
      <c r="K826" s="43" t="str">
        <f>IFERROR(VLOOKUP(B826,Baza[[№]:[Profit]],8,0),"")</f>
        <v/>
      </c>
      <c r="L826" s="43" t="str">
        <f>IFERROR(VLOOKUP(B826,Baza[[№]:[Profit]],9,0),"")</f>
        <v/>
      </c>
      <c r="M826" s="43" t="str">
        <f>IFERROR(VLOOKUP(B826,Baza[[№]:[Profit]],10,0),"")</f>
        <v/>
      </c>
      <c r="N826" s="43" t="str">
        <f>IFERROR(IF(VLOOKUP(B826,Baza[[№]:[Profit]],11,0)=0,"-",VLOOKUP(B826,Baza[[№]:[Profit]],11,0)),"")</f>
        <v/>
      </c>
      <c r="O826" s="43" t="str">
        <f>IFERROR(IF(VLOOKUP(B826,Baza[[№]:[Profit]],12,0)=0,"-",VLOOKUP(B826,Baza[[№]:[Profit]],12,0)),"")</f>
        <v/>
      </c>
      <c r="P826" s="43" t="str">
        <f>IFERROR(IF(VLOOKUP(B826,Baza[[№]:[Profit]],13,0)=0,"-",VLOOKUP(B826,Baza[[№]:[Profit]],13,0)),"")</f>
        <v/>
      </c>
      <c r="Q826" s="43" t="str">
        <f>IFERROR(IF(VLOOKUP(B826,Baza[[№]:[Profit]],15,0)=0,"-",VLOOKUP(B826,Baza[[№]:[Profit]],15,0)),"")</f>
        <v/>
      </c>
      <c r="R826" s="43" t="str">
        <f>IFERROR(IF(VLOOKUP(B826,Baza[[№]:[Profit]],16,0)=0,"-",VLOOKUP(B826,Baza[[№]:[Profit]],16,0)),"")</f>
        <v/>
      </c>
      <c r="S826" s="43" t="str">
        <f>IFERROR(IF(VLOOKUP(B826,Baza[[№]:[Profit]],17,0)=0,"-",VLOOKUP(B826,Baza[[№]:[Profit]],17,0)),"")</f>
        <v/>
      </c>
      <c r="T826" s="43" t="str">
        <f>IFERROR(IF(VLOOKUP(B826,Baza[[№]:[Profit]],18,0)=0,"-",VLOOKUP(B826,Baza[[№]:[Profit]],18,0)),"")</f>
        <v/>
      </c>
      <c r="U826" s="41" t="str">
        <f>IFERROR(IF(VLOOKUP(B826,Baza[[№]:[Profit]],19,0)=0,"-",VLOOKUP(B826,Baza[[№]:[Profit]],19,0)),"")</f>
        <v/>
      </c>
      <c r="V826" s="41" t="str">
        <f>IFERROR(VLOOKUP(B826,Baza[[№]:[Profit]],20,0),"")</f>
        <v/>
      </c>
      <c r="W826" s="41" t="str">
        <f>IFERROR(IF(VLOOKUP(B826,Baza[[№]:[Profit]],21,0)=0,"-",VLOOKUP(B826,Baza[[№]:[Profit]],21,0)),"")</f>
        <v/>
      </c>
      <c r="X826" s="45" t="str">
        <f>IFERROR(IF(VLOOKUP(B826,Baza[[№]:[Profit]],22,0)=0,"-",VLOOKUP(B826,Baza[[№]:[Profit]],22,0)),"")</f>
        <v/>
      </c>
      <c r="Y826" s="45" t="str">
        <f>IFERROR(VLOOKUP(B826,Baza[[№]:[Profit]],23,0),"")</f>
        <v/>
      </c>
      <c r="Z826" s="44" t="str">
        <f>IFERROR(VLOOKUP(B826,Baza[[№]:[AFS]],24,0),"")</f>
        <v/>
      </c>
      <c r="AA826" s="45" t="str">
        <f>IF(Таблица2[[#This Row],[Profit]]="","#Н/Д",SUM($Y$40:Y826))</f>
        <v>#Н/Д</v>
      </c>
      <c r="AB826" s="45" t="b">
        <f>IF(Таблица2[[#This Row],[Grafik]]="#Н/Д",FALSE,TRUE)</f>
        <v>0</v>
      </c>
    </row>
    <row r="827" spans="3:28" ht="11.1" hidden="1" customHeight="1" x14ac:dyDescent="0.25">
      <c r="C827" s="41" t="str">
        <f>IFERROR(VLOOKUP(B827,Baza[[№]:[Profit]],2,0),"")</f>
        <v/>
      </c>
      <c r="D82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2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27" s="43" t="str">
        <f>IFERROR(VLOOKUP(B827,Baza[[№]:[Profit]],3,0),"")</f>
        <v/>
      </c>
      <c r="G827" s="43" t="str">
        <f>IFERROR(VLOOKUP(B827,Baza[[№]:[Profit]],4,0),"")</f>
        <v/>
      </c>
      <c r="H827" s="43" t="str">
        <f>IFERROR(VLOOKUP(B827,Baza[[№]:[Profit]],5,0),"")</f>
        <v/>
      </c>
      <c r="I827" s="46" t="str">
        <f>IFERROR(VLOOKUP(B827,Baza[[№]:[Profit]],6,0),"")</f>
        <v/>
      </c>
      <c r="J827" s="49" t="str">
        <f>IFERROR(VLOOKUP(B827,Baza[[№]:[Profit]],7,0),"")</f>
        <v/>
      </c>
      <c r="K827" s="43" t="str">
        <f>IFERROR(VLOOKUP(B827,Baza[[№]:[Profit]],8,0),"")</f>
        <v/>
      </c>
      <c r="L827" s="43" t="str">
        <f>IFERROR(VLOOKUP(B827,Baza[[№]:[Profit]],9,0),"")</f>
        <v/>
      </c>
      <c r="M827" s="43" t="str">
        <f>IFERROR(VLOOKUP(B827,Baza[[№]:[Profit]],10,0),"")</f>
        <v/>
      </c>
      <c r="N827" s="43" t="str">
        <f>IFERROR(IF(VLOOKUP(B827,Baza[[№]:[Profit]],11,0)=0,"-",VLOOKUP(B827,Baza[[№]:[Profit]],11,0)),"")</f>
        <v/>
      </c>
      <c r="O827" s="43" t="str">
        <f>IFERROR(IF(VLOOKUP(B827,Baza[[№]:[Profit]],12,0)=0,"-",VLOOKUP(B827,Baza[[№]:[Profit]],12,0)),"")</f>
        <v/>
      </c>
      <c r="P827" s="43" t="str">
        <f>IFERROR(IF(VLOOKUP(B827,Baza[[№]:[Profit]],13,0)=0,"-",VLOOKUP(B827,Baza[[№]:[Profit]],13,0)),"")</f>
        <v/>
      </c>
      <c r="Q827" s="43" t="str">
        <f>IFERROR(IF(VLOOKUP(B827,Baza[[№]:[Profit]],15,0)=0,"-",VLOOKUP(B827,Baza[[№]:[Profit]],15,0)),"")</f>
        <v/>
      </c>
      <c r="R827" s="43" t="str">
        <f>IFERROR(IF(VLOOKUP(B827,Baza[[№]:[Profit]],16,0)=0,"-",VLOOKUP(B827,Baza[[№]:[Profit]],16,0)),"")</f>
        <v/>
      </c>
      <c r="S827" s="43" t="str">
        <f>IFERROR(IF(VLOOKUP(B827,Baza[[№]:[Profit]],17,0)=0,"-",VLOOKUP(B827,Baza[[№]:[Profit]],17,0)),"")</f>
        <v/>
      </c>
      <c r="T827" s="43" t="str">
        <f>IFERROR(IF(VLOOKUP(B827,Baza[[№]:[Profit]],18,0)=0,"-",VLOOKUP(B827,Baza[[№]:[Profit]],18,0)),"")</f>
        <v/>
      </c>
      <c r="U827" s="41" t="str">
        <f>IFERROR(IF(VLOOKUP(B827,Baza[[№]:[Profit]],19,0)=0,"-",VLOOKUP(B827,Baza[[№]:[Profit]],19,0)),"")</f>
        <v/>
      </c>
      <c r="V827" s="41" t="str">
        <f>IFERROR(VLOOKUP(B827,Baza[[№]:[Profit]],20,0),"")</f>
        <v/>
      </c>
      <c r="W827" s="41" t="str">
        <f>IFERROR(IF(VLOOKUP(B827,Baza[[№]:[Profit]],21,0)=0,"-",VLOOKUP(B827,Baza[[№]:[Profit]],21,0)),"")</f>
        <v/>
      </c>
      <c r="X827" s="45" t="str">
        <f>IFERROR(IF(VLOOKUP(B827,Baza[[№]:[Profit]],22,0)=0,"-",VLOOKUP(B827,Baza[[№]:[Profit]],22,0)),"")</f>
        <v/>
      </c>
      <c r="Y827" s="45" t="str">
        <f>IFERROR(VLOOKUP(B827,Baza[[№]:[Profit]],23,0),"")</f>
        <v/>
      </c>
      <c r="Z827" s="44" t="str">
        <f>IFERROR(VLOOKUP(B827,Baza[[№]:[AFS]],24,0),"")</f>
        <v/>
      </c>
      <c r="AA827" s="45" t="str">
        <f>IF(Таблица2[[#This Row],[Profit]]="","#Н/Д",SUM($Y$40:Y827))</f>
        <v>#Н/Д</v>
      </c>
      <c r="AB827" s="45" t="b">
        <f>IF(Таблица2[[#This Row],[Grafik]]="#Н/Д",FALSE,TRUE)</f>
        <v>0</v>
      </c>
    </row>
    <row r="828" spans="3:28" ht="11.1" hidden="1" customHeight="1" x14ac:dyDescent="0.25">
      <c r="C828" s="41" t="str">
        <f>IFERROR(VLOOKUP(B828,Baza[[№]:[Profit]],2,0),"")</f>
        <v/>
      </c>
      <c r="D82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2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28" s="43" t="str">
        <f>IFERROR(VLOOKUP(B828,Baza[[№]:[Profit]],3,0),"")</f>
        <v/>
      </c>
      <c r="G828" s="43" t="str">
        <f>IFERROR(VLOOKUP(B828,Baza[[№]:[Profit]],4,0),"")</f>
        <v/>
      </c>
      <c r="H828" s="43" t="str">
        <f>IFERROR(VLOOKUP(B828,Baza[[№]:[Profit]],5,0),"")</f>
        <v/>
      </c>
      <c r="I828" s="46" t="str">
        <f>IFERROR(VLOOKUP(B828,Baza[[№]:[Profit]],6,0),"")</f>
        <v/>
      </c>
      <c r="J828" s="49" t="str">
        <f>IFERROR(VLOOKUP(B828,Baza[[№]:[Profit]],7,0),"")</f>
        <v/>
      </c>
      <c r="K828" s="43" t="str">
        <f>IFERROR(VLOOKUP(B828,Baza[[№]:[Profit]],8,0),"")</f>
        <v/>
      </c>
      <c r="L828" s="43" t="str">
        <f>IFERROR(VLOOKUP(B828,Baza[[№]:[Profit]],9,0),"")</f>
        <v/>
      </c>
      <c r="M828" s="43" t="str">
        <f>IFERROR(VLOOKUP(B828,Baza[[№]:[Profit]],10,0),"")</f>
        <v/>
      </c>
      <c r="N828" s="43" t="str">
        <f>IFERROR(IF(VLOOKUP(B828,Baza[[№]:[Profit]],11,0)=0,"-",VLOOKUP(B828,Baza[[№]:[Profit]],11,0)),"")</f>
        <v/>
      </c>
      <c r="O828" s="43" t="str">
        <f>IFERROR(IF(VLOOKUP(B828,Baza[[№]:[Profit]],12,0)=0,"-",VLOOKUP(B828,Baza[[№]:[Profit]],12,0)),"")</f>
        <v/>
      </c>
      <c r="P828" s="43" t="str">
        <f>IFERROR(IF(VLOOKUP(B828,Baza[[№]:[Profit]],13,0)=0,"-",VLOOKUP(B828,Baza[[№]:[Profit]],13,0)),"")</f>
        <v/>
      </c>
      <c r="Q828" s="43" t="str">
        <f>IFERROR(IF(VLOOKUP(B828,Baza[[№]:[Profit]],15,0)=0,"-",VLOOKUP(B828,Baza[[№]:[Profit]],15,0)),"")</f>
        <v/>
      </c>
      <c r="R828" s="43" t="str">
        <f>IFERROR(IF(VLOOKUP(B828,Baza[[№]:[Profit]],16,0)=0,"-",VLOOKUP(B828,Baza[[№]:[Profit]],16,0)),"")</f>
        <v/>
      </c>
      <c r="S828" s="43" t="str">
        <f>IFERROR(IF(VLOOKUP(B828,Baza[[№]:[Profit]],17,0)=0,"-",VLOOKUP(B828,Baza[[№]:[Profit]],17,0)),"")</f>
        <v/>
      </c>
      <c r="T828" s="43" t="str">
        <f>IFERROR(IF(VLOOKUP(B828,Baza[[№]:[Profit]],18,0)=0,"-",VLOOKUP(B828,Baza[[№]:[Profit]],18,0)),"")</f>
        <v/>
      </c>
      <c r="U828" s="41" t="str">
        <f>IFERROR(IF(VLOOKUP(B828,Baza[[№]:[Profit]],19,0)=0,"-",VLOOKUP(B828,Baza[[№]:[Profit]],19,0)),"")</f>
        <v/>
      </c>
      <c r="V828" s="41" t="str">
        <f>IFERROR(VLOOKUP(B828,Baza[[№]:[Profit]],20,0),"")</f>
        <v/>
      </c>
      <c r="W828" s="41" t="str">
        <f>IFERROR(IF(VLOOKUP(B828,Baza[[№]:[Profit]],21,0)=0,"-",VLOOKUP(B828,Baza[[№]:[Profit]],21,0)),"")</f>
        <v/>
      </c>
      <c r="X828" s="45" t="str">
        <f>IFERROR(IF(VLOOKUP(B828,Baza[[№]:[Profit]],22,0)=0,"-",VLOOKUP(B828,Baza[[№]:[Profit]],22,0)),"")</f>
        <v/>
      </c>
      <c r="Y828" s="45" t="str">
        <f>IFERROR(VLOOKUP(B828,Baza[[№]:[Profit]],23,0),"")</f>
        <v/>
      </c>
      <c r="Z828" s="44" t="str">
        <f>IFERROR(VLOOKUP(B828,Baza[[№]:[AFS]],24,0),"")</f>
        <v/>
      </c>
      <c r="AA828" s="45" t="str">
        <f>IF(Таблица2[[#This Row],[Profit]]="","#Н/Д",SUM($Y$40:Y828))</f>
        <v>#Н/Д</v>
      </c>
      <c r="AB828" s="45" t="b">
        <f>IF(Таблица2[[#This Row],[Grafik]]="#Н/Д",FALSE,TRUE)</f>
        <v>0</v>
      </c>
    </row>
    <row r="829" spans="3:28" ht="11.1" hidden="1" customHeight="1" x14ac:dyDescent="0.25">
      <c r="C829" s="41" t="str">
        <f>IFERROR(VLOOKUP(B829,Baza[[№]:[Profit]],2,0),"")</f>
        <v/>
      </c>
      <c r="D82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2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29" s="43" t="str">
        <f>IFERROR(VLOOKUP(B829,Baza[[№]:[Profit]],3,0),"")</f>
        <v/>
      </c>
      <c r="G829" s="43" t="str">
        <f>IFERROR(VLOOKUP(B829,Baza[[№]:[Profit]],4,0),"")</f>
        <v/>
      </c>
      <c r="H829" s="43" t="str">
        <f>IFERROR(VLOOKUP(B829,Baza[[№]:[Profit]],5,0),"")</f>
        <v/>
      </c>
      <c r="I829" s="46" t="str">
        <f>IFERROR(VLOOKUP(B829,Baza[[№]:[Profit]],6,0),"")</f>
        <v/>
      </c>
      <c r="J829" s="49" t="str">
        <f>IFERROR(VLOOKUP(B829,Baza[[№]:[Profit]],7,0),"")</f>
        <v/>
      </c>
      <c r="K829" s="43" t="str">
        <f>IFERROR(VLOOKUP(B829,Baza[[№]:[Profit]],8,0),"")</f>
        <v/>
      </c>
      <c r="L829" s="43" t="str">
        <f>IFERROR(VLOOKUP(B829,Baza[[№]:[Profit]],9,0),"")</f>
        <v/>
      </c>
      <c r="M829" s="43" t="str">
        <f>IFERROR(VLOOKUP(B829,Baza[[№]:[Profit]],10,0),"")</f>
        <v/>
      </c>
      <c r="N829" s="43" t="str">
        <f>IFERROR(IF(VLOOKUP(B829,Baza[[№]:[Profit]],11,0)=0,"-",VLOOKUP(B829,Baza[[№]:[Profit]],11,0)),"")</f>
        <v/>
      </c>
      <c r="O829" s="43" t="str">
        <f>IFERROR(IF(VLOOKUP(B829,Baza[[№]:[Profit]],12,0)=0,"-",VLOOKUP(B829,Baza[[№]:[Profit]],12,0)),"")</f>
        <v/>
      </c>
      <c r="P829" s="43" t="str">
        <f>IFERROR(IF(VLOOKUP(B829,Baza[[№]:[Profit]],13,0)=0,"-",VLOOKUP(B829,Baza[[№]:[Profit]],13,0)),"")</f>
        <v/>
      </c>
      <c r="Q829" s="43" t="str">
        <f>IFERROR(IF(VLOOKUP(B829,Baza[[№]:[Profit]],15,0)=0,"-",VLOOKUP(B829,Baza[[№]:[Profit]],15,0)),"")</f>
        <v/>
      </c>
      <c r="R829" s="43" t="str">
        <f>IFERROR(IF(VLOOKUP(B829,Baza[[№]:[Profit]],16,0)=0,"-",VLOOKUP(B829,Baza[[№]:[Profit]],16,0)),"")</f>
        <v/>
      </c>
      <c r="S829" s="43" t="str">
        <f>IFERROR(IF(VLOOKUP(B829,Baza[[№]:[Profit]],17,0)=0,"-",VLOOKUP(B829,Baza[[№]:[Profit]],17,0)),"")</f>
        <v/>
      </c>
      <c r="T829" s="43" t="str">
        <f>IFERROR(IF(VLOOKUP(B829,Baza[[№]:[Profit]],18,0)=0,"-",VLOOKUP(B829,Baza[[№]:[Profit]],18,0)),"")</f>
        <v/>
      </c>
      <c r="U829" s="41" t="str">
        <f>IFERROR(IF(VLOOKUP(B829,Baza[[№]:[Profit]],19,0)=0,"-",VLOOKUP(B829,Baza[[№]:[Profit]],19,0)),"")</f>
        <v/>
      </c>
      <c r="V829" s="41" t="str">
        <f>IFERROR(VLOOKUP(B829,Baza[[№]:[Profit]],20,0),"")</f>
        <v/>
      </c>
      <c r="W829" s="41" t="str">
        <f>IFERROR(IF(VLOOKUP(B829,Baza[[№]:[Profit]],21,0)=0,"-",VLOOKUP(B829,Baza[[№]:[Profit]],21,0)),"")</f>
        <v/>
      </c>
      <c r="X829" s="45" t="str">
        <f>IFERROR(IF(VLOOKUP(B829,Baza[[№]:[Profit]],22,0)=0,"-",VLOOKUP(B829,Baza[[№]:[Profit]],22,0)),"")</f>
        <v/>
      </c>
      <c r="Y829" s="45" t="str">
        <f>IFERROR(VLOOKUP(B829,Baza[[№]:[Profit]],23,0),"")</f>
        <v/>
      </c>
      <c r="Z829" s="44" t="str">
        <f>IFERROR(VLOOKUP(B829,Baza[[№]:[AFS]],24,0),"")</f>
        <v/>
      </c>
      <c r="AA829" s="45" t="str">
        <f>IF(Таблица2[[#This Row],[Profit]]="","#Н/Д",SUM($Y$40:Y829))</f>
        <v>#Н/Д</v>
      </c>
      <c r="AB829" s="45" t="b">
        <f>IF(Таблица2[[#This Row],[Grafik]]="#Н/Д",FALSE,TRUE)</f>
        <v>0</v>
      </c>
    </row>
    <row r="830" spans="3:28" ht="11.1" hidden="1" customHeight="1" x14ac:dyDescent="0.25">
      <c r="C830" s="41" t="str">
        <f>IFERROR(VLOOKUP(B830,Baza[[№]:[Profit]],2,0),"")</f>
        <v/>
      </c>
      <c r="D83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3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30" s="43" t="str">
        <f>IFERROR(VLOOKUP(B830,Baza[[№]:[Profit]],3,0),"")</f>
        <v/>
      </c>
      <c r="G830" s="43" t="str">
        <f>IFERROR(VLOOKUP(B830,Baza[[№]:[Profit]],4,0),"")</f>
        <v/>
      </c>
      <c r="H830" s="43" t="str">
        <f>IFERROR(VLOOKUP(B830,Baza[[№]:[Profit]],5,0),"")</f>
        <v/>
      </c>
      <c r="I830" s="46" t="str">
        <f>IFERROR(VLOOKUP(B830,Baza[[№]:[Profit]],6,0),"")</f>
        <v/>
      </c>
      <c r="J830" s="49" t="str">
        <f>IFERROR(VLOOKUP(B830,Baza[[№]:[Profit]],7,0),"")</f>
        <v/>
      </c>
      <c r="K830" s="43" t="str">
        <f>IFERROR(VLOOKUP(B830,Baza[[№]:[Profit]],8,0),"")</f>
        <v/>
      </c>
      <c r="L830" s="43" t="str">
        <f>IFERROR(VLOOKUP(B830,Baza[[№]:[Profit]],9,0),"")</f>
        <v/>
      </c>
      <c r="M830" s="43" t="str">
        <f>IFERROR(VLOOKUP(B830,Baza[[№]:[Profit]],10,0),"")</f>
        <v/>
      </c>
      <c r="N830" s="43" t="str">
        <f>IFERROR(IF(VLOOKUP(B830,Baza[[№]:[Profit]],11,0)=0,"-",VLOOKUP(B830,Baza[[№]:[Profit]],11,0)),"")</f>
        <v/>
      </c>
      <c r="O830" s="43" t="str">
        <f>IFERROR(IF(VLOOKUP(B830,Baza[[№]:[Profit]],12,0)=0,"-",VLOOKUP(B830,Baza[[№]:[Profit]],12,0)),"")</f>
        <v/>
      </c>
      <c r="P830" s="43" t="str">
        <f>IFERROR(IF(VLOOKUP(B830,Baza[[№]:[Profit]],13,0)=0,"-",VLOOKUP(B830,Baza[[№]:[Profit]],13,0)),"")</f>
        <v/>
      </c>
      <c r="Q830" s="43" t="str">
        <f>IFERROR(IF(VLOOKUP(B830,Baza[[№]:[Profit]],15,0)=0,"-",VLOOKUP(B830,Baza[[№]:[Profit]],15,0)),"")</f>
        <v/>
      </c>
      <c r="R830" s="43" t="str">
        <f>IFERROR(IF(VLOOKUP(B830,Baza[[№]:[Profit]],16,0)=0,"-",VLOOKUP(B830,Baza[[№]:[Profit]],16,0)),"")</f>
        <v/>
      </c>
      <c r="S830" s="43" t="str">
        <f>IFERROR(IF(VLOOKUP(B830,Baza[[№]:[Profit]],17,0)=0,"-",VLOOKUP(B830,Baza[[№]:[Profit]],17,0)),"")</f>
        <v/>
      </c>
      <c r="T830" s="43" t="str">
        <f>IFERROR(IF(VLOOKUP(B830,Baza[[№]:[Profit]],18,0)=0,"-",VLOOKUP(B830,Baza[[№]:[Profit]],18,0)),"")</f>
        <v/>
      </c>
      <c r="U830" s="41" t="str">
        <f>IFERROR(IF(VLOOKUP(B830,Baza[[№]:[Profit]],19,0)=0,"-",VLOOKUP(B830,Baza[[№]:[Profit]],19,0)),"")</f>
        <v/>
      </c>
      <c r="V830" s="41" t="str">
        <f>IFERROR(VLOOKUP(B830,Baza[[№]:[Profit]],20,0),"")</f>
        <v/>
      </c>
      <c r="W830" s="41" t="str">
        <f>IFERROR(IF(VLOOKUP(B830,Baza[[№]:[Profit]],21,0)=0,"-",VLOOKUP(B830,Baza[[№]:[Profit]],21,0)),"")</f>
        <v/>
      </c>
      <c r="X830" s="45" t="str">
        <f>IFERROR(IF(VLOOKUP(B830,Baza[[№]:[Profit]],22,0)=0,"-",VLOOKUP(B830,Baza[[№]:[Profit]],22,0)),"")</f>
        <v/>
      </c>
      <c r="Y830" s="45" t="str">
        <f>IFERROR(VLOOKUP(B830,Baza[[№]:[Profit]],23,0),"")</f>
        <v/>
      </c>
      <c r="Z830" s="44" t="str">
        <f>IFERROR(VLOOKUP(B830,Baza[[№]:[AFS]],24,0),"")</f>
        <v/>
      </c>
      <c r="AA830" s="45" t="str">
        <f>IF(Таблица2[[#This Row],[Profit]]="","#Н/Д",SUM($Y$40:Y830))</f>
        <v>#Н/Д</v>
      </c>
      <c r="AB830" s="45" t="b">
        <f>IF(Таблица2[[#This Row],[Grafik]]="#Н/Д",FALSE,TRUE)</f>
        <v>0</v>
      </c>
    </row>
    <row r="831" spans="3:28" ht="11.1" hidden="1" customHeight="1" x14ac:dyDescent="0.25">
      <c r="C831" s="41" t="str">
        <f>IFERROR(VLOOKUP(B831,Baza[[№]:[Profit]],2,0),"")</f>
        <v/>
      </c>
      <c r="D83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3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31" s="43" t="str">
        <f>IFERROR(VLOOKUP(B831,Baza[[№]:[Profit]],3,0),"")</f>
        <v/>
      </c>
      <c r="G831" s="43" t="str">
        <f>IFERROR(VLOOKUP(B831,Baza[[№]:[Profit]],4,0),"")</f>
        <v/>
      </c>
      <c r="H831" s="43" t="str">
        <f>IFERROR(VLOOKUP(B831,Baza[[№]:[Profit]],5,0),"")</f>
        <v/>
      </c>
      <c r="I831" s="46" t="str">
        <f>IFERROR(VLOOKUP(B831,Baza[[№]:[Profit]],6,0),"")</f>
        <v/>
      </c>
      <c r="J831" s="49" t="str">
        <f>IFERROR(VLOOKUP(B831,Baza[[№]:[Profit]],7,0),"")</f>
        <v/>
      </c>
      <c r="K831" s="43" t="str">
        <f>IFERROR(VLOOKUP(B831,Baza[[№]:[Profit]],8,0),"")</f>
        <v/>
      </c>
      <c r="L831" s="43" t="str">
        <f>IFERROR(VLOOKUP(B831,Baza[[№]:[Profit]],9,0),"")</f>
        <v/>
      </c>
      <c r="M831" s="43" t="str">
        <f>IFERROR(VLOOKUP(B831,Baza[[№]:[Profit]],10,0),"")</f>
        <v/>
      </c>
      <c r="N831" s="43" t="str">
        <f>IFERROR(IF(VLOOKUP(B831,Baza[[№]:[Profit]],11,0)=0,"-",VLOOKUP(B831,Baza[[№]:[Profit]],11,0)),"")</f>
        <v/>
      </c>
      <c r="O831" s="43" t="str">
        <f>IFERROR(IF(VLOOKUP(B831,Baza[[№]:[Profit]],12,0)=0,"-",VLOOKUP(B831,Baza[[№]:[Profit]],12,0)),"")</f>
        <v/>
      </c>
      <c r="P831" s="43" t="str">
        <f>IFERROR(IF(VLOOKUP(B831,Baza[[№]:[Profit]],13,0)=0,"-",VLOOKUP(B831,Baza[[№]:[Profit]],13,0)),"")</f>
        <v/>
      </c>
      <c r="Q831" s="43" t="str">
        <f>IFERROR(IF(VLOOKUP(B831,Baza[[№]:[Profit]],15,0)=0,"-",VLOOKUP(B831,Baza[[№]:[Profit]],15,0)),"")</f>
        <v/>
      </c>
      <c r="R831" s="43" t="str">
        <f>IFERROR(IF(VLOOKUP(B831,Baza[[№]:[Profit]],16,0)=0,"-",VLOOKUP(B831,Baza[[№]:[Profit]],16,0)),"")</f>
        <v/>
      </c>
      <c r="S831" s="43" t="str">
        <f>IFERROR(IF(VLOOKUP(B831,Baza[[№]:[Profit]],17,0)=0,"-",VLOOKUP(B831,Baza[[№]:[Profit]],17,0)),"")</f>
        <v/>
      </c>
      <c r="T831" s="43" t="str">
        <f>IFERROR(IF(VLOOKUP(B831,Baza[[№]:[Profit]],18,0)=0,"-",VLOOKUP(B831,Baza[[№]:[Profit]],18,0)),"")</f>
        <v/>
      </c>
      <c r="U831" s="41" t="str">
        <f>IFERROR(IF(VLOOKUP(B831,Baza[[№]:[Profit]],19,0)=0,"-",VLOOKUP(B831,Baza[[№]:[Profit]],19,0)),"")</f>
        <v/>
      </c>
      <c r="V831" s="41" t="str">
        <f>IFERROR(VLOOKUP(B831,Baza[[№]:[Profit]],20,0),"")</f>
        <v/>
      </c>
      <c r="W831" s="41" t="str">
        <f>IFERROR(IF(VLOOKUP(B831,Baza[[№]:[Profit]],21,0)=0,"-",VLOOKUP(B831,Baza[[№]:[Profit]],21,0)),"")</f>
        <v/>
      </c>
      <c r="X831" s="45" t="str">
        <f>IFERROR(IF(VLOOKUP(B831,Baza[[№]:[Profit]],22,0)=0,"-",VLOOKUP(B831,Baza[[№]:[Profit]],22,0)),"")</f>
        <v/>
      </c>
      <c r="Y831" s="45" t="str">
        <f>IFERROR(VLOOKUP(B831,Baza[[№]:[Profit]],23,0),"")</f>
        <v/>
      </c>
      <c r="Z831" s="44" t="str">
        <f>IFERROR(VLOOKUP(B831,Baza[[№]:[AFS]],24,0),"")</f>
        <v/>
      </c>
      <c r="AA831" s="45" t="str">
        <f>IF(Таблица2[[#This Row],[Profit]]="","#Н/Д",SUM($Y$40:Y831))</f>
        <v>#Н/Д</v>
      </c>
      <c r="AB831" s="45" t="b">
        <f>IF(Таблица2[[#This Row],[Grafik]]="#Н/Д",FALSE,TRUE)</f>
        <v>0</v>
      </c>
    </row>
    <row r="832" spans="3:28" ht="11.1" hidden="1" customHeight="1" x14ac:dyDescent="0.25">
      <c r="C832" s="41" t="str">
        <f>IFERROR(VLOOKUP(B832,Baza[[№]:[Profit]],2,0),"")</f>
        <v/>
      </c>
      <c r="D83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3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32" s="43" t="str">
        <f>IFERROR(VLOOKUP(B832,Baza[[№]:[Profit]],3,0),"")</f>
        <v/>
      </c>
      <c r="G832" s="43" t="str">
        <f>IFERROR(VLOOKUP(B832,Baza[[№]:[Profit]],4,0),"")</f>
        <v/>
      </c>
      <c r="H832" s="43" t="str">
        <f>IFERROR(VLOOKUP(B832,Baza[[№]:[Profit]],5,0),"")</f>
        <v/>
      </c>
      <c r="I832" s="46" t="str">
        <f>IFERROR(VLOOKUP(B832,Baza[[№]:[Profit]],6,0),"")</f>
        <v/>
      </c>
      <c r="J832" s="49" t="str">
        <f>IFERROR(VLOOKUP(B832,Baza[[№]:[Profit]],7,0),"")</f>
        <v/>
      </c>
      <c r="K832" s="43" t="str">
        <f>IFERROR(VLOOKUP(B832,Baza[[№]:[Profit]],8,0),"")</f>
        <v/>
      </c>
      <c r="L832" s="43" t="str">
        <f>IFERROR(VLOOKUP(B832,Baza[[№]:[Profit]],9,0),"")</f>
        <v/>
      </c>
      <c r="M832" s="43" t="str">
        <f>IFERROR(VLOOKUP(B832,Baza[[№]:[Profit]],10,0),"")</f>
        <v/>
      </c>
      <c r="N832" s="43" t="str">
        <f>IFERROR(IF(VLOOKUP(B832,Baza[[№]:[Profit]],11,0)=0,"-",VLOOKUP(B832,Baza[[№]:[Profit]],11,0)),"")</f>
        <v/>
      </c>
      <c r="O832" s="43" t="str">
        <f>IFERROR(IF(VLOOKUP(B832,Baza[[№]:[Profit]],12,0)=0,"-",VLOOKUP(B832,Baza[[№]:[Profit]],12,0)),"")</f>
        <v/>
      </c>
      <c r="P832" s="43" t="str">
        <f>IFERROR(IF(VLOOKUP(B832,Baza[[№]:[Profit]],13,0)=0,"-",VLOOKUP(B832,Baza[[№]:[Profit]],13,0)),"")</f>
        <v/>
      </c>
      <c r="Q832" s="43" t="str">
        <f>IFERROR(IF(VLOOKUP(B832,Baza[[№]:[Profit]],15,0)=0,"-",VLOOKUP(B832,Baza[[№]:[Profit]],15,0)),"")</f>
        <v/>
      </c>
      <c r="R832" s="43" t="str">
        <f>IFERROR(IF(VLOOKUP(B832,Baza[[№]:[Profit]],16,0)=0,"-",VLOOKUP(B832,Baza[[№]:[Profit]],16,0)),"")</f>
        <v/>
      </c>
      <c r="S832" s="43" t="str">
        <f>IFERROR(IF(VLOOKUP(B832,Baza[[№]:[Profit]],17,0)=0,"-",VLOOKUP(B832,Baza[[№]:[Profit]],17,0)),"")</f>
        <v/>
      </c>
      <c r="T832" s="43" t="str">
        <f>IFERROR(IF(VLOOKUP(B832,Baza[[№]:[Profit]],18,0)=0,"-",VLOOKUP(B832,Baza[[№]:[Profit]],18,0)),"")</f>
        <v/>
      </c>
      <c r="U832" s="41" t="str">
        <f>IFERROR(IF(VLOOKUP(B832,Baza[[№]:[Profit]],19,0)=0,"-",VLOOKUP(B832,Baza[[№]:[Profit]],19,0)),"")</f>
        <v/>
      </c>
      <c r="V832" s="41" t="str">
        <f>IFERROR(VLOOKUP(B832,Baza[[№]:[Profit]],20,0),"")</f>
        <v/>
      </c>
      <c r="W832" s="41" t="str">
        <f>IFERROR(IF(VLOOKUP(B832,Baza[[№]:[Profit]],21,0)=0,"-",VLOOKUP(B832,Baza[[№]:[Profit]],21,0)),"")</f>
        <v/>
      </c>
      <c r="X832" s="45" t="str">
        <f>IFERROR(IF(VLOOKUP(B832,Baza[[№]:[Profit]],22,0)=0,"-",VLOOKUP(B832,Baza[[№]:[Profit]],22,0)),"")</f>
        <v/>
      </c>
      <c r="Y832" s="45" t="str">
        <f>IFERROR(VLOOKUP(B832,Baza[[№]:[Profit]],23,0),"")</f>
        <v/>
      </c>
      <c r="Z832" s="44" t="str">
        <f>IFERROR(VLOOKUP(B832,Baza[[№]:[AFS]],24,0),"")</f>
        <v/>
      </c>
      <c r="AA832" s="45" t="str">
        <f>IF(Таблица2[[#This Row],[Profit]]="","#Н/Д",SUM($Y$40:Y832))</f>
        <v>#Н/Д</v>
      </c>
      <c r="AB832" s="45" t="b">
        <f>IF(Таблица2[[#This Row],[Grafik]]="#Н/Д",FALSE,TRUE)</f>
        <v>0</v>
      </c>
    </row>
    <row r="833" spans="3:28" ht="11.1" hidden="1" customHeight="1" x14ac:dyDescent="0.25">
      <c r="C833" s="41" t="str">
        <f>IFERROR(VLOOKUP(B833,Baza[[№]:[Profit]],2,0),"")</f>
        <v/>
      </c>
      <c r="D83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3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33" s="43" t="str">
        <f>IFERROR(VLOOKUP(B833,Baza[[№]:[Profit]],3,0),"")</f>
        <v/>
      </c>
      <c r="G833" s="43" t="str">
        <f>IFERROR(VLOOKUP(B833,Baza[[№]:[Profit]],4,0),"")</f>
        <v/>
      </c>
      <c r="H833" s="43" t="str">
        <f>IFERROR(VLOOKUP(B833,Baza[[№]:[Profit]],5,0),"")</f>
        <v/>
      </c>
      <c r="I833" s="46" t="str">
        <f>IFERROR(VLOOKUP(B833,Baza[[№]:[Profit]],6,0),"")</f>
        <v/>
      </c>
      <c r="J833" s="49" t="str">
        <f>IFERROR(VLOOKUP(B833,Baza[[№]:[Profit]],7,0),"")</f>
        <v/>
      </c>
      <c r="K833" s="43" t="str">
        <f>IFERROR(VLOOKUP(B833,Baza[[№]:[Profit]],8,0),"")</f>
        <v/>
      </c>
      <c r="L833" s="43" t="str">
        <f>IFERROR(VLOOKUP(B833,Baza[[№]:[Profit]],9,0),"")</f>
        <v/>
      </c>
      <c r="M833" s="43" t="str">
        <f>IFERROR(VLOOKUP(B833,Baza[[№]:[Profit]],10,0),"")</f>
        <v/>
      </c>
      <c r="N833" s="43" t="str">
        <f>IFERROR(IF(VLOOKUP(B833,Baza[[№]:[Profit]],11,0)=0,"-",VLOOKUP(B833,Baza[[№]:[Profit]],11,0)),"")</f>
        <v/>
      </c>
      <c r="O833" s="43" t="str">
        <f>IFERROR(IF(VLOOKUP(B833,Baza[[№]:[Profit]],12,0)=0,"-",VLOOKUP(B833,Baza[[№]:[Profit]],12,0)),"")</f>
        <v/>
      </c>
      <c r="P833" s="43" t="str">
        <f>IFERROR(IF(VLOOKUP(B833,Baza[[№]:[Profit]],13,0)=0,"-",VLOOKUP(B833,Baza[[№]:[Profit]],13,0)),"")</f>
        <v/>
      </c>
      <c r="Q833" s="43" t="str">
        <f>IFERROR(IF(VLOOKUP(B833,Baza[[№]:[Profit]],15,0)=0,"-",VLOOKUP(B833,Baza[[№]:[Profit]],15,0)),"")</f>
        <v/>
      </c>
      <c r="R833" s="43" t="str">
        <f>IFERROR(IF(VLOOKUP(B833,Baza[[№]:[Profit]],16,0)=0,"-",VLOOKUP(B833,Baza[[№]:[Profit]],16,0)),"")</f>
        <v/>
      </c>
      <c r="S833" s="43" t="str">
        <f>IFERROR(IF(VLOOKUP(B833,Baza[[№]:[Profit]],17,0)=0,"-",VLOOKUP(B833,Baza[[№]:[Profit]],17,0)),"")</f>
        <v/>
      </c>
      <c r="T833" s="43" t="str">
        <f>IFERROR(IF(VLOOKUP(B833,Baza[[№]:[Profit]],18,0)=0,"-",VLOOKUP(B833,Baza[[№]:[Profit]],18,0)),"")</f>
        <v/>
      </c>
      <c r="U833" s="41" t="str">
        <f>IFERROR(IF(VLOOKUP(B833,Baza[[№]:[Profit]],19,0)=0,"-",VLOOKUP(B833,Baza[[№]:[Profit]],19,0)),"")</f>
        <v/>
      </c>
      <c r="V833" s="41" t="str">
        <f>IFERROR(VLOOKUP(B833,Baza[[№]:[Profit]],20,0),"")</f>
        <v/>
      </c>
      <c r="W833" s="41" t="str">
        <f>IFERROR(IF(VLOOKUP(B833,Baza[[№]:[Profit]],21,0)=0,"-",VLOOKUP(B833,Baza[[№]:[Profit]],21,0)),"")</f>
        <v/>
      </c>
      <c r="X833" s="45" t="str">
        <f>IFERROR(IF(VLOOKUP(B833,Baza[[№]:[Profit]],22,0)=0,"-",VLOOKUP(B833,Baza[[№]:[Profit]],22,0)),"")</f>
        <v/>
      </c>
      <c r="Y833" s="45" t="str">
        <f>IFERROR(VLOOKUP(B833,Baza[[№]:[Profit]],23,0),"")</f>
        <v/>
      </c>
      <c r="Z833" s="44" t="str">
        <f>IFERROR(VLOOKUP(B833,Baza[[№]:[AFS]],24,0),"")</f>
        <v/>
      </c>
      <c r="AA833" s="45" t="str">
        <f>IF(Таблица2[[#This Row],[Profit]]="","#Н/Д",SUM($Y$40:Y833))</f>
        <v>#Н/Д</v>
      </c>
      <c r="AB833" s="45" t="b">
        <f>IF(Таблица2[[#This Row],[Grafik]]="#Н/Д",FALSE,TRUE)</f>
        <v>0</v>
      </c>
    </row>
    <row r="834" spans="3:28" ht="11.1" hidden="1" customHeight="1" x14ac:dyDescent="0.25">
      <c r="C834" s="41" t="str">
        <f>IFERROR(VLOOKUP(B834,Baza[[№]:[Profit]],2,0),"")</f>
        <v/>
      </c>
      <c r="D83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3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34" s="43" t="str">
        <f>IFERROR(VLOOKUP(B834,Baza[[№]:[Profit]],3,0),"")</f>
        <v/>
      </c>
      <c r="G834" s="43" t="str">
        <f>IFERROR(VLOOKUP(B834,Baza[[№]:[Profit]],4,0),"")</f>
        <v/>
      </c>
      <c r="H834" s="43" t="str">
        <f>IFERROR(VLOOKUP(B834,Baza[[№]:[Profit]],5,0),"")</f>
        <v/>
      </c>
      <c r="I834" s="46" t="str">
        <f>IFERROR(VLOOKUP(B834,Baza[[№]:[Profit]],6,0),"")</f>
        <v/>
      </c>
      <c r="J834" s="49" t="str">
        <f>IFERROR(VLOOKUP(B834,Baza[[№]:[Profit]],7,0),"")</f>
        <v/>
      </c>
      <c r="K834" s="43" t="str">
        <f>IFERROR(VLOOKUP(B834,Baza[[№]:[Profit]],8,0),"")</f>
        <v/>
      </c>
      <c r="L834" s="43" t="str">
        <f>IFERROR(VLOOKUP(B834,Baza[[№]:[Profit]],9,0),"")</f>
        <v/>
      </c>
      <c r="M834" s="43" t="str">
        <f>IFERROR(VLOOKUP(B834,Baza[[№]:[Profit]],10,0),"")</f>
        <v/>
      </c>
      <c r="N834" s="43" t="str">
        <f>IFERROR(IF(VLOOKUP(B834,Baza[[№]:[Profit]],11,0)=0,"-",VLOOKUP(B834,Baza[[№]:[Profit]],11,0)),"")</f>
        <v/>
      </c>
      <c r="O834" s="43" t="str">
        <f>IFERROR(IF(VLOOKUP(B834,Baza[[№]:[Profit]],12,0)=0,"-",VLOOKUP(B834,Baza[[№]:[Profit]],12,0)),"")</f>
        <v/>
      </c>
      <c r="P834" s="43" t="str">
        <f>IFERROR(IF(VLOOKUP(B834,Baza[[№]:[Profit]],13,0)=0,"-",VLOOKUP(B834,Baza[[№]:[Profit]],13,0)),"")</f>
        <v/>
      </c>
      <c r="Q834" s="43" t="str">
        <f>IFERROR(IF(VLOOKUP(B834,Baza[[№]:[Profit]],15,0)=0,"-",VLOOKUP(B834,Baza[[№]:[Profit]],15,0)),"")</f>
        <v/>
      </c>
      <c r="R834" s="43" t="str">
        <f>IFERROR(IF(VLOOKUP(B834,Baza[[№]:[Profit]],16,0)=0,"-",VLOOKUP(B834,Baza[[№]:[Profit]],16,0)),"")</f>
        <v/>
      </c>
      <c r="S834" s="43" t="str">
        <f>IFERROR(IF(VLOOKUP(B834,Baza[[№]:[Profit]],17,0)=0,"-",VLOOKUP(B834,Baza[[№]:[Profit]],17,0)),"")</f>
        <v/>
      </c>
      <c r="T834" s="43" t="str">
        <f>IFERROR(IF(VLOOKUP(B834,Baza[[№]:[Profit]],18,0)=0,"-",VLOOKUP(B834,Baza[[№]:[Profit]],18,0)),"")</f>
        <v/>
      </c>
      <c r="U834" s="41" t="str">
        <f>IFERROR(IF(VLOOKUP(B834,Baza[[№]:[Profit]],19,0)=0,"-",VLOOKUP(B834,Baza[[№]:[Profit]],19,0)),"")</f>
        <v/>
      </c>
      <c r="V834" s="41" t="str">
        <f>IFERROR(VLOOKUP(B834,Baza[[№]:[Profit]],20,0),"")</f>
        <v/>
      </c>
      <c r="W834" s="41" t="str">
        <f>IFERROR(IF(VLOOKUP(B834,Baza[[№]:[Profit]],21,0)=0,"-",VLOOKUP(B834,Baza[[№]:[Profit]],21,0)),"")</f>
        <v/>
      </c>
      <c r="X834" s="45" t="str">
        <f>IFERROR(IF(VLOOKUP(B834,Baza[[№]:[Profit]],22,0)=0,"-",VLOOKUP(B834,Baza[[№]:[Profit]],22,0)),"")</f>
        <v/>
      </c>
      <c r="Y834" s="45" t="str">
        <f>IFERROR(VLOOKUP(B834,Baza[[№]:[Profit]],23,0),"")</f>
        <v/>
      </c>
      <c r="Z834" s="44" t="str">
        <f>IFERROR(VLOOKUP(B834,Baza[[№]:[AFS]],24,0),"")</f>
        <v/>
      </c>
      <c r="AA834" s="45" t="str">
        <f>IF(Таблица2[[#This Row],[Profit]]="","#Н/Д",SUM($Y$40:Y834))</f>
        <v>#Н/Д</v>
      </c>
      <c r="AB834" s="45" t="b">
        <f>IF(Таблица2[[#This Row],[Grafik]]="#Н/Д",FALSE,TRUE)</f>
        <v>0</v>
      </c>
    </row>
    <row r="835" spans="3:28" ht="11.1" hidden="1" customHeight="1" x14ac:dyDescent="0.25">
      <c r="C835" s="41" t="str">
        <f>IFERROR(VLOOKUP(B835,Baza[[№]:[Profit]],2,0),"")</f>
        <v/>
      </c>
      <c r="D83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3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35" s="43" t="str">
        <f>IFERROR(VLOOKUP(B835,Baza[[№]:[Profit]],3,0),"")</f>
        <v/>
      </c>
      <c r="G835" s="43" t="str">
        <f>IFERROR(VLOOKUP(B835,Baza[[№]:[Profit]],4,0),"")</f>
        <v/>
      </c>
      <c r="H835" s="43" t="str">
        <f>IFERROR(VLOOKUP(B835,Baza[[№]:[Profit]],5,0),"")</f>
        <v/>
      </c>
      <c r="I835" s="46" t="str">
        <f>IFERROR(VLOOKUP(B835,Baza[[№]:[Profit]],6,0),"")</f>
        <v/>
      </c>
      <c r="J835" s="49" t="str">
        <f>IFERROR(VLOOKUP(B835,Baza[[№]:[Profit]],7,0),"")</f>
        <v/>
      </c>
      <c r="K835" s="43" t="str">
        <f>IFERROR(VLOOKUP(B835,Baza[[№]:[Profit]],8,0),"")</f>
        <v/>
      </c>
      <c r="L835" s="43" t="str">
        <f>IFERROR(VLOOKUP(B835,Baza[[№]:[Profit]],9,0),"")</f>
        <v/>
      </c>
      <c r="M835" s="43" t="str">
        <f>IFERROR(VLOOKUP(B835,Baza[[№]:[Profit]],10,0),"")</f>
        <v/>
      </c>
      <c r="N835" s="43" t="str">
        <f>IFERROR(IF(VLOOKUP(B835,Baza[[№]:[Profit]],11,0)=0,"-",VLOOKUP(B835,Baza[[№]:[Profit]],11,0)),"")</f>
        <v/>
      </c>
      <c r="O835" s="43" t="str">
        <f>IFERROR(IF(VLOOKUP(B835,Baza[[№]:[Profit]],12,0)=0,"-",VLOOKUP(B835,Baza[[№]:[Profit]],12,0)),"")</f>
        <v/>
      </c>
      <c r="P835" s="43" t="str">
        <f>IFERROR(IF(VLOOKUP(B835,Baza[[№]:[Profit]],13,0)=0,"-",VLOOKUP(B835,Baza[[№]:[Profit]],13,0)),"")</f>
        <v/>
      </c>
      <c r="Q835" s="43" t="str">
        <f>IFERROR(IF(VLOOKUP(B835,Baza[[№]:[Profit]],15,0)=0,"-",VLOOKUP(B835,Baza[[№]:[Profit]],15,0)),"")</f>
        <v/>
      </c>
      <c r="R835" s="43" t="str">
        <f>IFERROR(IF(VLOOKUP(B835,Baza[[№]:[Profit]],16,0)=0,"-",VLOOKUP(B835,Baza[[№]:[Profit]],16,0)),"")</f>
        <v/>
      </c>
      <c r="S835" s="43" t="str">
        <f>IFERROR(IF(VLOOKUP(B835,Baza[[№]:[Profit]],17,0)=0,"-",VLOOKUP(B835,Baza[[№]:[Profit]],17,0)),"")</f>
        <v/>
      </c>
      <c r="T835" s="43" t="str">
        <f>IFERROR(IF(VLOOKUP(B835,Baza[[№]:[Profit]],18,0)=0,"-",VLOOKUP(B835,Baza[[№]:[Profit]],18,0)),"")</f>
        <v/>
      </c>
      <c r="U835" s="41" t="str">
        <f>IFERROR(IF(VLOOKUP(B835,Baza[[№]:[Profit]],19,0)=0,"-",VLOOKUP(B835,Baza[[№]:[Profit]],19,0)),"")</f>
        <v/>
      </c>
      <c r="V835" s="41" t="str">
        <f>IFERROR(VLOOKUP(B835,Baza[[№]:[Profit]],20,0),"")</f>
        <v/>
      </c>
      <c r="W835" s="41" t="str">
        <f>IFERROR(IF(VLOOKUP(B835,Baza[[№]:[Profit]],21,0)=0,"-",VLOOKUP(B835,Baza[[№]:[Profit]],21,0)),"")</f>
        <v/>
      </c>
      <c r="X835" s="45" t="str">
        <f>IFERROR(IF(VLOOKUP(B835,Baza[[№]:[Profit]],22,0)=0,"-",VLOOKUP(B835,Baza[[№]:[Profit]],22,0)),"")</f>
        <v/>
      </c>
      <c r="Y835" s="45" t="str">
        <f>IFERROR(VLOOKUP(B835,Baza[[№]:[Profit]],23,0),"")</f>
        <v/>
      </c>
      <c r="Z835" s="44" t="str">
        <f>IFERROR(VLOOKUP(B835,Baza[[№]:[AFS]],24,0),"")</f>
        <v/>
      </c>
      <c r="AA835" s="45" t="str">
        <f>IF(Таблица2[[#This Row],[Profit]]="","#Н/Д",SUM($Y$40:Y835))</f>
        <v>#Н/Д</v>
      </c>
      <c r="AB835" s="45" t="b">
        <f>IF(Таблица2[[#This Row],[Grafik]]="#Н/Д",FALSE,TRUE)</f>
        <v>0</v>
      </c>
    </row>
    <row r="836" spans="3:28" ht="11.1" hidden="1" customHeight="1" x14ac:dyDescent="0.25">
      <c r="C836" s="41" t="str">
        <f>IFERROR(VLOOKUP(B836,Baza[[№]:[Profit]],2,0),"")</f>
        <v/>
      </c>
      <c r="D83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3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36" s="43" t="str">
        <f>IFERROR(VLOOKUP(B836,Baza[[№]:[Profit]],3,0),"")</f>
        <v/>
      </c>
      <c r="G836" s="43" t="str">
        <f>IFERROR(VLOOKUP(B836,Baza[[№]:[Profit]],4,0),"")</f>
        <v/>
      </c>
      <c r="H836" s="43" t="str">
        <f>IFERROR(VLOOKUP(B836,Baza[[№]:[Profit]],5,0),"")</f>
        <v/>
      </c>
      <c r="I836" s="46" t="str">
        <f>IFERROR(VLOOKUP(B836,Baza[[№]:[Profit]],6,0),"")</f>
        <v/>
      </c>
      <c r="J836" s="49" t="str">
        <f>IFERROR(VLOOKUP(B836,Baza[[№]:[Profit]],7,0),"")</f>
        <v/>
      </c>
      <c r="K836" s="43" t="str">
        <f>IFERROR(VLOOKUP(B836,Baza[[№]:[Profit]],8,0),"")</f>
        <v/>
      </c>
      <c r="L836" s="43" t="str">
        <f>IFERROR(VLOOKUP(B836,Baza[[№]:[Profit]],9,0),"")</f>
        <v/>
      </c>
      <c r="M836" s="43" t="str">
        <f>IFERROR(VLOOKUP(B836,Baza[[№]:[Profit]],10,0),"")</f>
        <v/>
      </c>
      <c r="N836" s="43" t="str">
        <f>IFERROR(IF(VLOOKUP(B836,Baza[[№]:[Profit]],11,0)=0,"-",VLOOKUP(B836,Baza[[№]:[Profit]],11,0)),"")</f>
        <v/>
      </c>
      <c r="O836" s="43" t="str">
        <f>IFERROR(IF(VLOOKUP(B836,Baza[[№]:[Profit]],12,0)=0,"-",VLOOKUP(B836,Baza[[№]:[Profit]],12,0)),"")</f>
        <v/>
      </c>
      <c r="P836" s="43" t="str">
        <f>IFERROR(IF(VLOOKUP(B836,Baza[[№]:[Profit]],13,0)=0,"-",VLOOKUP(B836,Baza[[№]:[Profit]],13,0)),"")</f>
        <v/>
      </c>
      <c r="Q836" s="43" t="str">
        <f>IFERROR(IF(VLOOKUP(B836,Baza[[№]:[Profit]],15,0)=0,"-",VLOOKUP(B836,Baza[[№]:[Profit]],15,0)),"")</f>
        <v/>
      </c>
      <c r="R836" s="43" t="str">
        <f>IFERROR(IF(VLOOKUP(B836,Baza[[№]:[Profit]],16,0)=0,"-",VLOOKUP(B836,Baza[[№]:[Profit]],16,0)),"")</f>
        <v/>
      </c>
      <c r="S836" s="43" t="str">
        <f>IFERROR(IF(VLOOKUP(B836,Baza[[№]:[Profit]],17,0)=0,"-",VLOOKUP(B836,Baza[[№]:[Profit]],17,0)),"")</f>
        <v/>
      </c>
      <c r="T836" s="43" t="str">
        <f>IFERROR(IF(VLOOKUP(B836,Baza[[№]:[Profit]],18,0)=0,"-",VLOOKUP(B836,Baza[[№]:[Profit]],18,0)),"")</f>
        <v/>
      </c>
      <c r="U836" s="41" t="str">
        <f>IFERROR(IF(VLOOKUP(B836,Baza[[№]:[Profit]],19,0)=0,"-",VLOOKUP(B836,Baza[[№]:[Profit]],19,0)),"")</f>
        <v/>
      </c>
      <c r="V836" s="41" t="str">
        <f>IFERROR(VLOOKUP(B836,Baza[[№]:[Profit]],20,0),"")</f>
        <v/>
      </c>
      <c r="W836" s="41" t="str">
        <f>IFERROR(IF(VLOOKUP(B836,Baza[[№]:[Profit]],21,0)=0,"-",VLOOKUP(B836,Baza[[№]:[Profit]],21,0)),"")</f>
        <v/>
      </c>
      <c r="X836" s="45" t="str">
        <f>IFERROR(IF(VLOOKUP(B836,Baza[[№]:[Profit]],22,0)=0,"-",VLOOKUP(B836,Baza[[№]:[Profit]],22,0)),"")</f>
        <v/>
      </c>
      <c r="Y836" s="45" t="str">
        <f>IFERROR(VLOOKUP(B836,Baza[[№]:[Profit]],23,0),"")</f>
        <v/>
      </c>
      <c r="Z836" s="44" t="str">
        <f>IFERROR(VLOOKUP(B836,Baza[[№]:[AFS]],24,0),"")</f>
        <v/>
      </c>
      <c r="AA836" s="45" t="str">
        <f>IF(Таблица2[[#This Row],[Profit]]="","#Н/Д",SUM($Y$40:Y836))</f>
        <v>#Н/Д</v>
      </c>
      <c r="AB836" s="45" t="b">
        <f>IF(Таблица2[[#This Row],[Grafik]]="#Н/Д",FALSE,TRUE)</f>
        <v>0</v>
      </c>
    </row>
    <row r="837" spans="3:28" ht="11.1" hidden="1" customHeight="1" x14ac:dyDescent="0.25">
      <c r="C837" s="41" t="str">
        <f>IFERROR(VLOOKUP(B837,Baza[[№]:[Profit]],2,0),"")</f>
        <v/>
      </c>
      <c r="D83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3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37" s="43" t="str">
        <f>IFERROR(VLOOKUP(B837,Baza[[№]:[Profit]],3,0),"")</f>
        <v/>
      </c>
      <c r="G837" s="43" t="str">
        <f>IFERROR(VLOOKUP(B837,Baza[[№]:[Profit]],4,0),"")</f>
        <v/>
      </c>
      <c r="H837" s="43" t="str">
        <f>IFERROR(VLOOKUP(B837,Baza[[№]:[Profit]],5,0),"")</f>
        <v/>
      </c>
      <c r="I837" s="46" t="str">
        <f>IFERROR(VLOOKUP(B837,Baza[[№]:[Profit]],6,0),"")</f>
        <v/>
      </c>
      <c r="J837" s="49" t="str">
        <f>IFERROR(VLOOKUP(B837,Baza[[№]:[Profit]],7,0),"")</f>
        <v/>
      </c>
      <c r="K837" s="43" t="str">
        <f>IFERROR(VLOOKUP(B837,Baza[[№]:[Profit]],8,0),"")</f>
        <v/>
      </c>
      <c r="L837" s="43" t="str">
        <f>IFERROR(VLOOKUP(B837,Baza[[№]:[Profit]],9,0),"")</f>
        <v/>
      </c>
      <c r="M837" s="43" t="str">
        <f>IFERROR(VLOOKUP(B837,Baza[[№]:[Profit]],10,0),"")</f>
        <v/>
      </c>
      <c r="N837" s="43" t="str">
        <f>IFERROR(IF(VLOOKUP(B837,Baza[[№]:[Profit]],11,0)=0,"-",VLOOKUP(B837,Baza[[№]:[Profit]],11,0)),"")</f>
        <v/>
      </c>
      <c r="O837" s="43" t="str">
        <f>IFERROR(IF(VLOOKUP(B837,Baza[[№]:[Profit]],12,0)=0,"-",VLOOKUP(B837,Baza[[№]:[Profit]],12,0)),"")</f>
        <v/>
      </c>
      <c r="P837" s="43" t="str">
        <f>IFERROR(IF(VLOOKUP(B837,Baza[[№]:[Profit]],13,0)=0,"-",VLOOKUP(B837,Baza[[№]:[Profit]],13,0)),"")</f>
        <v/>
      </c>
      <c r="Q837" s="43" t="str">
        <f>IFERROR(IF(VLOOKUP(B837,Baza[[№]:[Profit]],15,0)=0,"-",VLOOKUP(B837,Baza[[№]:[Profit]],15,0)),"")</f>
        <v/>
      </c>
      <c r="R837" s="43" t="str">
        <f>IFERROR(IF(VLOOKUP(B837,Baza[[№]:[Profit]],16,0)=0,"-",VLOOKUP(B837,Baza[[№]:[Profit]],16,0)),"")</f>
        <v/>
      </c>
      <c r="S837" s="43" t="str">
        <f>IFERROR(IF(VLOOKUP(B837,Baza[[№]:[Profit]],17,0)=0,"-",VLOOKUP(B837,Baza[[№]:[Profit]],17,0)),"")</f>
        <v/>
      </c>
      <c r="T837" s="43" t="str">
        <f>IFERROR(IF(VLOOKUP(B837,Baza[[№]:[Profit]],18,0)=0,"-",VLOOKUP(B837,Baza[[№]:[Profit]],18,0)),"")</f>
        <v/>
      </c>
      <c r="U837" s="41" t="str">
        <f>IFERROR(IF(VLOOKUP(B837,Baza[[№]:[Profit]],19,0)=0,"-",VLOOKUP(B837,Baza[[№]:[Profit]],19,0)),"")</f>
        <v/>
      </c>
      <c r="V837" s="41" t="str">
        <f>IFERROR(VLOOKUP(B837,Baza[[№]:[Profit]],20,0),"")</f>
        <v/>
      </c>
      <c r="W837" s="41" t="str">
        <f>IFERROR(IF(VLOOKUP(B837,Baza[[№]:[Profit]],21,0)=0,"-",VLOOKUP(B837,Baza[[№]:[Profit]],21,0)),"")</f>
        <v/>
      </c>
      <c r="X837" s="45" t="str">
        <f>IFERROR(IF(VLOOKUP(B837,Baza[[№]:[Profit]],22,0)=0,"-",VLOOKUP(B837,Baza[[№]:[Profit]],22,0)),"")</f>
        <v/>
      </c>
      <c r="Y837" s="45" t="str">
        <f>IFERROR(VLOOKUP(B837,Baza[[№]:[Profit]],23,0),"")</f>
        <v/>
      </c>
      <c r="Z837" s="44" t="str">
        <f>IFERROR(VLOOKUP(B837,Baza[[№]:[AFS]],24,0),"")</f>
        <v/>
      </c>
      <c r="AA837" s="45" t="str">
        <f>IF(Таблица2[[#This Row],[Profit]]="","#Н/Д",SUM($Y$40:Y837))</f>
        <v>#Н/Д</v>
      </c>
      <c r="AB837" s="45" t="b">
        <f>IF(Таблица2[[#This Row],[Grafik]]="#Н/Д",FALSE,TRUE)</f>
        <v>0</v>
      </c>
    </row>
    <row r="838" spans="3:28" ht="11.1" hidden="1" customHeight="1" x14ac:dyDescent="0.25">
      <c r="C838" s="41" t="str">
        <f>IFERROR(VLOOKUP(B838,Baza[[№]:[Profit]],2,0),"")</f>
        <v/>
      </c>
      <c r="D83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3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38" s="43" t="str">
        <f>IFERROR(VLOOKUP(B838,Baza[[№]:[Profit]],3,0),"")</f>
        <v/>
      </c>
      <c r="G838" s="43" t="str">
        <f>IFERROR(VLOOKUP(B838,Baza[[№]:[Profit]],4,0),"")</f>
        <v/>
      </c>
      <c r="H838" s="43" t="str">
        <f>IFERROR(VLOOKUP(B838,Baza[[№]:[Profit]],5,0),"")</f>
        <v/>
      </c>
      <c r="I838" s="46" t="str">
        <f>IFERROR(VLOOKUP(B838,Baza[[№]:[Profit]],6,0),"")</f>
        <v/>
      </c>
      <c r="J838" s="49" t="str">
        <f>IFERROR(VLOOKUP(B838,Baza[[№]:[Profit]],7,0),"")</f>
        <v/>
      </c>
      <c r="K838" s="43" t="str">
        <f>IFERROR(VLOOKUP(B838,Baza[[№]:[Profit]],8,0),"")</f>
        <v/>
      </c>
      <c r="L838" s="43" t="str">
        <f>IFERROR(VLOOKUP(B838,Baza[[№]:[Profit]],9,0),"")</f>
        <v/>
      </c>
      <c r="M838" s="43" t="str">
        <f>IFERROR(VLOOKUP(B838,Baza[[№]:[Profit]],10,0),"")</f>
        <v/>
      </c>
      <c r="N838" s="43" t="str">
        <f>IFERROR(IF(VLOOKUP(B838,Baza[[№]:[Profit]],11,0)=0,"-",VLOOKUP(B838,Baza[[№]:[Profit]],11,0)),"")</f>
        <v/>
      </c>
      <c r="O838" s="43" t="str">
        <f>IFERROR(IF(VLOOKUP(B838,Baza[[№]:[Profit]],12,0)=0,"-",VLOOKUP(B838,Baza[[№]:[Profit]],12,0)),"")</f>
        <v/>
      </c>
      <c r="P838" s="43" t="str">
        <f>IFERROR(IF(VLOOKUP(B838,Baza[[№]:[Profit]],13,0)=0,"-",VLOOKUP(B838,Baza[[№]:[Profit]],13,0)),"")</f>
        <v/>
      </c>
      <c r="Q838" s="43" t="str">
        <f>IFERROR(IF(VLOOKUP(B838,Baza[[№]:[Profit]],15,0)=0,"-",VLOOKUP(B838,Baza[[№]:[Profit]],15,0)),"")</f>
        <v/>
      </c>
      <c r="R838" s="43" t="str">
        <f>IFERROR(IF(VLOOKUP(B838,Baza[[№]:[Profit]],16,0)=0,"-",VLOOKUP(B838,Baza[[№]:[Profit]],16,0)),"")</f>
        <v/>
      </c>
      <c r="S838" s="43" t="str">
        <f>IFERROR(IF(VLOOKUP(B838,Baza[[№]:[Profit]],17,0)=0,"-",VLOOKUP(B838,Baza[[№]:[Profit]],17,0)),"")</f>
        <v/>
      </c>
      <c r="T838" s="43" t="str">
        <f>IFERROR(IF(VLOOKUP(B838,Baza[[№]:[Profit]],18,0)=0,"-",VLOOKUP(B838,Baza[[№]:[Profit]],18,0)),"")</f>
        <v/>
      </c>
      <c r="U838" s="41" t="str">
        <f>IFERROR(IF(VLOOKUP(B838,Baza[[№]:[Profit]],19,0)=0,"-",VLOOKUP(B838,Baza[[№]:[Profit]],19,0)),"")</f>
        <v/>
      </c>
      <c r="V838" s="41" t="str">
        <f>IFERROR(VLOOKUP(B838,Baza[[№]:[Profit]],20,0),"")</f>
        <v/>
      </c>
      <c r="W838" s="41" t="str">
        <f>IFERROR(IF(VLOOKUP(B838,Baza[[№]:[Profit]],21,0)=0,"-",VLOOKUP(B838,Baza[[№]:[Profit]],21,0)),"")</f>
        <v/>
      </c>
      <c r="X838" s="45" t="str">
        <f>IFERROR(IF(VLOOKUP(B838,Baza[[№]:[Profit]],22,0)=0,"-",VLOOKUP(B838,Baza[[№]:[Profit]],22,0)),"")</f>
        <v/>
      </c>
      <c r="Y838" s="45" t="str">
        <f>IFERROR(VLOOKUP(B838,Baza[[№]:[Profit]],23,0),"")</f>
        <v/>
      </c>
      <c r="Z838" s="44" t="str">
        <f>IFERROR(VLOOKUP(B838,Baza[[№]:[AFS]],24,0),"")</f>
        <v/>
      </c>
      <c r="AA838" s="45" t="str">
        <f>IF(Таблица2[[#This Row],[Profit]]="","#Н/Д",SUM($Y$40:Y838))</f>
        <v>#Н/Д</v>
      </c>
      <c r="AB838" s="45" t="b">
        <f>IF(Таблица2[[#This Row],[Grafik]]="#Н/Д",FALSE,TRUE)</f>
        <v>0</v>
      </c>
    </row>
    <row r="839" spans="3:28" ht="11.1" hidden="1" customHeight="1" x14ac:dyDescent="0.25">
      <c r="C839" s="41" t="str">
        <f>IFERROR(VLOOKUP(B839,Baza[[№]:[Profit]],2,0),"")</f>
        <v/>
      </c>
      <c r="D83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3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39" s="43" t="str">
        <f>IFERROR(VLOOKUP(B839,Baza[[№]:[Profit]],3,0),"")</f>
        <v/>
      </c>
      <c r="G839" s="43" t="str">
        <f>IFERROR(VLOOKUP(B839,Baza[[№]:[Profit]],4,0),"")</f>
        <v/>
      </c>
      <c r="H839" s="43" t="str">
        <f>IFERROR(VLOOKUP(B839,Baza[[№]:[Profit]],5,0),"")</f>
        <v/>
      </c>
      <c r="I839" s="46" t="str">
        <f>IFERROR(VLOOKUP(B839,Baza[[№]:[Profit]],6,0),"")</f>
        <v/>
      </c>
      <c r="J839" s="49" t="str">
        <f>IFERROR(VLOOKUP(B839,Baza[[№]:[Profit]],7,0),"")</f>
        <v/>
      </c>
      <c r="K839" s="43" t="str">
        <f>IFERROR(VLOOKUP(B839,Baza[[№]:[Profit]],8,0),"")</f>
        <v/>
      </c>
      <c r="L839" s="43" t="str">
        <f>IFERROR(VLOOKUP(B839,Baza[[№]:[Profit]],9,0),"")</f>
        <v/>
      </c>
      <c r="M839" s="43" t="str">
        <f>IFERROR(VLOOKUP(B839,Baza[[№]:[Profit]],10,0),"")</f>
        <v/>
      </c>
      <c r="N839" s="43" t="str">
        <f>IFERROR(IF(VLOOKUP(B839,Baza[[№]:[Profit]],11,0)=0,"-",VLOOKUP(B839,Baza[[№]:[Profit]],11,0)),"")</f>
        <v/>
      </c>
      <c r="O839" s="43" t="str">
        <f>IFERROR(IF(VLOOKUP(B839,Baza[[№]:[Profit]],12,0)=0,"-",VLOOKUP(B839,Baza[[№]:[Profit]],12,0)),"")</f>
        <v/>
      </c>
      <c r="P839" s="43" t="str">
        <f>IFERROR(IF(VLOOKUP(B839,Baza[[№]:[Profit]],13,0)=0,"-",VLOOKUP(B839,Baza[[№]:[Profit]],13,0)),"")</f>
        <v/>
      </c>
      <c r="Q839" s="43" t="str">
        <f>IFERROR(IF(VLOOKUP(B839,Baza[[№]:[Profit]],15,0)=0,"-",VLOOKUP(B839,Baza[[№]:[Profit]],15,0)),"")</f>
        <v/>
      </c>
      <c r="R839" s="43" t="str">
        <f>IFERROR(IF(VLOOKUP(B839,Baza[[№]:[Profit]],16,0)=0,"-",VLOOKUP(B839,Baza[[№]:[Profit]],16,0)),"")</f>
        <v/>
      </c>
      <c r="S839" s="43" t="str">
        <f>IFERROR(IF(VLOOKUP(B839,Baza[[№]:[Profit]],17,0)=0,"-",VLOOKUP(B839,Baza[[№]:[Profit]],17,0)),"")</f>
        <v/>
      </c>
      <c r="T839" s="43" t="str">
        <f>IFERROR(IF(VLOOKUP(B839,Baza[[№]:[Profit]],18,0)=0,"-",VLOOKUP(B839,Baza[[№]:[Profit]],18,0)),"")</f>
        <v/>
      </c>
      <c r="U839" s="41" t="str">
        <f>IFERROR(IF(VLOOKUP(B839,Baza[[№]:[Profit]],19,0)=0,"-",VLOOKUP(B839,Baza[[№]:[Profit]],19,0)),"")</f>
        <v/>
      </c>
      <c r="V839" s="41" t="str">
        <f>IFERROR(VLOOKUP(B839,Baza[[№]:[Profit]],20,0),"")</f>
        <v/>
      </c>
      <c r="W839" s="41" t="str">
        <f>IFERROR(IF(VLOOKUP(B839,Baza[[№]:[Profit]],21,0)=0,"-",VLOOKUP(B839,Baza[[№]:[Profit]],21,0)),"")</f>
        <v/>
      </c>
      <c r="X839" s="45" t="str">
        <f>IFERROR(IF(VLOOKUP(B839,Baza[[№]:[Profit]],22,0)=0,"-",VLOOKUP(B839,Baza[[№]:[Profit]],22,0)),"")</f>
        <v/>
      </c>
      <c r="Y839" s="45" t="str">
        <f>IFERROR(VLOOKUP(B839,Baza[[№]:[Profit]],23,0),"")</f>
        <v/>
      </c>
      <c r="Z839" s="44" t="str">
        <f>IFERROR(VLOOKUP(B839,Baza[[№]:[AFS]],24,0),"")</f>
        <v/>
      </c>
      <c r="AA839" s="45" t="str">
        <f>IF(Таблица2[[#This Row],[Profit]]="","#Н/Д",SUM($Y$40:Y839))</f>
        <v>#Н/Д</v>
      </c>
      <c r="AB839" s="45" t="b">
        <f>IF(Таблица2[[#This Row],[Grafik]]="#Н/Д",FALSE,TRUE)</f>
        <v>0</v>
      </c>
    </row>
    <row r="840" spans="3:28" ht="11.1" hidden="1" customHeight="1" x14ac:dyDescent="0.25">
      <c r="C840" s="41" t="str">
        <f>IFERROR(VLOOKUP(B840,Baza[[№]:[Profit]],2,0),"")</f>
        <v/>
      </c>
      <c r="D84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4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40" s="43" t="str">
        <f>IFERROR(VLOOKUP(B840,Baza[[№]:[Profit]],3,0),"")</f>
        <v/>
      </c>
      <c r="G840" s="43" t="str">
        <f>IFERROR(VLOOKUP(B840,Baza[[№]:[Profit]],4,0),"")</f>
        <v/>
      </c>
      <c r="H840" s="43" t="str">
        <f>IFERROR(VLOOKUP(B840,Baza[[№]:[Profit]],5,0),"")</f>
        <v/>
      </c>
      <c r="I840" s="46" t="str">
        <f>IFERROR(VLOOKUP(B840,Baza[[№]:[Profit]],6,0),"")</f>
        <v/>
      </c>
      <c r="J840" s="49" t="str">
        <f>IFERROR(VLOOKUP(B840,Baza[[№]:[Profit]],7,0),"")</f>
        <v/>
      </c>
      <c r="K840" s="43" t="str">
        <f>IFERROR(VLOOKUP(B840,Baza[[№]:[Profit]],8,0),"")</f>
        <v/>
      </c>
      <c r="L840" s="43" t="str">
        <f>IFERROR(VLOOKUP(B840,Baza[[№]:[Profit]],9,0),"")</f>
        <v/>
      </c>
      <c r="M840" s="43" t="str">
        <f>IFERROR(VLOOKUP(B840,Baza[[№]:[Profit]],10,0),"")</f>
        <v/>
      </c>
      <c r="N840" s="43" t="str">
        <f>IFERROR(IF(VLOOKUP(B840,Baza[[№]:[Profit]],11,0)=0,"-",VLOOKUP(B840,Baza[[№]:[Profit]],11,0)),"")</f>
        <v/>
      </c>
      <c r="O840" s="43" t="str">
        <f>IFERROR(IF(VLOOKUP(B840,Baza[[№]:[Profit]],12,0)=0,"-",VLOOKUP(B840,Baza[[№]:[Profit]],12,0)),"")</f>
        <v/>
      </c>
      <c r="P840" s="43" t="str">
        <f>IFERROR(IF(VLOOKUP(B840,Baza[[№]:[Profit]],13,0)=0,"-",VLOOKUP(B840,Baza[[№]:[Profit]],13,0)),"")</f>
        <v/>
      </c>
      <c r="Q840" s="43" t="str">
        <f>IFERROR(IF(VLOOKUP(B840,Baza[[№]:[Profit]],15,0)=0,"-",VLOOKUP(B840,Baza[[№]:[Profit]],15,0)),"")</f>
        <v/>
      </c>
      <c r="R840" s="43" t="str">
        <f>IFERROR(IF(VLOOKUP(B840,Baza[[№]:[Profit]],16,0)=0,"-",VLOOKUP(B840,Baza[[№]:[Profit]],16,0)),"")</f>
        <v/>
      </c>
      <c r="S840" s="43" t="str">
        <f>IFERROR(IF(VLOOKUP(B840,Baza[[№]:[Profit]],17,0)=0,"-",VLOOKUP(B840,Baza[[№]:[Profit]],17,0)),"")</f>
        <v/>
      </c>
      <c r="T840" s="43" t="str">
        <f>IFERROR(IF(VLOOKUP(B840,Baza[[№]:[Profit]],18,0)=0,"-",VLOOKUP(B840,Baza[[№]:[Profit]],18,0)),"")</f>
        <v/>
      </c>
      <c r="U840" s="41" t="str">
        <f>IFERROR(IF(VLOOKUP(B840,Baza[[№]:[Profit]],19,0)=0,"-",VLOOKUP(B840,Baza[[№]:[Profit]],19,0)),"")</f>
        <v/>
      </c>
      <c r="V840" s="41" t="str">
        <f>IFERROR(VLOOKUP(B840,Baza[[№]:[Profit]],20,0),"")</f>
        <v/>
      </c>
      <c r="W840" s="41" t="str">
        <f>IFERROR(IF(VLOOKUP(B840,Baza[[№]:[Profit]],21,0)=0,"-",VLOOKUP(B840,Baza[[№]:[Profit]],21,0)),"")</f>
        <v/>
      </c>
      <c r="X840" s="45" t="str">
        <f>IFERROR(IF(VLOOKUP(B840,Baza[[№]:[Profit]],22,0)=0,"-",VLOOKUP(B840,Baza[[№]:[Profit]],22,0)),"")</f>
        <v/>
      </c>
      <c r="Y840" s="45" t="str">
        <f>IFERROR(VLOOKUP(B840,Baza[[№]:[Profit]],23,0),"")</f>
        <v/>
      </c>
      <c r="Z840" s="44" t="str">
        <f>IFERROR(VLOOKUP(B840,Baza[[№]:[AFS]],24,0),"")</f>
        <v/>
      </c>
      <c r="AA840" s="45" t="str">
        <f>IF(Таблица2[[#This Row],[Profit]]="","#Н/Д",SUM($Y$40:Y840))</f>
        <v>#Н/Д</v>
      </c>
      <c r="AB840" s="45" t="b">
        <f>IF(Таблица2[[#This Row],[Grafik]]="#Н/Д",FALSE,TRUE)</f>
        <v>0</v>
      </c>
    </row>
    <row r="841" spans="3:28" ht="11.1" hidden="1" customHeight="1" x14ac:dyDescent="0.25">
      <c r="C841" s="41" t="str">
        <f>IFERROR(VLOOKUP(B841,Baza[[№]:[Profit]],2,0),"")</f>
        <v/>
      </c>
      <c r="D84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4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41" s="43" t="str">
        <f>IFERROR(VLOOKUP(B841,Baza[[№]:[Profit]],3,0),"")</f>
        <v/>
      </c>
      <c r="G841" s="43" t="str">
        <f>IFERROR(VLOOKUP(B841,Baza[[№]:[Profit]],4,0),"")</f>
        <v/>
      </c>
      <c r="H841" s="43" t="str">
        <f>IFERROR(VLOOKUP(B841,Baza[[№]:[Profit]],5,0),"")</f>
        <v/>
      </c>
      <c r="I841" s="46" t="str">
        <f>IFERROR(VLOOKUP(B841,Baza[[№]:[Profit]],6,0),"")</f>
        <v/>
      </c>
      <c r="J841" s="49" t="str">
        <f>IFERROR(VLOOKUP(B841,Baza[[№]:[Profit]],7,0),"")</f>
        <v/>
      </c>
      <c r="K841" s="43" t="str">
        <f>IFERROR(VLOOKUP(B841,Baza[[№]:[Profit]],8,0),"")</f>
        <v/>
      </c>
      <c r="L841" s="43" t="str">
        <f>IFERROR(VLOOKUP(B841,Baza[[№]:[Profit]],9,0),"")</f>
        <v/>
      </c>
      <c r="M841" s="43" t="str">
        <f>IFERROR(VLOOKUP(B841,Baza[[№]:[Profit]],10,0),"")</f>
        <v/>
      </c>
      <c r="N841" s="43" t="str">
        <f>IFERROR(IF(VLOOKUP(B841,Baza[[№]:[Profit]],11,0)=0,"-",VLOOKUP(B841,Baza[[№]:[Profit]],11,0)),"")</f>
        <v/>
      </c>
      <c r="O841" s="43" t="str">
        <f>IFERROR(IF(VLOOKUP(B841,Baza[[№]:[Profit]],12,0)=0,"-",VLOOKUP(B841,Baza[[№]:[Profit]],12,0)),"")</f>
        <v/>
      </c>
      <c r="P841" s="43" t="str">
        <f>IFERROR(IF(VLOOKUP(B841,Baza[[№]:[Profit]],13,0)=0,"-",VLOOKUP(B841,Baza[[№]:[Profit]],13,0)),"")</f>
        <v/>
      </c>
      <c r="Q841" s="43" t="str">
        <f>IFERROR(IF(VLOOKUP(B841,Baza[[№]:[Profit]],15,0)=0,"-",VLOOKUP(B841,Baza[[№]:[Profit]],15,0)),"")</f>
        <v/>
      </c>
      <c r="R841" s="43" t="str">
        <f>IFERROR(IF(VLOOKUP(B841,Baza[[№]:[Profit]],16,0)=0,"-",VLOOKUP(B841,Baza[[№]:[Profit]],16,0)),"")</f>
        <v/>
      </c>
      <c r="S841" s="43" t="str">
        <f>IFERROR(IF(VLOOKUP(B841,Baza[[№]:[Profit]],17,0)=0,"-",VLOOKUP(B841,Baza[[№]:[Profit]],17,0)),"")</f>
        <v/>
      </c>
      <c r="T841" s="43" t="str">
        <f>IFERROR(IF(VLOOKUP(B841,Baza[[№]:[Profit]],18,0)=0,"-",VLOOKUP(B841,Baza[[№]:[Profit]],18,0)),"")</f>
        <v/>
      </c>
      <c r="U841" s="41" t="str">
        <f>IFERROR(IF(VLOOKUP(B841,Baza[[№]:[Profit]],19,0)=0,"-",VLOOKUP(B841,Baza[[№]:[Profit]],19,0)),"")</f>
        <v/>
      </c>
      <c r="V841" s="41" t="str">
        <f>IFERROR(VLOOKUP(B841,Baza[[№]:[Profit]],20,0),"")</f>
        <v/>
      </c>
      <c r="W841" s="41" t="str">
        <f>IFERROR(IF(VLOOKUP(B841,Baza[[№]:[Profit]],21,0)=0,"-",VLOOKUP(B841,Baza[[№]:[Profit]],21,0)),"")</f>
        <v/>
      </c>
      <c r="X841" s="45" t="str">
        <f>IFERROR(IF(VLOOKUP(B841,Baza[[№]:[Profit]],22,0)=0,"-",VLOOKUP(B841,Baza[[№]:[Profit]],22,0)),"")</f>
        <v/>
      </c>
      <c r="Y841" s="45" t="str">
        <f>IFERROR(VLOOKUP(B841,Baza[[№]:[Profit]],23,0),"")</f>
        <v/>
      </c>
      <c r="Z841" s="44" t="str">
        <f>IFERROR(VLOOKUP(B841,Baza[[№]:[AFS]],24,0),"")</f>
        <v/>
      </c>
      <c r="AA841" s="45" t="str">
        <f>IF(Таблица2[[#This Row],[Profit]]="","#Н/Д",SUM($Y$40:Y841))</f>
        <v>#Н/Д</v>
      </c>
      <c r="AB841" s="45" t="b">
        <f>IF(Таблица2[[#This Row],[Grafik]]="#Н/Д",FALSE,TRUE)</f>
        <v>0</v>
      </c>
    </row>
    <row r="842" spans="3:28" ht="11.1" hidden="1" customHeight="1" x14ac:dyDescent="0.25">
      <c r="C842" s="41" t="str">
        <f>IFERROR(VLOOKUP(B842,Baza[[№]:[Profit]],2,0),"")</f>
        <v/>
      </c>
      <c r="D84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4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42" s="43" t="str">
        <f>IFERROR(VLOOKUP(B842,Baza[[№]:[Profit]],3,0),"")</f>
        <v/>
      </c>
      <c r="G842" s="43" t="str">
        <f>IFERROR(VLOOKUP(B842,Baza[[№]:[Profit]],4,0),"")</f>
        <v/>
      </c>
      <c r="H842" s="43" t="str">
        <f>IFERROR(VLOOKUP(B842,Baza[[№]:[Profit]],5,0),"")</f>
        <v/>
      </c>
      <c r="I842" s="46" t="str">
        <f>IFERROR(VLOOKUP(B842,Baza[[№]:[Profit]],6,0),"")</f>
        <v/>
      </c>
      <c r="J842" s="49" t="str">
        <f>IFERROR(VLOOKUP(B842,Baza[[№]:[Profit]],7,0),"")</f>
        <v/>
      </c>
      <c r="K842" s="43" t="str">
        <f>IFERROR(VLOOKUP(B842,Baza[[№]:[Profit]],8,0),"")</f>
        <v/>
      </c>
      <c r="L842" s="43" t="str">
        <f>IFERROR(VLOOKUP(B842,Baza[[№]:[Profit]],9,0),"")</f>
        <v/>
      </c>
      <c r="M842" s="43" t="str">
        <f>IFERROR(VLOOKUP(B842,Baza[[№]:[Profit]],10,0),"")</f>
        <v/>
      </c>
      <c r="N842" s="43" t="str">
        <f>IFERROR(IF(VLOOKUP(B842,Baza[[№]:[Profit]],11,0)=0,"-",VLOOKUP(B842,Baza[[№]:[Profit]],11,0)),"")</f>
        <v/>
      </c>
      <c r="O842" s="43" t="str">
        <f>IFERROR(IF(VLOOKUP(B842,Baza[[№]:[Profit]],12,0)=0,"-",VLOOKUP(B842,Baza[[№]:[Profit]],12,0)),"")</f>
        <v/>
      </c>
      <c r="P842" s="43" t="str">
        <f>IFERROR(IF(VLOOKUP(B842,Baza[[№]:[Profit]],13,0)=0,"-",VLOOKUP(B842,Baza[[№]:[Profit]],13,0)),"")</f>
        <v/>
      </c>
      <c r="Q842" s="43" t="str">
        <f>IFERROR(IF(VLOOKUP(B842,Baza[[№]:[Profit]],15,0)=0,"-",VLOOKUP(B842,Baza[[№]:[Profit]],15,0)),"")</f>
        <v/>
      </c>
      <c r="R842" s="43" t="str">
        <f>IFERROR(IF(VLOOKUP(B842,Baza[[№]:[Profit]],16,0)=0,"-",VLOOKUP(B842,Baza[[№]:[Profit]],16,0)),"")</f>
        <v/>
      </c>
      <c r="S842" s="43" t="str">
        <f>IFERROR(IF(VLOOKUP(B842,Baza[[№]:[Profit]],17,0)=0,"-",VLOOKUP(B842,Baza[[№]:[Profit]],17,0)),"")</f>
        <v/>
      </c>
      <c r="T842" s="43" t="str">
        <f>IFERROR(IF(VLOOKUP(B842,Baza[[№]:[Profit]],18,0)=0,"-",VLOOKUP(B842,Baza[[№]:[Profit]],18,0)),"")</f>
        <v/>
      </c>
      <c r="U842" s="41" t="str">
        <f>IFERROR(IF(VLOOKUP(B842,Baza[[№]:[Profit]],19,0)=0,"-",VLOOKUP(B842,Baza[[№]:[Profit]],19,0)),"")</f>
        <v/>
      </c>
      <c r="V842" s="41" t="str">
        <f>IFERROR(VLOOKUP(B842,Baza[[№]:[Profit]],20,0),"")</f>
        <v/>
      </c>
      <c r="W842" s="41" t="str">
        <f>IFERROR(IF(VLOOKUP(B842,Baza[[№]:[Profit]],21,0)=0,"-",VLOOKUP(B842,Baza[[№]:[Profit]],21,0)),"")</f>
        <v/>
      </c>
      <c r="X842" s="45" t="str">
        <f>IFERROR(IF(VLOOKUP(B842,Baza[[№]:[Profit]],22,0)=0,"-",VLOOKUP(B842,Baza[[№]:[Profit]],22,0)),"")</f>
        <v/>
      </c>
      <c r="Y842" s="45" t="str">
        <f>IFERROR(VLOOKUP(B842,Baza[[№]:[Profit]],23,0),"")</f>
        <v/>
      </c>
      <c r="Z842" s="44" t="str">
        <f>IFERROR(VLOOKUP(B842,Baza[[№]:[AFS]],24,0),"")</f>
        <v/>
      </c>
      <c r="AA842" s="45" t="str">
        <f>IF(Таблица2[[#This Row],[Profit]]="","#Н/Д",SUM($Y$40:Y842))</f>
        <v>#Н/Д</v>
      </c>
      <c r="AB842" s="45" t="b">
        <f>IF(Таблица2[[#This Row],[Grafik]]="#Н/Д",FALSE,TRUE)</f>
        <v>0</v>
      </c>
    </row>
    <row r="843" spans="3:28" ht="11.1" hidden="1" customHeight="1" x14ac:dyDescent="0.25">
      <c r="C843" s="41" t="str">
        <f>IFERROR(VLOOKUP(B843,Baza[[№]:[Profit]],2,0),"")</f>
        <v/>
      </c>
      <c r="D84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4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43" s="43" t="str">
        <f>IFERROR(VLOOKUP(B843,Baza[[№]:[Profit]],3,0),"")</f>
        <v/>
      </c>
      <c r="G843" s="43" t="str">
        <f>IFERROR(VLOOKUP(B843,Baza[[№]:[Profit]],4,0),"")</f>
        <v/>
      </c>
      <c r="H843" s="43" t="str">
        <f>IFERROR(VLOOKUP(B843,Baza[[№]:[Profit]],5,0),"")</f>
        <v/>
      </c>
      <c r="I843" s="46" t="str">
        <f>IFERROR(VLOOKUP(B843,Baza[[№]:[Profit]],6,0),"")</f>
        <v/>
      </c>
      <c r="J843" s="49" t="str">
        <f>IFERROR(VLOOKUP(B843,Baza[[№]:[Profit]],7,0),"")</f>
        <v/>
      </c>
      <c r="K843" s="43" t="str">
        <f>IFERROR(VLOOKUP(B843,Baza[[№]:[Profit]],8,0),"")</f>
        <v/>
      </c>
      <c r="L843" s="43" t="str">
        <f>IFERROR(VLOOKUP(B843,Baza[[№]:[Profit]],9,0),"")</f>
        <v/>
      </c>
      <c r="M843" s="43" t="str">
        <f>IFERROR(VLOOKUP(B843,Baza[[№]:[Profit]],10,0),"")</f>
        <v/>
      </c>
      <c r="N843" s="43" t="str">
        <f>IFERROR(IF(VLOOKUP(B843,Baza[[№]:[Profit]],11,0)=0,"-",VLOOKUP(B843,Baza[[№]:[Profit]],11,0)),"")</f>
        <v/>
      </c>
      <c r="O843" s="43" t="str">
        <f>IFERROR(IF(VLOOKUP(B843,Baza[[№]:[Profit]],12,0)=0,"-",VLOOKUP(B843,Baza[[№]:[Profit]],12,0)),"")</f>
        <v/>
      </c>
      <c r="P843" s="43" t="str">
        <f>IFERROR(IF(VLOOKUP(B843,Baza[[№]:[Profit]],13,0)=0,"-",VLOOKUP(B843,Baza[[№]:[Profit]],13,0)),"")</f>
        <v/>
      </c>
      <c r="Q843" s="43" t="str">
        <f>IFERROR(IF(VLOOKUP(B843,Baza[[№]:[Profit]],15,0)=0,"-",VLOOKUP(B843,Baza[[№]:[Profit]],15,0)),"")</f>
        <v/>
      </c>
      <c r="R843" s="43" t="str">
        <f>IFERROR(IF(VLOOKUP(B843,Baza[[№]:[Profit]],16,0)=0,"-",VLOOKUP(B843,Baza[[№]:[Profit]],16,0)),"")</f>
        <v/>
      </c>
      <c r="S843" s="43" t="str">
        <f>IFERROR(IF(VLOOKUP(B843,Baza[[№]:[Profit]],17,0)=0,"-",VLOOKUP(B843,Baza[[№]:[Profit]],17,0)),"")</f>
        <v/>
      </c>
      <c r="T843" s="43" t="str">
        <f>IFERROR(IF(VLOOKUP(B843,Baza[[№]:[Profit]],18,0)=0,"-",VLOOKUP(B843,Baza[[№]:[Profit]],18,0)),"")</f>
        <v/>
      </c>
      <c r="U843" s="41" t="str">
        <f>IFERROR(IF(VLOOKUP(B843,Baza[[№]:[Profit]],19,0)=0,"-",VLOOKUP(B843,Baza[[№]:[Profit]],19,0)),"")</f>
        <v/>
      </c>
      <c r="V843" s="41" t="str">
        <f>IFERROR(VLOOKUP(B843,Baza[[№]:[Profit]],20,0),"")</f>
        <v/>
      </c>
      <c r="W843" s="41" t="str">
        <f>IFERROR(IF(VLOOKUP(B843,Baza[[№]:[Profit]],21,0)=0,"-",VLOOKUP(B843,Baza[[№]:[Profit]],21,0)),"")</f>
        <v/>
      </c>
      <c r="X843" s="45" t="str">
        <f>IFERROR(IF(VLOOKUP(B843,Baza[[№]:[Profit]],22,0)=0,"-",VLOOKUP(B843,Baza[[№]:[Profit]],22,0)),"")</f>
        <v/>
      </c>
      <c r="Y843" s="45" t="str">
        <f>IFERROR(VLOOKUP(B843,Baza[[№]:[Profit]],23,0),"")</f>
        <v/>
      </c>
      <c r="Z843" s="44" t="str">
        <f>IFERROR(VLOOKUP(B843,Baza[[№]:[AFS]],24,0),"")</f>
        <v/>
      </c>
      <c r="AA843" s="45" t="str">
        <f>IF(Таблица2[[#This Row],[Profit]]="","#Н/Д",SUM($Y$40:Y843))</f>
        <v>#Н/Д</v>
      </c>
      <c r="AB843" s="45" t="b">
        <f>IF(Таблица2[[#This Row],[Grafik]]="#Н/Д",FALSE,TRUE)</f>
        <v>0</v>
      </c>
    </row>
    <row r="844" spans="3:28" ht="11.1" hidden="1" customHeight="1" x14ac:dyDescent="0.25">
      <c r="C844" s="41" t="str">
        <f>IFERROR(VLOOKUP(B844,Baza[[№]:[Profit]],2,0),"")</f>
        <v/>
      </c>
      <c r="D84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4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44" s="43" t="str">
        <f>IFERROR(VLOOKUP(B844,Baza[[№]:[Profit]],3,0),"")</f>
        <v/>
      </c>
      <c r="G844" s="43" t="str">
        <f>IFERROR(VLOOKUP(B844,Baza[[№]:[Profit]],4,0),"")</f>
        <v/>
      </c>
      <c r="H844" s="43" t="str">
        <f>IFERROR(VLOOKUP(B844,Baza[[№]:[Profit]],5,0),"")</f>
        <v/>
      </c>
      <c r="I844" s="46" t="str">
        <f>IFERROR(VLOOKUP(B844,Baza[[№]:[Profit]],6,0),"")</f>
        <v/>
      </c>
      <c r="J844" s="49" t="str">
        <f>IFERROR(VLOOKUP(B844,Baza[[№]:[Profit]],7,0),"")</f>
        <v/>
      </c>
      <c r="K844" s="43" t="str">
        <f>IFERROR(VLOOKUP(B844,Baza[[№]:[Profit]],8,0),"")</f>
        <v/>
      </c>
      <c r="L844" s="43" t="str">
        <f>IFERROR(VLOOKUP(B844,Baza[[№]:[Profit]],9,0),"")</f>
        <v/>
      </c>
      <c r="M844" s="43" t="str">
        <f>IFERROR(VLOOKUP(B844,Baza[[№]:[Profit]],10,0),"")</f>
        <v/>
      </c>
      <c r="N844" s="43" t="str">
        <f>IFERROR(IF(VLOOKUP(B844,Baza[[№]:[Profit]],11,0)=0,"-",VLOOKUP(B844,Baza[[№]:[Profit]],11,0)),"")</f>
        <v/>
      </c>
      <c r="O844" s="43" t="str">
        <f>IFERROR(IF(VLOOKUP(B844,Baza[[№]:[Profit]],12,0)=0,"-",VLOOKUP(B844,Baza[[№]:[Profit]],12,0)),"")</f>
        <v/>
      </c>
      <c r="P844" s="43" t="str">
        <f>IFERROR(IF(VLOOKUP(B844,Baza[[№]:[Profit]],13,0)=0,"-",VLOOKUP(B844,Baza[[№]:[Profit]],13,0)),"")</f>
        <v/>
      </c>
      <c r="Q844" s="43" t="str">
        <f>IFERROR(IF(VLOOKUP(B844,Baza[[№]:[Profit]],15,0)=0,"-",VLOOKUP(B844,Baza[[№]:[Profit]],15,0)),"")</f>
        <v/>
      </c>
      <c r="R844" s="43" t="str">
        <f>IFERROR(IF(VLOOKUP(B844,Baza[[№]:[Profit]],16,0)=0,"-",VLOOKUP(B844,Baza[[№]:[Profit]],16,0)),"")</f>
        <v/>
      </c>
      <c r="S844" s="43" t="str">
        <f>IFERROR(IF(VLOOKUP(B844,Baza[[№]:[Profit]],17,0)=0,"-",VLOOKUP(B844,Baza[[№]:[Profit]],17,0)),"")</f>
        <v/>
      </c>
      <c r="T844" s="43" t="str">
        <f>IFERROR(IF(VLOOKUP(B844,Baza[[№]:[Profit]],18,0)=0,"-",VLOOKUP(B844,Baza[[№]:[Profit]],18,0)),"")</f>
        <v/>
      </c>
      <c r="U844" s="41" t="str">
        <f>IFERROR(IF(VLOOKUP(B844,Baza[[№]:[Profit]],19,0)=0,"-",VLOOKUP(B844,Baza[[№]:[Profit]],19,0)),"")</f>
        <v/>
      </c>
      <c r="V844" s="41" t="str">
        <f>IFERROR(VLOOKUP(B844,Baza[[№]:[Profit]],20,0),"")</f>
        <v/>
      </c>
      <c r="W844" s="41" t="str">
        <f>IFERROR(IF(VLOOKUP(B844,Baza[[№]:[Profit]],21,0)=0,"-",VLOOKUP(B844,Baza[[№]:[Profit]],21,0)),"")</f>
        <v/>
      </c>
      <c r="X844" s="45" t="str">
        <f>IFERROR(IF(VLOOKUP(B844,Baza[[№]:[Profit]],22,0)=0,"-",VLOOKUP(B844,Baza[[№]:[Profit]],22,0)),"")</f>
        <v/>
      </c>
      <c r="Y844" s="45" t="str">
        <f>IFERROR(VLOOKUP(B844,Baza[[№]:[Profit]],23,0),"")</f>
        <v/>
      </c>
      <c r="Z844" s="44" t="str">
        <f>IFERROR(VLOOKUP(B844,Baza[[№]:[AFS]],24,0),"")</f>
        <v/>
      </c>
      <c r="AA844" s="45" t="str">
        <f>IF(Таблица2[[#This Row],[Profit]]="","#Н/Д",SUM($Y$40:Y844))</f>
        <v>#Н/Д</v>
      </c>
      <c r="AB844" s="45" t="b">
        <f>IF(Таблица2[[#This Row],[Grafik]]="#Н/Д",FALSE,TRUE)</f>
        <v>0</v>
      </c>
    </row>
    <row r="845" spans="3:28" ht="11.1" hidden="1" customHeight="1" x14ac:dyDescent="0.25">
      <c r="C845" s="41" t="str">
        <f>IFERROR(VLOOKUP(B845,Baza[[№]:[Profit]],2,0),"")</f>
        <v/>
      </c>
      <c r="D84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4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45" s="43" t="str">
        <f>IFERROR(VLOOKUP(B845,Baza[[№]:[Profit]],3,0),"")</f>
        <v/>
      </c>
      <c r="G845" s="43" t="str">
        <f>IFERROR(VLOOKUP(B845,Baza[[№]:[Profit]],4,0),"")</f>
        <v/>
      </c>
      <c r="H845" s="43" t="str">
        <f>IFERROR(VLOOKUP(B845,Baza[[№]:[Profit]],5,0),"")</f>
        <v/>
      </c>
      <c r="I845" s="46" t="str">
        <f>IFERROR(VLOOKUP(B845,Baza[[№]:[Profit]],6,0),"")</f>
        <v/>
      </c>
      <c r="J845" s="49" t="str">
        <f>IFERROR(VLOOKUP(B845,Baza[[№]:[Profit]],7,0),"")</f>
        <v/>
      </c>
      <c r="K845" s="43" t="str">
        <f>IFERROR(VLOOKUP(B845,Baza[[№]:[Profit]],8,0),"")</f>
        <v/>
      </c>
      <c r="L845" s="43" t="str">
        <f>IFERROR(VLOOKUP(B845,Baza[[№]:[Profit]],9,0),"")</f>
        <v/>
      </c>
      <c r="M845" s="43" t="str">
        <f>IFERROR(VLOOKUP(B845,Baza[[№]:[Profit]],10,0),"")</f>
        <v/>
      </c>
      <c r="N845" s="43" t="str">
        <f>IFERROR(IF(VLOOKUP(B845,Baza[[№]:[Profit]],11,0)=0,"-",VLOOKUP(B845,Baza[[№]:[Profit]],11,0)),"")</f>
        <v/>
      </c>
      <c r="O845" s="43" t="str">
        <f>IFERROR(IF(VLOOKUP(B845,Baza[[№]:[Profit]],12,0)=0,"-",VLOOKUP(B845,Baza[[№]:[Profit]],12,0)),"")</f>
        <v/>
      </c>
      <c r="P845" s="43" t="str">
        <f>IFERROR(IF(VLOOKUP(B845,Baza[[№]:[Profit]],13,0)=0,"-",VLOOKUP(B845,Baza[[№]:[Profit]],13,0)),"")</f>
        <v/>
      </c>
      <c r="Q845" s="43" t="str">
        <f>IFERROR(IF(VLOOKUP(B845,Baza[[№]:[Profit]],15,0)=0,"-",VLOOKUP(B845,Baza[[№]:[Profit]],15,0)),"")</f>
        <v/>
      </c>
      <c r="R845" s="43" t="str">
        <f>IFERROR(IF(VLOOKUP(B845,Baza[[№]:[Profit]],16,0)=0,"-",VLOOKUP(B845,Baza[[№]:[Profit]],16,0)),"")</f>
        <v/>
      </c>
      <c r="S845" s="43" t="str">
        <f>IFERROR(IF(VLOOKUP(B845,Baza[[№]:[Profit]],17,0)=0,"-",VLOOKUP(B845,Baza[[№]:[Profit]],17,0)),"")</f>
        <v/>
      </c>
      <c r="T845" s="43" t="str">
        <f>IFERROR(IF(VLOOKUP(B845,Baza[[№]:[Profit]],18,0)=0,"-",VLOOKUP(B845,Baza[[№]:[Profit]],18,0)),"")</f>
        <v/>
      </c>
      <c r="U845" s="41" t="str">
        <f>IFERROR(IF(VLOOKUP(B845,Baza[[№]:[Profit]],19,0)=0,"-",VLOOKUP(B845,Baza[[№]:[Profit]],19,0)),"")</f>
        <v/>
      </c>
      <c r="V845" s="41" t="str">
        <f>IFERROR(VLOOKUP(B845,Baza[[№]:[Profit]],20,0),"")</f>
        <v/>
      </c>
      <c r="W845" s="41" t="str">
        <f>IFERROR(IF(VLOOKUP(B845,Baza[[№]:[Profit]],21,0)=0,"-",VLOOKUP(B845,Baza[[№]:[Profit]],21,0)),"")</f>
        <v/>
      </c>
      <c r="X845" s="45" t="str">
        <f>IFERROR(IF(VLOOKUP(B845,Baza[[№]:[Profit]],22,0)=0,"-",VLOOKUP(B845,Baza[[№]:[Profit]],22,0)),"")</f>
        <v/>
      </c>
      <c r="Y845" s="45" t="str">
        <f>IFERROR(VLOOKUP(B845,Baza[[№]:[Profit]],23,0),"")</f>
        <v/>
      </c>
      <c r="Z845" s="44" t="str">
        <f>IFERROR(VLOOKUP(B845,Baza[[№]:[AFS]],24,0),"")</f>
        <v/>
      </c>
      <c r="AA845" s="45" t="str">
        <f>IF(Таблица2[[#This Row],[Profit]]="","#Н/Д",SUM($Y$40:Y845))</f>
        <v>#Н/Д</v>
      </c>
      <c r="AB845" s="45" t="b">
        <f>IF(Таблица2[[#This Row],[Grafik]]="#Н/Д",FALSE,TRUE)</f>
        <v>0</v>
      </c>
    </row>
    <row r="846" spans="3:28" ht="11.1" hidden="1" customHeight="1" x14ac:dyDescent="0.25">
      <c r="C846" s="41" t="str">
        <f>IFERROR(VLOOKUP(B846,Baza[[№]:[Profit]],2,0),"")</f>
        <v/>
      </c>
      <c r="D84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4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46" s="43" t="str">
        <f>IFERROR(VLOOKUP(B846,Baza[[№]:[Profit]],3,0),"")</f>
        <v/>
      </c>
      <c r="G846" s="43" t="str">
        <f>IFERROR(VLOOKUP(B846,Baza[[№]:[Profit]],4,0),"")</f>
        <v/>
      </c>
      <c r="H846" s="43" t="str">
        <f>IFERROR(VLOOKUP(B846,Baza[[№]:[Profit]],5,0),"")</f>
        <v/>
      </c>
      <c r="I846" s="46" t="str">
        <f>IFERROR(VLOOKUP(B846,Baza[[№]:[Profit]],6,0),"")</f>
        <v/>
      </c>
      <c r="J846" s="49" t="str">
        <f>IFERROR(VLOOKUP(B846,Baza[[№]:[Profit]],7,0),"")</f>
        <v/>
      </c>
      <c r="K846" s="43" t="str">
        <f>IFERROR(VLOOKUP(B846,Baza[[№]:[Profit]],8,0),"")</f>
        <v/>
      </c>
      <c r="L846" s="43" t="str">
        <f>IFERROR(VLOOKUP(B846,Baza[[№]:[Profit]],9,0),"")</f>
        <v/>
      </c>
      <c r="M846" s="43" t="str">
        <f>IFERROR(VLOOKUP(B846,Baza[[№]:[Profit]],10,0),"")</f>
        <v/>
      </c>
      <c r="N846" s="43" t="str">
        <f>IFERROR(IF(VLOOKUP(B846,Baza[[№]:[Profit]],11,0)=0,"-",VLOOKUP(B846,Baza[[№]:[Profit]],11,0)),"")</f>
        <v/>
      </c>
      <c r="O846" s="43" t="str">
        <f>IFERROR(IF(VLOOKUP(B846,Baza[[№]:[Profit]],12,0)=0,"-",VLOOKUP(B846,Baza[[№]:[Profit]],12,0)),"")</f>
        <v/>
      </c>
      <c r="P846" s="43" t="str">
        <f>IFERROR(IF(VLOOKUP(B846,Baza[[№]:[Profit]],13,0)=0,"-",VLOOKUP(B846,Baza[[№]:[Profit]],13,0)),"")</f>
        <v/>
      </c>
      <c r="Q846" s="43" t="str">
        <f>IFERROR(IF(VLOOKUP(B846,Baza[[№]:[Profit]],15,0)=0,"-",VLOOKUP(B846,Baza[[№]:[Profit]],15,0)),"")</f>
        <v/>
      </c>
      <c r="R846" s="43" t="str">
        <f>IFERROR(IF(VLOOKUP(B846,Baza[[№]:[Profit]],16,0)=0,"-",VLOOKUP(B846,Baza[[№]:[Profit]],16,0)),"")</f>
        <v/>
      </c>
      <c r="S846" s="43" t="str">
        <f>IFERROR(IF(VLOOKUP(B846,Baza[[№]:[Profit]],17,0)=0,"-",VLOOKUP(B846,Baza[[№]:[Profit]],17,0)),"")</f>
        <v/>
      </c>
      <c r="T846" s="43" t="str">
        <f>IFERROR(IF(VLOOKUP(B846,Baza[[№]:[Profit]],18,0)=0,"-",VLOOKUP(B846,Baza[[№]:[Profit]],18,0)),"")</f>
        <v/>
      </c>
      <c r="U846" s="41" t="str">
        <f>IFERROR(IF(VLOOKUP(B846,Baza[[№]:[Profit]],19,0)=0,"-",VLOOKUP(B846,Baza[[№]:[Profit]],19,0)),"")</f>
        <v/>
      </c>
      <c r="V846" s="41" t="str">
        <f>IFERROR(VLOOKUP(B846,Baza[[№]:[Profit]],20,0),"")</f>
        <v/>
      </c>
      <c r="W846" s="41" t="str">
        <f>IFERROR(IF(VLOOKUP(B846,Baza[[№]:[Profit]],21,0)=0,"-",VLOOKUP(B846,Baza[[№]:[Profit]],21,0)),"")</f>
        <v/>
      </c>
      <c r="X846" s="45" t="str">
        <f>IFERROR(IF(VLOOKUP(B846,Baza[[№]:[Profit]],22,0)=0,"-",VLOOKUP(B846,Baza[[№]:[Profit]],22,0)),"")</f>
        <v/>
      </c>
      <c r="Y846" s="45" t="str">
        <f>IFERROR(VLOOKUP(B846,Baza[[№]:[Profit]],23,0),"")</f>
        <v/>
      </c>
      <c r="Z846" s="44" t="str">
        <f>IFERROR(VLOOKUP(B846,Baza[[№]:[AFS]],24,0),"")</f>
        <v/>
      </c>
      <c r="AA846" s="45" t="str">
        <f>IF(Таблица2[[#This Row],[Profit]]="","#Н/Д",SUM($Y$40:Y846))</f>
        <v>#Н/Д</v>
      </c>
      <c r="AB846" s="45" t="b">
        <f>IF(Таблица2[[#This Row],[Grafik]]="#Н/Д",FALSE,TRUE)</f>
        <v>0</v>
      </c>
    </row>
    <row r="847" spans="3:28" ht="11.1" hidden="1" customHeight="1" x14ac:dyDescent="0.25">
      <c r="C847" s="41" t="str">
        <f>IFERROR(VLOOKUP(B847,Baza[[№]:[Profit]],2,0),"")</f>
        <v/>
      </c>
      <c r="D84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4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47" s="43" t="str">
        <f>IFERROR(VLOOKUP(B847,Baza[[№]:[Profit]],3,0),"")</f>
        <v/>
      </c>
      <c r="G847" s="43" t="str">
        <f>IFERROR(VLOOKUP(B847,Baza[[№]:[Profit]],4,0),"")</f>
        <v/>
      </c>
      <c r="H847" s="43" t="str">
        <f>IFERROR(VLOOKUP(B847,Baza[[№]:[Profit]],5,0),"")</f>
        <v/>
      </c>
      <c r="I847" s="46" t="str">
        <f>IFERROR(VLOOKUP(B847,Baza[[№]:[Profit]],6,0),"")</f>
        <v/>
      </c>
      <c r="J847" s="49" t="str">
        <f>IFERROR(VLOOKUP(B847,Baza[[№]:[Profit]],7,0),"")</f>
        <v/>
      </c>
      <c r="K847" s="43" t="str">
        <f>IFERROR(VLOOKUP(B847,Baza[[№]:[Profit]],8,0),"")</f>
        <v/>
      </c>
      <c r="L847" s="43" t="str">
        <f>IFERROR(VLOOKUP(B847,Baza[[№]:[Profit]],9,0),"")</f>
        <v/>
      </c>
      <c r="M847" s="43" t="str">
        <f>IFERROR(VLOOKUP(B847,Baza[[№]:[Profit]],10,0),"")</f>
        <v/>
      </c>
      <c r="N847" s="43" t="str">
        <f>IFERROR(IF(VLOOKUP(B847,Baza[[№]:[Profit]],11,0)=0,"-",VLOOKUP(B847,Baza[[№]:[Profit]],11,0)),"")</f>
        <v/>
      </c>
      <c r="O847" s="43" t="str">
        <f>IFERROR(IF(VLOOKUP(B847,Baza[[№]:[Profit]],12,0)=0,"-",VLOOKUP(B847,Baza[[№]:[Profit]],12,0)),"")</f>
        <v/>
      </c>
      <c r="P847" s="43" t="str">
        <f>IFERROR(IF(VLOOKUP(B847,Baza[[№]:[Profit]],13,0)=0,"-",VLOOKUP(B847,Baza[[№]:[Profit]],13,0)),"")</f>
        <v/>
      </c>
      <c r="Q847" s="43" t="str">
        <f>IFERROR(IF(VLOOKUP(B847,Baza[[№]:[Profit]],15,0)=0,"-",VLOOKUP(B847,Baza[[№]:[Profit]],15,0)),"")</f>
        <v/>
      </c>
      <c r="R847" s="43" t="str">
        <f>IFERROR(IF(VLOOKUP(B847,Baza[[№]:[Profit]],16,0)=0,"-",VLOOKUP(B847,Baza[[№]:[Profit]],16,0)),"")</f>
        <v/>
      </c>
      <c r="S847" s="43" t="str">
        <f>IFERROR(IF(VLOOKUP(B847,Baza[[№]:[Profit]],17,0)=0,"-",VLOOKUP(B847,Baza[[№]:[Profit]],17,0)),"")</f>
        <v/>
      </c>
      <c r="T847" s="43" t="str">
        <f>IFERROR(IF(VLOOKUP(B847,Baza[[№]:[Profit]],18,0)=0,"-",VLOOKUP(B847,Baza[[№]:[Profit]],18,0)),"")</f>
        <v/>
      </c>
      <c r="U847" s="41" t="str">
        <f>IFERROR(IF(VLOOKUP(B847,Baza[[№]:[Profit]],19,0)=0,"-",VLOOKUP(B847,Baza[[№]:[Profit]],19,0)),"")</f>
        <v/>
      </c>
      <c r="V847" s="41" t="str">
        <f>IFERROR(VLOOKUP(B847,Baza[[№]:[Profit]],20,0),"")</f>
        <v/>
      </c>
      <c r="W847" s="41" t="str">
        <f>IFERROR(IF(VLOOKUP(B847,Baza[[№]:[Profit]],21,0)=0,"-",VLOOKUP(B847,Baza[[№]:[Profit]],21,0)),"")</f>
        <v/>
      </c>
      <c r="X847" s="45" t="str">
        <f>IFERROR(IF(VLOOKUP(B847,Baza[[№]:[Profit]],22,0)=0,"-",VLOOKUP(B847,Baza[[№]:[Profit]],22,0)),"")</f>
        <v/>
      </c>
      <c r="Y847" s="45" t="str">
        <f>IFERROR(VLOOKUP(B847,Baza[[№]:[Profit]],23,0),"")</f>
        <v/>
      </c>
      <c r="Z847" s="44" t="str">
        <f>IFERROR(VLOOKUP(B847,Baza[[№]:[AFS]],24,0),"")</f>
        <v/>
      </c>
      <c r="AA847" s="45" t="str">
        <f>IF(Таблица2[[#This Row],[Profit]]="","#Н/Д",SUM($Y$40:Y847))</f>
        <v>#Н/Д</v>
      </c>
      <c r="AB847" s="45" t="b">
        <f>IF(Таблица2[[#This Row],[Grafik]]="#Н/Д",FALSE,TRUE)</f>
        <v>0</v>
      </c>
    </row>
    <row r="848" spans="3:28" ht="11.1" hidden="1" customHeight="1" x14ac:dyDescent="0.25">
      <c r="C848" s="41" t="str">
        <f>IFERROR(VLOOKUP(B848,Baza[[№]:[Profit]],2,0),"")</f>
        <v/>
      </c>
      <c r="D84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4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48" s="43" t="str">
        <f>IFERROR(VLOOKUP(B848,Baza[[№]:[Profit]],3,0),"")</f>
        <v/>
      </c>
      <c r="G848" s="43" t="str">
        <f>IFERROR(VLOOKUP(B848,Baza[[№]:[Profit]],4,0),"")</f>
        <v/>
      </c>
      <c r="H848" s="43" t="str">
        <f>IFERROR(VLOOKUP(B848,Baza[[№]:[Profit]],5,0),"")</f>
        <v/>
      </c>
      <c r="I848" s="46" t="str">
        <f>IFERROR(VLOOKUP(B848,Baza[[№]:[Profit]],6,0),"")</f>
        <v/>
      </c>
      <c r="J848" s="49" t="str">
        <f>IFERROR(VLOOKUP(B848,Baza[[№]:[Profit]],7,0),"")</f>
        <v/>
      </c>
      <c r="K848" s="43" t="str">
        <f>IFERROR(VLOOKUP(B848,Baza[[№]:[Profit]],8,0),"")</f>
        <v/>
      </c>
      <c r="L848" s="43" t="str">
        <f>IFERROR(VLOOKUP(B848,Baza[[№]:[Profit]],9,0),"")</f>
        <v/>
      </c>
      <c r="M848" s="43" t="str">
        <f>IFERROR(VLOOKUP(B848,Baza[[№]:[Profit]],10,0),"")</f>
        <v/>
      </c>
      <c r="N848" s="43" t="str">
        <f>IFERROR(IF(VLOOKUP(B848,Baza[[№]:[Profit]],11,0)=0,"-",VLOOKUP(B848,Baza[[№]:[Profit]],11,0)),"")</f>
        <v/>
      </c>
      <c r="O848" s="43" t="str">
        <f>IFERROR(IF(VLOOKUP(B848,Baza[[№]:[Profit]],12,0)=0,"-",VLOOKUP(B848,Baza[[№]:[Profit]],12,0)),"")</f>
        <v/>
      </c>
      <c r="P848" s="43" t="str">
        <f>IFERROR(IF(VLOOKUP(B848,Baza[[№]:[Profit]],13,0)=0,"-",VLOOKUP(B848,Baza[[№]:[Profit]],13,0)),"")</f>
        <v/>
      </c>
      <c r="Q848" s="43" t="str">
        <f>IFERROR(IF(VLOOKUP(B848,Baza[[№]:[Profit]],15,0)=0,"-",VLOOKUP(B848,Baza[[№]:[Profit]],15,0)),"")</f>
        <v/>
      </c>
      <c r="R848" s="43" t="str">
        <f>IFERROR(IF(VLOOKUP(B848,Baza[[№]:[Profit]],16,0)=0,"-",VLOOKUP(B848,Baza[[№]:[Profit]],16,0)),"")</f>
        <v/>
      </c>
      <c r="S848" s="43" t="str">
        <f>IFERROR(IF(VLOOKUP(B848,Baza[[№]:[Profit]],17,0)=0,"-",VLOOKUP(B848,Baza[[№]:[Profit]],17,0)),"")</f>
        <v/>
      </c>
      <c r="T848" s="43" t="str">
        <f>IFERROR(IF(VLOOKUP(B848,Baza[[№]:[Profit]],18,0)=0,"-",VLOOKUP(B848,Baza[[№]:[Profit]],18,0)),"")</f>
        <v/>
      </c>
      <c r="U848" s="41" t="str">
        <f>IFERROR(IF(VLOOKUP(B848,Baza[[№]:[Profit]],19,0)=0,"-",VLOOKUP(B848,Baza[[№]:[Profit]],19,0)),"")</f>
        <v/>
      </c>
      <c r="V848" s="41" t="str">
        <f>IFERROR(VLOOKUP(B848,Baza[[№]:[Profit]],20,0),"")</f>
        <v/>
      </c>
      <c r="W848" s="41" t="str">
        <f>IFERROR(IF(VLOOKUP(B848,Baza[[№]:[Profit]],21,0)=0,"-",VLOOKUP(B848,Baza[[№]:[Profit]],21,0)),"")</f>
        <v/>
      </c>
      <c r="X848" s="45" t="str">
        <f>IFERROR(IF(VLOOKUP(B848,Baza[[№]:[Profit]],22,0)=0,"-",VLOOKUP(B848,Baza[[№]:[Profit]],22,0)),"")</f>
        <v/>
      </c>
      <c r="Y848" s="45" t="str">
        <f>IFERROR(VLOOKUP(B848,Baza[[№]:[Profit]],23,0),"")</f>
        <v/>
      </c>
      <c r="Z848" s="44" t="str">
        <f>IFERROR(VLOOKUP(B848,Baza[[№]:[AFS]],24,0),"")</f>
        <v/>
      </c>
      <c r="AA848" s="45" t="str">
        <f>IF(Таблица2[[#This Row],[Profit]]="","#Н/Д",SUM($Y$40:Y848))</f>
        <v>#Н/Д</v>
      </c>
      <c r="AB848" s="45" t="b">
        <f>IF(Таблица2[[#This Row],[Grafik]]="#Н/Д",FALSE,TRUE)</f>
        <v>0</v>
      </c>
    </row>
    <row r="849" spans="3:28" ht="11.1" hidden="1" customHeight="1" x14ac:dyDescent="0.25">
      <c r="C849" s="41" t="str">
        <f>IFERROR(VLOOKUP(B849,Baza[[№]:[Profit]],2,0),"")</f>
        <v/>
      </c>
      <c r="D84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4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49" s="43" t="str">
        <f>IFERROR(VLOOKUP(B849,Baza[[№]:[Profit]],3,0),"")</f>
        <v/>
      </c>
      <c r="G849" s="43" t="str">
        <f>IFERROR(VLOOKUP(B849,Baza[[№]:[Profit]],4,0),"")</f>
        <v/>
      </c>
      <c r="H849" s="43" t="str">
        <f>IFERROR(VLOOKUP(B849,Baza[[№]:[Profit]],5,0),"")</f>
        <v/>
      </c>
      <c r="I849" s="46" t="str">
        <f>IFERROR(VLOOKUP(B849,Baza[[№]:[Profit]],6,0),"")</f>
        <v/>
      </c>
      <c r="J849" s="49" t="str">
        <f>IFERROR(VLOOKUP(B849,Baza[[№]:[Profit]],7,0),"")</f>
        <v/>
      </c>
      <c r="K849" s="43" t="str">
        <f>IFERROR(VLOOKUP(B849,Baza[[№]:[Profit]],8,0),"")</f>
        <v/>
      </c>
      <c r="L849" s="43" t="str">
        <f>IFERROR(VLOOKUP(B849,Baza[[№]:[Profit]],9,0),"")</f>
        <v/>
      </c>
      <c r="M849" s="43" t="str">
        <f>IFERROR(VLOOKUP(B849,Baza[[№]:[Profit]],10,0),"")</f>
        <v/>
      </c>
      <c r="N849" s="43" t="str">
        <f>IFERROR(IF(VLOOKUP(B849,Baza[[№]:[Profit]],11,0)=0,"-",VLOOKUP(B849,Baza[[№]:[Profit]],11,0)),"")</f>
        <v/>
      </c>
      <c r="O849" s="43" t="str">
        <f>IFERROR(IF(VLOOKUP(B849,Baza[[№]:[Profit]],12,0)=0,"-",VLOOKUP(B849,Baza[[№]:[Profit]],12,0)),"")</f>
        <v/>
      </c>
      <c r="P849" s="43" t="str">
        <f>IFERROR(IF(VLOOKUP(B849,Baza[[№]:[Profit]],13,0)=0,"-",VLOOKUP(B849,Baza[[№]:[Profit]],13,0)),"")</f>
        <v/>
      </c>
      <c r="Q849" s="43" t="str">
        <f>IFERROR(IF(VLOOKUP(B849,Baza[[№]:[Profit]],15,0)=0,"-",VLOOKUP(B849,Baza[[№]:[Profit]],15,0)),"")</f>
        <v/>
      </c>
      <c r="R849" s="43" t="str">
        <f>IFERROR(IF(VLOOKUP(B849,Baza[[№]:[Profit]],16,0)=0,"-",VLOOKUP(B849,Baza[[№]:[Profit]],16,0)),"")</f>
        <v/>
      </c>
      <c r="S849" s="43" t="str">
        <f>IFERROR(IF(VLOOKUP(B849,Baza[[№]:[Profit]],17,0)=0,"-",VLOOKUP(B849,Baza[[№]:[Profit]],17,0)),"")</f>
        <v/>
      </c>
      <c r="T849" s="43" t="str">
        <f>IFERROR(IF(VLOOKUP(B849,Baza[[№]:[Profit]],18,0)=0,"-",VLOOKUP(B849,Baza[[№]:[Profit]],18,0)),"")</f>
        <v/>
      </c>
      <c r="U849" s="41" t="str">
        <f>IFERROR(IF(VLOOKUP(B849,Baza[[№]:[Profit]],19,0)=0,"-",VLOOKUP(B849,Baza[[№]:[Profit]],19,0)),"")</f>
        <v/>
      </c>
      <c r="V849" s="41" t="str">
        <f>IFERROR(VLOOKUP(B849,Baza[[№]:[Profit]],20,0),"")</f>
        <v/>
      </c>
      <c r="W849" s="41" t="str">
        <f>IFERROR(IF(VLOOKUP(B849,Baza[[№]:[Profit]],21,0)=0,"-",VLOOKUP(B849,Baza[[№]:[Profit]],21,0)),"")</f>
        <v/>
      </c>
      <c r="X849" s="45" t="str">
        <f>IFERROR(IF(VLOOKUP(B849,Baza[[№]:[Profit]],22,0)=0,"-",VLOOKUP(B849,Baza[[№]:[Profit]],22,0)),"")</f>
        <v/>
      </c>
      <c r="Y849" s="45" t="str">
        <f>IFERROR(VLOOKUP(B849,Baza[[№]:[Profit]],23,0),"")</f>
        <v/>
      </c>
      <c r="Z849" s="44" t="str">
        <f>IFERROR(VLOOKUP(B849,Baza[[№]:[AFS]],24,0),"")</f>
        <v/>
      </c>
      <c r="AA849" s="45" t="str">
        <f>IF(Таблица2[[#This Row],[Profit]]="","#Н/Д",SUM($Y$40:Y849))</f>
        <v>#Н/Д</v>
      </c>
      <c r="AB849" s="45" t="b">
        <f>IF(Таблица2[[#This Row],[Grafik]]="#Н/Д",FALSE,TRUE)</f>
        <v>0</v>
      </c>
    </row>
    <row r="850" spans="3:28" ht="11.1" hidden="1" customHeight="1" x14ac:dyDescent="0.25">
      <c r="C850" s="41" t="str">
        <f>IFERROR(VLOOKUP(B850,Baza[[№]:[Profit]],2,0),"")</f>
        <v/>
      </c>
      <c r="D85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5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50" s="43" t="str">
        <f>IFERROR(VLOOKUP(B850,Baza[[№]:[Profit]],3,0),"")</f>
        <v/>
      </c>
      <c r="G850" s="43" t="str">
        <f>IFERROR(VLOOKUP(B850,Baza[[№]:[Profit]],4,0),"")</f>
        <v/>
      </c>
      <c r="H850" s="43" t="str">
        <f>IFERROR(VLOOKUP(B850,Baza[[№]:[Profit]],5,0),"")</f>
        <v/>
      </c>
      <c r="I850" s="46" t="str">
        <f>IFERROR(VLOOKUP(B850,Baza[[№]:[Profit]],6,0),"")</f>
        <v/>
      </c>
      <c r="J850" s="49" t="str">
        <f>IFERROR(VLOOKUP(B850,Baza[[№]:[Profit]],7,0),"")</f>
        <v/>
      </c>
      <c r="K850" s="43" t="str">
        <f>IFERROR(VLOOKUP(B850,Baza[[№]:[Profit]],8,0),"")</f>
        <v/>
      </c>
      <c r="L850" s="43" t="str">
        <f>IFERROR(VLOOKUP(B850,Baza[[№]:[Profit]],9,0),"")</f>
        <v/>
      </c>
      <c r="M850" s="43" t="str">
        <f>IFERROR(VLOOKUP(B850,Baza[[№]:[Profit]],10,0),"")</f>
        <v/>
      </c>
      <c r="N850" s="43" t="str">
        <f>IFERROR(IF(VLOOKUP(B850,Baza[[№]:[Profit]],11,0)=0,"-",VLOOKUP(B850,Baza[[№]:[Profit]],11,0)),"")</f>
        <v/>
      </c>
      <c r="O850" s="43" t="str">
        <f>IFERROR(IF(VLOOKUP(B850,Baza[[№]:[Profit]],12,0)=0,"-",VLOOKUP(B850,Baza[[№]:[Profit]],12,0)),"")</f>
        <v/>
      </c>
      <c r="P850" s="43" t="str">
        <f>IFERROR(IF(VLOOKUP(B850,Baza[[№]:[Profit]],13,0)=0,"-",VLOOKUP(B850,Baza[[№]:[Profit]],13,0)),"")</f>
        <v/>
      </c>
      <c r="Q850" s="43" t="str">
        <f>IFERROR(IF(VLOOKUP(B850,Baza[[№]:[Profit]],15,0)=0,"-",VLOOKUP(B850,Baza[[№]:[Profit]],15,0)),"")</f>
        <v/>
      </c>
      <c r="R850" s="43" t="str">
        <f>IFERROR(IF(VLOOKUP(B850,Baza[[№]:[Profit]],16,0)=0,"-",VLOOKUP(B850,Baza[[№]:[Profit]],16,0)),"")</f>
        <v/>
      </c>
      <c r="S850" s="43" t="str">
        <f>IFERROR(IF(VLOOKUP(B850,Baza[[№]:[Profit]],17,0)=0,"-",VLOOKUP(B850,Baza[[№]:[Profit]],17,0)),"")</f>
        <v/>
      </c>
      <c r="T850" s="43" t="str">
        <f>IFERROR(IF(VLOOKUP(B850,Baza[[№]:[Profit]],18,0)=0,"-",VLOOKUP(B850,Baza[[№]:[Profit]],18,0)),"")</f>
        <v/>
      </c>
      <c r="U850" s="41" t="str">
        <f>IFERROR(IF(VLOOKUP(B850,Baza[[№]:[Profit]],19,0)=0,"-",VLOOKUP(B850,Baza[[№]:[Profit]],19,0)),"")</f>
        <v/>
      </c>
      <c r="V850" s="41" t="str">
        <f>IFERROR(VLOOKUP(B850,Baza[[№]:[Profit]],20,0),"")</f>
        <v/>
      </c>
      <c r="W850" s="41" t="str">
        <f>IFERROR(IF(VLOOKUP(B850,Baza[[№]:[Profit]],21,0)=0,"-",VLOOKUP(B850,Baza[[№]:[Profit]],21,0)),"")</f>
        <v/>
      </c>
      <c r="X850" s="45" t="str">
        <f>IFERROR(IF(VLOOKUP(B850,Baza[[№]:[Profit]],22,0)=0,"-",VLOOKUP(B850,Baza[[№]:[Profit]],22,0)),"")</f>
        <v/>
      </c>
      <c r="Y850" s="45" t="str">
        <f>IFERROR(VLOOKUP(B850,Baza[[№]:[Profit]],23,0),"")</f>
        <v/>
      </c>
      <c r="Z850" s="44" t="str">
        <f>IFERROR(VLOOKUP(B850,Baza[[№]:[AFS]],24,0),"")</f>
        <v/>
      </c>
      <c r="AA850" s="45" t="str">
        <f>IF(Таблица2[[#This Row],[Profit]]="","#Н/Д",SUM($Y$40:Y850))</f>
        <v>#Н/Д</v>
      </c>
      <c r="AB850" s="45" t="b">
        <f>IF(Таблица2[[#This Row],[Grafik]]="#Н/Д",FALSE,TRUE)</f>
        <v>0</v>
      </c>
    </row>
    <row r="851" spans="3:28" ht="11.1" hidden="1" customHeight="1" x14ac:dyDescent="0.25">
      <c r="C851" s="41" t="str">
        <f>IFERROR(VLOOKUP(B851,Baza[[№]:[Profit]],2,0),"")</f>
        <v/>
      </c>
      <c r="D85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5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51" s="43" t="str">
        <f>IFERROR(VLOOKUP(B851,Baza[[№]:[Profit]],3,0),"")</f>
        <v/>
      </c>
      <c r="G851" s="43" t="str">
        <f>IFERROR(VLOOKUP(B851,Baza[[№]:[Profit]],4,0),"")</f>
        <v/>
      </c>
      <c r="H851" s="43" t="str">
        <f>IFERROR(VLOOKUP(B851,Baza[[№]:[Profit]],5,0),"")</f>
        <v/>
      </c>
      <c r="I851" s="46" t="str">
        <f>IFERROR(VLOOKUP(B851,Baza[[№]:[Profit]],6,0),"")</f>
        <v/>
      </c>
      <c r="J851" s="49" t="str">
        <f>IFERROR(VLOOKUP(B851,Baza[[№]:[Profit]],7,0),"")</f>
        <v/>
      </c>
      <c r="K851" s="43" t="str">
        <f>IFERROR(VLOOKUP(B851,Baza[[№]:[Profit]],8,0),"")</f>
        <v/>
      </c>
      <c r="L851" s="43" t="str">
        <f>IFERROR(VLOOKUP(B851,Baza[[№]:[Profit]],9,0),"")</f>
        <v/>
      </c>
      <c r="M851" s="43" t="str">
        <f>IFERROR(VLOOKUP(B851,Baza[[№]:[Profit]],10,0),"")</f>
        <v/>
      </c>
      <c r="N851" s="43" t="str">
        <f>IFERROR(IF(VLOOKUP(B851,Baza[[№]:[Profit]],11,0)=0,"-",VLOOKUP(B851,Baza[[№]:[Profit]],11,0)),"")</f>
        <v/>
      </c>
      <c r="O851" s="43" t="str">
        <f>IFERROR(IF(VLOOKUP(B851,Baza[[№]:[Profit]],12,0)=0,"-",VLOOKUP(B851,Baza[[№]:[Profit]],12,0)),"")</f>
        <v/>
      </c>
      <c r="P851" s="43" t="str">
        <f>IFERROR(IF(VLOOKUP(B851,Baza[[№]:[Profit]],13,0)=0,"-",VLOOKUP(B851,Baza[[№]:[Profit]],13,0)),"")</f>
        <v/>
      </c>
      <c r="Q851" s="43" t="str">
        <f>IFERROR(IF(VLOOKUP(B851,Baza[[№]:[Profit]],15,0)=0,"-",VLOOKUP(B851,Baza[[№]:[Profit]],15,0)),"")</f>
        <v/>
      </c>
      <c r="R851" s="43" t="str">
        <f>IFERROR(IF(VLOOKUP(B851,Baza[[№]:[Profit]],16,0)=0,"-",VLOOKUP(B851,Baza[[№]:[Profit]],16,0)),"")</f>
        <v/>
      </c>
      <c r="S851" s="43" t="str">
        <f>IFERROR(IF(VLOOKUP(B851,Baza[[№]:[Profit]],17,0)=0,"-",VLOOKUP(B851,Baza[[№]:[Profit]],17,0)),"")</f>
        <v/>
      </c>
      <c r="T851" s="43" t="str">
        <f>IFERROR(IF(VLOOKUP(B851,Baza[[№]:[Profit]],18,0)=0,"-",VLOOKUP(B851,Baza[[№]:[Profit]],18,0)),"")</f>
        <v/>
      </c>
      <c r="U851" s="41" t="str">
        <f>IFERROR(IF(VLOOKUP(B851,Baza[[№]:[Profit]],19,0)=0,"-",VLOOKUP(B851,Baza[[№]:[Profit]],19,0)),"")</f>
        <v/>
      </c>
      <c r="V851" s="41" t="str">
        <f>IFERROR(VLOOKUP(B851,Baza[[№]:[Profit]],20,0),"")</f>
        <v/>
      </c>
      <c r="W851" s="41" t="str">
        <f>IFERROR(IF(VLOOKUP(B851,Baza[[№]:[Profit]],21,0)=0,"-",VLOOKUP(B851,Baza[[№]:[Profit]],21,0)),"")</f>
        <v/>
      </c>
      <c r="X851" s="45" t="str">
        <f>IFERROR(IF(VLOOKUP(B851,Baza[[№]:[Profit]],22,0)=0,"-",VLOOKUP(B851,Baza[[№]:[Profit]],22,0)),"")</f>
        <v/>
      </c>
      <c r="Y851" s="45" t="str">
        <f>IFERROR(VLOOKUP(B851,Baza[[№]:[Profit]],23,0),"")</f>
        <v/>
      </c>
      <c r="Z851" s="44" t="str">
        <f>IFERROR(VLOOKUP(B851,Baza[[№]:[AFS]],24,0),"")</f>
        <v/>
      </c>
      <c r="AA851" s="45" t="str">
        <f>IF(Таблица2[[#This Row],[Profit]]="","#Н/Д",SUM($Y$40:Y851))</f>
        <v>#Н/Д</v>
      </c>
      <c r="AB851" s="45" t="b">
        <f>IF(Таблица2[[#This Row],[Grafik]]="#Н/Д",FALSE,TRUE)</f>
        <v>0</v>
      </c>
    </row>
    <row r="852" spans="3:28" ht="11.1" hidden="1" customHeight="1" x14ac:dyDescent="0.25">
      <c r="C852" s="41" t="str">
        <f>IFERROR(VLOOKUP(B852,Baza[[№]:[Profit]],2,0),"")</f>
        <v/>
      </c>
      <c r="D85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5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52" s="43" t="str">
        <f>IFERROR(VLOOKUP(B852,Baza[[№]:[Profit]],3,0),"")</f>
        <v/>
      </c>
      <c r="G852" s="43" t="str">
        <f>IFERROR(VLOOKUP(B852,Baza[[№]:[Profit]],4,0),"")</f>
        <v/>
      </c>
      <c r="H852" s="43" t="str">
        <f>IFERROR(VLOOKUP(B852,Baza[[№]:[Profit]],5,0),"")</f>
        <v/>
      </c>
      <c r="I852" s="46" t="str">
        <f>IFERROR(VLOOKUP(B852,Baza[[№]:[Profit]],6,0),"")</f>
        <v/>
      </c>
      <c r="J852" s="49" t="str">
        <f>IFERROR(VLOOKUP(B852,Baza[[№]:[Profit]],7,0),"")</f>
        <v/>
      </c>
      <c r="K852" s="43" t="str">
        <f>IFERROR(VLOOKUP(B852,Baza[[№]:[Profit]],8,0),"")</f>
        <v/>
      </c>
      <c r="L852" s="43" t="str">
        <f>IFERROR(VLOOKUP(B852,Baza[[№]:[Profit]],9,0),"")</f>
        <v/>
      </c>
      <c r="M852" s="43" t="str">
        <f>IFERROR(VLOOKUP(B852,Baza[[№]:[Profit]],10,0),"")</f>
        <v/>
      </c>
      <c r="N852" s="43" t="str">
        <f>IFERROR(IF(VLOOKUP(B852,Baza[[№]:[Profit]],11,0)=0,"-",VLOOKUP(B852,Baza[[№]:[Profit]],11,0)),"")</f>
        <v/>
      </c>
      <c r="O852" s="43" t="str">
        <f>IFERROR(IF(VLOOKUP(B852,Baza[[№]:[Profit]],12,0)=0,"-",VLOOKUP(B852,Baza[[№]:[Profit]],12,0)),"")</f>
        <v/>
      </c>
      <c r="P852" s="43" t="str">
        <f>IFERROR(IF(VLOOKUP(B852,Baza[[№]:[Profit]],13,0)=0,"-",VLOOKUP(B852,Baza[[№]:[Profit]],13,0)),"")</f>
        <v/>
      </c>
      <c r="Q852" s="43" t="str">
        <f>IFERROR(IF(VLOOKUP(B852,Baza[[№]:[Profit]],15,0)=0,"-",VLOOKUP(B852,Baza[[№]:[Profit]],15,0)),"")</f>
        <v/>
      </c>
      <c r="R852" s="43" t="str">
        <f>IFERROR(IF(VLOOKUP(B852,Baza[[№]:[Profit]],16,0)=0,"-",VLOOKUP(B852,Baza[[№]:[Profit]],16,0)),"")</f>
        <v/>
      </c>
      <c r="S852" s="43" t="str">
        <f>IFERROR(IF(VLOOKUP(B852,Baza[[№]:[Profit]],17,0)=0,"-",VLOOKUP(B852,Baza[[№]:[Profit]],17,0)),"")</f>
        <v/>
      </c>
      <c r="T852" s="43" t="str">
        <f>IFERROR(IF(VLOOKUP(B852,Baza[[№]:[Profit]],18,0)=0,"-",VLOOKUP(B852,Baza[[№]:[Profit]],18,0)),"")</f>
        <v/>
      </c>
      <c r="U852" s="41" t="str">
        <f>IFERROR(IF(VLOOKUP(B852,Baza[[№]:[Profit]],19,0)=0,"-",VLOOKUP(B852,Baza[[№]:[Profit]],19,0)),"")</f>
        <v/>
      </c>
      <c r="V852" s="41" t="str">
        <f>IFERROR(VLOOKUP(B852,Baza[[№]:[Profit]],20,0),"")</f>
        <v/>
      </c>
      <c r="W852" s="41" t="str">
        <f>IFERROR(IF(VLOOKUP(B852,Baza[[№]:[Profit]],21,0)=0,"-",VLOOKUP(B852,Baza[[№]:[Profit]],21,0)),"")</f>
        <v/>
      </c>
      <c r="X852" s="45" t="str">
        <f>IFERROR(IF(VLOOKUP(B852,Baza[[№]:[Profit]],22,0)=0,"-",VLOOKUP(B852,Baza[[№]:[Profit]],22,0)),"")</f>
        <v/>
      </c>
      <c r="Y852" s="45" t="str">
        <f>IFERROR(VLOOKUP(B852,Baza[[№]:[Profit]],23,0),"")</f>
        <v/>
      </c>
      <c r="Z852" s="44" t="str">
        <f>IFERROR(VLOOKUP(B852,Baza[[№]:[AFS]],24,0),"")</f>
        <v/>
      </c>
      <c r="AA852" s="45" t="str">
        <f>IF(Таблица2[[#This Row],[Profit]]="","#Н/Д",SUM($Y$40:Y852))</f>
        <v>#Н/Д</v>
      </c>
      <c r="AB852" s="45" t="b">
        <f>IF(Таблица2[[#This Row],[Grafik]]="#Н/Д",FALSE,TRUE)</f>
        <v>0</v>
      </c>
    </row>
    <row r="853" spans="3:28" ht="11.1" hidden="1" customHeight="1" x14ac:dyDescent="0.25">
      <c r="C853" s="41" t="str">
        <f>IFERROR(VLOOKUP(B853,Baza[[№]:[Profit]],2,0),"")</f>
        <v/>
      </c>
      <c r="D85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5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53" s="43" t="str">
        <f>IFERROR(VLOOKUP(B853,Baza[[№]:[Profit]],3,0),"")</f>
        <v/>
      </c>
      <c r="G853" s="43" t="str">
        <f>IFERROR(VLOOKUP(B853,Baza[[№]:[Profit]],4,0),"")</f>
        <v/>
      </c>
      <c r="H853" s="43" t="str">
        <f>IFERROR(VLOOKUP(B853,Baza[[№]:[Profit]],5,0),"")</f>
        <v/>
      </c>
      <c r="I853" s="46" t="str">
        <f>IFERROR(VLOOKUP(B853,Baza[[№]:[Profit]],6,0),"")</f>
        <v/>
      </c>
      <c r="J853" s="49" t="str">
        <f>IFERROR(VLOOKUP(B853,Baza[[№]:[Profit]],7,0),"")</f>
        <v/>
      </c>
      <c r="K853" s="43" t="str">
        <f>IFERROR(VLOOKUP(B853,Baza[[№]:[Profit]],8,0),"")</f>
        <v/>
      </c>
      <c r="L853" s="43" t="str">
        <f>IFERROR(VLOOKUP(B853,Baza[[№]:[Profit]],9,0),"")</f>
        <v/>
      </c>
      <c r="M853" s="43" t="str">
        <f>IFERROR(VLOOKUP(B853,Baza[[№]:[Profit]],10,0),"")</f>
        <v/>
      </c>
      <c r="N853" s="43" t="str">
        <f>IFERROR(IF(VLOOKUP(B853,Baza[[№]:[Profit]],11,0)=0,"-",VLOOKUP(B853,Baza[[№]:[Profit]],11,0)),"")</f>
        <v/>
      </c>
      <c r="O853" s="43" t="str">
        <f>IFERROR(IF(VLOOKUP(B853,Baza[[№]:[Profit]],12,0)=0,"-",VLOOKUP(B853,Baza[[№]:[Profit]],12,0)),"")</f>
        <v/>
      </c>
      <c r="P853" s="43" t="str">
        <f>IFERROR(IF(VLOOKUP(B853,Baza[[№]:[Profit]],13,0)=0,"-",VLOOKUP(B853,Baza[[№]:[Profit]],13,0)),"")</f>
        <v/>
      </c>
      <c r="Q853" s="43" t="str">
        <f>IFERROR(IF(VLOOKUP(B853,Baza[[№]:[Profit]],15,0)=0,"-",VLOOKUP(B853,Baza[[№]:[Profit]],15,0)),"")</f>
        <v/>
      </c>
      <c r="R853" s="43" t="str">
        <f>IFERROR(IF(VLOOKUP(B853,Baza[[№]:[Profit]],16,0)=0,"-",VLOOKUP(B853,Baza[[№]:[Profit]],16,0)),"")</f>
        <v/>
      </c>
      <c r="S853" s="43" t="str">
        <f>IFERROR(IF(VLOOKUP(B853,Baza[[№]:[Profit]],17,0)=0,"-",VLOOKUP(B853,Baza[[№]:[Profit]],17,0)),"")</f>
        <v/>
      </c>
      <c r="T853" s="43" t="str">
        <f>IFERROR(IF(VLOOKUP(B853,Baza[[№]:[Profit]],18,0)=0,"-",VLOOKUP(B853,Baza[[№]:[Profit]],18,0)),"")</f>
        <v/>
      </c>
      <c r="U853" s="41" t="str">
        <f>IFERROR(IF(VLOOKUP(B853,Baza[[№]:[Profit]],19,0)=0,"-",VLOOKUP(B853,Baza[[№]:[Profit]],19,0)),"")</f>
        <v/>
      </c>
      <c r="V853" s="41" t="str">
        <f>IFERROR(VLOOKUP(B853,Baza[[№]:[Profit]],20,0),"")</f>
        <v/>
      </c>
      <c r="W853" s="41" t="str">
        <f>IFERROR(IF(VLOOKUP(B853,Baza[[№]:[Profit]],21,0)=0,"-",VLOOKUP(B853,Baza[[№]:[Profit]],21,0)),"")</f>
        <v/>
      </c>
      <c r="X853" s="45" t="str">
        <f>IFERROR(IF(VLOOKUP(B853,Baza[[№]:[Profit]],22,0)=0,"-",VLOOKUP(B853,Baza[[№]:[Profit]],22,0)),"")</f>
        <v/>
      </c>
      <c r="Y853" s="45" t="str">
        <f>IFERROR(VLOOKUP(B853,Baza[[№]:[Profit]],23,0),"")</f>
        <v/>
      </c>
      <c r="Z853" s="44" t="str">
        <f>IFERROR(VLOOKUP(B853,Baza[[№]:[AFS]],24,0),"")</f>
        <v/>
      </c>
      <c r="AA853" s="45" t="str">
        <f>IF(Таблица2[[#This Row],[Profit]]="","#Н/Д",SUM($Y$40:Y853))</f>
        <v>#Н/Д</v>
      </c>
      <c r="AB853" s="45" t="b">
        <f>IF(Таблица2[[#This Row],[Grafik]]="#Н/Д",FALSE,TRUE)</f>
        <v>0</v>
      </c>
    </row>
    <row r="854" spans="3:28" ht="11.1" hidden="1" customHeight="1" x14ac:dyDescent="0.25">
      <c r="C854" s="41" t="str">
        <f>IFERROR(VLOOKUP(B854,Baza[[№]:[Profit]],2,0),"")</f>
        <v/>
      </c>
      <c r="D85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5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54" s="43" t="str">
        <f>IFERROR(VLOOKUP(B854,Baza[[№]:[Profit]],3,0),"")</f>
        <v/>
      </c>
      <c r="G854" s="43" t="str">
        <f>IFERROR(VLOOKUP(B854,Baza[[№]:[Profit]],4,0),"")</f>
        <v/>
      </c>
      <c r="H854" s="43" t="str">
        <f>IFERROR(VLOOKUP(B854,Baza[[№]:[Profit]],5,0),"")</f>
        <v/>
      </c>
      <c r="I854" s="46" t="str">
        <f>IFERROR(VLOOKUP(B854,Baza[[№]:[Profit]],6,0),"")</f>
        <v/>
      </c>
      <c r="J854" s="49" t="str">
        <f>IFERROR(VLOOKUP(B854,Baza[[№]:[Profit]],7,0),"")</f>
        <v/>
      </c>
      <c r="K854" s="43" t="str">
        <f>IFERROR(VLOOKUP(B854,Baza[[№]:[Profit]],8,0),"")</f>
        <v/>
      </c>
      <c r="L854" s="43" t="str">
        <f>IFERROR(VLOOKUP(B854,Baza[[№]:[Profit]],9,0),"")</f>
        <v/>
      </c>
      <c r="M854" s="43" t="str">
        <f>IFERROR(VLOOKUP(B854,Baza[[№]:[Profit]],10,0),"")</f>
        <v/>
      </c>
      <c r="N854" s="43" t="str">
        <f>IFERROR(IF(VLOOKUP(B854,Baza[[№]:[Profit]],11,0)=0,"-",VLOOKUP(B854,Baza[[№]:[Profit]],11,0)),"")</f>
        <v/>
      </c>
      <c r="O854" s="43" t="str">
        <f>IFERROR(IF(VLOOKUP(B854,Baza[[№]:[Profit]],12,0)=0,"-",VLOOKUP(B854,Baza[[№]:[Profit]],12,0)),"")</f>
        <v/>
      </c>
      <c r="P854" s="43" t="str">
        <f>IFERROR(IF(VLOOKUP(B854,Baza[[№]:[Profit]],13,0)=0,"-",VLOOKUP(B854,Baza[[№]:[Profit]],13,0)),"")</f>
        <v/>
      </c>
      <c r="Q854" s="43" t="str">
        <f>IFERROR(IF(VLOOKUP(B854,Baza[[№]:[Profit]],15,0)=0,"-",VLOOKUP(B854,Baza[[№]:[Profit]],15,0)),"")</f>
        <v/>
      </c>
      <c r="R854" s="43" t="str">
        <f>IFERROR(IF(VLOOKUP(B854,Baza[[№]:[Profit]],16,0)=0,"-",VLOOKUP(B854,Baza[[№]:[Profit]],16,0)),"")</f>
        <v/>
      </c>
      <c r="S854" s="43" t="str">
        <f>IFERROR(IF(VLOOKUP(B854,Baza[[№]:[Profit]],17,0)=0,"-",VLOOKUP(B854,Baza[[№]:[Profit]],17,0)),"")</f>
        <v/>
      </c>
      <c r="T854" s="43" t="str">
        <f>IFERROR(IF(VLOOKUP(B854,Baza[[№]:[Profit]],18,0)=0,"-",VLOOKUP(B854,Baza[[№]:[Profit]],18,0)),"")</f>
        <v/>
      </c>
      <c r="U854" s="41" t="str">
        <f>IFERROR(IF(VLOOKUP(B854,Baza[[№]:[Profit]],19,0)=0,"-",VLOOKUP(B854,Baza[[№]:[Profit]],19,0)),"")</f>
        <v/>
      </c>
      <c r="V854" s="41" t="str">
        <f>IFERROR(VLOOKUP(B854,Baza[[№]:[Profit]],20,0),"")</f>
        <v/>
      </c>
      <c r="W854" s="41" t="str">
        <f>IFERROR(IF(VLOOKUP(B854,Baza[[№]:[Profit]],21,0)=0,"-",VLOOKUP(B854,Baza[[№]:[Profit]],21,0)),"")</f>
        <v/>
      </c>
      <c r="X854" s="45" t="str">
        <f>IFERROR(IF(VLOOKUP(B854,Baza[[№]:[Profit]],22,0)=0,"-",VLOOKUP(B854,Baza[[№]:[Profit]],22,0)),"")</f>
        <v/>
      </c>
      <c r="Y854" s="45" t="str">
        <f>IFERROR(VLOOKUP(B854,Baza[[№]:[Profit]],23,0),"")</f>
        <v/>
      </c>
      <c r="Z854" s="44" t="str">
        <f>IFERROR(VLOOKUP(B854,Baza[[№]:[AFS]],24,0),"")</f>
        <v/>
      </c>
      <c r="AA854" s="45" t="str">
        <f>IF(Таблица2[[#This Row],[Profit]]="","#Н/Д",SUM($Y$40:Y854))</f>
        <v>#Н/Д</v>
      </c>
      <c r="AB854" s="45" t="b">
        <f>IF(Таблица2[[#This Row],[Grafik]]="#Н/Д",FALSE,TRUE)</f>
        <v>0</v>
      </c>
    </row>
    <row r="855" spans="3:28" ht="11.1" hidden="1" customHeight="1" x14ac:dyDescent="0.25">
      <c r="C855" s="41" t="str">
        <f>IFERROR(VLOOKUP(B855,Baza[[№]:[Profit]],2,0),"")</f>
        <v/>
      </c>
      <c r="D85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5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55" s="43" t="str">
        <f>IFERROR(VLOOKUP(B855,Baza[[№]:[Profit]],3,0),"")</f>
        <v/>
      </c>
      <c r="G855" s="43" t="str">
        <f>IFERROR(VLOOKUP(B855,Baza[[№]:[Profit]],4,0),"")</f>
        <v/>
      </c>
      <c r="H855" s="43" t="str">
        <f>IFERROR(VLOOKUP(B855,Baza[[№]:[Profit]],5,0),"")</f>
        <v/>
      </c>
      <c r="I855" s="46" t="str">
        <f>IFERROR(VLOOKUP(B855,Baza[[№]:[Profit]],6,0),"")</f>
        <v/>
      </c>
      <c r="J855" s="49" t="str">
        <f>IFERROR(VLOOKUP(B855,Baza[[№]:[Profit]],7,0),"")</f>
        <v/>
      </c>
      <c r="K855" s="43" t="str">
        <f>IFERROR(VLOOKUP(B855,Baza[[№]:[Profit]],8,0),"")</f>
        <v/>
      </c>
      <c r="L855" s="43" t="str">
        <f>IFERROR(VLOOKUP(B855,Baza[[№]:[Profit]],9,0),"")</f>
        <v/>
      </c>
      <c r="M855" s="43" t="str">
        <f>IFERROR(VLOOKUP(B855,Baza[[№]:[Profit]],10,0),"")</f>
        <v/>
      </c>
      <c r="N855" s="43" t="str">
        <f>IFERROR(IF(VLOOKUP(B855,Baza[[№]:[Profit]],11,0)=0,"-",VLOOKUP(B855,Baza[[№]:[Profit]],11,0)),"")</f>
        <v/>
      </c>
      <c r="O855" s="43" t="str">
        <f>IFERROR(IF(VLOOKUP(B855,Baza[[№]:[Profit]],12,0)=0,"-",VLOOKUP(B855,Baza[[№]:[Profit]],12,0)),"")</f>
        <v/>
      </c>
      <c r="P855" s="43" t="str">
        <f>IFERROR(IF(VLOOKUP(B855,Baza[[№]:[Profit]],13,0)=0,"-",VLOOKUP(B855,Baza[[№]:[Profit]],13,0)),"")</f>
        <v/>
      </c>
      <c r="Q855" s="43" t="str">
        <f>IFERROR(IF(VLOOKUP(B855,Baza[[№]:[Profit]],15,0)=0,"-",VLOOKUP(B855,Baza[[№]:[Profit]],15,0)),"")</f>
        <v/>
      </c>
      <c r="R855" s="43" t="str">
        <f>IFERROR(IF(VLOOKUP(B855,Baza[[№]:[Profit]],16,0)=0,"-",VLOOKUP(B855,Baza[[№]:[Profit]],16,0)),"")</f>
        <v/>
      </c>
      <c r="S855" s="43" t="str">
        <f>IFERROR(IF(VLOOKUP(B855,Baza[[№]:[Profit]],17,0)=0,"-",VLOOKUP(B855,Baza[[№]:[Profit]],17,0)),"")</f>
        <v/>
      </c>
      <c r="T855" s="43" t="str">
        <f>IFERROR(IF(VLOOKUP(B855,Baza[[№]:[Profit]],18,0)=0,"-",VLOOKUP(B855,Baza[[№]:[Profit]],18,0)),"")</f>
        <v/>
      </c>
      <c r="U855" s="41" t="str">
        <f>IFERROR(IF(VLOOKUP(B855,Baza[[№]:[Profit]],19,0)=0,"-",VLOOKUP(B855,Baza[[№]:[Profit]],19,0)),"")</f>
        <v/>
      </c>
      <c r="V855" s="41" t="str">
        <f>IFERROR(VLOOKUP(B855,Baza[[№]:[Profit]],20,0),"")</f>
        <v/>
      </c>
      <c r="W855" s="41" t="str">
        <f>IFERROR(IF(VLOOKUP(B855,Baza[[№]:[Profit]],21,0)=0,"-",VLOOKUP(B855,Baza[[№]:[Profit]],21,0)),"")</f>
        <v/>
      </c>
      <c r="X855" s="45" t="str">
        <f>IFERROR(IF(VLOOKUP(B855,Baza[[№]:[Profit]],22,0)=0,"-",VLOOKUP(B855,Baza[[№]:[Profit]],22,0)),"")</f>
        <v/>
      </c>
      <c r="Y855" s="45" t="str">
        <f>IFERROR(VLOOKUP(B855,Baza[[№]:[Profit]],23,0),"")</f>
        <v/>
      </c>
      <c r="Z855" s="44" t="str">
        <f>IFERROR(VLOOKUP(B855,Baza[[№]:[AFS]],24,0),"")</f>
        <v/>
      </c>
      <c r="AA855" s="45" t="str">
        <f>IF(Таблица2[[#This Row],[Profit]]="","#Н/Д",SUM($Y$40:Y855))</f>
        <v>#Н/Д</v>
      </c>
      <c r="AB855" s="45" t="b">
        <f>IF(Таблица2[[#This Row],[Grafik]]="#Н/Д",FALSE,TRUE)</f>
        <v>0</v>
      </c>
    </row>
    <row r="856" spans="3:28" ht="11.1" hidden="1" customHeight="1" x14ac:dyDescent="0.25">
      <c r="C856" s="41" t="str">
        <f>IFERROR(VLOOKUP(B856,Baza[[№]:[Profit]],2,0),"")</f>
        <v/>
      </c>
      <c r="D85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5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56" s="43" t="str">
        <f>IFERROR(VLOOKUP(B856,Baza[[№]:[Profit]],3,0),"")</f>
        <v/>
      </c>
      <c r="G856" s="43" t="str">
        <f>IFERROR(VLOOKUP(B856,Baza[[№]:[Profit]],4,0),"")</f>
        <v/>
      </c>
      <c r="H856" s="43" t="str">
        <f>IFERROR(VLOOKUP(B856,Baza[[№]:[Profit]],5,0),"")</f>
        <v/>
      </c>
      <c r="I856" s="46" t="str">
        <f>IFERROR(VLOOKUP(B856,Baza[[№]:[Profit]],6,0),"")</f>
        <v/>
      </c>
      <c r="J856" s="49" t="str">
        <f>IFERROR(VLOOKUP(B856,Baza[[№]:[Profit]],7,0),"")</f>
        <v/>
      </c>
      <c r="K856" s="43" t="str">
        <f>IFERROR(VLOOKUP(B856,Baza[[№]:[Profit]],8,0),"")</f>
        <v/>
      </c>
      <c r="L856" s="43" t="str">
        <f>IFERROR(VLOOKUP(B856,Baza[[№]:[Profit]],9,0),"")</f>
        <v/>
      </c>
      <c r="M856" s="43" t="str">
        <f>IFERROR(VLOOKUP(B856,Baza[[№]:[Profit]],10,0),"")</f>
        <v/>
      </c>
      <c r="N856" s="43" t="str">
        <f>IFERROR(IF(VLOOKUP(B856,Baza[[№]:[Profit]],11,0)=0,"-",VLOOKUP(B856,Baza[[№]:[Profit]],11,0)),"")</f>
        <v/>
      </c>
      <c r="O856" s="43" t="str">
        <f>IFERROR(IF(VLOOKUP(B856,Baza[[№]:[Profit]],12,0)=0,"-",VLOOKUP(B856,Baza[[№]:[Profit]],12,0)),"")</f>
        <v/>
      </c>
      <c r="P856" s="43" t="str">
        <f>IFERROR(IF(VLOOKUP(B856,Baza[[№]:[Profit]],13,0)=0,"-",VLOOKUP(B856,Baza[[№]:[Profit]],13,0)),"")</f>
        <v/>
      </c>
      <c r="Q856" s="43" t="str">
        <f>IFERROR(IF(VLOOKUP(B856,Baza[[№]:[Profit]],15,0)=0,"-",VLOOKUP(B856,Baza[[№]:[Profit]],15,0)),"")</f>
        <v/>
      </c>
      <c r="R856" s="43" t="str">
        <f>IFERROR(IF(VLOOKUP(B856,Baza[[№]:[Profit]],16,0)=0,"-",VLOOKUP(B856,Baza[[№]:[Profit]],16,0)),"")</f>
        <v/>
      </c>
      <c r="S856" s="43" t="str">
        <f>IFERROR(IF(VLOOKUP(B856,Baza[[№]:[Profit]],17,0)=0,"-",VLOOKUP(B856,Baza[[№]:[Profit]],17,0)),"")</f>
        <v/>
      </c>
      <c r="T856" s="43" t="str">
        <f>IFERROR(IF(VLOOKUP(B856,Baza[[№]:[Profit]],18,0)=0,"-",VLOOKUP(B856,Baza[[№]:[Profit]],18,0)),"")</f>
        <v/>
      </c>
      <c r="U856" s="41" t="str">
        <f>IFERROR(IF(VLOOKUP(B856,Baza[[№]:[Profit]],19,0)=0,"-",VLOOKUP(B856,Baza[[№]:[Profit]],19,0)),"")</f>
        <v/>
      </c>
      <c r="V856" s="41" t="str">
        <f>IFERROR(VLOOKUP(B856,Baza[[№]:[Profit]],20,0),"")</f>
        <v/>
      </c>
      <c r="W856" s="41" t="str">
        <f>IFERROR(IF(VLOOKUP(B856,Baza[[№]:[Profit]],21,0)=0,"-",VLOOKUP(B856,Baza[[№]:[Profit]],21,0)),"")</f>
        <v/>
      </c>
      <c r="X856" s="45" t="str">
        <f>IFERROR(IF(VLOOKUP(B856,Baza[[№]:[Profit]],22,0)=0,"-",VLOOKUP(B856,Baza[[№]:[Profit]],22,0)),"")</f>
        <v/>
      </c>
      <c r="Y856" s="45" t="str">
        <f>IFERROR(VLOOKUP(B856,Baza[[№]:[Profit]],23,0),"")</f>
        <v/>
      </c>
      <c r="Z856" s="44" t="str">
        <f>IFERROR(VLOOKUP(B856,Baza[[№]:[AFS]],24,0),"")</f>
        <v/>
      </c>
      <c r="AA856" s="45" t="str">
        <f>IF(Таблица2[[#This Row],[Profit]]="","#Н/Д",SUM($Y$40:Y856))</f>
        <v>#Н/Д</v>
      </c>
      <c r="AB856" s="45" t="b">
        <f>IF(Таблица2[[#This Row],[Grafik]]="#Н/Д",FALSE,TRUE)</f>
        <v>0</v>
      </c>
    </row>
    <row r="857" spans="3:28" ht="11.1" hidden="1" customHeight="1" x14ac:dyDescent="0.25">
      <c r="C857" s="41" t="str">
        <f>IFERROR(VLOOKUP(B857,Baza[[№]:[Profit]],2,0),"")</f>
        <v/>
      </c>
      <c r="D85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5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57" s="43" t="str">
        <f>IFERROR(VLOOKUP(B857,Baza[[№]:[Profit]],3,0),"")</f>
        <v/>
      </c>
      <c r="G857" s="43" t="str">
        <f>IFERROR(VLOOKUP(B857,Baza[[№]:[Profit]],4,0),"")</f>
        <v/>
      </c>
      <c r="H857" s="43" t="str">
        <f>IFERROR(VLOOKUP(B857,Baza[[№]:[Profit]],5,0),"")</f>
        <v/>
      </c>
      <c r="I857" s="46" t="str">
        <f>IFERROR(VLOOKUP(B857,Baza[[№]:[Profit]],6,0),"")</f>
        <v/>
      </c>
      <c r="J857" s="49" t="str">
        <f>IFERROR(VLOOKUP(B857,Baza[[№]:[Profit]],7,0),"")</f>
        <v/>
      </c>
      <c r="K857" s="43" t="str">
        <f>IFERROR(VLOOKUP(B857,Baza[[№]:[Profit]],8,0),"")</f>
        <v/>
      </c>
      <c r="L857" s="43" t="str">
        <f>IFERROR(VLOOKUP(B857,Baza[[№]:[Profit]],9,0),"")</f>
        <v/>
      </c>
      <c r="M857" s="43" t="str">
        <f>IFERROR(VLOOKUP(B857,Baza[[№]:[Profit]],10,0),"")</f>
        <v/>
      </c>
      <c r="N857" s="43" t="str">
        <f>IFERROR(IF(VLOOKUP(B857,Baza[[№]:[Profit]],11,0)=0,"-",VLOOKUP(B857,Baza[[№]:[Profit]],11,0)),"")</f>
        <v/>
      </c>
      <c r="O857" s="43" t="str">
        <f>IFERROR(IF(VLOOKUP(B857,Baza[[№]:[Profit]],12,0)=0,"-",VLOOKUP(B857,Baza[[№]:[Profit]],12,0)),"")</f>
        <v/>
      </c>
      <c r="P857" s="43" t="str">
        <f>IFERROR(IF(VLOOKUP(B857,Baza[[№]:[Profit]],13,0)=0,"-",VLOOKUP(B857,Baza[[№]:[Profit]],13,0)),"")</f>
        <v/>
      </c>
      <c r="Q857" s="43" t="str">
        <f>IFERROR(IF(VLOOKUP(B857,Baza[[№]:[Profit]],15,0)=0,"-",VLOOKUP(B857,Baza[[№]:[Profit]],15,0)),"")</f>
        <v/>
      </c>
      <c r="R857" s="43" t="str">
        <f>IFERROR(IF(VLOOKUP(B857,Baza[[№]:[Profit]],16,0)=0,"-",VLOOKUP(B857,Baza[[№]:[Profit]],16,0)),"")</f>
        <v/>
      </c>
      <c r="S857" s="43" t="str">
        <f>IFERROR(IF(VLOOKUP(B857,Baza[[№]:[Profit]],17,0)=0,"-",VLOOKUP(B857,Baza[[№]:[Profit]],17,0)),"")</f>
        <v/>
      </c>
      <c r="T857" s="43" t="str">
        <f>IFERROR(IF(VLOOKUP(B857,Baza[[№]:[Profit]],18,0)=0,"-",VLOOKUP(B857,Baza[[№]:[Profit]],18,0)),"")</f>
        <v/>
      </c>
      <c r="U857" s="41" t="str">
        <f>IFERROR(IF(VLOOKUP(B857,Baza[[№]:[Profit]],19,0)=0,"-",VLOOKUP(B857,Baza[[№]:[Profit]],19,0)),"")</f>
        <v/>
      </c>
      <c r="V857" s="41" t="str">
        <f>IFERROR(VLOOKUP(B857,Baza[[№]:[Profit]],20,0),"")</f>
        <v/>
      </c>
      <c r="W857" s="41" t="str">
        <f>IFERROR(IF(VLOOKUP(B857,Baza[[№]:[Profit]],21,0)=0,"-",VLOOKUP(B857,Baza[[№]:[Profit]],21,0)),"")</f>
        <v/>
      </c>
      <c r="X857" s="45" t="str">
        <f>IFERROR(IF(VLOOKUP(B857,Baza[[№]:[Profit]],22,0)=0,"-",VLOOKUP(B857,Baza[[№]:[Profit]],22,0)),"")</f>
        <v/>
      </c>
      <c r="Y857" s="45" t="str">
        <f>IFERROR(VLOOKUP(B857,Baza[[№]:[Profit]],23,0),"")</f>
        <v/>
      </c>
      <c r="Z857" s="44" t="str">
        <f>IFERROR(VLOOKUP(B857,Baza[[№]:[AFS]],24,0),"")</f>
        <v/>
      </c>
      <c r="AA857" s="45" t="str">
        <f>IF(Таблица2[[#This Row],[Profit]]="","#Н/Д",SUM($Y$40:Y857))</f>
        <v>#Н/Д</v>
      </c>
      <c r="AB857" s="45" t="b">
        <f>IF(Таблица2[[#This Row],[Grafik]]="#Н/Д",FALSE,TRUE)</f>
        <v>0</v>
      </c>
    </row>
    <row r="858" spans="3:28" ht="11.1" hidden="1" customHeight="1" x14ac:dyDescent="0.25">
      <c r="C858" s="41" t="str">
        <f>IFERROR(VLOOKUP(B858,Baza[[№]:[Profit]],2,0),"")</f>
        <v/>
      </c>
      <c r="D85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5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58" s="43" t="str">
        <f>IFERROR(VLOOKUP(B858,Baza[[№]:[Profit]],3,0),"")</f>
        <v/>
      </c>
      <c r="G858" s="43" t="str">
        <f>IFERROR(VLOOKUP(B858,Baza[[№]:[Profit]],4,0),"")</f>
        <v/>
      </c>
      <c r="H858" s="43" t="str">
        <f>IFERROR(VLOOKUP(B858,Baza[[№]:[Profit]],5,0),"")</f>
        <v/>
      </c>
      <c r="I858" s="46" t="str">
        <f>IFERROR(VLOOKUP(B858,Baza[[№]:[Profit]],6,0),"")</f>
        <v/>
      </c>
      <c r="J858" s="49" t="str">
        <f>IFERROR(VLOOKUP(B858,Baza[[№]:[Profit]],7,0),"")</f>
        <v/>
      </c>
      <c r="K858" s="43" t="str">
        <f>IFERROR(VLOOKUP(B858,Baza[[№]:[Profit]],8,0),"")</f>
        <v/>
      </c>
      <c r="L858" s="43" t="str">
        <f>IFERROR(VLOOKUP(B858,Baza[[№]:[Profit]],9,0),"")</f>
        <v/>
      </c>
      <c r="M858" s="43" t="str">
        <f>IFERROR(VLOOKUP(B858,Baza[[№]:[Profit]],10,0),"")</f>
        <v/>
      </c>
      <c r="N858" s="43" t="str">
        <f>IFERROR(IF(VLOOKUP(B858,Baza[[№]:[Profit]],11,0)=0,"-",VLOOKUP(B858,Baza[[№]:[Profit]],11,0)),"")</f>
        <v/>
      </c>
      <c r="O858" s="43" t="str">
        <f>IFERROR(IF(VLOOKUP(B858,Baza[[№]:[Profit]],12,0)=0,"-",VLOOKUP(B858,Baza[[№]:[Profit]],12,0)),"")</f>
        <v/>
      </c>
      <c r="P858" s="43" t="str">
        <f>IFERROR(IF(VLOOKUP(B858,Baza[[№]:[Profit]],13,0)=0,"-",VLOOKUP(B858,Baza[[№]:[Profit]],13,0)),"")</f>
        <v/>
      </c>
      <c r="Q858" s="43" t="str">
        <f>IFERROR(IF(VLOOKUP(B858,Baza[[№]:[Profit]],15,0)=0,"-",VLOOKUP(B858,Baza[[№]:[Profit]],15,0)),"")</f>
        <v/>
      </c>
      <c r="R858" s="43" t="str">
        <f>IFERROR(IF(VLOOKUP(B858,Baza[[№]:[Profit]],16,0)=0,"-",VLOOKUP(B858,Baza[[№]:[Profit]],16,0)),"")</f>
        <v/>
      </c>
      <c r="S858" s="43" t="str">
        <f>IFERROR(IF(VLOOKUP(B858,Baza[[№]:[Profit]],17,0)=0,"-",VLOOKUP(B858,Baza[[№]:[Profit]],17,0)),"")</f>
        <v/>
      </c>
      <c r="T858" s="43" t="str">
        <f>IFERROR(IF(VLOOKUP(B858,Baza[[№]:[Profit]],18,0)=0,"-",VLOOKUP(B858,Baza[[№]:[Profit]],18,0)),"")</f>
        <v/>
      </c>
      <c r="U858" s="41" t="str">
        <f>IFERROR(IF(VLOOKUP(B858,Baza[[№]:[Profit]],19,0)=0,"-",VLOOKUP(B858,Baza[[№]:[Profit]],19,0)),"")</f>
        <v/>
      </c>
      <c r="V858" s="41" t="str">
        <f>IFERROR(VLOOKUP(B858,Baza[[№]:[Profit]],20,0),"")</f>
        <v/>
      </c>
      <c r="W858" s="41" t="str">
        <f>IFERROR(IF(VLOOKUP(B858,Baza[[№]:[Profit]],21,0)=0,"-",VLOOKUP(B858,Baza[[№]:[Profit]],21,0)),"")</f>
        <v/>
      </c>
      <c r="X858" s="45" t="str">
        <f>IFERROR(IF(VLOOKUP(B858,Baza[[№]:[Profit]],22,0)=0,"-",VLOOKUP(B858,Baza[[№]:[Profit]],22,0)),"")</f>
        <v/>
      </c>
      <c r="Y858" s="45" t="str">
        <f>IFERROR(VLOOKUP(B858,Baza[[№]:[Profit]],23,0),"")</f>
        <v/>
      </c>
      <c r="Z858" s="44" t="str">
        <f>IFERROR(VLOOKUP(B858,Baza[[№]:[AFS]],24,0),"")</f>
        <v/>
      </c>
      <c r="AA858" s="45" t="str">
        <f>IF(Таблица2[[#This Row],[Profit]]="","#Н/Д",SUM($Y$40:Y858))</f>
        <v>#Н/Д</v>
      </c>
      <c r="AB858" s="45" t="b">
        <f>IF(Таблица2[[#This Row],[Grafik]]="#Н/Д",FALSE,TRUE)</f>
        <v>0</v>
      </c>
    </row>
    <row r="859" spans="3:28" ht="11.1" hidden="1" customHeight="1" x14ac:dyDescent="0.25">
      <c r="C859" s="41" t="str">
        <f>IFERROR(VLOOKUP(B859,Baza[[№]:[Profit]],2,0),"")</f>
        <v/>
      </c>
      <c r="D85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5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59" s="43" t="str">
        <f>IFERROR(VLOOKUP(B859,Baza[[№]:[Profit]],3,0),"")</f>
        <v/>
      </c>
      <c r="G859" s="43" t="str">
        <f>IFERROR(VLOOKUP(B859,Baza[[№]:[Profit]],4,0),"")</f>
        <v/>
      </c>
      <c r="H859" s="43" t="str">
        <f>IFERROR(VLOOKUP(B859,Baza[[№]:[Profit]],5,0),"")</f>
        <v/>
      </c>
      <c r="I859" s="46" t="str">
        <f>IFERROR(VLOOKUP(B859,Baza[[№]:[Profit]],6,0),"")</f>
        <v/>
      </c>
      <c r="J859" s="49" t="str">
        <f>IFERROR(VLOOKUP(B859,Baza[[№]:[Profit]],7,0),"")</f>
        <v/>
      </c>
      <c r="K859" s="43" t="str">
        <f>IFERROR(VLOOKUP(B859,Baza[[№]:[Profit]],8,0),"")</f>
        <v/>
      </c>
      <c r="L859" s="43" t="str">
        <f>IFERROR(VLOOKUP(B859,Baza[[№]:[Profit]],9,0),"")</f>
        <v/>
      </c>
      <c r="M859" s="43" t="str">
        <f>IFERROR(VLOOKUP(B859,Baza[[№]:[Profit]],10,0),"")</f>
        <v/>
      </c>
      <c r="N859" s="43" t="str">
        <f>IFERROR(IF(VLOOKUP(B859,Baza[[№]:[Profit]],11,0)=0,"-",VLOOKUP(B859,Baza[[№]:[Profit]],11,0)),"")</f>
        <v/>
      </c>
      <c r="O859" s="43" t="str">
        <f>IFERROR(IF(VLOOKUP(B859,Baza[[№]:[Profit]],12,0)=0,"-",VLOOKUP(B859,Baza[[№]:[Profit]],12,0)),"")</f>
        <v/>
      </c>
      <c r="P859" s="43" t="str">
        <f>IFERROR(IF(VLOOKUP(B859,Baza[[№]:[Profit]],13,0)=0,"-",VLOOKUP(B859,Baza[[№]:[Profit]],13,0)),"")</f>
        <v/>
      </c>
      <c r="Q859" s="43" t="str">
        <f>IFERROR(IF(VLOOKUP(B859,Baza[[№]:[Profit]],15,0)=0,"-",VLOOKUP(B859,Baza[[№]:[Profit]],15,0)),"")</f>
        <v/>
      </c>
      <c r="R859" s="43" t="str">
        <f>IFERROR(IF(VLOOKUP(B859,Baza[[№]:[Profit]],16,0)=0,"-",VLOOKUP(B859,Baza[[№]:[Profit]],16,0)),"")</f>
        <v/>
      </c>
      <c r="S859" s="43" t="str">
        <f>IFERROR(IF(VLOOKUP(B859,Baza[[№]:[Profit]],17,0)=0,"-",VLOOKUP(B859,Baza[[№]:[Profit]],17,0)),"")</f>
        <v/>
      </c>
      <c r="T859" s="43" t="str">
        <f>IFERROR(IF(VLOOKUP(B859,Baza[[№]:[Profit]],18,0)=0,"-",VLOOKUP(B859,Baza[[№]:[Profit]],18,0)),"")</f>
        <v/>
      </c>
      <c r="U859" s="41" t="str">
        <f>IFERROR(IF(VLOOKUP(B859,Baza[[№]:[Profit]],19,0)=0,"-",VLOOKUP(B859,Baza[[№]:[Profit]],19,0)),"")</f>
        <v/>
      </c>
      <c r="V859" s="41" t="str">
        <f>IFERROR(VLOOKUP(B859,Baza[[№]:[Profit]],20,0),"")</f>
        <v/>
      </c>
      <c r="W859" s="41" t="str">
        <f>IFERROR(IF(VLOOKUP(B859,Baza[[№]:[Profit]],21,0)=0,"-",VLOOKUP(B859,Baza[[№]:[Profit]],21,0)),"")</f>
        <v/>
      </c>
      <c r="X859" s="45" t="str">
        <f>IFERROR(IF(VLOOKUP(B859,Baza[[№]:[Profit]],22,0)=0,"-",VLOOKUP(B859,Baza[[№]:[Profit]],22,0)),"")</f>
        <v/>
      </c>
      <c r="Y859" s="45" t="str">
        <f>IFERROR(VLOOKUP(B859,Baza[[№]:[Profit]],23,0),"")</f>
        <v/>
      </c>
      <c r="Z859" s="44" t="str">
        <f>IFERROR(VLOOKUP(B859,Baza[[№]:[AFS]],24,0),"")</f>
        <v/>
      </c>
      <c r="AA859" s="45" t="str">
        <f>IF(Таблица2[[#This Row],[Profit]]="","#Н/Д",SUM($Y$40:Y859))</f>
        <v>#Н/Д</v>
      </c>
      <c r="AB859" s="45" t="b">
        <f>IF(Таблица2[[#This Row],[Grafik]]="#Н/Д",FALSE,TRUE)</f>
        <v>0</v>
      </c>
    </row>
    <row r="860" spans="3:28" ht="11.1" hidden="1" customHeight="1" x14ac:dyDescent="0.25">
      <c r="C860" s="41" t="str">
        <f>IFERROR(VLOOKUP(B860,Baza[[№]:[Profit]],2,0),"")</f>
        <v/>
      </c>
      <c r="D86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6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60" s="43" t="str">
        <f>IFERROR(VLOOKUP(B860,Baza[[№]:[Profit]],3,0),"")</f>
        <v/>
      </c>
      <c r="G860" s="43" t="str">
        <f>IFERROR(VLOOKUP(B860,Baza[[№]:[Profit]],4,0),"")</f>
        <v/>
      </c>
      <c r="H860" s="43" t="str">
        <f>IFERROR(VLOOKUP(B860,Baza[[№]:[Profit]],5,0),"")</f>
        <v/>
      </c>
      <c r="I860" s="46" t="str">
        <f>IFERROR(VLOOKUP(B860,Baza[[№]:[Profit]],6,0),"")</f>
        <v/>
      </c>
      <c r="J860" s="49" t="str">
        <f>IFERROR(VLOOKUP(B860,Baza[[№]:[Profit]],7,0),"")</f>
        <v/>
      </c>
      <c r="K860" s="43" t="str">
        <f>IFERROR(VLOOKUP(B860,Baza[[№]:[Profit]],8,0),"")</f>
        <v/>
      </c>
      <c r="L860" s="43" t="str">
        <f>IFERROR(VLOOKUP(B860,Baza[[№]:[Profit]],9,0),"")</f>
        <v/>
      </c>
      <c r="M860" s="43" t="str">
        <f>IFERROR(VLOOKUP(B860,Baza[[№]:[Profit]],10,0),"")</f>
        <v/>
      </c>
      <c r="N860" s="43" t="str">
        <f>IFERROR(IF(VLOOKUP(B860,Baza[[№]:[Profit]],11,0)=0,"-",VLOOKUP(B860,Baza[[№]:[Profit]],11,0)),"")</f>
        <v/>
      </c>
      <c r="O860" s="43" t="str">
        <f>IFERROR(IF(VLOOKUP(B860,Baza[[№]:[Profit]],12,0)=0,"-",VLOOKUP(B860,Baza[[№]:[Profit]],12,0)),"")</f>
        <v/>
      </c>
      <c r="P860" s="43" t="str">
        <f>IFERROR(IF(VLOOKUP(B860,Baza[[№]:[Profit]],13,0)=0,"-",VLOOKUP(B860,Baza[[№]:[Profit]],13,0)),"")</f>
        <v/>
      </c>
      <c r="Q860" s="43" t="str">
        <f>IFERROR(IF(VLOOKUP(B860,Baza[[№]:[Profit]],15,0)=0,"-",VLOOKUP(B860,Baza[[№]:[Profit]],15,0)),"")</f>
        <v/>
      </c>
      <c r="R860" s="43" t="str">
        <f>IFERROR(IF(VLOOKUP(B860,Baza[[№]:[Profit]],16,0)=0,"-",VLOOKUP(B860,Baza[[№]:[Profit]],16,0)),"")</f>
        <v/>
      </c>
      <c r="S860" s="43" t="str">
        <f>IFERROR(IF(VLOOKUP(B860,Baza[[№]:[Profit]],17,0)=0,"-",VLOOKUP(B860,Baza[[№]:[Profit]],17,0)),"")</f>
        <v/>
      </c>
      <c r="T860" s="43" t="str">
        <f>IFERROR(IF(VLOOKUP(B860,Baza[[№]:[Profit]],18,0)=0,"-",VLOOKUP(B860,Baza[[№]:[Profit]],18,0)),"")</f>
        <v/>
      </c>
      <c r="U860" s="41" t="str">
        <f>IFERROR(IF(VLOOKUP(B860,Baza[[№]:[Profit]],19,0)=0,"-",VLOOKUP(B860,Baza[[№]:[Profit]],19,0)),"")</f>
        <v/>
      </c>
      <c r="V860" s="41" t="str">
        <f>IFERROR(VLOOKUP(B860,Baza[[№]:[Profit]],20,0),"")</f>
        <v/>
      </c>
      <c r="W860" s="41" t="str">
        <f>IFERROR(IF(VLOOKUP(B860,Baza[[№]:[Profit]],21,0)=0,"-",VLOOKUP(B860,Baza[[№]:[Profit]],21,0)),"")</f>
        <v/>
      </c>
      <c r="X860" s="45" t="str">
        <f>IFERROR(IF(VLOOKUP(B860,Baza[[№]:[Profit]],22,0)=0,"-",VLOOKUP(B860,Baza[[№]:[Profit]],22,0)),"")</f>
        <v/>
      </c>
      <c r="Y860" s="45" t="str">
        <f>IFERROR(VLOOKUP(B860,Baza[[№]:[Profit]],23,0),"")</f>
        <v/>
      </c>
      <c r="Z860" s="44" t="str">
        <f>IFERROR(VLOOKUP(B860,Baza[[№]:[AFS]],24,0),"")</f>
        <v/>
      </c>
      <c r="AA860" s="45" t="str">
        <f>IF(Таблица2[[#This Row],[Profit]]="","#Н/Д",SUM($Y$40:Y860))</f>
        <v>#Н/Д</v>
      </c>
      <c r="AB860" s="45" t="b">
        <f>IF(Таблица2[[#This Row],[Grafik]]="#Н/Д",FALSE,TRUE)</f>
        <v>0</v>
      </c>
    </row>
    <row r="861" spans="3:28" ht="11.1" hidden="1" customHeight="1" x14ac:dyDescent="0.25">
      <c r="C861" s="41" t="str">
        <f>IFERROR(VLOOKUP(B861,Baza[[№]:[Profit]],2,0),"")</f>
        <v/>
      </c>
      <c r="D86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6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61" s="43" t="str">
        <f>IFERROR(VLOOKUP(B861,Baza[[№]:[Profit]],3,0),"")</f>
        <v/>
      </c>
      <c r="G861" s="43" t="str">
        <f>IFERROR(VLOOKUP(B861,Baza[[№]:[Profit]],4,0),"")</f>
        <v/>
      </c>
      <c r="H861" s="43" t="str">
        <f>IFERROR(VLOOKUP(B861,Baza[[№]:[Profit]],5,0),"")</f>
        <v/>
      </c>
      <c r="I861" s="46" t="str">
        <f>IFERROR(VLOOKUP(B861,Baza[[№]:[Profit]],6,0),"")</f>
        <v/>
      </c>
      <c r="J861" s="49" t="str">
        <f>IFERROR(VLOOKUP(B861,Baza[[№]:[Profit]],7,0),"")</f>
        <v/>
      </c>
      <c r="K861" s="43" t="str">
        <f>IFERROR(VLOOKUP(B861,Baza[[№]:[Profit]],8,0),"")</f>
        <v/>
      </c>
      <c r="L861" s="43" t="str">
        <f>IFERROR(VLOOKUP(B861,Baza[[№]:[Profit]],9,0),"")</f>
        <v/>
      </c>
      <c r="M861" s="43" t="str">
        <f>IFERROR(VLOOKUP(B861,Baza[[№]:[Profit]],10,0),"")</f>
        <v/>
      </c>
      <c r="N861" s="43" t="str">
        <f>IFERROR(IF(VLOOKUP(B861,Baza[[№]:[Profit]],11,0)=0,"-",VLOOKUP(B861,Baza[[№]:[Profit]],11,0)),"")</f>
        <v/>
      </c>
      <c r="O861" s="43" t="str">
        <f>IFERROR(IF(VLOOKUP(B861,Baza[[№]:[Profit]],12,0)=0,"-",VLOOKUP(B861,Baza[[№]:[Profit]],12,0)),"")</f>
        <v/>
      </c>
      <c r="P861" s="43" t="str">
        <f>IFERROR(IF(VLOOKUP(B861,Baza[[№]:[Profit]],13,0)=0,"-",VLOOKUP(B861,Baza[[№]:[Profit]],13,0)),"")</f>
        <v/>
      </c>
      <c r="Q861" s="43" t="str">
        <f>IFERROR(IF(VLOOKUP(B861,Baza[[№]:[Profit]],15,0)=0,"-",VLOOKUP(B861,Baza[[№]:[Profit]],15,0)),"")</f>
        <v/>
      </c>
      <c r="R861" s="43" t="str">
        <f>IFERROR(IF(VLOOKUP(B861,Baza[[№]:[Profit]],16,0)=0,"-",VLOOKUP(B861,Baza[[№]:[Profit]],16,0)),"")</f>
        <v/>
      </c>
      <c r="S861" s="43" t="str">
        <f>IFERROR(IF(VLOOKUP(B861,Baza[[№]:[Profit]],17,0)=0,"-",VLOOKUP(B861,Baza[[№]:[Profit]],17,0)),"")</f>
        <v/>
      </c>
      <c r="T861" s="43" t="str">
        <f>IFERROR(IF(VLOOKUP(B861,Baza[[№]:[Profit]],18,0)=0,"-",VLOOKUP(B861,Baza[[№]:[Profit]],18,0)),"")</f>
        <v/>
      </c>
      <c r="U861" s="41" t="str">
        <f>IFERROR(IF(VLOOKUP(B861,Baza[[№]:[Profit]],19,0)=0,"-",VLOOKUP(B861,Baza[[№]:[Profit]],19,0)),"")</f>
        <v/>
      </c>
      <c r="V861" s="41" t="str">
        <f>IFERROR(VLOOKUP(B861,Baza[[№]:[Profit]],20,0),"")</f>
        <v/>
      </c>
      <c r="W861" s="41" t="str">
        <f>IFERROR(IF(VLOOKUP(B861,Baza[[№]:[Profit]],21,0)=0,"-",VLOOKUP(B861,Baza[[№]:[Profit]],21,0)),"")</f>
        <v/>
      </c>
      <c r="X861" s="45" t="str">
        <f>IFERROR(IF(VLOOKUP(B861,Baza[[№]:[Profit]],22,0)=0,"-",VLOOKUP(B861,Baza[[№]:[Profit]],22,0)),"")</f>
        <v/>
      </c>
      <c r="Y861" s="45" t="str">
        <f>IFERROR(VLOOKUP(B861,Baza[[№]:[Profit]],23,0),"")</f>
        <v/>
      </c>
      <c r="Z861" s="44" t="str">
        <f>IFERROR(VLOOKUP(B861,Baza[[№]:[AFS]],24,0),"")</f>
        <v/>
      </c>
      <c r="AA861" s="45" t="str">
        <f>IF(Таблица2[[#This Row],[Profit]]="","#Н/Д",SUM($Y$40:Y861))</f>
        <v>#Н/Д</v>
      </c>
      <c r="AB861" s="45" t="b">
        <f>IF(Таблица2[[#This Row],[Grafik]]="#Н/Д",FALSE,TRUE)</f>
        <v>0</v>
      </c>
    </row>
    <row r="862" spans="3:28" ht="11.1" hidden="1" customHeight="1" x14ac:dyDescent="0.25">
      <c r="C862" s="41" t="str">
        <f>IFERROR(VLOOKUP(B862,Baza[[№]:[Profit]],2,0),"")</f>
        <v/>
      </c>
      <c r="D86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6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62" s="43" t="str">
        <f>IFERROR(VLOOKUP(B862,Baza[[№]:[Profit]],3,0),"")</f>
        <v/>
      </c>
      <c r="G862" s="43" t="str">
        <f>IFERROR(VLOOKUP(B862,Baza[[№]:[Profit]],4,0),"")</f>
        <v/>
      </c>
      <c r="H862" s="43" t="str">
        <f>IFERROR(VLOOKUP(B862,Baza[[№]:[Profit]],5,0),"")</f>
        <v/>
      </c>
      <c r="I862" s="46" t="str">
        <f>IFERROR(VLOOKUP(B862,Baza[[№]:[Profit]],6,0),"")</f>
        <v/>
      </c>
      <c r="J862" s="49" t="str">
        <f>IFERROR(VLOOKUP(B862,Baza[[№]:[Profit]],7,0),"")</f>
        <v/>
      </c>
      <c r="K862" s="43" t="str">
        <f>IFERROR(VLOOKUP(B862,Baza[[№]:[Profit]],8,0),"")</f>
        <v/>
      </c>
      <c r="L862" s="43" t="str">
        <f>IFERROR(VLOOKUP(B862,Baza[[№]:[Profit]],9,0),"")</f>
        <v/>
      </c>
      <c r="M862" s="43" t="str">
        <f>IFERROR(VLOOKUP(B862,Baza[[№]:[Profit]],10,0),"")</f>
        <v/>
      </c>
      <c r="N862" s="43" t="str">
        <f>IFERROR(IF(VLOOKUP(B862,Baza[[№]:[Profit]],11,0)=0,"-",VLOOKUP(B862,Baza[[№]:[Profit]],11,0)),"")</f>
        <v/>
      </c>
      <c r="O862" s="43" t="str">
        <f>IFERROR(IF(VLOOKUP(B862,Baza[[№]:[Profit]],12,0)=0,"-",VLOOKUP(B862,Baza[[№]:[Profit]],12,0)),"")</f>
        <v/>
      </c>
      <c r="P862" s="43" t="str">
        <f>IFERROR(IF(VLOOKUP(B862,Baza[[№]:[Profit]],13,0)=0,"-",VLOOKUP(B862,Baza[[№]:[Profit]],13,0)),"")</f>
        <v/>
      </c>
      <c r="Q862" s="43" t="str">
        <f>IFERROR(IF(VLOOKUP(B862,Baza[[№]:[Profit]],15,0)=0,"-",VLOOKUP(B862,Baza[[№]:[Profit]],15,0)),"")</f>
        <v/>
      </c>
      <c r="R862" s="43" t="str">
        <f>IFERROR(IF(VLOOKUP(B862,Baza[[№]:[Profit]],16,0)=0,"-",VLOOKUP(B862,Baza[[№]:[Profit]],16,0)),"")</f>
        <v/>
      </c>
      <c r="S862" s="43" t="str">
        <f>IFERROR(IF(VLOOKUP(B862,Baza[[№]:[Profit]],17,0)=0,"-",VLOOKUP(B862,Baza[[№]:[Profit]],17,0)),"")</f>
        <v/>
      </c>
      <c r="T862" s="43" t="str">
        <f>IFERROR(IF(VLOOKUP(B862,Baza[[№]:[Profit]],18,0)=0,"-",VLOOKUP(B862,Baza[[№]:[Profit]],18,0)),"")</f>
        <v/>
      </c>
      <c r="U862" s="41" t="str">
        <f>IFERROR(IF(VLOOKUP(B862,Baza[[№]:[Profit]],19,0)=0,"-",VLOOKUP(B862,Baza[[№]:[Profit]],19,0)),"")</f>
        <v/>
      </c>
      <c r="V862" s="41" t="str">
        <f>IFERROR(VLOOKUP(B862,Baza[[№]:[Profit]],20,0),"")</f>
        <v/>
      </c>
      <c r="W862" s="41" t="str">
        <f>IFERROR(IF(VLOOKUP(B862,Baza[[№]:[Profit]],21,0)=0,"-",VLOOKUP(B862,Baza[[№]:[Profit]],21,0)),"")</f>
        <v/>
      </c>
      <c r="X862" s="45" t="str">
        <f>IFERROR(IF(VLOOKUP(B862,Baza[[№]:[Profit]],22,0)=0,"-",VLOOKUP(B862,Baza[[№]:[Profit]],22,0)),"")</f>
        <v/>
      </c>
      <c r="Y862" s="45" t="str">
        <f>IFERROR(VLOOKUP(B862,Baza[[№]:[Profit]],23,0),"")</f>
        <v/>
      </c>
      <c r="Z862" s="44" t="str">
        <f>IFERROR(VLOOKUP(B862,Baza[[№]:[AFS]],24,0),"")</f>
        <v/>
      </c>
      <c r="AA862" s="45" t="str">
        <f>IF(Таблица2[[#This Row],[Profit]]="","#Н/Д",SUM($Y$40:Y862))</f>
        <v>#Н/Д</v>
      </c>
      <c r="AB862" s="45" t="b">
        <f>IF(Таблица2[[#This Row],[Grafik]]="#Н/Д",FALSE,TRUE)</f>
        <v>0</v>
      </c>
    </row>
    <row r="863" spans="3:28" ht="11.1" hidden="1" customHeight="1" x14ac:dyDescent="0.25">
      <c r="C863" s="41" t="str">
        <f>IFERROR(VLOOKUP(B863,Baza[[№]:[Profit]],2,0),"")</f>
        <v/>
      </c>
      <c r="D86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6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63" s="43" t="str">
        <f>IFERROR(VLOOKUP(B863,Baza[[№]:[Profit]],3,0),"")</f>
        <v/>
      </c>
      <c r="G863" s="43" t="str">
        <f>IFERROR(VLOOKUP(B863,Baza[[№]:[Profit]],4,0),"")</f>
        <v/>
      </c>
      <c r="H863" s="43" t="str">
        <f>IFERROR(VLOOKUP(B863,Baza[[№]:[Profit]],5,0),"")</f>
        <v/>
      </c>
      <c r="I863" s="46" t="str">
        <f>IFERROR(VLOOKUP(B863,Baza[[№]:[Profit]],6,0),"")</f>
        <v/>
      </c>
      <c r="J863" s="49" t="str">
        <f>IFERROR(VLOOKUP(B863,Baza[[№]:[Profit]],7,0),"")</f>
        <v/>
      </c>
      <c r="K863" s="43" t="str">
        <f>IFERROR(VLOOKUP(B863,Baza[[№]:[Profit]],8,0),"")</f>
        <v/>
      </c>
      <c r="L863" s="43" t="str">
        <f>IFERROR(VLOOKUP(B863,Baza[[№]:[Profit]],9,0),"")</f>
        <v/>
      </c>
      <c r="M863" s="43" t="str">
        <f>IFERROR(VLOOKUP(B863,Baza[[№]:[Profit]],10,0),"")</f>
        <v/>
      </c>
      <c r="N863" s="43" t="str">
        <f>IFERROR(IF(VLOOKUP(B863,Baza[[№]:[Profit]],11,0)=0,"-",VLOOKUP(B863,Baza[[№]:[Profit]],11,0)),"")</f>
        <v/>
      </c>
      <c r="O863" s="43" t="str">
        <f>IFERROR(IF(VLOOKUP(B863,Baza[[№]:[Profit]],12,0)=0,"-",VLOOKUP(B863,Baza[[№]:[Profit]],12,0)),"")</f>
        <v/>
      </c>
      <c r="P863" s="43" t="str">
        <f>IFERROR(IF(VLOOKUP(B863,Baza[[№]:[Profit]],13,0)=0,"-",VLOOKUP(B863,Baza[[№]:[Profit]],13,0)),"")</f>
        <v/>
      </c>
      <c r="Q863" s="43" t="str">
        <f>IFERROR(IF(VLOOKUP(B863,Baza[[№]:[Profit]],15,0)=0,"-",VLOOKUP(B863,Baza[[№]:[Profit]],15,0)),"")</f>
        <v/>
      </c>
      <c r="R863" s="43" t="str">
        <f>IFERROR(IF(VLOOKUP(B863,Baza[[№]:[Profit]],16,0)=0,"-",VLOOKUP(B863,Baza[[№]:[Profit]],16,0)),"")</f>
        <v/>
      </c>
      <c r="S863" s="43" t="str">
        <f>IFERROR(IF(VLOOKUP(B863,Baza[[№]:[Profit]],17,0)=0,"-",VLOOKUP(B863,Baza[[№]:[Profit]],17,0)),"")</f>
        <v/>
      </c>
      <c r="T863" s="43" t="str">
        <f>IFERROR(IF(VLOOKUP(B863,Baza[[№]:[Profit]],18,0)=0,"-",VLOOKUP(B863,Baza[[№]:[Profit]],18,0)),"")</f>
        <v/>
      </c>
      <c r="U863" s="41" t="str">
        <f>IFERROR(IF(VLOOKUP(B863,Baza[[№]:[Profit]],19,0)=0,"-",VLOOKUP(B863,Baza[[№]:[Profit]],19,0)),"")</f>
        <v/>
      </c>
      <c r="V863" s="41" t="str">
        <f>IFERROR(VLOOKUP(B863,Baza[[№]:[Profit]],20,0),"")</f>
        <v/>
      </c>
      <c r="W863" s="41" t="str">
        <f>IFERROR(IF(VLOOKUP(B863,Baza[[№]:[Profit]],21,0)=0,"-",VLOOKUP(B863,Baza[[№]:[Profit]],21,0)),"")</f>
        <v/>
      </c>
      <c r="X863" s="45" t="str">
        <f>IFERROR(IF(VLOOKUP(B863,Baza[[№]:[Profit]],22,0)=0,"-",VLOOKUP(B863,Baza[[№]:[Profit]],22,0)),"")</f>
        <v/>
      </c>
      <c r="Y863" s="45" t="str">
        <f>IFERROR(VLOOKUP(B863,Baza[[№]:[Profit]],23,0),"")</f>
        <v/>
      </c>
      <c r="Z863" s="44" t="str">
        <f>IFERROR(VLOOKUP(B863,Baza[[№]:[AFS]],24,0),"")</f>
        <v/>
      </c>
      <c r="AA863" s="45" t="str">
        <f>IF(Таблица2[[#This Row],[Profit]]="","#Н/Д",SUM($Y$40:Y863))</f>
        <v>#Н/Д</v>
      </c>
      <c r="AB863" s="45" t="b">
        <f>IF(Таблица2[[#This Row],[Grafik]]="#Н/Д",FALSE,TRUE)</f>
        <v>0</v>
      </c>
    </row>
    <row r="864" spans="3:28" ht="11.1" hidden="1" customHeight="1" x14ac:dyDescent="0.25">
      <c r="C864" s="41" t="str">
        <f>IFERROR(VLOOKUP(B864,Baza[[№]:[Profit]],2,0),"")</f>
        <v/>
      </c>
      <c r="D86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6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64" s="43" t="str">
        <f>IFERROR(VLOOKUP(B864,Baza[[№]:[Profit]],3,0),"")</f>
        <v/>
      </c>
      <c r="G864" s="43" t="str">
        <f>IFERROR(VLOOKUP(B864,Baza[[№]:[Profit]],4,0),"")</f>
        <v/>
      </c>
      <c r="H864" s="43" t="str">
        <f>IFERROR(VLOOKUP(B864,Baza[[№]:[Profit]],5,0),"")</f>
        <v/>
      </c>
      <c r="I864" s="46" t="str">
        <f>IFERROR(VLOOKUP(B864,Baza[[№]:[Profit]],6,0),"")</f>
        <v/>
      </c>
      <c r="J864" s="49" t="str">
        <f>IFERROR(VLOOKUP(B864,Baza[[№]:[Profit]],7,0),"")</f>
        <v/>
      </c>
      <c r="K864" s="43" t="str">
        <f>IFERROR(VLOOKUP(B864,Baza[[№]:[Profit]],8,0),"")</f>
        <v/>
      </c>
      <c r="L864" s="43" t="str">
        <f>IFERROR(VLOOKUP(B864,Baza[[№]:[Profit]],9,0),"")</f>
        <v/>
      </c>
      <c r="M864" s="43" t="str">
        <f>IFERROR(VLOOKUP(B864,Baza[[№]:[Profit]],10,0),"")</f>
        <v/>
      </c>
      <c r="N864" s="43" t="str">
        <f>IFERROR(IF(VLOOKUP(B864,Baza[[№]:[Profit]],11,0)=0,"-",VLOOKUP(B864,Baza[[№]:[Profit]],11,0)),"")</f>
        <v/>
      </c>
      <c r="O864" s="43" t="str">
        <f>IFERROR(IF(VLOOKUP(B864,Baza[[№]:[Profit]],12,0)=0,"-",VLOOKUP(B864,Baza[[№]:[Profit]],12,0)),"")</f>
        <v/>
      </c>
      <c r="P864" s="43" t="str">
        <f>IFERROR(IF(VLOOKUP(B864,Baza[[№]:[Profit]],13,0)=0,"-",VLOOKUP(B864,Baza[[№]:[Profit]],13,0)),"")</f>
        <v/>
      </c>
      <c r="Q864" s="43" t="str">
        <f>IFERROR(IF(VLOOKUP(B864,Baza[[№]:[Profit]],15,0)=0,"-",VLOOKUP(B864,Baza[[№]:[Profit]],15,0)),"")</f>
        <v/>
      </c>
      <c r="R864" s="43" t="str">
        <f>IFERROR(IF(VLOOKUP(B864,Baza[[№]:[Profit]],16,0)=0,"-",VLOOKUP(B864,Baza[[№]:[Profit]],16,0)),"")</f>
        <v/>
      </c>
      <c r="S864" s="43" t="str">
        <f>IFERROR(IF(VLOOKUP(B864,Baza[[№]:[Profit]],17,0)=0,"-",VLOOKUP(B864,Baza[[№]:[Profit]],17,0)),"")</f>
        <v/>
      </c>
      <c r="T864" s="43" t="str">
        <f>IFERROR(IF(VLOOKUP(B864,Baza[[№]:[Profit]],18,0)=0,"-",VLOOKUP(B864,Baza[[№]:[Profit]],18,0)),"")</f>
        <v/>
      </c>
      <c r="U864" s="41" t="str">
        <f>IFERROR(IF(VLOOKUP(B864,Baza[[№]:[Profit]],19,0)=0,"-",VLOOKUP(B864,Baza[[№]:[Profit]],19,0)),"")</f>
        <v/>
      </c>
      <c r="V864" s="41" t="str">
        <f>IFERROR(VLOOKUP(B864,Baza[[№]:[Profit]],20,0),"")</f>
        <v/>
      </c>
      <c r="W864" s="41" t="str">
        <f>IFERROR(IF(VLOOKUP(B864,Baza[[№]:[Profit]],21,0)=0,"-",VLOOKUP(B864,Baza[[№]:[Profit]],21,0)),"")</f>
        <v/>
      </c>
      <c r="X864" s="45" t="str">
        <f>IFERROR(IF(VLOOKUP(B864,Baza[[№]:[Profit]],22,0)=0,"-",VLOOKUP(B864,Baza[[№]:[Profit]],22,0)),"")</f>
        <v/>
      </c>
      <c r="Y864" s="45" t="str">
        <f>IFERROR(VLOOKUP(B864,Baza[[№]:[Profit]],23,0),"")</f>
        <v/>
      </c>
      <c r="Z864" s="44" t="str">
        <f>IFERROR(VLOOKUP(B864,Baza[[№]:[AFS]],24,0),"")</f>
        <v/>
      </c>
      <c r="AA864" s="45" t="str">
        <f>IF(Таблица2[[#This Row],[Profit]]="","#Н/Д",SUM($Y$40:Y864))</f>
        <v>#Н/Д</v>
      </c>
      <c r="AB864" s="45" t="b">
        <f>IF(Таблица2[[#This Row],[Grafik]]="#Н/Д",FALSE,TRUE)</f>
        <v>0</v>
      </c>
    </row>
    <row r="865" spans="3:28" ht="11.1" hidden="1" customHeight="1" x14ac:dyDescent="0.25">
      <c r="C865" s="41" t="str">
        <f>IFERROR(VLOOKUP(B865,Baza[[№]:[Profit]],2,0),"")</f>
        <v/>
      </c>
      <c r="D86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6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65" s="43" t="str">
        <f>IFERROR(VLOOKUP(B865,Baza[[№]:[Profit]],3,0),"")</f>
        <v/>
      </c>
      <c r="G865" s="43" t="str">
        <f>IFERROR(VLOOKUP(B865,Baza[[№]:[Profit]],4,0),"")</f>
        <v/>
      </c>
      <c r="H865" s="43" t="str">
        <f>IFERROR(VLOOKUP(B865,Baza[[№]:[Profit]],5,0),"")</f>
        <v/>
      </c>
      <c r="I865" s="46" t="str">
        <f>IFERROR(VLOOKUP(B865,Baza[[№]:[Profit]],6,0),"")</f>
        <v/>
      </c>
      <c r="J865" s="49" t="str">
        <f>IFERROR(VLOOKUP(B865,Baza[[№]:[Profit]],7,0),"")</f>
        <v/>
      </c>
      <c r="K865" s="43" t="str">
        <f>IFERROR(VLOOKUP(B865,Baza[[№]:[Profit]],8,0),"")</f>
        <v/>
      </c>
      <c r="L865" s="43" t="str">
        <f>IFERROR(VLOOKUP(B865,Baza[[№]:[Profit]],9,0),"")</f>
        <v/>
      </c>
      <c r="M865" s="43" t="str">
        <f>IFERROR(VLOOKUP(B865,Baza[[№]:[Profit]],10,0),"")</f>
        <v/>
      </c>
      <c r="N865" s="43" t="str">
        <f>IFERROR(IF(VLOOKUP(B865,Baza[[№]:[Profit]],11,0)=0,"-",VLOOKUP(B865,Baza[[№]:[Profit]],11,0)),"")</f>
        <v/>
      </c>
      <c r="O865" s="43" t="str">
        <f>IFERROR(IF(VLOOKUP(B865,Baza[[№]:[Profit]],12,0)=0,"-",VLOOKUP(B865,Baza[[№]:[Profit]],12,0)),"")</f>
        <v/>
      </c>
      <c r="P865" s="43" t="str">
        <f>IFERROR(IF(VLOOKUP(B865,Baza[[№]:[Profit]],13,0)=0,"-",VLOOKUP(B865,Baza[[№]:[Profit]],13,0)),"")</f>
        <v/>
      </c>
      <c r="Q865" s="43" t="str">
        <f>IFERROR(IF(VLOOKUP(B865,Baza[[№]:[Profit]],15,0)=0,"-",VLOOKUP(B865,Baza[[№]:[Profit]],15,0)),"")</f>
        <v/>
      </c>
      <c r="R865" s="43" t="str">
        <f>IFERROR(IF(VLOOKUP(B865,Baza[[№]:[Profit]],16,0)=0,"-",VLOOKUP(B865,Baza[[№]:[Profit]],16,0)),"")</f>
        <v/>
      </c>
      <c r="S865" s="43" t="str">
        <f>IFERROR(IF(VLOOKUP(B865,Baza[[№]:[Profit]],17,0)=0,"-",VLOOKUP(B865,Baza[[№]:[Profit]],17,0)),"")</f>
        <v/>
      </c>
      <c r="T865" s="43" t="str">
        <f>IFERROR(IF(VLOOKUP(B865,Baza[[№]:[Profit]],18,0)=0,"-",VLOOKUP(B865,Baza[[№]:[Profit]],18,0)),"")</f>
        <v/>
      </c>
      <c r="U865" s="41" t="str">
        <f>IFERROR(IF(VLOOKUP(B865,Baza[[№]:[Profit]],19,0)=0,"-",VLOOKUP(B865,Baza[[№]:[Profit]],19,0)),"")</f>
        <v/>
      </c>
      <c r="V865" s="41" t="str">
        <f>IFERROR(VLOOKUP(B865,Baza[[№]:[Profit]],20,0),"")</f>
        <v/>
      </c>
      <c r="W865" s="41" t="str">
        <f>IFERROR(IF(VLOOKUP(B865,Baza[[№]:[Profit]],21,0)=0,"-",VLOOKUP(B865,Baza[[№]:[Profit]],21,0)),"")</f>
        <v/>
      </c>
      <c r="X865" s="45" t="str">
        <f>IFERROR(IF(VLOOKUP(B865,Baza[[№]:[Profit]],22,0)=0,"-",VLOOKUP(B865,Baza[[№]:[Profit]],22,0)),"")</f>
        <v/>
      </c>
      <c r="Y865" s="45" t="str">
        <f>IFERROR(VLOOKUP(B865,Baza[[№]:[Profit]],23,0),"")</f>
        <v/>
      </c>
      <c r="Z865" s="44" t="str">
        <f>IFERROR(VLOOKUP(B865,Baza[[№]:[AFS]],24,0),"")</f>
        <v/>
      </c>
      <c r="AA865" s="45" t="str">
        <f>IF(Таблица2[[#This Row],[Profit]]="","#Н/Д",SUM($Y$40:Y865))</f>
        <v>#Н/Д</v>
      </c>
      <c r="AB865" s="45" t="b">
        <f>IF(Таблица2[[#This Row],[Grafik]]="#Н/Д",FALSE,TRUE)</f>
        <v>0</v>
      </c>
    </row>
    <row r="866" spans="3:28" ht="11.1" hidden="1" customHeight="1" x14ac:dyDescent="0.25">
      <c r="C866" s="41" t="str">
        <f>IFERROR(VLOOKUP(B866,Baza[[№]:[Profit]],2,0),"")</f>
        <v/>
      </c>
      <c r="D86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6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66" s="43" t="str">
        <f>IFERROR(VLOOKUP(B866,Baza[[№]:[Profit]],3,0),"")</f>
        <v/>
      </c>
      <c r="G866" s="43" t="str">
        <f>IFERROR(VLOOKUP(B866,Baza[[№]:[Profit]],4,0),"")</f>
        <v/>
      </c>
      <c r="H866" s="43" t="str">
        <f>IFERROR(VLOOKUP(B866,Baza[[№]:[Profit]],5,0),"")</f>
        <v/>
      </c>
      <c r="I866" s="46" t="str">
        <f>IFERROR(VLOOKUP(B866,Baza[[№]:[Profit]],6,0),"")</f>
        <v/>
      </c>
      <c r="J866" s="49" t="str">
        <f>IFERROR(VLOOKUP(B866,Baza[[№]:[Profit]],7,0),"")</f>
        <v/>
      </c>
      <c r="K866" s="43" t="str">
        <f>IFERROR(VLOOKUP(B866,Baza[[№]:[Profit]],8,0),"")</f>
        <v/>
      </c>
      <c r="L866" s="43" t="str">
        <f>IFERROR(VLOOKUP(B866,Baza[[№]:[Profit]],9,0),"")</f>
        <v/>
      </c>
      <c r="M866" s="43" t="str">
        <f>IFERROR(VLOOKUP(B866,Baza[[№]:[Profit]],10,0),"")</f>
        <v/>
      </c>
      <c r="N866" s="43" t="str">
        <f>IFERROR(IF(VLOOKUP(B866,Baza[[№]:[Profit]],11,0)=0,"-",VLOOKUP(B866,Baza[[№]:[Profit]],11,0)),"")</f>
        <v/>
      </c>
      <c r="O866" s="43" t="str">
        <f>IFERROR(IF(VLOOKUP(B866,Baza[[№]:[Profit]],12,0)=0,"-",VLOOKUP(B866,Baza[[№]:[Profit]],12,0)),"")</f>
        <v/>
      </c>
      <c r="P866" s="43" t="str">
        <f>IFERROR(IF(VLOOKUP(B866,Baza[[№]:[Profit]],13,0)=0,"-",VLOOKUP(B866,Baza[[№]:[Profit]],13,0)),"")</f>
        <v/>
      </c>
      <c r="Q866" s="43" t="str">
        <f>IFERROR(IF(VLOOKUP(B866,Baza[[№]:[Profit]],15,0)=0,"-",VLOOKUP(B866,Baza[[№]:[Profit]],15,0)),"")</f>
        <v/>
      </c>
      <c r="R866" s="43" t="str">
        <f>IFERROR(IF(VLOOKUP(B866,Baza[[№]:[Profit]],16,0)=0,"-",VLOOKUP(B866,Baza[[№]:[Profit]],16,0)),"")</f>
        <v/>
      </c>
      <c r="S866" s="43" t="str">
        <f>IFERROR(IF(VLOOKUP(B866,Baza[[№]:[Profit]],17,0)=0,"-",VLOOKUP(B866,Baza[[№]:[Profit]],17,0)),"")</f>
        <v/>
      </c>
      <c r="T866" s="43" t="str">
        <f>IFERROR(IF(VLOOKUP(B866,Baza[[№]:[Profit]],18,0)=0,"-",VLOOKUP(B866,Baza[[№]:[Profit]],18,0)),"")</f>
        <v/>
      </c>
      <c r="U866" s="41" t="str">
        <f>IFERROR(IF(VLOOKUP(B866,Baza[[№]:[Profit]],19,0)=0,"-",VLOOKUP(B866,Baza[[№]:[Profit]],19,0)),"")</f>
        <v/>
      </c>
      <c r="V866" s="41" t="str">
        <f>IFERROR(VLOOKUP(B866,Baza[[№]:[Profit]],20,0),"")</f>
        <v/>
      </c>
      <c r="W866" s="41" t="str">
        <f>IFERROR(IF(VLOOKUP(B866,Baza[[№]:[Profit]],21,0)=0,"-",VLOOKUP(B866,Baza[[№]:[Profit]],21,0)),"")</f>
        <v/>
      </c>
      <c r="X866" s="45" t="str">
        <f>IFERROR(IF(VLOOKUP(B866,Baza[[№]:[Profit]],22,0)=0,"-",VLOOKUP(B866,Baza[[№]:[Profit]],22,0)),"")</f>
        <v/>
      </c>
      <c r="Y866" s="45" t="str">
        <f>IFERROR(VLOOKUP(B866,Baza[[№]:[Profit]],23,0),"")</f>
        <v/>
      </c>
      <c r="Z866" s="44" t="str">
        <f>IFERROR(VLOOKUP(B866,Baza[[№]:[AFS]],24,0),"")</f>
        <v/>
      </c>
      <c r="AA866" s="45" t="str">
        <f>IF(Таблица2[[#This Row],[Profit]]="","#Н/Д",SUM($Y$40:Y866))</f>
        <v>#Н/Д</v>
      </c>
      <c r="AB866" s="45" t="b">
        <f>IF(Таблица2[[#This Row],[Grafik]]="#Н/Д",FALSE,TRUE)</f>
        <v>0</v>
      </c>
    </row>
    <row r="867" spans="3:28" ht="11.1" hidden="1" customHeight="1" x14ac:dyDescent="0.25">
      <c r="C867" s="41" t="str">
        <f>IFERROR(VLOOKUP(B867,Baza[[№]:[Profit]],2,0),"")</f>
        <v/>
      </c>
      <c r="D86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6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67" s="43" t="str">
        <f>IFERROR(VLOOKUP(B867,Baza[[№]:[Profit]],3,0),"")</f>
        <v/>
      </c>
      <c r="G867" s="43" t="str">
        <f>IFERROR(VLOOKUP(B867,Baza[[№]:[Profit]],4,0),"")</f>
        <v/>
      </c>
      <c r="H867" s="43" t="str">
        <f>IFERROR(VLOOKUP(B867,Baza[[№]:[Profit]],5,0),"")</f>
        <v/>
      </c>
      <c r="I867" s="46" t="str">
        <f>IFERROR(VLOOKUP(B867,Baza[[№]:[Profit]],6,0),"")</f>
        <v/>
      </c>
      <c r="J867" s="49" t="str">
        <f>IFERROR(VLOOKUP(B867,Baza[[№]:[Profit]],7,0),"")</f>
        <v/>
      </c>
      <c r="K867" s="43" t="str">
        <f>IFERROR(VLOOKUP(B867,Baza[[№]:[Profit]],8,0),"")</f>
        <v/>
      </c>
      <c r="L867" s="43" t="str">
        <f>IFERROR(VLOOKUP(B867,Baza[[№]:[Profit]],9,0),"")</f>
        <v/>
      </c>
      <c r="M867" s="43" t="str">
        <f>IFERROR(VLOOKUP(B867,Baza[[№]:[Profit]],10,0),"")</f>
        <v/>
      </c>
      <c r="N867" s="43" t="str">
        <f>IFERROR(IF(VLOOKUP(B867,Baza[[№]:[Profit]],11,0)=0,"-",VLOOKUP(B867,Baza[[№]:[Profit]],11,0)),"")</f>
        <v/>
      </c>
      <c r="O867" s="43" t="str">
        <f>IFERROR(IF(VLOOKUP(B867,Baza[[№]:[Profit]],12,0)=0,"-",VLOOKUP(B867,Baza[[№]:[Profit]],12,0)),"")</f>
        <v/>
      </c>
      <c r="P867" s="43" t="str">
        <f>IFERROR(IF(VLOOKUP(B867,Baza[[№]:[Profit]],13,0)=0,"-",VLOOKUP(B867,Baza[[№]:[Profit]],13,0)),"")</f>
        <v/>
      </c>
      <c r="Q867" s="43" t="str">
        <f>IFERROR(IF(VLOOKUP(B867,Baza[[№]:[Profit]],15,0)=0,"-",VLOOKUP(B867,Baza[[№]:[Profit]],15,0)),"")</f>
        <v/>
      </c>
      <c r="R867" s="43" t="str">
        <f>IFERROR(IF(VLOOKUP(B867,Baza[[№]:[Profit]],16,0)=0,"-",VLOOKUP(B867,Baza[[№]:[Profit]],16,0)),"")</f>
        <v/>
      </c>
      <c r="S867" s="43" t="str">
        <f>IFERROR(IF(VLOOKUP(B867,Baza[[№]:[Profit]],17,0)=0,"-",VLOOKUP(B867,Baza[[№]:[Profit]],17,0)),"")</f>
        <v/>
      </c>
      <c r="T867" s="43" t="str">
        <f>IFERROR(IF(VLOOKUP(B867,Baza[[№]:[Profit]],18,0)=0,"-",VLOOKUP(B867,Baza[[№]:[Profit]],18,0)),"")</f>
        <v/>
      </c>
      <c r="U867" s="41" t="str">
        <f>IFERROR(IF(VLOOKUP(B867,Baza[[№]:[Profit]],19,0)=0,"-",VLOOKUP(B867,Baza[[№]:[Profit]],19,0)),"")</f>
        <v/>
      </c>
      <c r="V867" s="41" t="str">
        <f>IFERROR(VLOOKUP(B867,Baza[[№]:[Profit]],20,0),"")</f>
        <v/>
      </c>
      <c r="W867" s="41" t="str">
        <f>IFERROR(IF(VLOOKUP(B867,Baza[[№]:[Profit]],21,0)=0,"-",VLOOKUP(B867,Baza[[№]:[Profit]],21,0)),"")</f>
        <v/>
      </c>
      <c r="X867" s="45" t="str">
        <f>IFERROR(IF(VLOOKUP(B867,Baza[[№]:[Profit]],22,0)=0,"-",VLOOKUP(B867,Baza[[№]:[Profit]],22,0)),"")</f>
        <v/>
      </c>
      <c r="Y867" s="45" t="str">
        <f>IFERROR(VLOOKUP(B867,Baza[[№]:[Profit]],23,0),"")</f>
        <v/>
      </c>
      <c r="Z867" s="44" t="str">
        <f>IFERROR(VLOOKUP(B867,Baza[[№]:[AFS]],24,0),"")</f>
        <v/>
      </c>
      <c r="AA867" s="45" t="str">
        <f>IF(Таблица2[[#This Row],[Profit]]="","#Н/Д",SUM($Y$40:Y867))</f>
        <v>#Н/Д</v>
      </c>
      <c r="AB867" s="45" t="b">
        <f>IF(Таблица2[[#This Row],[Grafik]]="#Н/Д",FALSE,TRUE)</f>
        <v>0</v>
      </c>
    </row>
    <row r="868" spans="3:28" ht="11.1" hidden="1" customHeight="1" x14ac:dyDescent="0.25">
      <c r="C868" s="41" t="str">
        <f>IFERROR(VLOOKUP(B868,Baza[[№]:[Profit]],2,0),"")</f>
        <v/>
      </c>
      <c r="D86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6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68" s="43" t="str">
        <f>IFERROR(VLOOKUP(B868,Baza[[№]:[Profit]],3,0),"")</f>
        <v/>
      </c>
      <c r="G868" s="43" t="str">
        <f>IFERROR(VLOOKUP(B868,Baza[[№]:[Profit]],4,0),"")</f>
        <v/>
      </c>
      <c r="H868" s="43" t="str">
        <f>IFERROR(VLOOKUP(B868,Baza[[№]:[Profit]],5,0),"")</f>
        <v/>
      </c>
      <c r="I868" s="46" t="str">
        <f>IFERROR(VLOOKUP(B868,Baza[[№]:[Profit]],6,0),"")</f>
        <v/>
      </c>
      <c r="J868" s="49" t="str">
        <f>IFERROR(VLOOKUP(B868,Baza[[№]:[Profit]],7,0),"")</f>
        <v/>
      </c>
      <c r="K868" s="43" t="str">
        <f>IFERROR(VLOOKUP(B868,Baza[[№]:[Profit]],8,0),"")</f>
        <v/>
      </c>
      <c r="L868" s="43" t="str">
        <f>IFERROR(VLOOKUP(B868,Baza[[№]:[Profit]],9,0),"")</f>
        <v/>
      </c>
      <c r="M868" s="43" t="str">
        <f>IFERROR(VLOOKUP(B868,Baza[[№]:[Profit]],10,0),"")</f>
        <v/>
      </c>
      <c r="N868" s="43" t="str">
        <f>IFERROR(IF(VLOOKUP(B868,Baza[[№]:[Profit]],11,0)=0,"-",VLOOKUP(B868,Baza[[№]:[Profit]],11,0)),"")</f>
        <v/>
      </c>
      <c r="O868" s="43" t="str">
        <f>IFERROR(IF(VLOOKUP(B868,Baza[[№]:[Profit]],12,0)=0,"-",VLOOKUP(B868,Baza[[№]:[Profit]],12,0)),"")</f>
        <v/>
      </c>
      <c r="P868" s="43" t="str">
        <f>IFERROR(IF(VLOOKUP(B868,Baza[[№]:[Profit]],13,0)=0,"-",VLOOKUP(B868,Baza[[№]:[Profit]],13,0)),"")</f>
        <v/>
      </c>
      <c r="Q868" s="43" t="str">
        <f>IFERROR(IF(VLOOKUP(B868,Baza[[№]:[Profit]],15,0)=0,"-",VLOOKUP(B868,Baza[[№]:[Profit]],15,0)),"")</f>
        <v/>
      </c>
      <c r="R868" s="43" t="str">
        <f>IFERROR(IF(VLOOKUP(B868,Baza[[№]:[Profit]],16,0)=0,"-",VLOOKUP(B868,Baza[[№]:[Profit]],16,0)),"")</f>
        <v/>
      </c>
      <c r="S868" s="43" t="str">
        <f>IFERROR(IF(VLOOKUP(B868,Baza[[№]:[Profit]],17,0)=0,"-",VLOOKUP(B868,Baza[[№]:[Profit]],17,0)),"")</f>
        <v/>
      </c>
      <c r="T868" s="43" t="str">
        <f>IFERROR(IF(VLOOKUP(B868,Baza[[№]:[Profit]],18,0)=0,"-",VLOOKUP(B868,Baza[[№]:[Profit]],18,0)),"")</f>
        <v/>
      </c>
      <c r="U868" s="41" t="str">
        <f>IFERROR(IF(VLOOKUP(B868,Baza[[№]:[Profit]],19,0)=0,"-",VLOOKUP(B868,Baza[[№]:[Profit]],19,0)),"")</f>
        <v/>
      </c>
      <c r="V868" s="41" t="str">
        <f>IFERROR(VLOOKUP(B868,Baza[[№]:[Profit]],20,0),"")</f>
        <v/>
      </c>
      <c r="W868" s="41" t="str">
        <f>IFERROR(IF(VLOOKUP(B868,Baza[[№]:[Profit]],21,0)=0,"-",VLOOKUP(B868,Baza[[№]:[Profit]],21,0)),"")</f>
        <v/>
      </c>
      <c r="X868" s="45" t="str">
        <f>IFERROR(IF(VLOOKUP(B868,Baza[[№]:[Profit]],22,0)=0,"-",VLOOKUP(B868,Baza[[№]:[Profit]],22,0)),"")</f>
        <v/>
      </c>
      <c r="Y868" s="45" t="str">
        <f>IFERROR(VLOOKUP(B868,Baza[[№]:[Profit]],23,0),"")</f>
        <v/>
      </c>
      <c r="Z868" s="44" t="str">
        <f>IFERROR(VLOOKUP(B868,Baza[[№]:[AFS]],24,0),"")</f>
        <v/>
      </c>
      <c r="AA868" s="45" t="str">
        <f>IF(Таблица2[[#This Row],[Profit]]="","#Н/Д",SUM($Y$40:Y868))</f>
        <v>#Н/Д</v>
      </c>
      <c r="AB868" s="45" t="b">
        <f>IF(Таблица2[[#This Row],[Grafik]]="#Н/Д",FALSE,TRUE)</f>
        <v>0</v>
      </c>
    </row>
    <row r="869" spans="3:28" ht="11.1" hidden="1" customHeight="1" x14ac:dyDescent="0.25">
      <c r="C869" s="41" t="str">
        <f>IFERROR(VLOOKUP(B869,Baza[[№]:[Profit]],2,0),"")</f>
        <v/>
      </c>
      <c r="D86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6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69" s="43" t="str">
        <f>IFERROR(VLOOKUP(B869,Baza[[№]:[Profit]],3,0),"")</f>
        <v/>
      </c>
      <c r="G869" s="43" t="str">
        <f>IFERROR(VLOOKUP(B869,Baza[[№]:[Profit]],4,0),"")</f>
        <v/>
      </c>
      <c r="H869" s="43" t="str">
        <f>IFERROR(VLOOKUP(B869,Baza[[№]:[Profit]],5,0),"")</f>
        <v/>
      </c>
      <c r="I869" s="46" t="str">
        <f>IFERROR(VLOOKUP(B869,Baza[[№]:[Profit]],6,0),"")</f>
        <v/>
      </c>
      <c r="J869" s="49" t="str">
        <f>IFERROR(VLOOKUP(B869,Baza[[№]:[Profit]],7,0),"")</f>
        <v/>
      </c>
      <c r="K869" s="43" t="str">
        <f>IFERROR(VLOOKUP(B869,Baza[[№]:[Profit]],8,0),"")</f>
        <v/>
      </c>
      <c r="L869" s="43" t="str">
        <f>IFERROR(VLOOKUP(B869,Baza[[№]:[Profit]],9,0),"")</f>
        <v/>
      </c>
      <c r="M869" s="43" t="str">
        <f>IFERROR(VLOOKUP(B869,Baza[[№]:[Profit]],10,0),"")</f>
        <v/>
      </c>
      <c r="N869" s="43" t="str">
        <f>IFERROR(IF(VLOOKUP(B869,Baza[[№]:[Profit]],11,0)=0,"-",VLOOKUP(B869,Baza[[№]:[Profit]],11,0)),"")</f>
        <v/>
      </c>
      <c r="O869" s="43" t="str">
        <f>IFERROR(IF(VLOOKUP(B869,Baza[[№]:[Profit]],12,0)=0,"-",VLOOKUP(B869,Baza[[№]:[Profit]],12,0)),"")</f>
        <v/>
      </c>
      <c r="P869" s="43" t="str">
        <f>IFERROR(IF(VLOOKUP(B869,Baza[[№]:[Profit]],13,0)=0,"-",VLOOKUP(B869,Baza[[№]:[Profit]],13,0)),"")</f>
        <v/>
      </c>
      <c r="Q869" s="43" t="str">
        <f>IFERROR(IF(VLOOKUP(B869,Baza[[№]:[Profit]],15,0)=0,"-",VLOOKUP(B869,Baza[[№]:[Profit]],15,0)),"")</f>
        <v/>
      </c>
      <c r="R869" s="43" t="str">
        <f>IFERROR(IF(VLOOKUP(B869,Baza[[№]:[Profit]],16,0)=0,"-",VLOOKUP(B869,Baza[[№]:[Profit]],16,0)),"")</f>
        <v/>
      </c>
      <c r="S869" s="43" t="str">
        <f>IFERROR(IF(VLOOKUP(B869,Baza[[№]:[Profit]],17,0)=0,"-",VLOOKUP(B869,Baza[[№]:[Profit]],17,0)),"")</f>
        <v/>
      </c>
      <c r="T869" s="43" t="str">
        <f>IFERROR(IF(VLOOKUP(B869,Baza[[№]:[Profit]],18,0)=0,"-",VLOOKUP(B869,Baza[[№]:[Profit]],18,0)),"")</f>
        <v/>
      </c>
      <c r="U869" s="41" t="str">
        <f>IFERROR(IF(VLOOKUP(B869,Baza[[№]:[Profit]],19,0)=0,"-",VLOOKUP(B869,Baza[[№]:[Profit]],19,0)),"")</f>
        <v/>
      </c>
      <c r="V869" s="41" t="str">
        <f>IFERROR(VLOOKUP(B869,Baza[[№]:[Profit]],20,0),"")</f>
        <v/>
      </c>
      <c r="W869" s="41" t="str">
        <f>IFERROR(IF(VLOOKUP(B869,Baza[[№]:[Profit]],21,0)=0,"-",VLOOKUP(B869,Baza[[№]:[Profit]],21,0)),"")</f>
        <v/>
      </c>
      <c r="X869" s="45" t="str">
        <f>IFERROR(IF(VLOOKUP(B869,Baza[[№]:[Profit]],22,0)=0,"-",VLOOKUP(B869,Baza[[№]:[Profit]],22,0)),"")</f>
        <v/>
      </c>
      <c r="Y869" s="45" t="str">
        <f>IFERROR(VLOOKUP(B869,Baza[[№]:[Profit]],23,0),"")</f>
        <v/>
      </c>
      <c r="Z869" s="44" t="str">
        <f>IFERROR(VLOOKUP(B869,Baza[[№]:[AFS]],24,0),"")</f>
        <v/>
      </c>
      <c r="AA869" s="45" t="str">
        <f>IF(Таблица2[[#This Row],[Profit]]="","#Н/Д",SUM($Y$40:Y869))</f>
        <v>#Н/Д</v>
      </c>
      <c r="AB869" s="45" t="b">
        <f>IF(Таблица2[[#This Row],[Grafik]]="#Н/Д",FALSE,TRUE)</f>
        <v>0</v>
      </c>
    </row>
    <row r="870" spans="3:28" ht="11.1" hidden="1" customHeight="1" x14ac:dyDescent="0.25">
      <c r="C870" s="41" t="str">
        <f>IFERROR(VLOOKUP(B870,Baza[[№]:[Profit]],2,0),"")</f>
        <v/>
      </c>
      <c r="D87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7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70" s="43" t="str">
        <f>IFERROR(VLOOKUP(B870,Baza[[№]:[Profit]],3,0),"")</f>
        <v/>
      </c>
      <c r="G870" s="43" t="str">
        <f>IFERROR(VLOOKUP(B870,Baza[[№]:[Profit]],4,0),"")</f>
        <v/>
      </c>
      <c r="H870" s="43" t="str">
        <f>IFERROR(VLOOKUP(B870,Baza[[№]:[Profit]],5,0),"")</f>
        <v/>
      </c>
      <c r="I870" s="46" t="str">
        <f>IFERROR(VLOOKUP(B870,Baza[[№]:[Profit]],6,0),"")</f>
        <v/>
      </c>
      <c r="J870" s="49" t="str">
        <f>IFERROR(VLOOKUP(B870,Baza[[№]:[Profit]],7,0),"")</f>
        <v/>
      </c>
      <c r="K870" s="43" t="str">
        <f>IFERROR(VLOOKUP(B870,Baza[[№]:[Profit]],8,0),"")</f>
        <v/>
      </c>
      <c r="L870" s="43" t="str">
        <f>IFERROR(VLOOKUP(B870,Baza[[№]:[Profit]],9,0),"")</f>
        <v/>
      </c>
      <c r="M870" s="43" t="str">
        <f>IFERROR(VLOOKUP(B870,Baza[[№]:[Profit]],10,0),"")</f>
        <v/>
      </c>
      <c r="N870" s="43" t="str">
        <f>IFERROR(IF(VLOOKUP(B870,Baza[[№]:[Profit]],11,0)=0,"-",VLOOKUP(B870,Baza[[№]:[Profit]],11,0)),"")</f>
        <v/>
      </c>
      <c r="O870" s="43" t="str">
        <f>IFERROR(IF(VLOOKUP(B870,Baza[[№]:[Profit]],12,0)=0,"-",VLOOKUP(B870,Baza[[№]:[Profit]],12,0)),"")</f>
        <v/>
      </c>
      <c r="P870" s="43" t="str">
        <f>IFERROR(IF(VLOOKUP(B870,Baza[[№]:[Profit]],13,0)=0,"-",VLOOKUP(B870,Baza[[№]:[Profit]],13,0)),"")</f>
        <v/>
      </c>
      <c r="Q870" s="43" t="str">
        <f>IFERROR(IF(VLOOKUP(B870,Baza[[№]:[Profit]],15,0)=0,"-",VLOOKUP(B870,Baza[[№]:[Profit]],15,0)),"")</f>
        <v/>
      </c>
      <c r="R870" s="43" t="str">
        <f>IFERROR(IF(VLOOKUP(B870,Baza[[№]:[Profit]],16,0)=0,"-",VLOOKUP(B870,Baza[[№]:[Profit]],16,0)),"")</f>
        <v/>
      </c>
      <c r="S870" s="43" t="str">
        <f>IFERROR(IF(VLOOKUP(B870,Baza[[№]:[Profit]],17,0)=0,"-",VLOOKUP(B870,Baza[[№]:[Profit]],17,0)),"")</f>
        <v/>
      </c>
      <c r="T870" s="43" t="str">
        <f>IFERROR(IF(VLOOKUP(B870,Baza[[№]:[Profit]],18,0)=0,"-",VLOOKUP(B870,Baza[[№]:[Profit]],18,0)),"")</f>
        <v/>
      </c>
      <c r="U870" s="41" t="str">
        <f>IFERROR(IF(VLOOKUP(B870,Baza[[№]:[Profit]],19,0)=0,"-",VLOOKUP(B870,Baza[[№]:[Profit]],19,0)),"")</f>
        <v/>
      </c>
      <c r="V870" s="41" t="str">
        <f>IFERROR(VLOOKUP(B870,Baza[[№]:[Profit]],20,0),"")</f>
        <v/>
      </c>
      <c r="W870" s="41" t="str">
        <f>IFERROR(IF(VLOOKUP(B870,Baza[[№]:[Profit]],21,0)=0,"-",VLOOKUP(B870,Baza[[№]:[Profit]],21,0)),"")</f>
        <v/>
      </c>
      <c r="X870" s="45" t="str">
        <f>IFERROR(IF(VLOOKUP(B870,Baza[[№]:[Profit]],22,0)=0,"-",VLOOKUP(B870,Baza[[№]:[Profit]],22,0)),"")</f>
        <v/>
      </c>
      <c r="Y870" s="45" t="str">
        <f>IFERROR(VLOOKUP(B870,Baza[[№]:[Profit]],23,0),"")</f>
        <v/>
      </c>
      <c r="Z870" s="44" t="str">
        <f>IFERROR(VLOOKUP(B870,Baza[[№]:[AFS]],24,0),"")</f>
        <v/>
      </c>
      <c r="AA870" s="45" t="str">
        <f>IF(Таблица2[[#This Row],[Profit]]="","#Н/Д",SUM($Y$40:Y870))</f>
        <v>#Н/Д</v>
      </c>
      <c r="AB870" s="45" t="b">
        <f>IF(Таблица2[[#This Row],[Grafik]]="#Н/Д",FALSE,TRUE)</f>
        <v>0</v>
      </c>
    </row>
    <row r="871" spans="3:28" ht="11.1" hidden="1" customHeight="1" x14ac:dyDescent="0.25">
      <c r="C871" s="41" t="str">
        <f>IFERROR(VLOOKUP(B871,Baza[[№]:[Profit]],2,0),"")</f>
        <v/>
      </c>
      <c r="D87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7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71" s="43" t="str">
        <f>IFERROR(VLOOKUP(B871,Baza[[№]:[Profit]],3,0),"")</f>
        <v/>
      </c>
      <c r="G871" s="43" t="str">
        <f>IFERROR(VLOOKUP(B871,Baza[[№]:[Profit]],4,0),"")</f>
        <v/>
      </c>
      <c r="H871" s="43" t="str">
        <f>IFERROR(VLOOKUP(B871,Baza[[№]:[Profit]],5,0),"")</f>
        <v/>
      </c>
      <c r="I871" s="46" t="str">
        <f>IFERROR(VLOOKUP(B871,Baza[[№]:[Profit]],6,0),"")</f>
        <v/>
      </c>
      <c r="J871" s="49" t="str">
        <f>IFERROR(VLOOKUP(B871,Baza[[№]:[Profit]],7,0),"")</f>
        <v/>
      </c>
      <c r="K871" s="43" t="str">
        <f>IFERROR(VLOOKUP(B871,Baza[[№]:[Profit]],8,0),"")</f>
        <v/>
      </c>
      <c r="L871" s="43" t="str">
        <f>IFERROR(VLOOKUP(B871,Baza[[№]:[Profit]],9,0),"")</f>
        <v/>
      </c>
      <c r="M871" s="43" t="str">
        <f>IFERROR(VLOOKUP(B871,Baza[[№]:[Profit]],10,0),"")</f>
        <v/>
      </c>
      <c r="N871" s="43" t="str">
        <f>IFERROR(IF(VLOOKUP(B871,Baza[[№]:[Profit]],11,0)=0,"-",VLOOKUP(B871,Baza[[№]:[Profit]],11,0)),"")</f>
        <v/>
      </c>
      <c r="O871" s="43" t="str">
        <f>IFERROR(IF(VLOOKUP(B871,Baza[[№]:[Profit]],12,0)=0,"-",VLOOKUP(B871,Baza[[№]:[Profit]],12,0)),"")</f>
        <v/>
      </c>
      <c r="P871" s="43" t="str">
        <f>IFERROR(IF(VLOOKUP(B871,Baza[[№]:[Profit]],13,0)=0,"-",VLOOKUP(B871,Baza[[№]:[Profit]],13,0)),"")</f>
        <v/>
      </c>
      <c r="Q871" s="43" t="str">
        <f>IFERROR(IF(VLOOKUP(B871,Baza[[№]:[Profit]],15,0)=0,"-",VLOOKUP(B871,Baza[[№]:[Profit]],15,0)),"")</f>
        <v/>
      </c>
      <c r="R871" s="43" t="str">
        <f>IFERROR(IF(VLOOKUP(B871,Baza[[№]:[Profit]],16,0)=0,"-",VLOOKUP(B871,Baza[[№]:[Profit]],16,0)),"")</f>
        <v/>
      </c>
      <c r="S871" s="43" t="str">
        <f>IFERROR(IF(VLOOKUP(B871,Baza[[№]:[Profit]],17,0)=0,"-",VLOOKUP(B871,Baza[[№]:[Profit]],17,0)),"")</f>
        <v/>
      </c>
      <c r="T871" s="43" t="str">
        <f>IFERROR(IF(VLOOKUP(B871,Baza[[№]:[Profit]],18,0)=0,"-",VLOOKUP(B871,Baza[[№]:[Profit]],18,0)),"")</f>
        <v/>
      </c>
      <c r="U871" s="41" t="str">
        <f>IFERROR(IF(VLOOKUP(B871,Baza[[№]:[Profit]],19,0)=0,"-",VLOOKUP(B871,Baza[[№]:[Profit]],19,0)),"")</f>
        <v/>
      </c>
      <c r="V871" s="41" t="str">
        <f>IFERROR(VLOOKUP(B871,Baza[[№]:[Profit]],20,0),"")</f>
        <v/>
      </c>
      <c r="W871" s="41" t="str">
        <f>IFERROR(IF(VLOOKUP(B871,Baza[[№]:[Profit]],21,0)=0,"-",VLOOKUP(B871,Baza[[№]:[Profit]],21,0)),"")</f>
        <v/>
      </c>
      <c r="X871" s="45" t="str">
        <f>IFERROR(IF(VLOOKUP(B871,Baza[[№]:[Profit]],22,0)=0,"-",VLOOKUP(B871,Baza[[№]:[Profit]],22,0)),"")</f>
        <v/>
      </c>
      <c r="Y871" s="45" t="str">
        <f>IFERROR(VLOOKUP(B871,Baza[[№]:[Profit]],23,0),"")</f>
        <v/>
      </c>
      <c r="Z871" s="44" t="str">
        <f>IFERROR(VLOOKUP(B871,Baza[[№]:[AFS]],24,0),"")</f>
        <v/>
      </c>
      <c r="AA871" s="45" t="str">
        <f>IF(Таблица2[[#This Row],[Profit]]="","#Н/Д",SUM($Y$40:Y871))</f>
        <v>#Н/Д</v>
      </c>
      <c r="AB871" s="45" t="b">
        <f>IF(Таблица2[[#This Row],[Grafik]]="#Н/Д",FALSE,TRUE)</f>
        <v>0</v>
      </c>
    </row>
    <row r="872" spans="3:28" ht="11.1" hidden="1" customHeight="1" x14ac:dyDescent="0.25">
      <c r="C872" s="41" t="str">
        <f>IFERROR(VLOOKUP(B872,Baza[[№]:[Profit]],2,0),"")</f>
        <v/>
      </c>
      <c r="D87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7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72" s="43" t="str">
        <f>IFERROR(VLOOKUP(B872,Baza[[№]:[Profit]],3,0),"")</f>
        <v/>
      </c>
      <c r="G872" s="43" t="str">
        <f>IFERROR(VLOOKUP(B872,Baza[[№]:[Profit]],4,0),"")</f>
        <v/>
      </c>
      <c r="H872" s="43" t="str">
        <f>IFERROR(VLOOKUP(B872,Baza[[№]:[Profit]],5,0),"")</f>
        <v/>
      </c>
      <c r="I872" s="46" t="str">
        <f>IFERROR(VLOOKUP(B872,Baza[[№]:[Profit]],6,0),"")</f>
        <v/>
      </c>
      <c r="J872" s="49" t="str">
        <f>IFERROR(VLOOKUP(B872,Baza[[№]:[Profit]],7,0),"")</f>
        <v/>
      </c>
      <c r="K872" s="43" t="str">
        <f>IFERROR(VLOOKUP(B872,Baza[[№]:[Profit]],8,0),"")</f>
        <v/>
      </c>
      <c r="L872" s="43" t="str">
        <f>IFERROR(VLOOKUP(B872,Baza[[№]:[Profit]],9,0),"")</f>
        <v/>
      </c>
      <c r="M872" s="43" t="str">
        <f>IFERROR(VLOOKUP(B872,Baza[[№]:[Profit]],10,0),"")</f>
        <v/>
      </c>
      <c r="N872" s="43" t="str">
        <f>IFERROR(IF(VLOOKUP(B872,Baza[[№]:[Profit]],11,0)=0,"-",VLOOKUP(B872,Baza[[№]:[Profit]],11,0)),"")</f>
        <v/>
      </c>
      <c r="O872" s="43" t="str">
        <f>IFERROR(IF(VLOOKUP(B872,Baza[[№]:[Profit]],12,0)=0,"-",VLOOKUP(B872,Baza[[№]:[Profit]],12,0)),"")</f>
        <v/>
      </c>
      <c r="P872" s="43" t="str">
        <f>IFERROR(IF(VLOOKUP(B872,Baza[[№]:[Profit]],13,0)=0,"-",VLOOKUP(B872,Baza[[№]:[Profit]],13,0)),"")</f>
        <v/>
      </c>
      <c r="Q872" s="43" t="str">
        <f>IFERROR(IF(VLOOKUP(B872,Baza[[№]:[Profit]],15,0)=0,"-",VLOOKUP(B872,Baza[[№]:[Profit]],15,0)),"")</f>
        <v/>
      </c>
      <c r="R872" s="43" t="str">
        <f>IFERROR(IF(VLOOKUP(B872,Baza[[№]:[Profit]],16,0)=0,"-",VLOOKUP(B872,Baza[[№]:[Profit]],16,0)),"")</f>
        <v/>
      </c>
      <c r="S872" s="43" t="str">
        <f>IFERROR(IF(VLOOKUP(B872,Baza[[№]:[Profit]],17,0)=0,"-",VLOOKUP(B872,Baza[[№]:[Profit]],17,0)),"")</f>
        <v/>
      </c>
      <c r="T872" s="43" t="str">
        <f>IFERROR(IF(VLOOKUP(B872,Baza[[№]:[Profit]],18,0)=0,"-",VLOOKUP(B872,Baza[[№]:[Profit]],18,0)),"")</f>
        <v/>
      </c>
      <c r="U872" s="41" t="str">
        <f>IFERROR(IF(VLOOKUP(B872,Baza[[№]:[Profit]],19,0)=0,"-",VLOOKUP(B872,Baza[[№]:[Profit]],19,0)),"")</f>
        <v/>
      </c>
      <c r="V872" s="41" t="str">
        <f>IFERROR(VLOOKUP(B872,Baza[[№]:[Profit]],20,0),"")</f>
        <v/>
      </c>
      <c r="W872" s="41" t="str">
        <f>IFERROR(IF(VLOOKUP(B872,Baza[[№]:[Profit]],21,0)=0,"-",VLOOKUP(B872,Baza[[№]:[Profit]],21,0)),"")</f>
        <v/>
      </c>
      <c r="X872" s="45" t="str">
        <f>IFERROR(IF(VLOOKUP(B872,Baza[[№]:[Profit]],22,0)=0,"-",VLOOKUP(B872,Baza[[№]:[Profit]],22,0)),"")</f>
        <v/>
      </c>
      <c r="Y872" s="45" t="str">
        <f>IFERROR(VLOOKUP(B872,Baza[[№]:[Profit]],23,0),"")</f>
        <v/>
      </c>
      <c r="Z872" s="44" t="str">
        <f>IFERROR(VLOOKUP(B872,Baza[[№]:[AFS]],24,0),"")</f>
        <v/>
      </c>
      <c r="AA872" s="45" t="str">
        <f>IF(Таблица2[[#This Row],[Profit]]="","#Н/Д",SUM($Y$40:Y872))</f>
        <v>#Н/Д</v>
      </c>
      <c r="AB872" s="45" t="b">
        <f>IF(Таблица2[[#This Row],[Grafik]]="#Н/Д",FALSE,TRUE)</f>
        <v>0</v>
      </c>
    </row>
    <row r="873" spans="3:28" ht="11.1" hidden="1" customHeight="1" x14ac:dyDescent="0.25">
      <c r="C873" s="41" t="str">
        <f>IFERROR(VLOOKUP(B873,Baza[[№]:[Profit]],2,0),"")</f>
        <v/>
      </c>
      <c r="D87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7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73" s="43" t="str">
        <f>IFERROR(VLOOKUP(B873,Baza[[№]:[Profit]],3,0),"")</f>
        <v/>
      </c>
      <c r="G873" s="43" t="str">
        <f>IFERROR(VLOOKUP(B873,Baza[[№]:[Profit]],4,0),"")</f>
        <v/>
      </c>
      <c r="H873" s="43" t="str">
        <f>IFERROR(VLOOKUP(B873,Baza[[№]:[Profit]],5,0),"")</f>
        <v/>
      </c>
      <c r="I873" s="46" t="str">
        <f>IFERROR(VLOOKUP(B873,Baza[[№]:[Profit]],6,0),"")</f>
        <v/>
      </c>
      <c r="J873" s="49" t="str">
        <f>IFERROR(VLOOKUP(B873,Baza[[№]:[Profit]],7,0),"")</f>
        <v/>
      </c>
      <c r="K873" s="43" t="str">
        <f>IFERROR(VLOOKUP(B873,Baza[[№]:[Profit]],8,0),"")</f>
        <v/>
      </c>
      <c r="L873" s="43" t="str">
        <f>IFERROR(VLOOKUP(B873,Baza[[№]:[Profit]],9,0),"")</f>
        <v/>
      </c>
      <c r="M873" s="43" t="str">
        <f>IFERROR(VLOOKUP(B873,Baza[[№]:[Profit]],10,0),"")</f>
        <v/>
      </c>
      <c r="N873" s="43" t="str">
        <f>IFERROR(IF(VLOOKUP(B873,Baza[[№]:[Profit]],11,0)=0,"-",VLOOKUP(B873,Baza[[№]:[Profit]],11,0)),"")</f>
        <v/>
      </c>
      <c r="O873" s="43" t="str">
        <f>IFERROR(IF(VLOOKUP(B873,Baza[[№]:[Profit]],12,0)=0,"-",VLOOKUP(B873,Baza[[№]:[Profit]],12,0)),"")</f>
        <v/>
      </c>
      <c r="P873" s="43" t="str">
        <f>IFERROR(IF(VLOOKUP(B873,Baza[[№]:[Profit]],13,0)=0,"-",VLOOKUP(B873,Baza[[№]:[Profit]],13,0)),"")</f>
        <v/>
      </c>
      <c r="Q873" s="43" t="str">
        <f>IFERROR(IF(VLOOKUP(B873,Baza[[№]:[Profit]],15,0)=0,"-",VLOOKUP(B873,Baza[[№]:[Profit]],15,0)),"")</f>
        <v/>
      </c>
      <c r="R873" s="43" t="str">
        <f>IFERROR(IF(VLOOKUP(B873,Baza[[№]:[Profit]],16,0)=0,"-",VLOOKUP(B873,Baza[[№]:[Profit]],16,0)),"")</f>
        <v/>
      </c>
      <c r="S873" s="43" t="str">
        <f>IFERROR(IF(VLOOKUP(B873,Baza[[№]:[Profit]],17,0)=0,"-",VLOOKUP(B873,Baza[[№]:[Profit]],17,0)),"")</f>
        <v/>
      </c>
      <c r="T873" s="43" t="str">
        <f>IFERROR(IF(VLOOKUP(B873,Baza[[№]:[Profit]],18,0)=0,"-",VLOOKUP(B873,Baza[[№]:[Profit]],18,0)),"")</f>
        <v/>
      </c>
      <c r="U873" s="41" t="str">
        <f>IFERROR(IF(VLOOKUP(B873,Baza[[№]:[Profit]],19,0)=0,"-",VLOOKUP(B873,Baza[[№]:[Profit]],19,0)),"")</f>
        <v/>
      </c>
      <c r="V873" s="41" t="str">
        <f>IFERROR(VLOOKUP(B873,Baza[[№]:[Profit]],20,0),"")</f>
        <v/>
      </c>
      <c r="W873" s="41" t="str">
        <f>IFERROR(IF(VLOOKUP(B873,Baza[[№]:[Profit]],21,0)=0,"-",VLOOKUP(B873,Baza[[№]:[Profit]],21,0)),"")</f>
        <v/>
      </c>
      <c r="X873" s="45" t="str">
        <f>IFERROR(IF(VLOOKUP(B873,Baza[[№]:[Profit]],22,0)=0,"-",VLOOKUP(B873,Baza[[№]:[Profit]],22,0)),"")</f>
        <v/>
      </c>
      <c r="Y873" s="45" t="str">
        <f>IFERROR(VLOOKUP(B873,Baza[[№]:[Profit]],23,0),"")</f>
        <v/>
      </c>
      <c r="Z873" s="44" t="str">
        <f>IFERROR(VLOOKUP(B873,Baza[[№]:[AFS]],24,0),"")</f>
        <v/>
      </c>
      <c r="AA873" s="45" t="str">
        <f>IF(Таблица2[[#This Row],[Profit]]="","#Н/Д",SUM($Y$40:Y873))</f>
        <v>#Н/Д</v>
      </c>
      <c r="AB873" s="45" t="b">
        <f>IF(Таблица2[[#This Row],[Grafik]]="#Н/Д",FALSE,TRUE)</f>
        <v>0</v>
      </c>
    </row>
    <row r="874" spans="3:28" ht="11.1" hidden="1" customHeight="1" x14ac:dyDescent="0.25">
      <c r="C874" s="41" t="str">
        <f>IFERROR(VLOOKUP(B874,Baza[[№]:[Profit]],2,0),"")</f>
        <v/>
      </c>
      <c r="D87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7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74" s="43" t="str">
        <f>IFERROR(VLOOKUP(B874,Baza[[№]:[Profit]],3,0),"")</f>
        <v/>
      </c>
      <c r="G874" s="43" t="str">
        <f>IFERROR(VLOOKUP(B874,Baza[[№]:[Profit]],4,0),"")</f>
        <v/>
      </c>
      <c r="H874" s="43" t="str">
        <f>IFERROR(VLOOKUP(B874,Baza[[№]:[Profit]],5,0),"")</f>
        <v/>
      </c>
      <c r="I874" s="46" t="str">
        <f>IFERROR(VLOOKUP(B874,Baza[[№]:[Profit]],6,0),"")</f>
        <v/>
      </c>
      <c r="J874" s="49" t="str">
        <f>IFERROR(VLOOKUP(B874,Baza[[№]:[Profit]],7,0),"")</f>
        <v/>
      </c>
      <c r="K874" s="43" t="str">
        <f>IFERROR(VLOOKUP(B874,Baza[[№]:[Profit]],8,0),"")</f>
        <v/>
      </c>
      <c r="L874" s="43" t="str">
        <f>IFERROR(VLOOKUP(B874,Baza[[№]:[Profit]],9,0),"")</f>
        <v/>
      </c>
      <c r="M874" s="43" t="str">
        <f>IFERROR(VLOOKUP(B874,Baza[[№]:[Profit]],10,0),"")</f>
        <v/>
      </c>
      <c r="N874" s="43" t="str">
        <f>IFERROR(IF(VLOOKUP(B874,Baza[[№]:[Profit]],11,0)=0,"-",VLOOKUP(B874,Baza[[№]:[Profit]],11,0)),"")</f>
        <v/>
      </c>
      <c r="O874" s="43" t="str">
        <f>IFERROR(IF(VLOOKUP(B874,Baza[[№]:[Profit]],12,0)=0,"-",VLOOKUP(B874,Baza[[№]:[Profit]],12,0)),"")</f>
        <v/>
      </c>
      <c r="P874" s="43" t="str">
        <f>IFERROR(IF(VLOOKUP(B874,Baza[[№]:[Profit]],13,0)=0,"-",VLOOKUP(B874,Baza[[№]:[Profit]],13,0)),"")</f>
        <v/>
      </c>
      <c r="Q874" s="43" t="str">
        <f>IFERROR(IF(VLOOKUP(B874,Baza[[№]:[Profit]],15,0)=0,"-",VLOOKUP(B874,Baza[[№]:[Profit]],15,0)),"")</f>
        <v/>
      </c>
      <c r="R874" s="43" t="str">
        <f>IFERROR(IF(VLOOKUP(B874,Baza[[№]:[Profit]],16,0)=0,"-",VLOOKUP(B874,Baza[[№]:[Profit]],16,0)),"")</f>
        <v/>
      </c>
      <c r="S874" s="43" t="str">
        <f>IFERROR(IF(VLOOKUP(B874,Baza[[№]:[Profit]],17,0)=0,"-",VLOOKUP(B874,Baza[[№]:[Profit]],17,0)),"")</f>
        <v/>
      </c>
      <c r="T874" s="43" t="str">
        <f>IFERROR(IF(VLOOKUP(B874,Baza[[№]:[Profit]],18,0)=0,"-",VLOOKUP(B874,Baza[[№]:[Profit]],18,0)),"")</f>
        <v/>
      </c>
      <c r="U874" s="41" t="str">
        <f>IFERROR(IF(VLOOKUP(B874,Baza[[№]:[Profit]],19,0)=0,"-",VLOOKUP(B874,Baza[[№]:[Profit]],19,0)),"")</f>
        <v/>
      </c>
      <c r="V874" s="41" t="str">
        <f>IFERROR(VLOOKUP(B874,Baza[[№]:[Profit]],20,0),"")</f>
        <v/>
      </c>
      <c r="W874" s="41" t="str">
        <f>IFERROR(IF(VLOOKUP(B874,Baza[[№]:[Profit]],21,0)=0,"-",VLOOKUP(B874,Baza[[№]:[Profit]],21,0)),"")</f>
        <v/>
      </c>
      <c r="X874" s="45" t="str">
        <f>IFERROR(IF(VLOOKUP(B874,Baza[[№]:[Profit]],22,0)=0,"-",VLOOKUP(B874,Baza[[№]:[Profit]],22,0)),"")</f>
        <v/>
      </c>
      <c r="Y874" s="45" t="str">
        <f>IFERROR(VLOOKUP(B874,Baza[[№]:[Profit]],23,0),"")</f>
        <v/>
      </c>
      <c r="Z874" s="44" t="str">
        <f>IFERROR(VLOOKUP(B874,Baza[[№]:[AFS]],24,0),"")</f>
        <v/>
      </c>
      <c r="AA874" s="45" t="str">
        <f>IF(Таблица2[[#This Row],[Profit]]="","#Н/Д",SUM($Y$40:Y874))</f>
        <v>#Н/Д</v>
      </c>
      <c r="AB874" s="45" t="b">
        <f>IF(Таблица2[[#This Row],[Grafik]]="#Н/Д",FALSE,TRUE)</f>
        <v>0</v>
      </c>
    </row>
    <row r="875" spans="3:28" ht="11.1" hidden="1" customHeight="1" x14ac:dyDescent="0.25">
      <c r="C875" s="41" t="str">
        <f>IFERROR(VLOOKUP(B875,Baza[[№]:[Profit]],2,0),"")</f>
        <v/>
      </c>
      <c r="D87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7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75" s="43" t="str">
        <f>IFERROR(VLOOKUP(B875,Baza[[№]:[Profit]],3,0),"")</f>
        <v/>
      </c>
      <c r="G875" s="43" t="str">
        <f>IFERROR(VLOOKUP(B875,Baza[[№]:[Profit]],4,0),"")</f>
        <v/>
      </c>
      <c r="H875" s="43" t="str">
        <f>IFERROR(VLOOKUP(B875,Baza[[№]:[Profit]],5,0),"")</f>
        <v/>
      </c>
      <c r="I875" s="46" t="str">
        <f>IFERROR(VLOOKUP(B875,Baza[[№]:[Profit]],6,0),"")</f>
        <v/>
      </c>
      <c r="J875" s="49" t="str">
        <f>IFERROR(VLOOKUP(B875,Baza[[№]:[Profit]],7,0),"")</f>
        <v/>
      </c>
      <c r="K875" s="43" t="str">
        <f>IFERROR(VLOOKUP(B875,Baza[[№]:[Profit]],8,0),"")</f>
        <v/>
      </c>
      <c r="L875" s="43" t="str">
        <f>IFERROR(VLOOKUP(B875,Baza[[№]:[Profit]],9,0),"")</f>
        <v/>
      </c>
      <c r="M875" s="43" t="str">
        <f>IFERROR(VLOOKUP(B875,Baza[[№]:[Profit]],10,0),"")</f>
        <v/>
      </c>
      <c r="N875" s="43" t="str">
        <f>IFERROR(IF(VLOOKUP(B875,Baza[[№]:[Profit]],11,0)=0,"-",VLOOKUP(B875,Baza[[№]:[Profit]],11,0)),"")</f>
        <v/>
      </c>
      <c r="O875" s="43" t="str">
        <f>IFERROR(IF(VLOOKUP(B875,Baza[[№]:[Profit]],12,0)=0,"-",VLOOKUP(B875,Baza[[№]:[Profit]],12,0)),"")</f>
        <v/>
      </c>
      <c r="P875" s="43" t="str">
        <f>IFERROR(IF(VLOOKUP(B875,Baza[[№]:[Profit]],13,0)=0,"-",VLOOKUP(B875,Baza[[№]:[Profit]],13,0)),"")</f>
        <v/>
      </c>
      <c r="Q875" s="43" t="str">
        <f>IFERROR(IF(VLOOKUP(B875,Baza[[№]:[Profit]],15,0)=0,"-",VLOOKUP(B875,Baza[[№]:[Profit]],15,0)),"")</f>
        <v/>
      </c>
      <c r="R875" s="43" t="str">
        <f>IFERROR(IF(VLOOKUP(B875,Baza[[№]:[Profit]],16,0)=0,"-",VLOOKUP(B875,Baza[[№]:[Profit]],16,0)),"")</f>
        <v/>
      </c>
      <c r="S875" s="43" t="str">
        <f>IFERROR(IF(VLOOKUP(B875,Baza[[№]:[Profit]],17,0)=0,"-",VLOOKUP(B875,Baza[[№]:[Profit]],17,0)),"")</f>
        <v/>
      </c>
      <c r="T875" s="43" t="str">
        <f>IFERROR(IF(VLOOKUP(B875,Baza[[№]:[Profit]],18,0)=0,"-",VLOOKUP(B875,Baza[[№]:[Profit]],18,0)),"")</f>
        <v/>
      </c>
      <c r="U875" s="41" t="str">
        <f>IFERROR(IF(VLOOKUP(B875,Baza[[№]:[Profit]],19,0)=0,"-",VLOOKUP(B875,Baza[[№]:[Profit]],19,0)),"")</f>
        <v/>
      </c>
      <c r="V875" s="41" t="str">
        <f>IFERROR(VLOOKUP(B875,Baza[[№]:[Profit]],20,0),"")</f>
        <v/>
      </c>
      <c r="W875" s="41" t="str">
        <f>IFERROR(IF(VLOOKUP(B875,Baza[[№]:[Profit]],21,0)=0,"-",VLOOKUP(B875,Baza[[№]:[Profit]],21,0)),"")</f>
        <v/>
      </c>
      <c r="X875" s="45" t="str">
        <f>IFERROR(IF(VLOOKUP(B875,Baza[[№]:[Profit]],22,0)=0,"-",VLOOKUP(B875,Baza[[№]:[Profit]],22,0)),"")</f>
        <v/>
      </c>
      <c r="Y875" s="45" t="str">
        <f>IFERROR(VLOOKUP(B875,Baza[[№]:[Profit]],23,0),"")</f>
        <v/>
      </c>
      <c r="Z875" s="44" t="str">
        <f>IFERROR(VLOOKUP(B875,Baza[[№]:[AFS]],24,0),"")</f>
        <v/>
      </c>
      <c r="AA875" s="45" t="str">
        <f>IF(Таблица2[[#This Row],[Profit]]="","#Н/Д",SUM($Y$40:Y875))</f>
        <v>#Н/Д</v>
      </c>
      <c r="AB875" s="45" t="b">
        <f>IF(Таблица2[[#This Row],[Grafik]]="#Н/Д",FALSE,TRUE)</f>
        <v>0</v>
      </c>
    </row>
    <row r="876" spans="3:28" ht="11.1" hidden="1" customHeight="1" x14ac:dyDescent="0.25">
      <c r="C876" s="41" t="str">
        <f>IFERROR(VLOOKUP(B876,Baza[[№]:[Profit]],2,0),"")</f>
        <v/>
      </c>
      <c r="D87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7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76" s="43" t="str">
        <f>IFERROR(VLOOKUP(B876,Baza[[№]:[Profit]],3,0),"")</f>
        <v/>
      </c>
      <c r="G876" s="43" t="str">
        <f>IFERROR(VLOOKUP(B876,Baza[[№]:[Profit]],4,0),"")</f>
        <v/>
      </c>
      <c r="H876" s="43" t="str">
        <f>IFERROR(VLOOKUP(B876,Baza[[№]:[Profit]],5,0),"")</f>
        <v/>
      </c>
      <c r="I876" s="46" t="str">
        <f>IFERROR(VLOOKUP(B876,Baza[[№]:[Profit]],6,0),"")</f>
        <v/>
      </c>
      <c r="J876" s="49" t="str">
        <f>IFERROR(VLOOKUP(B876,Baza[[№]:[Profit]],7,0),"")</f>
        <v/>
      </c>
      <c r="K876" s="43" t="str">
        <f>IFERROR(VLOOKUP(B876,Baza[[№]:[Profit]],8,0),"")</f>
        <v/>
      </c>
      <c r="L876" s="43" t="str">
        <f>IFERROR(VLOOKUP(B876,Baza[[№]:[Profit]],9,0),"")</f>
        <v/>
      </c>
      <c r="M876" s="43" t="str">
        <f>IFERROR(VLOOKUP(B876,Baza[[№]:[Profit]],10,0),"")</f>
        <v/>
      </c>
      <c r="N876" s="43" t="str">
        <f>IFERROR(IF(VLOOKUP(B876,Baza[[№]:[Profit]],11,0)=0,"-",VLOOKUP(B876,Baza[[№]:[Profit]],11,0)),"")</f>
        <v/>
      </c>
      <c r="O876" s="43" t="str">
        <f>IFERROR(IF(VLOOKUP(B876,Baza[[№]:[Profit]],12,0)=0,"-",VLOOKUP(B876,Baza[[№]:[Profit]],12,0)),"")</f>
        <v/>
      </c>
      <c r="P876" s="43" t="str">
        <f>IFERROR(IF(VLOOKUP(B876,Baza[[№]:[Profit]],13,0)=0,"-",VLOOKUP(B876,Baza[[№]:[Profit]],13,0)),"")</f>
        <v/>
      </c>
      <c r="Q876" s="43" t="str">
        <f>IFERROR(IF(VLOOKUP(B876,Baza[[№]:[Profit]],15,0)=0,"-",VLOOKUP(B876,Baza[[№]:[Profit]],15,0)),"")</f>
        <v/>
      </c>
      <c r="R876" s="43" t="str">
        <f>IFERROR(IF(VLOOKUP(B876,Baza[[№]:[Profit]],16,0)=0,"-",VLOOKUP(B876,Baza[[№]:[Profit]],16,0)),"")</f>
        <v/>
      </c>
      <c r="S876" s="43" t="str">
        <f>IFERROR(IF(VLOOKUP(B876,Baza[[№]:[Profit]],17,0)=0,"-",VLOOKUP(B876,Baza[[№]:[Profit]],17,0)),"")</f>
        <v/>
      </c>
      <c r="T876" s="43" t="str">
        <f>IFERROR(IF(VLOOKUP(B876,Baza[[№]:[Profit]],18,0)=0,"-",VLOOKUP(B876,Baza[[№]:[Profit]],18,0)),"")</f>
        <v/>
      </c>
      <c r="U876" s="41" t="str">
        <f>IFERROR(IF(VLOOKUP(B876,Baza[[№]:[Profit]],19,0)=0,"-",VLOOKUP(B876,Baza[[№]:[Profit]],19,0)),"")</f>
        <v/>
      </c>
      <c r="V876" s="41" t="str">
        <f>IFERROR(VLOOKUP(B876,Baza[[№]:[Profit]],20,0),"")</f>
        <v/>
      </c>
      <c r="W876" s="41" t="str">
        <f>IFERROR(IF(VLOOKUP(B876,Baza[[№]:[Profit]],21,0)=0,"-",VLOOKUP(B876,Baza[[№]:[Profit]],21,0)),"")</f>
        <v/>
      </c>
      <c r="X876" s="45" t="str">
        <f>IFERROR(IF(VLOOKUP(B876,Baza[[№]:[Profit]],22,0)=0,"-",VLOOKUP(B876,Baza[[№]:[Profit]],22,0)),"")</f>
        <v/>
      </c>
      <c r="Y876" s="45" t="str">
        <f>IFERROR(VLOOKUP(B876,Baza[[№]:[Profit]],23,0),"")</f>
        <v/>
      </c>
      <c r="Z876" s="44" t="str">
        <f>IFERROR(VLOOKUP(B876,Baza[[№]:[AFS]],24,0),"")</f>
        <v/>
      </c>
      <c r="AA876" s="45" t="str">
        <f>IF(Таблица2[[#This Row],[Profit]]="","#Н/Д",SUM($Y$40:Y876))</f>
        <v>#Н/Д</v>
      </c>
      <c r="AB876" s="45" t="b">
        <f>IF(Таблица2[[#This Row],[Grafik]]="#Н/Д",FALSE,TRUE)</f>
        <v>0</v>
      </c>
    </row>
    <row r="877" spans="3:28" ht="11.1" hidden="1" customHeight="1" x14ac:dyDescent="0.25">
      <c r="C877" s="41" t="str">
        <f>IFERROR(VLOOKUP(B877,Baza[[№]:[Profit]],2,0),"")</f>
        <v/>
      </c>
      <c r="D87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7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77" s="43" t="str">
        <f>IFERROR(VLOOKUP(B877,Baza[[№]:[Profit]],3,0),"")</f>
        <v/>
      </c>
      <c r="G877" s="43" t="str">
        <f>IFERROR(VLOOKUP(B877,Baza[[№]:[Profit]],4,0),"")</f>
        <v/>
      </c>
      <c r="H877" s="43" t="str">
        <f>IFERROR(VLOOKUP(B877,Baza[[№]:[Profit]],5,0),"")</f>
        <v/>
      </c>
      <c r="I877" s="46" t="str">
        <f>IFERROR(VLOOKUP(B877,Baza[[№]:[Profit]],6,0),"")</f>
        <v/>
      </c>
      <c r="J877" s="49" t="str">
        <f>IFERROR(VLOOKUP(B877,Baza[[№]:[Profit]],7,0),"")</f>
        <v/>
      </c>
      <c r="K877" s="43" t="str">
        <f>IFERROR(VLOOKUP(B877,Baza[[№]:[Profit]],8,0),"")</f>
        <v/>
      </c>
      <c r="L877" s="43" t="str">
        <f>IFERROR(VLOOKUP(B877,Baza[[№]:[Profit]],9,0),"")</f>
        <v/>
      </c>
      <c r="M877" s="43" t="str">
        <f>IFERROR(VLOOKUP(B877,Baza[[№]:[Profit]],10,0),"")</f>
        <v/>
      </c>
      <c r="N877" s="43" t="str">
        <f>IFERROR(IF(VLOOKUP(B877,Baza[[№]:[Profit]],11,0)=0,"-",VLOOKUP(B877,Baza[[№]:[Profit]],11,0)),"")</f>
        <v/>
      </c>
      <c r="O877" s="43" t="str">
        <f>IFERROR(IF(VLOOKUP(B877,Baza[[№]:[Profit]],12,0)=0,"-",VLOOKUP(B877,Baza[[№]:[Profit]],12,0)),"")</f>
        <v/>
      </c>
      <c r="P877" s="43" t="str">
        <f>IFERROR(IF(VLOOKUP(B877,Baza[[№]:[Profit]],13,0)=0,"-",VLOOKUP(B877,Baza[[№]:[Profit]],13,0)),"")</f>
        <v/>
      </c>
      <c r="Q877" s="43" t="str">
        <f>IFERROR(IF(VLOOKUP(B877,Baza[[№]:[Profit]],15,0)=0,"-",VLOOKUP(B877,Baza[[№]:[Profit]],15,0)),"")</f>
        <v/>
      </c>
      <c r="R877" s="43" t="str">
        <f>IFERROR(IF(VLOOKUP(B877,Baza[[№]:[Profit]],16,0)=0,"-",VLOOKUP(B877,Baza[[№]:[Profit]],16,0)),"")</f>
        <v/>
      </c>
      <c r="S877" s="43" t="str">
        <f>IFERROR(IF(VLOOKUP(B877,Baza[[№]:[Profit]],17,0)=0,"-",VLOOKUP(B877,Baza[[№]:[Profit]],17,0)),"")</f>
        <v/>
      </c>
      <c r="T877" s="43" t="str">
        <f>IFERROR(IF(VLOOKUP(B877,Baza[[№]:[Profit]],18,0)=0,"-",VLOOKUP(B877,Baza[[№]:[Profit]],18,0)),"")</f>
        <v/>
      </c>
      <c r="U877" s="41" t="str">
        <f>IFERROR(IF(VLOOKUP(B877,Baza[[№]:[Profit]],19,0)=0,"-",VLOOKUP(B877,Baza[[№]:[Profit]],19,0)),"")</f>
        <v/>
      </c>
      <c r="V877" s="41" t="str">
        <f>IFERROR(VLOOKUP(B877,Baza[[№]:[Profit]],20,0),"")</f>
        <v/>
      </c>
      <c r="W877" s="41" t="str">
        <f>IFERROR(IF(VLOOKUP(B877,Baza[[№]:[Profit]],21,0)=0,"-",VLOOKUP(B877,Baza[[№]:[Profit]],21,0)),"")</f>
        <v/>
      </c>
      <c r="X877" s="45" t="str">
        <f>IFERROR(IF(VLOOKUP(B877,Baza[[№]:[Profit]],22,0)=0,"-",VLOOKUP(B877,Baza[[№]:[Profit]],22,0)),"")</f>
        <v/>
      </c>
      <c r="Y877" s="45" t="str">
        <f>IFERROR(VLOOKUP(B877,Baza[[№]:[Profit]],23,0),"")</f>
        <v/>
      </c>
      <c r="Z877" s="44" t="str">
        <f>IFERROR(VLOOKUP(B877,Baza[[№]:[AFS]],24,0),"")</f>
        <v/>
      </c>
      <c r="AA877" s="45" t="str">
        <f>IF(Таблица2[[#This Row],[Profit]]="","#Н/Д",SUM($Y$40:Y877))</f>
        <v>#Н/Д</v>
      </c>
      <c r="AB877" s="45" t="b">
        <f>IF(Таблица2[[#This Row],[Grafik]]="#Н/Д",FALSE,TRUE)</f>
        <v>0</v>
      </c>
    </row>
    <row r="878" spans="3:28" ht="11.1" hidden="1" customHeight="1" x14ac:dyDescent="0.25">
      <c r="C878" s="41" t="str">
        <f>IFERROR(VLOOKUP(B878,Baza[[№]:[Profit]],2,0),"")</f>
        <v/>
      </c>
      <c r="D87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7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78" s="43" t="str">
        <f>IFERROR(VLOOKUP(B878,Baza[[№]:[Profit]],3,0),"")</f>
        <v/>
      </c>
      <c r="G878" s="43" t="str">
        <f>IFERROR(VLOOKUP(B878,Baza[[№]:[Profit]],4,0),"")</f>
        <v/>
      </c>
      <c r="H878" s="43" t="str">
        <f>IFERROR(VLOOKUP(B878,Baza[[№]:[Profit]],5,0),"")</f>
        <v/>
      </c>
      <c r="I878" s="46" t="str">
        <f>IFERROR(VLOOKUP(B878,Baza[[№]:[Profit]],6,0),"")</f>
        <v/>
      </c>
      <c r="J878" s="49" t="str">
        <f>IFERROR(VLOOKUP(B878,Baza[[№]:[Profit]],7,0),"")</f>
        <v/>
      </c>
      <c r="K878" s="43" t="str">
        <f>IFERROR(VLOOKUP(B878,Baza[[№]:[Profit]],8,0),"")</f>
        <v/>
      </c>
      <c r="L878" s="43" t="str">
        <f>IFERROR(VLOOKUP(B878,Baza[[№]:[Profit]],9,0),"")</f>
        <v/>
      </c>
      <c r="M878" s="43" t="str">
        <f>IFERROR(VLOOKUP(B878,Baza[[№]:[Profit]],10,0),"")</f>
        <v/>
      </c>
      <c r="N878" s="43" t="str">
        <f>IFERROR(IF(VLOOKUP(B878,Baza[[№]:[Profit]],11,0)=0,"-",VLOOKUP(B878,Baza[[№]:[Profit]],11,0)),"")</f>
        <v/>
      </c>
      <c r="O878" s="43" t="str">
        <f>IFERROR(IF(VLOOKUP(B878,Baza[[№]:[Profit]],12,0)=0,"-",VLOOKUP(B878,Baza[[№]:[Profit]],12,0)),"")</f>
        <v/>
      </c>
      <c r="P878" s="43" t="str">
        <f>IFERROR(IF(VLOOKUP(B878,Baza[[№]:[Profit]],13,0)=0,"-",VLOOKUP(B878,Baza[[№]:[Profit]],13,0)),"")</f>
        <v/>
      </c>
      <c r="Q878" s="43" t="str">
        <f>IFERROR(IF(VLOOKUP(B878,Baza[[№]:[Profit]],15,0)=0,"-",VLOOKUP(B878,Baza[[№]:[Profit]],15,0)),"")</f>
        <v/>
      </c>
      <c r="R878" s="43" t="str">
        <f>IFERROR(IF(VLOOKUP(B878,Baza[[№]:[Profit]],16,0)=0,"-",VLOOKUP(B878,Baza[[№]:[Profit]],16,0)),"")</f>
        <v/>
      </c>
      <c r="S878" s="43" t="str">
        <f>IFERROR(IF(VLOOKUP(B878,Baza[[№]:[Profit]],17,0)=0,"-",VLOOKUP(B878,Baza[[№]:[Profit]],17,0)),"")</f>
        <v/>
      </c>
      <c r="T878" s="43" t="str">
        <f>IFERROR(IF(VLOOKUP(B878,Baza[[№]:[Profit]],18,0)=0,"-",VLOOKUP(B878,Baza[[№]:[Profit]],18,0)),"")</f>
        <v/>
      </c>
      <c r="U878" s="41" t="str">
        <f>IFERROR(IF(VLOOKUP(B878,Baza[[№]:[Profit]],19,0)=0,"-",VLOOKUP(B878,Baza[[№]:[Profit]],19,0)),"")</f>
        <v/>
      </c>
      <c r="V878" s="41" t="str">
        <f>IFERROR(VLOOKUP(B878,Baza[[№]:[Profit]],20,0),"")</f>
        <v/>
      </c>
      <c r="W878" s="41" t="str">
        <f>IFERROR(IF(VLOOKUP(B878,Baza[[№]:[Profit]],21,0)=0,"-",VLOOKUP(B878,Baza[[№]:[Profit]],21,0)),"")</f>
        <v/>
      </c>
      <c r="X878" s="45" t="str">
        <f>IFERROR(IF(VLOOKUP(B878,Baza[[№]:[Profit]],22,0)=0,"-",VLOOKUP(B878,Baza[[№]:[Profit]],22,0)),"")</f>
        <v/>
      </c>
      <c r="Y878" s="45" t="str">
        <f>IFERROR(VLOOKUP(B878,Baza[[№]:[Profit]],23,0),"")</f>
        <v/>
      </c>
      <c r="Z878" s="44" t="str">
        <f>IFERROR(VLOOKUP(B878,Baza[[№]:[AFS]],24,0),"")</f>
        <v/>
      </c>
      <c r="AA878" s="45" t="str">
        <f>IF(Таблица2[[#This Row],[Profit]]="","#Н/Д",SUM($Y$40:Y878))</f>
        <v>#Н/Д</v>
      </c>
      <c r="AB878" s="45" t="b">
        <f>IF(Таблица2[[#This Row],[Grafik]]="#Н/Д",FALSE,TRUE)</f>
        <v>0</v>
      </c>
    </row>
    <row r="879" spans="3:28" ht="11.1" hidden="1" customHeight="1" x14ac:dyDescent="0.25">
      <c r="C879" s="41" t="str">
        <f>IFERROR(VLOOKUP(B879,Baza[[№]:[Profit]],2,0),"")</f>
        <v/>
      </c>
      <c r="D87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7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79" s="43" t="str">
        <f>IFERROR(VLOOKUP(B879,Baza[[№]:[Profit]],3,0),"")</f>
        <v/>
      </c>
      <c r="G879" s="43" t="str">
        <f>IFERROR(VLOOKUP(B879,Baza[[№]:[Profit]],4,0),"")</f>
        <v/>
      </c>
      <c r="H879" s="43" t="str">
        <f>IFERROR(VLOOKUP(B879,Baza[[№]:[Profit]],5,0),"")</f>
        <v/>
      </c>
      <c r="I879" s="46" t="str">
        <f>IFERROR(VLOOKUP(B879,Baza[[№]:[Profit]],6,0),"")</f>
        <v/>
      </c>
      <c r="J879" s="49" t="str">
        <f>IFERROR(VLOOKUP(B879,Baza[[№]:[Profit]],7,0),"")</f>
        <v/>
      </c>
      <c r="K879" s="43" t="str">
        <f>IFERROR(VLOOKUP(B879,Baza[[№]:[Profit]],8,0),"")</f>
        <v/>
      </c>
      <c r="L879" s="43" t="str">
        <f>IFERROR(VLOOKUP(B879,Baza[[№]:[Profit]],9,0),"")</f>
        <v/>
      </c>
      <c r="M879" s="43" t="str">
        <f>IFERROR(VLOOKUP(B879,Baza[[№]:[Profit]],10,0),"")</f>
        <v/>
      </c>
      <c r="N879" s="43" t="str">
        <f>IFERROR(IF(VLOOKUP(B879,Baza[[№]:[Profit]],11,0)=0,"-",VLOOKUP(B879,Baza[[№]:[Profit]],11,0)),"")</f>
        <v/>
      </c>
      <c r="O879" s="43" t="str">
        <f>IFERROR(IF(VLOOKUP(B879,Baza[[№]:[Profit]],12,0)=0,"-",VLOOKUP(B879,Baza[[№]:[Profit]],12,0)),"")</f>
        <v/>
      </c>
      <c r="P879" s="43" t="str">
        <f>IFERROR(IF(VLOOKUP(B879,Baza[[№]:[Profit]],13,0)=0,"-",VLOOKUP(B879,Baza[[№]:[Profit]],13,0)),"")</f>
        <v/>
      </c>
      <c r="Q879" s="43" t="str">
        <f>IFERROR(IF(VLOOKUP(B879,Baza[[№]:[Profit]],15,0)=0,"-",VLOOKUP(B879,Baza[[№]:[Profit]],15,0)),"")</f>
        <v/>
      </c>
      <c r="R879" s="43" t="str">
        <f>IFERROR(IF(VLOOKUP(B879,Baza[[№]:[Profit]],16,0)=0,"-",VLOOKUP(B879,Baza[[№]:[Profit]],16,0)),"")</f>
        <v/>
      </c>
      <c r="S879" s="43" t="str">
        <f>IFERROR(IF(VLOOKUP(B879,Baza[[№]:[Profit]],17,0)=0,"-",VLOOKUP(B879,Baza[[№]:[Profit]],17,0)),"")</f>
        <v/>
      </c>
      <c r="T879" s="43" t="str">
        <f>IFERROR(IF(VLOOKUP(B879,Baza[[№]:[Profit]],18,0)=0,"-",VLOOKUP(B879,Baza[[№]:[Profit]],18,0)),"")</f>
        <v/>
      </c>
      <c r="U879" s="41" t="str">
        <f>IFERROR(IF(VLOOKUP(B879,Baza[[№]:[Profit]],19,0)=0,"-",VLOOKUP(B879,Baza[[№]:[Profit]],19,0)),"")</f>
        <v/>
      </c>
      <c r="V879" s="41" t="str">
        <f>IFERROR(VLOOKUP(B879,Baza[[№]:[Profit]],20,0),"")</f>
        <v/>
      </c>
      <c r="W879" s="41" t="str">
        <f>IFERROR(IF(VLOOKUP(B879,Baza[[№]:[Profit]],21,0)=0,"-",VLOOKUP(B879,Baza[[№]:[Profit]],21,0)),"")</f>
        <v/>
      </c>
      <c r="X879" s="45" t="str">
        <f>IFERROR(IF(VLOOKUP(B879,Baza[[№]:[Profit]],22,0)=0,"-",VLOOKUP(B879,Baza[[№]:[Profit]],22,0)),"")</f>
        <v/>
      </c>
      <c r="Y879" s="45" t="str">
        <f>IFERROR(VLOOKUP(B879,Baza[[№]:[Profit]],23,0),"")</f>
        <v/>
      </c>
      <c r="Z879" s="44" t="str">
        <f>IFERROR(VLOOKUP(B879,Baza[[№]:[AFS]],24,0),"")</f>
        <v/>
      </c>
      <c r="AA879" s="45" t="str">
        <f>IF(Таблица2[[#This Row],[Profit]]="","#Н/Д",SUM($Y$40:Y879))</f>
        <v>#Н/Д</v>
      </c>
      <c r="AB879" s="45" t="b">
        <f>IF(Таблица2[[#This Row],[Grafik]]="#Н/Д",FALSE,TRUE)</f>
        <v>0</v>
      </c>
    </row>
    <row r="880" spans="3:28" ht="11.1" hidden="1" customHeight="1" x14ac:dyDescent="0.25">
      <c r="C880" s="41" t="str">
        <f>IFERROR(VLOOKUP(B880,Baza[[№]:[Profit]],2,0),"")</f>
        <v/>
      </c>
      <c r="D88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8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80" s="43" t="str">
        <f>IFERROR(VLOOKUP(B880,Baza[[№]:[Profit]],3,0),"")</f>
        <v/>
      </c>
      <c r="G880" s="43" t="str">
        <f>IFERROR(VLOOKUP(B880,Baza[[№]:[Profit]],4,0),"")</f>
        <v/>
      </c>
      <c r="H880" s="43" t="str">
        <f>IFERROR(VLOOKUP(B880,Baza[[№]:[Profit]],5,0),"")</f>
        <v/>
      </c>
      <c r="I880" s="46" t="str">
        <f>IFERROR(VLOOKUP(B880,Baza[[№]:[Profit]],6,0),"")</f>
        <v/>
      </c>
      <c r="J880" s="49" t="str">
        <f>IFERROR(VLOOKUP(B880,Baza[[№]:[Profit]],7,0),"")</f>
        <v/>
      </c>
      <c r="K880" s="43" t="str">
        <f>IFERROR(VLOOKUP(B880,Baza[[№]:[Profit]],8,0),"")</f>
        <v/>
      </c>
      <c r="L880" s="43" t="str">
        <f>IFERROR(VLOOKUP(B880,Baza[[№]:[Profit]],9,0),"")</f>
        <v/>
      </c>
      <c r="M880" s="43" t="str">
        <f>IFERROR(VLOOKUP(B880,Baza[[№]:[Profit]],10,0),"")</f>
        <v/>
      </c>
      <c r="N880" s="43" t="str">
        <f>IFERROR(IF(VLOOKUP(B880,Baza[[№]:[Profit]],11,0)=0,"-",VLOOKUP(B880,Baza[[№]:[Profit]],11,0)),"")</f>
        <v/>
      </c>
      <c r="O880" s="43" t="str">
        <f>IFERROR(IF(VLOOKUP(B880,Baza[[№]:[Profit]],12,0)=0,"-",VLOOKUP(B880,Baza[[№]:[Profit]],12,0)),"")</f>
        <v/>
      </c>
      <c r="P880" s="43" t="str">
        <f>IFERROR(IF(VLOOKUP(B880,Baza[[№]:[Profit]],13,0)=0,"-",VLOOKUP(B880,Baza[[№]:[Profit]],13,0)),"")</f>
        <v/>
      </c>
      <c r="Q880" s="43" t="str">
        <f>IFERROR(IF(VLOOKUP(B880,Baza[[№]:[Profit]],15,0)=0,"-",VLOOKUP(B880,Baza[[№]:[Profit]],15,0)),"")</f>
        <v/>
      </c>
      <c r="R880" s="43" t="str">
        <f>IFERROR(IF(VLOOKUP(B880,Baza[[№]:[Profit]],16,0)=0,"-",VLOOKUP(B880,Baza[[№]:[Profit]],16,0)),"")</f>
        <v/>
      </c>
      <c r="S880" s="43" t="str">
        <f>IFERROR(IF(VLOOKUP(B880,Baza[[№]:[Profit]],17,0)=0,"-",VLOOKUP(B880,Baza[[№]:[Profit]],17,0)),"")</f>
        <v/>
      </c>
      <c r="T880" s="43" t="str">
        <f>IFERROR(IF(VLOOKUP(B880,Baza[[№]:[Profit]],18,0)=0,"-",VLOOKUP(B880,Baza[[№]:[Profit]],18,0)),"")</f>
        <v/>
      </c>
      <c r="U880" s="41" t="str">
        <f>IFERROR(IF(VLOOKUP(B880,Baza[[№]:[Profit]],19,0)=0,"-",VLOOKUP(B880,Baza[[№]:[Profit]],19,0)),"")</f>
        <v/>
      </c>
      <c r="V880" s="41" t="str">
        <f>IFERROR(VLOOKUP(B880,Baza[[№]:[Profit]],20,0),"")</f>
        <v/>
      </c>
      <c r="W880" s="41" t="str">
        <f>IFERROR(IF(VLOOKUP(B880,Baza[[№]:[Profit]],21,0)=0,"-",VLOOKUP(B880,Baza[[№]:[Profit]],21,0)),"")</f>
        <v/>
      </c>
      <c r="X880" s="45" t="str">
        <f>IFERROR(IF(VLOOKUP(B880,Baza[[№]:[Profit]],22,0)=0,"-",VLOOKUP(B880,Baza[[№]:[Profit]],22,0)),"")</f>
        <v/>
      </c>
      <c r="Y880" s="45" t="str">
        <f>IFERROR(VLOOKUP(B880,Baza[[№]:[Profit]],23,0),"")</f>
        <v/>
      </c>
      <c r="Z880" s="44" t="str">
        <f>IFERROR(VLOOKUP(B880,Baza[[№]:[AFS]],24,0),"")</f>
        <v/>
      </c>
      <c r="AA880" s="45" t="str">
        <f>IF(Таблица2[[#This Row],[Profit]]="","#Н/Д",SUM($Y$40:Y880))</f>
        <v>#Н/Д</v>
      </c>
      <c r="AB880" s="45" t="b">
        <f>IF(Таблица2[[#This Row],[Grafik]]="#Н/Д",FALSE,TRUE)</f>
        <v>0</v>
      </c>
    </row>
    <row r="881" spans="3:28" ht="11.1" hidden="1" customHeight="1" x14ac:dyDescent="0.25">
      <c r="C881" s="41" t="str">
        <f>IFERROR(VLOOKUP(B881,Baza[[№]:[Profit]],2,0),"")</f>
        <v/>
      </c>
      <c r="D88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8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81" s="43" t="str">
        <f>IFERROR(VLOOKUP(B881,Baza[[№]:[Profit]],3,0),"")</f>
        <v/>
      </c>
      <c r="G881" s="43" t="str">
        <f>IFERROR(VLOOKUP(B881,Baza[[№]:[Profit]],4,0),"")</f>
        <v/>
      </c>
      <c r="H881" s="43" t="str">
        <f>IFERROR(VLOOKUP(B881,Baza[[№]:[Profit]],5,0),"")</f>
        <v/>
      </c>
      <c r="I881" s="46" t="str">
        <f>IFERROR(VLOOKUP(B881,Baza[[№]:[Profit]],6,0),"")</f>
        <v/>
      </c>
      <c r="J881" s="49" t="str">
        <f>IFERROR(VLOOKUP(B881,Baza[[№]:[Profit]],7,0),"")</f>
        <v/>
      </c>
      <c r="K881" s="43" t="str">
        <f>IFERROR(VLOOKUP(B881,Baza[[№]:[Profit]],8,0),"")</f>
        <v/>
      </c>
      <c r="L881" s="43" t="str">
        <f>IFERROR(VLOOKUP(B881,Baza[[№]:[Profit]],9,0),"")</f>
        <v/>
      </c>
      <c r="M881" s="43" t="str">
        <f>IFERROR(VLOOKUP(B881,Baza[[№]:[Profit]],10,0),"")</f>
        <v/>
      </c>
      <c r="N881" s="43" t="str">
        <f>IFERROR(IF(VLOOKUP(B881,Baza[[№]:[Profit]],11,0)=0,"-",VLOOKUP(B881,Baza[[№]:[Profit]],11,0)),"")</f>
        <v/>
      </c>
      <c r="O881" s="43" t="str">
        <f>IFERROR(IF(VLOOKUP(B881,Baza[[№]:[Profit]],12,0)=0,"-",VLOOKUP(B881,Baza[[№]:[Profit]],12,0)),"")</f>
        <v/>
      </c>
      <c r="P881" s="43" t="str">
        <f>IFERROR(IF(VLOOKUP(B881,Baza[[№]:[Profit]],13,0)=0,"-",VLOOKUP(B881,Baza[[№]:[Profit]],13,0)),"")</f>
        <v/>
      </c>
      <c r="Q881" s="43" t="str">
        <f>IFERROR(IF(VLOOKUP(B881,Baza[[№]:[Profit]],15,0)=0,"-",VLOOKUP(B881,Baza[[№]:[Profit]],15,0)),"")</f>
        <v/>
      </c>
      <c r="R881" s="43" t="str">
        <f>IFERROR(IF(VLOOKUP(B881,Baza[[№]:[Profit]],16,0)=0,"-",VLOOKUP(B881,Baza[[№]:[Profit]],16,0)),"")</f>
        <v/>
      </c>
      <c r="S881" s="43" t="str">
        <f>IFERROR(IF(VLOOKUP(B881,Baza[[№]:[Profit]],17,0)=0,"-",VLOOKUP(B881,Baza[[№]:[Profit]],17,0)),"")</f>
        <v/>
      </c>
      <c r="T881" s="43" t="str">
        <f>IFERROR(IF(VLOOKUP(B881,Baza[[№]:[Profit]],18,0)=0,"-",VLOOKUP(B881,Baza[[№]:[Profit]],18,0)),"")</f>
        <v/>
      </c>
      <c r="U881" s="41" t="str">
        <f>IFERROR(IF(VLOOKUP(B881,Baza[[№]:[Profit]],19,0)=0,"-",VLOOKUP(B881,Baza[[№]:[Profit]],19,0)),"")</f>
        <v/>
      </c>
      <c r="V881" s="41" t="str">
        <f>IFERROR(VLOOKUP(B881,Baza[[№]:[Profit]],20,0),"")</f>
        <v/>
      </c>
      <c r="W881" s="41" t="str">
        <f>IFERROR(IF(VLOOKUP(B881,Baza[[№]:[Profit]],21,0)=0,"-",VLOOKUP(B881,Baza[[№]:[Profit]],21,0)),"")</f>
        <v/>
      </c>
      <c r="X881" s="45" t="str">
        <f>IFERROR(IF(VLOOKUP(B881,Baza[[№]:[Profit]],22,0)=0,"-",VLOOKUP(B881,Baza[[№]:[Profit]],22,0)),"")</f>
        <v/>
      </c>
      <c r="Y881" s="45" t="str">
        <f>IFERROR(VLOOKUP(B881,Baza[[№]:[Profit]],23,0),"")</f>
        <v/>
      </c>
      <c r="Z881" s="44" t="str">
        <f>IFERROR(VLOOKUP(B881,Baza[[№]:[AFS]],24,0),"")</f>
        <v/>
      </c>
      <c r="AA881" s="45" t="str">
        <f>IF(Таблица2[[#This Row],[Profit]]="","#Н/Д",SUM($Y$40:Y881))</f>
        <v>#Н/Д</v>
      </c>
      <c r="AB881" s="45" t="b">
        <f>IF(Таблица2[[#This Row],[Grafik]]="#Н/Д",FALSE,TRUE)</f>
        <v>0</v>
      </c>
    </row>
    <row r="882" spans="3:28" ht="11.1" hidden="1" customHeight="1" x14ac:dyDescent="0.25">
      <c r="C882" s="41" t="str">
        <f>IFERROR(VLOOKUP(B882,Baza[[№]:[Profit]],2,0),"")</f>
        <v/>
      </c>
      <c r="D88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8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82" s="43" t="str">
        <f>IFERROR(VLOOKUP(B882,Baza[[№]:[Profit]],3,0),"")</f>
        <v/>
      </c>
      <c r="G882" s="43" t="str">
        <f>IFERROR(VLOOKUP(B882,Baza[[№]:[Profit]],4,0),"")</f>
        <v/>
      </c>
      <c r="H882" s="43" t="str">
        <f>IFERROR(VLOOKUP(B882,Baza[[№]:[Profit]],5,0),"")</f>
        <v/>
      </c>
      <c r="I882" s="46" t="str">
        <f>IFERROR(VLOOKUP(B882,Baza[[№]:[Profit]],6,0),"")</f>
        <v/>
      </c>
      <c r="J882" s="49" t="str">
        <f>IFERROR(VLOOKUP(B882,Baza[[№]:[Profit]],7,0),"")</f>
        <v/>
      </c>
      <c r="K882" s="43" t="str">
        <f>IFERROR(VLOOKUP(B882,Baza[[№]:[Profit]],8,0),"")</f>
        <v/>
      </c>
      <c r="L882" s="43" t="str">
        <f>IFERROR(VLOOKUP(B882,Baza[[№]:[Profit]],9,0),"")</f>
        <v/>
      </c>
      <c r="M882" s="43" t="str">
        <f>IFERROR(VLOOKUP(B882,Baza[[№]:[Profit]],10,0),"")</f>
        <v/>
      </c>
      <c r="N882" s="43" t="str">
        <f>IFERROR(IF(VLOOKUP(B882,Baza[[№]:[Profit]],11,0)=0,"-",VLOOKUP(B882,Baza[[№]:[Profit]],11,0)),"")</f>
        <v/>
      </c>
      <c r="O882" s="43" t="str">
        <f>IFERROR(IF(VLOOKUP(B882,Baza[[№]:[Profit]],12,0)=0,"-",VLOOKUP(B882,Baza[[№]:[Profit]],12,0)),"")</f>
        <v/>
      </c>
      <c r="P882" s="43" t="str">
        <f>IFERROR(IF(VLOOKUP(B882,Baza[[№]:[Profit]],13,0)=0,"-",VLOOKUP(B882,Baza[[№]:[Profit]],13,0)),"")</f>
        <v/>
      </c>
      <c r="Q882" s="43" t="str">
        <f>IFERROR(IF(VLOOKUP(B882,Baza[[№]:[Profit]],15,0)=0,"-",VLOOKUP(B882,Baza[[№]:[Profit]],15,0)),"")</f>
        <v/>
      </c>
      <c r="R882" s="43" t="str">
        <f>IFERROR(IF(VLOOKUP(B882,Baza[[№]:[Profit]],16,0)=0,"-",VLOOKUP(B882,Baza[[№]:[Profit]],16,0)),"")</f>
        <v/>
      </c>
      <c r="S882" s="43" t="str">
        <f>IFERROR(IF(VLOOKUP(B882,Baza[[№]:[Profit]],17,0)=0,"-",VLOOKUP(B882,Baza[[№]:[Profit]],17,0)),"")</f>
        <v/>
      </c>
      <c r="T882" s="43" t="str">
        <f>IFERROR(IF(VLOOKUP(B882,Baza[[№]:[Profit]],18,0)=0,"-",VLOOKUP(B882,Baza[[№]:[Profit]],18,0)),"")</f>
        <v/>
      </c>
      <c r="U882" s="41" t="str">
        <f>IFERROR(IF(VLOOKUP(B882,Baza[[№]:[Profit]],19,0)=0,"-",VLOOKUP(B882,Baza[[№]:[Profit]],19,0)),"")</f>
        <v/>
      </c>
      <c r="V882" s="41" t="str">
        <f>IFERROR(VLOOKUP(B882,Baza[[№]:[Profit]],20,0),"")</f>
        <v/>
      </c>
      <c r="W882" s="41" t="str">
        <f>IFERROR(IF(VLOOKUP(B882,Baza[[№]:[Profit]],21,0)=0,"-",VLOOKUP(B882,Baza[[№]:[Profit]],21,0)),"")</f>
        <v/>
      </c>
      <c r="X882" s="45" t="str">
        <f>IFERROR(IF(VLOOKUP(B882,Baza[[№]:[Profit]],22,0)=0,"-",VLOOKUP(B882,Baza[[№]:[Profit]],22,0)),"")</f>
        <v/>
      </c>
      <c r="Y882" s="45" t="str">
        <f>IFERROR(VLOOKUP(B882,Baza[[№]:[Profit]],23,0),"")</f>
        <v/>
      </c>
      <c r="Z882" s="44" t="str">
        <f>IFERROR(VLOOKUP(B882,Baza[[№]:[AFS]],24,0),"")</f>
        <v/>
      </c>
      <c r="AA882" s="45" t="str">
        <f>IF(Таблица2[[#This Row],[Profit]]="","#Н/Д",SUM($Y$40:Y882))</f>
        <v>#Н/Д</v>
      </c>
      <c r="AB882" s="45" t="b">
        <f>IF(Таблица2[[#This Row],[Grafik]]="#Н/Д",FALSE,TRUE)</f>
        <v>0</v>
      </c>
    </row>
    <row r="883" spans="3:28" ht="11.1" hidden="1" customHeight="1" x14ac:dyDescent="0.25">
      <c r="C883" s="41" t="str">
        <f>IFERROR(VLOOKUP(B883,Baza[[№]:[Profit]],2,0),"")</f>
        <v/>
      </c>
      <c r="D88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8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83" s="43" t="str">
        <f>IFERROR(VLOOKUP(B883,Baza[[№]:[Profit]],3,0),"")</f>
        <v/>
      </c>
      <c r="G883" s="43" t="str">
        <f>IFERROR(VLOOKUP(B883,Baza[[№]:[Profit]],4,0),"")</f>
        <v/>
      </c>
      <c r="H883" s="43" t="str">
        <f>IFERROR(VLOOKUP(B883,Baza[[№]:[Profit]],5,0),"")</f>
        <v/>
      </c>
      <c r="I883" s="46" t="str">
        <f>IFERROR(VLOOKUP(B883,Baza[[№]:[Profit]],6,0),"")</f>
        <v/>
      </c>
      <c r="J883" s="49" t="str">
        <f>IFERROR(VLOOKUP(B883,Baza[[№]:[Profit]],7,0),"")</f>
        <v/>
      </c>
      <c r="K883" s="43" t="str">
        <f>IFERROR(VLOOKUP(B883,Baza[[№]:[Profit]],8,0),"")</f>
        <v/>
      </c>
      <c r="L883" s="43" t="str">
        <f>IFERROR(VLOOKUP(B883,Baza[[№]:[Profit]],9,0),"")</f>
        <v/>
      </c>
      <c r="M883" s="43" t="str">
        <f>IFERROR(VLOOKUP(B883,Baza[[№]:[Profit]],10,0),"")</f>
        <v/>
      </c>
      <c r="N883" s="43" t="str">
        <f>IFERROR(IF(VLOOKUP(B883,Baza[[№]:[Profit]],11,0)=0,"-",VLOOKUP(B883,Baza[[№]:[Profit]],11,0)),"")</f>
        <v/>
      </c>
      <c r="O883" s="43" t="str">
        <f>IFERROR(IF(VLOOKUP(B883,Baza[[№]:[Profit]],12,0)=0,"-",VLOOKUP(B883,Baza[[№]:[Profit]],12,0)),"")</f>
        <v/>
      </c>
      <c r="P883" s="43" t="str">
        <f>IFERROR(IF(VLOOKUP(B883,Baza[[№]:[Profit]],13,0)=0,"-",VLOOKUP(B883,Baza[[№]:[Profit]],13,0)),"")</f>
        <v/>
      </c>
      <c r="Q883" s="43" t="str">
        <f>IFERROR(IF(VLOOKUP(B883,Baza[[№]:[Profit]],15,0)=0,"-",VLOOKUP(B883,Baza[[№]:[Profit]],15,0)),"")</f>
        <v/>
      </c>
      <c r="R883" s="43" t="str">
        <f>IFERROR(IF(VLOOKUP(B883,Baza[[№]:[Profit]],16,0)=0,"-",VLOOKUP(B883,Baza[[№]:[Profit]],16,0)),"")</f>
        <v/>
      </c>
      <c r="S883" s="43" t="str">
        <f>IFERROR(IF(VLOOKUP(B883,Baza[[№]:[Profit]],17,0)=0,"-",VLOOKUP(B883,Baza[[№]:[Profit]],17,0)),"")</f>
        <v/>
      </c>
      <c r="T883" s="43" t="str">
        <f>IFERROR(IF(VLOOKUP(B883,Baza[[№]:[Profit]],18,0)=0,"-",VLOOKUP(B883,Baza[[№]:[Profit]],18,0)),"")</f>
        <v/>
      </c>
      <c r="U883" s="41" t="str">
        <f>IFERROR(IF(VLOOKUP(B883,Baza[[№]:[Profit]],19,0)=0,"-",VLOOKUP(B883,Baza[[№]:[Profit]],19,0)),"")</f>
        <v/>
      </c>
      <c r="V883" s="41" t="str">
        <f>IFERROR(VLOOKUP(B883,Baza[[№]:[Profit]],20,0),"")</f>
        <v/>
      </c>
      <c r="W883" s="41" t="str">
        <f>IFERROR(IF(VLOOKUP(B883,Baza[[№]:[Profit]],21,0)=0,"-",VLOOKUP(B883,Baza[[№]:[Profit]],21,0)),"")</f>
        <v/>
      </c>
      <c r="X883" s="45" t="str">
        <f>IFERROR(IF(VLOOKUP(B883,Baza[[№]:[Profit]],22,0)=0,"-",VLOOKUP(B883,Baza[[№]:[Profit]],22,0)),"")</f>
        <v/>
      </c>
      <c r="Y883" s="45" t="str">
        <f>IFERROR(VLOOKUP(B883,Baza[[№]:[Profit]],23,0),"")</f>
        <v/>
      </c>
      <c r="Z883" s="44" t="str">
        <f>IFERROR(VLOOKUP(B883,Baza[[№]:[AFS]],24,0),"")</f>
        <v/>
      </c>
      <c r="AA883" s="45" t="str">
        <f>IF(Таблица2[[#This Row],[Profit]]="","#Н/Д",SUM($Y$40:Y883))</f>
        <v>#Н/Д</v>
      </c>
      <c r="AB883" s="45" t="b">
        <f>IF(Таблица2[[#This Row],[Grafik]]="#Н/Д",FALSE,TRUE)</f>
        <v>0</v>
      </c>
    </row>
    <row r="884" spans="3:28" ht="11.1" hidden="1" customHeight="1" x14ac:dyDescent="0.25">
      <c r="C884" s="41" t="str">
        <f>IFERROR(VLOOKUP(B884,Baza[[№]:[Profit]],2,0),"")</f>
        <v/>
      </c>
      <c r="D88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8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84" s="43" t="str">
        <f>IFERROR(VLOOKUP(B884,Baza[[№]:[Profit]],3,0),"")</f>
        <v/>
      </c>
      <c r="G884" s="43" t="str">
        <f>IFERROR(VLOOKUP(B884,Baza[[№]:[Profit]],4,0),"")</f>
        <v/>
      </c>
      <c r="H884" s="43" t="str">
        <f>IFERROR(VLOOKUP(B884,Baza[[№]:[Profit]],5,0),"")</f>
        <v/>
      </c>
      <c r="I884" s="46" t="str">
        <f>IFERROR(VLOOKUP(B884,Baza[[№]:[Profit]],6,0),"")</f>
        <v/>
      </c>
      <c r="J884" s="49" t="str">
        <f>IFERROR(VLOOKUP(B884,Baza[[№]:[Profit]],7,0),"")</f>
        <v/>
      </c>
      <c r="K884" s="43" t="str">
        <f>IFERROR(VLOOKUP(B884,Baza[[№]:[Profit]],8,0),"")</f>
        <v/>
      </c>
      <c r="L884" s="43" t="str">
        <f>IFERROR(VLOOKUP(B884,Baza[[№]:[Profit]],9,0),"")</f>
        <v/>
      </c>
      <c r="M884" s="43" t="str">
        <f>IFERROR(VLOOKUP(B884,Baza[[№]:[Profit]],10,0),"")</f>
        <v/>
      </c>
      <c r="N884" s="43" t="str">
        <f>IFERROR(IF(VLOOKUP(B884,Baza[[№]:[Profit]],11,0)=0,"-",VLOOKUP(B884,Baza[[№]:[Profit]],11,0)),"")</f>
        <v/>
      </c>
      <c r="O884" s="43" t="str">
        <f>IFERROR(IF(VLOOKUP(B884,Baza[[№]:[Profit]],12,0)=0,"-",VLOOKUP(B884,Baza[[№]:[Profit]],12,0)),"")</f>
        <v/>
      </c>
      <c r="P884" s="43" t="str">
        <f>IFERROR(IF(VLOOKUP(B884,Baza[[№]:[Profit]],13,0)=0,"-",VLOOKUP(B884,Baza[[№]:[Profit]],13,0)),"")</f>
        <v/>
      </c>
      <c r="Q884" s="43" t="str">
        <f>IFERROR(IF(VLOOKUP(B884,Baza[[№]:[Profit]],15,0)=0,"-",VLOOKUP(B884,Baza[[№]:[Profit]],15,0)),"")</f>
        <v/>
      </c>
      <c r="R884" s="43" t="str">
        <f>IFERROR(IF(VLOOKUP(B884,Baza[[№]:[Profit]],16,0)=0,"-",VLOOKUP(B884,Baza[[№]:[Profit]],16,0)),"")</f>
        <v/>
      </c>
      <c r="S884" s="43" t="str">
        <f>IFERROR(IF(VLOOKUP(B884,Baza[[№]:[Profit]],17,0)=0,"-",VLOOKUP(B884,Baza[[№]:[Profit]],17,0)),"")</f>
        <v/>
      </c>
      <c r="T884" s="43" t="str">
        <f>IFERROR(IF(VLOOKUP(B884,Baza[[№]:[Profit]],18,0)=0,"-",VLOOKUP(B884,Baza[[№]:[Profit]],18,0)),"")</f>
        <v/>
      </c>
      <c r="U884" s="41" t="str">
        <f>IFERROR(IF(VLOOKUP(B884,Baza[[№]:[Profit]],19,0)=0,"-",VLOOKUP(B884,Baza[[№]:[Profit]],19,0)),"")</f>
        <v/>
      </c>
      <c r="V884" s="41" t="str">
        <f>IFERROR(VLOOKUP(B884,Baza[[№]:[Profit]],20,0),"")</f>
        <v/>
      </c>
      <c r="W884" s="41" t="str">
        <f>IFERROR(IF(VLOOKUP(B884,Baza[[№]:[Profit]],21,0)=0,"-",VLOOKUP(B884,Baza[[№]:[Profit]],21,0)),"")</f>
        <v/>
      </c>
      <c r="X884" s="45" t="str">
        <f>IFERROR(IF(VLOOKUP(B884,Baza[[№]:[Profit]],22,0)=0,"-",VLOOKUP(B884,Baza[[№]:[Profit]],22,0)),"")</f>
        <v/>
      </c>
      <c r="Y884" s="45" t="str">
        <f>IFERROR(VLOOKUP(B884,Baza[[№]:[Profit]],23,0),"")</f>
        <v/>
      </c>
      <c r="Z884" s="44" t="str">
        <f>IFERROR(VLOOKUP(B884,Baza[[№]:[AFS]],24,0),"")</f>
        <v/>
      </c>
      <c r="AA884" s="45" t="str">
        <f>IF(Таблица2[[#This Row],[Profit]]="","#Н/Д",SUM($Y$40:Y884))</f>
        <v>#Н/Д</v>
      </c>
      <c r="AB884" s="45" t="b">
        <f>IF(Таблица2[[#This Row],[Grafik]]="#Н/Д",FALSE,TRUE)</f>
        <v>0</v>
      </c>
    </row>
    <row r="885" spans="3:28" ht="11.1" hidden="1" customHeight="1" x14ac:dyDescent="0.25">
      <c r="C885" s="41" t="str">
        <f>IFERROR(VLOOKUP(B885,Baza[[№]:[Profit]],2,0),"")</f>
        <v/>
      </c>
      <c r="D88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8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85" s="43" t="str">
        <f>IFERROR(VLOOKUP(B885,Baza[[№]:[Profit]],3,0),"")</f>
        <v/>
      </c>
      <c r="G885" s="43" t="str">
        <f>IFERROR(VLOOKUP(B885,Baza[[№]:[Profit]],4,0),"")</f>
        <v/>
      </c>
      <c r="H885" s="43" t="str">
        <f>IFERROR(VLOOKUP(B885,Baza[[№]:[Profit]],5,0),"")</f>
        <v/>
      </c>
      <c r="I885" s="46" t="str">
        <f>IFERROR(VLOOKUP(B885,Baza[[№]:[Profit]],6,0),"")</f>
        <v/>
      </c>
      <c r="J885" s="49" t="str">
        <f>IFERROR(VLOOKUP(B885,Baza[[№]:[Profit]],7,0),"")</f>
        <v/>
      </c>
      <c r="K885" s="43" t="str">
        <f>IFERROR(VLOOKUP(B885,Baza[[№]:[Profit]],8,0),"")</f>
        <v/>
      </c>
      <c r="L885" s="43" t="str">
        <f>IFERROR(VLOOKUP(B885,Baza[[№]:[Profit]],9,0),"")</f>
        <v/>
      </c>
      <c r="M885" s="43" t="str">
        <f>IFERROR(VLOOKUP(B885,Baza[[№]:[Profit]],10,0),"")</f>
        <v/>
      </c>
      <c r="N885" s="43" t="str">
        <f>IFERROR(IF(VLOOKUP(B885,Baza[[№]:[Profit]],11,0)=0,"-",VLOOKUP(B885,Baza[[№]:[Profit]],11,0)),"")</f>
        <v/>
      </c>
      <c r="O885" s="43" t="str">
        <f>IFERROR(IF(VLOOKUP(B885,Baza[[№]:[Profit]],12,0)=0,"-",VLOOKUP(B885,Baza[[№]:[Profit]],12,0)),"")</f>
        <v/>
      </c>
      <c r="P885" s="43" t="str">
        <f>IFERROR(IF(VLOOKUP(B885,Baza[[№]:[Profit]],13,0)=0,"-",VLOOKUP(B885,Baza[[№]:[Profit]],13,0)),"")</f>
        <v/>
      </c>
      <c r="Q885" s="43" t="str">
        <f>IFERROR(IF(VLOOKUP(B885,Baza[[№]:[Profit]],15,0)=0,"-",VLOOKUP(B885,Baza[[№]:[Profit]],15,0)),"")</f>
        <v/>
      </c>
      <c r="R885" s="43" t="str">
        <f>IFERROR(IF(VLOOKUP(B885,Baza[[№]:[Profit]],16,0)=0,"-",VLOOKUP(B885,Baza[[№]:[Profit]],16,0)),"")</f>
        <v/>
      </c>
      <c r="S885" s="43" t="str">
        <f>IFERROR(IF(VLOOKUP(B885,Baza[[№]:[Profit]],17,0)=0,"-",VLOOKUP(B885,Baza[[№]:[Profit]],17,0)),"")</f>
        <v/>
      </c>
      <c r="T885" s="43" t="str">
        <f>IFERROR(IF(VLOOKUP(B885,Baza[[№]:[Profit]],18,0)=0,"-",VLOOKUP(B885,Baza[[№]:[Profit]],18,0)),"")</f>
        <v/>
      </c>
      <c r="U885" s="41" t="str">
        <f>IFERROR(IF(VLOOKUP(B885,Baza[[№]:[Profit]],19,0)=0,"-",VLOOKUP(B885,Baza[[№]:[Profit]],19,0)),"")</f>
        <v/>
      </c>
      <c r="V885" s="41" t="str">
        <f>IFERROR(VLOOKUP(B885,Baza[[№]:[Profit]],20,0),"")</f>
        <v/>
      </c>
      <c r="W885" s="41" t="str">
        <f>IFERROR(IF(VLOOKUP(B885,Baza[[№]:[Profit]],21,0)=0,"-",VLOOKUP(B885,Baza[[№]:[Profit]],21,0)),"")</f>
        <v/>
      </c>
      <c r="X885" s="45" t="str">
        <f>IFERROR(IF(VLOOKUP(B885,Baza[[№]:[Profit]],22,0)=0,"-",VLOOKUP(B885,Baza[[№]:[Profit]],22,0)),"")</f>
        <v/>
      </c>
      <c r="Y885" s="45" t="str">
        <f>IFERROR(VLOOKUP(B885,Baza[[№]:[Profit]],23,0),"")</f>
        <v/>
      </c>
      <c r="Z885" s="44" t="str">
        <f>IFERROR(VLOOKUP(B885,Baza[[№]:[AFS]],24,0),"")</f>
        <v/>
      </c>
      <c r="AA885" s="45" t="str">
        <f>IF(Таблица2[[#This Row],[Profit]]="","#Н/Д",SUM($Y$40:Y885))</f>
        <v>#Н/Д</v>
      </c>
      <c r="AB885" s="45" t="b">
        <f>IF(Таблица2[[#This Row],[Grafik]]="#Н/Д",FALSE,TRUE)</f>
        <v>0</v>
      </c>
    </row>
    <row r="886" spans="3:28" ht="11.1" hidden="1" customHeight="1" x14ac:dyDescent="0.25">
      <c r="C886" s="41" t="str">
        <f>IFERROR(VLOOKUP(B886,Baza[[№]:[Profit]],2,0),"")</f>
        <v/>
      </c>
      <c r="D88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8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86" s="43" t="str">
        <f>IFERROR(VLOOKUP(B886,Baza[[№]:[Profit]],3,0),"")</f>
        <v/>
      </c>
      <c r="G886" s="43" t="str">
        <f>IFERROR(VLOOKUP(B886,Baza[[№]:[Profit]],4,0),"")</f>
        <v/>
      </c>
      <c r="H886" s="43" t="str">
        <f>IFERROR(VLOOKUP(B886,Baza[[№]:[Profit]],5,0),"")</f>
        <v/>
      </c>
      <c r="I886" s="46" t="str">
        <f>IFERROR(VLOOKUP(B886,Baza[[№]:[Profit]],6,0),"")</f>
        <v/>
      </c>
      <c r="J886" s="49" t="str">
        <f>IFERROR(VLOOKUP(B886,Baza[[№]:[Profit]],7,0),"")</f>
        <v/>
      </c>
      <c r="K886" s="43" t="str">
        <f>IFERROR(VLOOKUP(B886,Baza[[№]:[Profit]],8,0),"")</f>
        <v/>
      </c>
      <c r="L886" s="43" t="str">
        <f>IFERROR(VLOOKUP(B886,Baza[[№]:[Profit]],9,0),"")</f>
        <v/>
      </c>
      <c r="M886" s="43" t="str">
        <f>IFERROR(VLOOKUP(B886,Baza[[№]:[Profit]],10,0),"")</f>
        <v/>
      </c>
      <c r="N886" s="43" t="str">
        <f>IFERROR(IF(VLOOKUP(B886,Baza[[№]:[Profit]],11,0)=0,"-",VLOOKUP(B886,Baza[[№]:[Profit]],11,0)),"")</f>
        <v/>
      </c>
      <c r="O886" s="43" t="str">
        <f>IFERROR(IF(VLOOKUP(B886,Baza[[№]:[Profit]],12,0)=0,"-",VLOOKUP(B886,Baza[[№]:[Profit]],12,0)),"")</f>
        <v/>
      </c>
      <c r="P886" s="43" t="str">
        <f>IFERROR(IF(VLOOKUP(B886,Baza[[№]:[Profit]],13,0)=0,"-",VLOOKUP(B886,Baza[[№]:[Profit]],13,0)),"")</f>
        <v/>
      </c>
      <c r="Q886" s="43" t="str">
        <f>IFERROR(IF(VLOOKUP(B886,Baza[[№]:[Profit]],15,0)=0,"-",VLOOKUP(B886,Baza[[№]:[Profit]],15,0)),"")</f>
        <v/>
      </c>
      <c r="R886" s="43" t="str">
        <f>IFERROR(IF(VLOOKUP(B886,Baza[[№]:[Profit]],16,0)=0,"-",VLOOKUP(B886,Baza[[№]:[Profit]],16,0)),"")</f>
        <v/>
      </c>
      <c r="S886" s="43" t="str">
        <f>IFERROR(IF(VLOOKUP(B886,Baza[[№]:[Profit]],17,0)=0,"-",VLOOKUP(B886,Baza[[№]:[Profit]],17,0)),"")</f>
        <v/>
      </c>
      <c r="T886" s="43" t="str">
        <f>IFERROR(IF(VLOOKUP(B886,Baza[[№]:[Profit]],18,0)=0,"-",VLOOKUP(B886,Baza[[№]:[Profit]],18,0)),"")</f>
        <v/>
      </c>
      <c r="U886" s="41" t="str">
        <f>IFERROR(IF(VLOOKUP(B886,Baza[[№]:[Profit]],19,0)=0,"-",VLOOKUP(B886,Baza[[№]:[Profit]],19,0)),"")</f>
        <v/>
      </c>
      <c r="V886" s="41" t="str">
        <f>IFERROR(VLOOKUP(B886,Baza[[№]:[Profit]],20,0),"")</f>
        <v/>
      </c>
      <c r="W886" s="41" t="str">
        <f>IFERROR(IF(VLOOKUP(B886,Baza[[№]:[Profit]],21,0)=0,"-",VLOOKUP(B886,Baza[[№]:[Profit]],21,0)),"")</f>
        <v/>
      </c>
      <c r="X886" s="45" t="str">
        <f>IFERROR(IF(VLOOKUP(B886,Baza[[№]:[Profit]],22,0)=0,"-",VLOOKUP(B886,Baza[[№]:[Profit]],22,0)),"")</f>
        <v/>
      </c>
      <c r="Y886" s="45" t="str">
        <f>IFERROR(VLOOKUP(B886,Baza[[№]:[Profit]],23,0),"")</f>
        <v/>
      </c>
      <c r="Z886" s="44" t="str">
        <f>IFERROR(VLOOKUP(B886,Baza[[№]:[AFS]],24,0),"")</f>
        <v/>
      </c>
      <c r="AA886" s="45" t="str">
        <f>IF(Таблица2[[#This Row],[Profit]]="","#Н/Д",SUM($Y$40:Y886))</f>
        <v>#Н/Д</v>
      </c>
      <c r="AB886" s="45" t="b">
        <f>IF(Таблица2[[#This Row],[Grafik]]="#Н/Д",FALSE,TRUE)</f>
        <v>0</v>
      </c>
    </row>
    <row r="887" spans="3:28" ht="11.1" hidden="1" customHeight="1" x14ac:dyDescent="0.25">
      <c r="C887" s="41" t="str">
        <f>IFERROR(VLOOKUP(B887,Baza[[№]:[Profit]],2,0),"")</f>
        <v/>
      </c>
      <c r="D88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8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87" s="43" t="str">
        <f>IFERROR(VLOOKUP(B887,Baza[[№]:[Profit]],3,0),"")</f>
        <v/>
      </c>
      <c r="G887" s="43" t="str">
        <f>IFERROR(VLOOKUP(B887,Baza[[№]:[Profit]],4,0),"")</f>
        <v/>
      </c>
      <c r="H887" s="43" t="str">
        <f>IFERROR(VLOOKUP(B887,Baza[[№]:[Profit]],5,0),"")</f>
        <v/>
      </c>
      <c r="I887" s="46" t="str">
        <f>IFERROR(VLOOKUP(B887,Baza[[№]:[Profit]],6,0),"")</f>
        <v/>
      </c>
      <c r="J887" s="49" t="str">
        <f>IFERROR(VLOOKUP(B887,Baza[[№]:[Profit]],7,0),"")</f>
        <v/>
      </c>
      <c r="K887" s="43" t="str">
        <f>IFERROR(VLOOKUP(B887,Baza[[№]:[Profit]],8,0),"")</f>
        <v/>
      </c>
      <c r="L887" s="43" t="str">
        <f>IFERROR(VLOOKUP(B887,Baza[[№]:[Profit]],9,0),"")</f>
        <v/>
      </c>
      <c r="M887" s="43" t="str">
        <f>IFERROR(VLOOKUP(B887,Baza[[№]:[Profit]],10,0),"")</f>
        <v/>
      </c>
      <c r="N887" s="43" t="str">
        <f>IFERROR(IF(VLOOKUP(B887,Baza[[№]:[Profit]],11,0)=0,"-",VLOOKUP(B887,Baza[[№]:[Profit]],11,0)),"")</f>
        <v/>
      </c>
      <c r="O887" s="43" t="str">
        <f>IFERROR(IF(VLOOKUP(B887,Baza[[№]:[Profit]],12,0)=0,"-",VLOOKUP(B887,Baza[[№]:[Profit]],12,0)),"")</f>
        <v/>
      </c>
      <c r="P887" s="43" t="str">
        <f>IFERROR(IF(VLOOKUP(B887,Baza[[№]:[Profit]],13,0)=0,"-",VLOOKUP(B887,Baza[[№]:[Profit]],13,0)),"")</f>
        <v/>
      </c>
      <c r="Q887" s="43" t="str">
        <f>IFERROR(IF(VLOOKUP(B887,Baza[[№]:[Profit]],15,0)=0,"-",VLOOKUP(B887,Baza[[№]:[Profit]],15,0)),"")</f>
        <v/>
      </c>
      <c r="R887" s="43" t="str">
        <f>IFERROR(IF(VLOOKUP(B887,Baza[[№]:[Profit]],16,0)=0,"-",VLOOKUP(B887,Baza[[№]:[Profit]],16,0)),"")</f>
        <v/>
      </c>
      <c r="S887" s="43" t="str">
        <f>IFERROR(IF(VLOOKUP(B887,Baza[[№]:[Profit]],17,0)=0,"-",VLOOKUP(B887,Baza[[№]:[Profit]],17,0)),"")</f>
        <v/>
      </c>
      <c r="T887" s="43" t="str">
        <f>IFERROR(IF(VLOOKUP(B887,Baza[[№]:[Profit]],18,0)=0,"-",VLOOKUP(B887,Baza[[№]:[Profit]],18,0)),"")</f>
        <v/>
      </c>
      <c r="U887" s="41" t="str">
        <f>IFERROR(IF(VLOOKUP(B887,Baza[[№]:[Profit]],19,0)=0,"-",VLOOKUP(B887,Baza[[№]:[Profit]],19,0)),"")</f>
        <v/>
      </c>
      <c r="V887" s="41" t="str">
        <f>IFERROR(VLOOKUP(B887,Baza[[№]:[Profit]],20,0),"")</f>
        <v/>
      </c>
      <c r="W887" s="41" t="str">
        <f>IFERROR(IF(VLOOKUP(B887,Baza[[№]:[Profit]],21,0)=0,"-",VLOOKUP(B887,Baza[[№]:[Profit]],21,0)),"")</f>
        <v/>
      </c>
      <c r="X887" s="45" t="str">
        <f>IFERROR(IF(VLOOKUP(B887,Baza[[№]:[Profit]],22,0)=0,"-",VLOOKUP(B887,Baza[[№]:[Profit]],22,0)),"")</f>
        <v/>
      </c>
      <c r="Y887" s="45" t="str">
        <f>IFERROR(VLOOKUP(B887,Baza[[№]:[Profit]],23,0),"")</f>
        <v/>
      </c>
      <c r="Z887" s="44" t="str">
        <f>IFERROR(VLOOKUP(B887,Baza[[№]:[AFS]],24,0),"")</f>
        <v/>
      </c>
      <c r="AA887" s="45" t="str">
        <f>IF(Таблица2[[#This Row],[Profit]]="","#Н/Д",SUM($Y$40:Y887))</f>
        <v>#Н/Д</v>
      </c>
      <c r="AB887" s="45" t="b">
        <f>IF(Таблица2[[#This Row],[Grafik]]="#Н/Д",FALSE,TRUE)</f>
        <v>0</v>
      </c>
    </row>
    <row r="888" spans="3:28" ht="11.1" hidden="1" customHeight="1" x14ac:dyDescent="0.25">
      <c r="C888" s="41" t="str">
        <f>IFERROR(VLOOKUP(B888,Baza[[№]:[Profit]],2,0),"")</f>
        <v/>
      </c>
      <c r="D88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8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88" s="43" t="str">
        <f>IFERROR(VLOOKUP(B888,Baza[[№]:[Profit]],3,0),"")</f>
        <v/>
      </c>
      <c r="G888" s="43" t="str">
        <f>IFERROR(VLOOKUP(B888,Baza[[№]:[Profit]],4,0),"")</f>
        <v/>
      </c>
      <c r="H888" s="43" t="str">
        <f>IFERROR(VLOOKUP(B888,Baza[[№]:[Profit]],5,0),"")</f>
        <v/>
      </c>
      <c r="I888" s="46" t="str">
        <f>IFERROR(VLOOKUP(B888,Baza[[№]:[Profit]],6,0),"")</f>
        <v/>
      </c>
      <c r="J888" s="49" t="str">
        <f>IFERROR(VLOOKUP(B888,Baza[[№]:[Profit]],7,0),"")</f>
        <v/>
      </c>
      <c r="K888" s="43" t="str">
        <f>IFERROR(VLOOKUP(B888,Baza[[№]:[Profit]],8,0),"")</f>
        <v/>
      </c>
      <c r="L888" s="43" t="str">
        <f>IFERROR(VLOOKUP(B888,Baza[[№]:[Profit]],9,0),"")</f>
        <v/>
      </c>
      <c r="M888" s="43" t="str">
        <f>IFERROR(VLOOKUP(B888,Baza[[№]:[Profit]],10,0),"")</f>
        <v/>
      </c>
      <c r="N888" s="43" t="str">
        <f>IFERROR(IF(VLOOKUP(B888,Baza[[№]:[Profit]],11,0)=0,"-",VLOOKUP(B888,Baza[[№]:[Profit]],11,0)),"")</f>
        <v/>
      </c>
      <c r="O888" s="43" t="str">
        <f>IFERROR(IF(VLOOKUP(B888,Baza[[№]:[Profit]],12,0)=0,"-",VLOOKUP(B888,Baza[[№]:[Profit]],12,0)),"")</f>
        <v/>
      </c>
      <c r="P888" s="43" t="str">
        <f>IFERROR(IF(VLOOKUP(B888,Baza[[№]:[Profit]],13,0)=0,"-",VLOOKUP(B888,Baza[[№]:[Profit]],13,0)),"")</f>
        <v/>
      </c>
      <c r="Q888" s="43" t="str">
        <f>IFERROR(IF(VLOOKUP(B888,Baza[[№]:[Profit]],15,0)=0,"-",VLOOKUP(B888,Baza[[№]:[Profit]],15,0)),"")</f>
        <v/>
      </c>
      <c r="R888" s="43" t="str">
        <f>IFERROR(IF(VLOOKUP(B888,Baza[[№]:[Profit]],16,0)=0,"-",VLOOKUP(B888,Baza[[№]:[Profit]],16,0)),"")</f>
        <v/>
      </c>
      <c r="S888" s="43" t="str">
        <f>IFERROR(IF(VLOOKUP(B888,Baza[[№]:[Profit]],17,0)=0,"-",VLOOKUP(B888,Baza[[№]:[Profit]],17,0)),"")</f>
        <v/>
      </c>
      <c r="T888" s="43" t="str">
        <f>IFERROR(IF(VLOOKUP(B888,Baza[[№]:[Profit]],18,0)=0,"-",VLOOKUP(B888,Baza[[№]:[Profit]],18,0)),"")</f>
        <v/>
      </c>
      <c r="U888" s="41" t="str">
        <f>IFERROR(IF(VLOOKUP(B888,Baza[[№]:[Profit]],19,0)=0,"-",VLOOKUP(B888,Baza[[№]:[Profit]],19,0)),"")</f>
        <v/>
      </c>
      <c r="V888" s="41" t="str">
        <f>IFERROR(VLOOKUP(B888,Baza[[№]:[Profit]],20,0),"")</f>
        <v/>
      </c>
      <c r="W888" s="41" t="str">
        <f>IFERROR(IF(VLOOKUP(B888,Baza[[№]:[Profit]],21,0)=0,"-",VLOOKUP(B888,Baza[[№]:[Profit]],21,0)),"")</f>
        <v/>
      </c>
      <c r="X888" s="45" t="str">
        <f>IFERROR(IF(VLOOKUP(B888,Baza[[№]:[Profit]],22,0)=0,"-",VLOOKUP(B888,Baza[[№]:[Profit]],22,0)),"")</f>
        <v/>
      </c>
      <c r="Y888" s="45" t="str">
        <f>IFERROR(VLOOKUP(B888,Baza[[№]:[Profit]],23,0),"")</f>
        <v/>
      </c>
      <c r="Z888" s="44" t="str">
        <f>IFERROR(VLOOKUP(B888,Baza[[№]:[AFS]],24,0),"")</f>
        <v/>
      </c>
      <c r="AA888" s="45" t="str">
        <f>IF(Таблица2[[#This Row],[Profit]]="","#Н/Д",SUM($Y$40:Y888))</f>
        <v>#Н/Д</v>
      </c>
      <c r="AB888" s="45" t="b">
        <f>IF(Таблица2[[#This Row],[Grafik]]="#Н/Д",FALSE,TRUE)</f>
        <v>0</v>
      </c>
    </row>
    <row r="889" spans="3:28" ht="11.1" hidden="1" customHeight="1" x14ac:dyDescent="0.25">
      <c r="C889" s="41" t="str">
        <f>IFERROR(VLOOKUP(B889,Baza[[№]:[Profit]],2,0),"")</f>
        <v/>
      </c>
      <c r="D88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8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89" s="43" t="str">
        <f>IFERROR(VLOOKUP(B889,Baza[[№]:[Profit]],3,0),"")</f>
        <v/>
      </c>
      <c r="G889" s="43" t="str">
        <f>IFERROR(VLOOKUP(B889,Baza[[№]:[Profit]],4,0),"")</f>
        <v/>
      </c>
      <c r="H889" s="43" t="str">
        <f>IFERROR(VLOOKUP(B889,Baza[[№]:[Profit]],5,0),"")</f>
        <v/>
      </c>
      <c r="I889" s="46" t="str">
        <f>IFERROR(VLOOKUP(B889,Baza[[№]:[Profit]],6,0),"")</f>
        <v/>
      </c>
      <c r="J889" s="49" t="str">
        <f>IFERROR(VLOOKUP(B889,Baza[[№]:[Profit]],7,0),"")</f>
        <v/>
      </c>
      <c r="K889" s="43" t="str">
        <f>IFERROR(VLOOKUP(B889,Baza[[№]:[Profit]],8,0),"")</f>
        <v/>
      </c>
      <c r="L889" s="43" t="str">
        <f>IFERROR(VLOOKUP(B889,Baza[[№]:[Profit]],9,0),"")</f>
        <v/>
      </c>
      <c r="M889" s="43" t="str">
        <f>IFERROR(VLOOKUP(B889,Baza[[№]:[Profit]],10,0),"")</f>
        <v/>
      </c>
      <c r="N889" s="43" t="str">
        <f>IFERROR(IF(VLOOKUP(B889,Baza[[№]:[Profit]],11,0)=0,"-",VLOOKUP(B889,Baza[[№]:[Profit]],11,0)),"")</f>
        <v/>
      </c>
      <c r="O889" s="43" t="str">
        <f>IFERROR(IF(VLOOKUP(B889,Baza[[№]:[Profit]],12,0)=0,"-",VLOOKUP(B889,Baza[[№]:[Profit]],12,0)),"")</f>
        <v/>
      </c>
      <c r="P889" s="43" t="str">
        <f>IFERROR(IF(VLOOKUP(B889,Baza[[№]:[Profit]],13,0)=0,"-",VLOOKUP(B889,Baza[[№]:[Profit]],13,0)),"")</f>
        <v/>
      </c>
      <c r="Q889" s="43" t="str">
        <f>IFERROR(IF(VLOOKUP(B889,Baza[[№]:[Profit]],15,0)=0,"-",VLOOKUP(B889,Baza[[№]:[Profit]],15,0)),"")</f>
        <v/>
      </c>
      <c r="R889" s="43" t="str">
        <f>IFERROR(IF(VLOOKUP(B889,Baza[[№]:[Profit]],16,0)=0,"-",VLOOKUP(B889,Baza[[№]:[Profit]],16,0)),"")</f>
        <v/>
      </c>
      <c r="S889" s="43" t="str">
        <f>IFERROR(IF(VLOOKUP(B889,Baza[[№]:[Profit]],17,0)=0,"-",VLOOKUP(B889,Baza[[№]:[Profit]],17,0)),"")</f>
        <v/>
      </c>
      <c r="T889" s="43" t="str">
        <f>IFERROR(IF(VLOOKUP(B889,Baza[[№]:[Profit]],18,0)=0,"-",VLOOKUP(B889,Baza[[№]:[Profit]],18,0)),"")</f>
        <v/>
      </c>
      <c r="U889" s="41" t="str">
        <f>IFERROR(IF(VLOOKUP(B889,Baza[[№]:[Profit]],19,0)=0,"-",VLOOKUP(B889,Baza[[№]:[Profit]],19,0)),"")</f>
        <v/>
      </c>
      <c r="V889" s="41" t="str">
        <f>IFERROR(VLOOKUP(B889,Baza[[№]:[Profit]],20,0),"")</f>
        <v/>
      </c>
      <c r="W889" s="41" t="str">
        <f>IFERROR(IF(VLOOKUP(B889,Baza[[№]:[Profit]],21,0)=0,"-",VLOOKUP(B889,Baza[[№]:[Profit]],21,0)),"")</f>
        <v/>
      </c>
      <c r="X889" s="45" t="str">
        <f>IFERROR(IF(VLOOKUP(B889,Baza[[№]:[Profit]],22,0)=0,"-",VLOOKUP(B889,Baza[[№]:[Profit]],22,0)),"")</f>
        <v/>
      </c>
      <c r="Y889" s="45" t="str">
        <f>IFERROR(VLOOKUP(B889,Baza[[№]:[Profit]],23,0),"")</f>
        <v/>
      </c>
      <c r="Z889" s="44" t="str">
        <f>IFERROR(VLOOKUP(B889,Baza[[№]:[AFS]],24,0),"")</f>
        <v/>
      </c>
      <c r="AA889" s="45" t="str">
        <f>IF(Таблица2[[#This Row],[Profit]]="","#Н/Д",SUM($Y$40:Y889))</f>
        <v>#Н/Д</v>
      </c>
      <c r="AB889" s="45" t="b">
        <f>IF(Таблица2[[#This Row],[Grafik]]="#Н/Д",FALSE,TRUE)</f>
        <v>0</v>
      </c>
    </row>
    <row r="890" spans="3:28" ht="11.1" hidden="1" customHeight="1" x14ac:dyDescent="0.25">
      <c r="C890" s="41" t="str">
        <f>IFERROR(VLOOKUP(B890,Baza[[№]:[Profit]],2,0),"")</f>
        <v/>
      </c>
      <c r="D89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9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90" s="43" t="str">
        <f>IFERROR(VLOOKUP(B890,Baza[[№]:[Profit]],3,0),"")</f>
        <v/>
      </c>
      <c r="G890" s="43" t="str">
        <f>IFERROR(VLOOKUP(B890,Baza[[№]:[Profit]],4,0),"")</f>
        <v/>
      </c>
      <c r="H890" s="43" t="str">
        <f>IFERROR(VLOOKUP(B890,Baza[[№]:[Profit]],5,0),"")</f>
        <v/>
      </c>
      <c r="I890" s="46" t="str">
        <f>IFERROR(VLOOKUP(B890,Baza[[№]:[Profit]],6,0),"")</f>
        <v/>
      </c>
      <c r="J890" s="49" t="str">
        <f>IFERROR(VLOOKUP(B890,Baza[[№]:[Profit]],7,0),"")</f>
        <v/>
      </c>
      <c r="K890" s="43" t="str">
        <f>IFERROR(VLOOKUP(B890,Baza[[№]:[Profit]],8,0),"")</f>
        <v/>
      </c>
      <c r="L890" s="43" t="str">
        <f>IFERROR(VLOOKUP(B890,Baza[[№]:[Profit]],9,0),"")</f>
        <v/>
      </c>
      <c r="M890" s="43" t="str">
        <f>IFERROR(VLOOKUP(B890,Baza[[№]:[Profit]],10,0),"")</f>
        <v/>
      </c>
      <c r="N890" s="43" t="str">
        <f>IFERROR(IF(VLOOKUP(B890,Baza[[№]:[Profit]],11,0)=0,"-",VLOOKUP(B890,Baza[[№]:[Profit]],11,0)),"")</f>
        <v/>
      </c>
      <c r="O890" s="43" t="str">
        <f>IFERROR(IF(VLOOKUP(B890,Baza[[№]:[Profit]],12,0)=0,"-",VLOOKUP(B890,Baza[[№]:[Profit]],12,0)),"")</f>
        <v/>
      </c>
      <c r="P890" s="43" t="str">
        <f>IFERROR(IF(VLOOKUP(B890,Baza[[№]:[Profit]],13,0)=0,"-",VLOOKUP(B890,Baza[[№]:[Profit]],13,0)),"")</f>
        <v/>
      </c>
      <c r="Q890" s="43" t="str">
        <f>IFERROR(IF(VLOOKUP(B890,Baza[[№]:[Profit]],15,0)=0,"-",VLOOKUP(B890,Baza[[№]:[Profit]],15,0)),"")</f>
        <v/>
      </c>
      <c r="R890" s="43" t="str">
        <f>IFERROR(IF(VLOOKUP(B890,Baza[[№]:[Profit]],16,0)=0,"-",VLOOKUP(B890,Baza[[№]:[Profit]],16,0)),"")</f>
        <v/>
      </c>
      <c r="S890" s="43" t="str">
        <f>IFERROR(IF(VLOOKUP(B890,Baza[[№]:[Profit]],17,0)=0,"-",VLOOKUP(B890,Baza[[№]:[Profit]],17,0)),"")</f>
        <v/>
      </c>
      <c r="T890" s="43" t="str">
        <f>IFERROR(IF(VLOOKUP(B890,Baza[[№]:[Profit]],18,0)=0,"-",VLOOKUP(B890,Baza[[№]:[Profit]],18,0)),"")</f>
        <v/>
      </c>
      <c r="U890" s="41" t="str">
        <f>IFERROR(IF(VLOOKUP(B890,Baza[[№]:[Profit]],19,0)=0,"-",VLOOKUP(B890,Baza[[№]:[Profit]],19,0)),"")</f>
        <v/>
      </c>
      <c r="V890" s="41" t="str">
        <f>IFERROR(VLOOKUP(B890,Baza[[№]:[Profit]],20,0),"")</f>
        <v/>
      </c>
      <c r="W890" s="41" t="str">
        <f>IFERROR(IF(VLOOKUP(B890,Baza[[№]:[Profit]],21,0)=0,"-",VLOOKUP(B890,Baza[[№]:[Profit]],21,0)),"")</f>
        <v/>
      </c>
      <c r="X890" s="45" t="str">
        <f>IFERROR(IF(VLOOKUP(B890,Baza[[№]:[Profit]],22,0)=0,"-",VLOOKUP(B890,Baza[[№]:[Profit]],22,0)),"")</f>
        <v/>
      </c>
      <c r="Y890" s="45" t="str">
        <f>IFERROR(VLOOKUP(B890,Baza[[№]:[Profit]],23,0),"")</f>
        <v/>
      </c>
      <c r="Z890" s="44" t="str">
        <f>IFERROR(VLOOKUP(B890,Baza[[№]:[AFS]],24,0),"")</f>
        <v/>
      </c>
      <c r="AA890" s="45" t="str">
        <f>IF(Таблица2[[#This Row],[Profit]]="","#Н/Д",SUM($Y$40:Y890))</f>
        <v>#Н/Д</v>
      </c>
      <c r="AB890" s="45" t="b">
        <f>IF(Таблица2[[#This Row],[Grafik]]="#Н/Д",FALSE,TRUE)</f>
        <v>0</v>
      </c>
    </row>
    <row r="891" spans="3:28" ht="11.1" hidden="1" customHeight="1" x14ac:dyDescent="0.25">
      <c r="C891" s="41" t="str">
        <f>IFERROR(VLOOKUP(B891,Baza[[№]:[Profit]],2,0),"")</f>
        <v/>
      </c>
      <c r="D89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9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91" s="43" t="str">
        <f>IFERROR(VLOOKUP(B891,Baza[[№]:[Profit]],3,0),"")</f>
        <v/>
      </c>
      <c r="G891" s="43" t="str">
        <f>IFERROR(VLOOKUP(B891,Baza[[№]:[Profit]],4,0),"")</f>
        <v/>
      </c>
      <c r="H891" s="43" t="str">
        <f>IFERROR(VLOOKUP(B891,Baza[[№]:[Profit]],5,0),"")</f>
        <v/>
      </c>
      <c r="I891" s="46" t="str">
        <f>IFERROR(VLOOKUP(B891,Baza[[№]:[Profit]],6,0),"")</f>
        <v/>
      </c>
      <c r="J891" s="49" t="str">
        <f>IFERROR(VLOOKUP(B891,Baza[[№]:[Profit]],7,0),"")</f>
        <v/>
      </c>
      <c r="K891" s="43" t="str">
        <f>IFERROR(VLOOKUP(B891,Baza[[№]:[Profit]],8,0),"")</f>
        <v/>
      </c>
      <c r="L891" s="43" t="str">
        <f>IFERROR(VLOOKUP(B891,Baza[[№]:[Profit]],9,0),"")</f>
        <v/>
      </c>
      <c r="M891" s="43" t="str">
        <f>IFERROR(VLOOKUP(B891,Baza[[№]:[Profit]],10,0),"")</f>
        <v/>
      </c>
      <c r="N891" s="43" t="str">
        <f>IFERROR(IF(VLOOKUP(B891,Baza[[№]:[Profit]],11,0)=0,"-",VLOOKUP(B891,Baza[[№]:[Profit]],11,0)),"")</f>
        <v/>
      </c>
      <c r="O891" s="43" t="str">
        <f>IFERROR(IF(VLOOKUP(B891,Baza[[№]:[Profit]],12,0)=0,"-",VLOOKUP(B891,Baza[[№]:[Profit]],12,0)),"")</f>
        <v/>
      </c>
      <c r="P891" s="43" t="str">
        <f>IFERROR(IF(VLOOKUP(B891,Baza[[№]:[Profit]],13,0)=0,"-",VLOOKUP(B891,Baza[[№]:[Profit]],13,0)),"")</f>
        <v/>
      </c>
      <c r="Q891" s="43" t="str">
        <f>IFERROR(IF(VLOOKUP(B891,Baza[[№]:[Profit]],15,0)=0,"-",VLOOKUP(B891,Baza[[№]:[Profit]],15,0)),"")</f>
        <v/>
      </c>
      <c r="R891" s="43" t="str">
        <f>IFERROR(IF(VLOOKUP(B891,Baza[[№]:[Profit]],16,0)=0,"-",VLOOKUP(B891,Baza[[№]:[Profit]],16,0)),"")</f>
        <v/>
      </c>
      <c r="S891" s="43" t="str">
        <f>IFERROR(IF(VLOOKUP(B891,Baza[[№]:[Profit]],17,0)=0,"-",VLOOKUP(B891,Baza[[№]:[Profit]],17,0)),"")</f>
        <v/>
      </c>
      <c r="T891" s="43" t="str">
        <f>IFERROR(IF(VLOOKUP(B891,Baza[[№]:[Profit]],18,0)=0,"-",VLOOKUP(B891,Baza[[№]:[Profit]],18,0)),"")</f>
        <v/>
      </c>
      <c r="U891" s="41" t="str">
        <f>IFERROR(IF(VLOOKUP(B891,Baza[[№]:[Profit]],19,0)=0,"-",VLOOKUP(B891,Baza[[№]:[Profit]],19,0)),"")</f>
        <v/>
      </c>
      <c r="V891" s="41" t="str">
        <f>IFERROR(VLOOKUP(B891,Baza[[№]:[Profit]],20,0),"")</f>
        <v/>
      </c>
      <c r="W891" s="41" t="str">
        <f>IFERROR(IF(VLOOKUP(B891,Baza[[№]:[Profit]],21,0)=0,"-",VLOOKUP(B891,Baza[[№]:[Profit]],21,0)),"")</f>
        <v/>
      </c>
      <c r="X891" s="45" t="str">
        <f>IFERROR(IF(VLOOKUP(B891,Baza[[№]:[Profit]],22,0)=0,"-",VLOOKUP(B891,Baza[[№]:[Profit]],22,0)),"")</f>
        <v/>
      </c>
      <c r="Y891" s="45" t="str">
        <f>IFERROR(VLOOKUP(B891,Baza[[№]:[Profit]],23,0),"")</f>
        <v/>
      </c>
      <c r="Z891" s="44" t="str">
        <f>IFERROR(VLOOKUP(B891,Baza[[№]:[AFS]],24,0),"")</f>
        <v/>
      </c>
      <c r="AA891" s="45" t="str">
        <f>IF(Таблица2[[#This Row],[Profit]]="","#Н/Д",SUM($Y$40:Y891))</f>
        <v>#Н/Д</v>
      </c>
      <c r="AB891" s="45" t="b">
        <f>IF(Таблица2[[#This Row],[Grafik]]="#Н/Д",FALSE,TRUE)</f>
        <v>0</v>
      </c>
    </row>
    <row r="892" spans="3:28" ht="11.1" hidden="1" customHeight="1" x14ac:dyDescent="0.25">
      <c r="C892" s="41" t="str">
        <f>IFERROR(VLOOKUP(B892,Baza[[№]:[Profit]],2,0),"")</f>
        <v/>
      </c>
      <c r="D89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9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92" s="43" t="str">
        <f>IFERROR(VLOOKUP(B892,Baza[[№]:[Profit]],3,0),"")</f>
        <v/>
      </c>
      <c r="G892" s="43" t="str">
        <f>IFERROR(VLOOKUP(B892,Baza[[№]:[Profit]],4,0),"")</f>
        <v/>
      </c>
      <c r="H892" s="43" t="str">
        <f>IFERROR(VLOOKUP(B892,Baza[[№]:[Profit]],5,0),"")</f>
        <v/>
      </c>
      <c r="I892" s="46" t="str">
        <f>IFERROR(VLOOKUP(B892,Baza[[№]:[Profit]],6,0),"")</f>
        <v/>
      </c>
      <c r="J892" s="49" t="str">
        <f>IFERROR(VLOOKUP(B892,Baza[[№]:[Profit]],7,0),"")</f>
        <v/>
      </c>
      <c r="K892" s="43" t="str">
        <f>IFERROR(VLOOKUP(B892,Baza[[№]:[Profit]],8,0),"")</f>
        <v/>
      </c>
      <c r="L892" s="43" t="str">
        <f>IFERROR(VLOOKUP(B892,Baza[[№]:[Profit]],9,0),"")</f>
        <v/>
      </c>
      <c r="M892" s="43" t="str">
        <f>IFERROR(VLOOKUP(B892,Baza[[№]:[Profit]],10,0),"")</f>
        <v/>
      </c>
      <c r="N892" s="43" t="str">
        <f>IFERROR(IF(VLOOKUP(B892,Baza[[№]:[Profit]],11,0)=0,"-",VLOOKUP(B892,Baza[[№]:[Profit]],11,0)),"")</f>
        <v/>
      </c>
      <c r="O892" s="43" t="str">
        <f>IFERROR(IF(VLOOKUP(B892,Baza[[№]:[Profit]],12,0)=0,"-",VLOOKUP(B892,Baza[[№]:[Profit]],12,0)),"")</f>
        <v/>
      </c>
      <c r="P892" s="43" t="str">
        <f>IFERROR(IF(VLOOKUP(B892,Baza[[№]:[Profit]],13,0)=0,"-",VLOOKUP(B892,Baza[[№]:[Profit]],13,0)),"")</f>
        <v/>
      </c>
      <c r="Q892" s="43" t="str">
        <f>IFERROR(IF(VLOOKUP(B892,Baza[[№]:[Profit]],15,0)=0,"-",VLOOKUP(B892,Baza[[№]:[Profit]],15,0)),"")</f>
        <v/>
      </c>
      <c r="R892" s="43" t="str">
        <f>IFERROR(IF(VLOOKUP(B892,Baza[[№]:[Profit]],16,0)=0,"-",VLOOKUP(B892,Baza[[№]:[Profit]],16,0)),"")</f>
        <v/>
      </c>
      <c r="S892" s="43" t="str">
        <f>IFERROR(IF(VLOOKUP(B892,Baza[[№]:[Profit]],17,0)=0,"-",VLOOKUP(B892,Baza[[№]:[Profit]],17,0)),"")</f>
        <v/>
      </c>
      <c r="T892" s="43" t="str">
        <f>IFERROR(IF(VLOOKUP(B892,Baza[[№]:[Profit]],18,0)=0,"-",VLOOKUP(B892,Baza[[№]:[Profit]],18,0)),"")</f>
        <v/>
      </c>
      <c r="U892" s="41" t="str">
        <f>IFERROR(IF(VLOOKUP(B892,Baza[[№]:[Profit]],19,0)=0,"-",VLOOKUP(B892,Baza[[№]:[Profit]],19,0)),"")</f>
        <v/>
      </c>
      <c r="V892" s="41" t="str">
        <f>IFERROR(VLOOKUP(B892,Baza[[№]:[Profit]],20,0),"")</f>
        <v/>
      </c>
      <c r="W892" s="41" t="str">
        <f>IFERROR(IF(VLOOKUP(B892,Baza[[№]:[Profit]],21,0)=0,"-",VLOOKUP(B892,Baza[[№]:[Profit]],21,0)),"")</f>
        <v/>
      </c>
      <c r="X892" s="45" t="str">
        <f>IFERROR(IF(VLOOKUP(B892,Baza[[№]:[Profit]],22,0)=0,"-",VLOOKUP(B892,Baza[[№]:[Profit]],22,0)),"")</f>
        <v/>
      </c>
      <c r="Y892" s="45" t="str">
        <f>IFERROR(VLOOKUP(B892,Baza[[№]:[Profit]],23,0),"")</f>
        <v/>
      </c>
      <c r="Z892" s="44" t="str">
        <f>IFERROR(VLOOKUP(B892,Baza[[№]:[AFS]],24,0),"")</f>
        <v/>
      </c>
      <c r="AA892" s="45" t="str">
        <f>IF(Таблица2[[#This Row],[Profit]]="","#Н/Д",SUM($Y$40:Y892))</f>
        <v>#Н/Д</v>
      </c>
      <c r="AB892" s="45" t="b">
        <f>IF(Таблица2[[#This Row],[Grafik]]="#Н/Д",FALSE,TRUE)</f>
        <v>0</v>
      </c>
    </row>
    <row r="893" spans="3:28" ht="11.1" hidden="1" customHeight="1" x14ac:dyDescent="0.25">
      <c r="C893" s="41" t="str">
        <f>IFERROR(VLOOKUP(B893,Baza[[№]:[Profit]],2,0),"")</f>
        <v/>
      </c>
      <c r="D89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9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93" s="43" t="str">
        <f>IFERROR(VLOOKUP(B893,Baza[[№]:[Profit]],3,0),"")</f>
        <v/>
      </c>
      <c r="G893" s="43" t="str">
        <f>IFERROR(VLOOKUP(B893,Baza[[№]:[Profit]],4,0),"")</f>
        <v/>
      </c>
      <c r="H893" s="43" t="str">
        <f>IFERROR(VLOOKUP(B893,Baza[[№]:[Profit]],5,0),"")</f>
        <v/>
      </c>
      <c r="I893" s="46" t="str">
        <f>IFERROR(VLOOKUP(B893,Baza[[№]:[Profit]],6,0),"")</f>
        <v/>
      </c>
      <c r="J893" s="49" t="str">
        <f>IFERROR(VLOOKUP(B893,Baza[[№]:[Profit]],7,0),"")</f>
        <v/>
      </c>
      <c r="K893" s="43" t="str">
        <f>IFERROR(VLOOKUP(B893,Baza[[№]:[Profit]],8,0),"")</f>
        <v/>
      </c>
      <c r="L893" s="43" t="str">
        <f>IFERROR(VLOOKUP(B893,Baza[[№]:[Profit]],9,0),"")</f>
        <v/>
      </c>
      <c r="M893" s="43" t="str">
        <f>IFERROR(VLOOKUP(B893,Baza[[№]:[Profit]],10,0),"")</f>
        <v/>
      </c>
      <c r="N893" s="43" t="str">
        <f>IFERROR(IF(VLOOKUP(B893,Baza[[№]:[Profit]],11,0)=0,"-",VLOOKUP(B893,Baza[[№]:[Profit]],11,0)),"")</f>
        <v/>
      </c>
      <c r="O893" s="43" t="str">
        <f>IFERROR(IF(VLOOKUP(B893,Baza[[№]:[Profit]],12,0)=0,"-",VLOOKUP(B893,Baza[[№]:[Profit]],12,0)),"")</f>
        <v/>
      </c>
      <c r="P893" s="43" t="str">
        <f>IFERROR(IF(VLOOKUP(B893,Baza[[№]:[Profit]],13,0)=0,"-",VLOOKUP(B893,Baza[[№]:[Profit]],13,0)),"")</f>
        <v/>
      </c>
      <c r="Q893" s="43" t="str">
        <f>IFERROR(IF(VLOOKUP(B893,Baza[[№]:[Profit]],15,0)=0,"-",VLOOKUP(B893,Baza[[№]:[Profit]],15,0)),"")</f>
        <v/>
      </c>
      <c r="R893" s="43" t="str">
        <f>IFERROR(IF(VLOOKUP(B893,Baza[[№]:[Profit]],16,0)=0,"-",VLOOKUP(B893,Baza[[№]:[Profit]],16,0)),"")</f>
        <v/>
      </c>
      <c r="S893" s="43" t="str">
        <f>IFERROR(IF(VLOOKUP(B893,Baza[[№]:[Profit]],17,0)=0,"-",VLOOKUP(B893,Baza[[№]:[Profit]],17,0)),"")</f>
        <v/>
      </c>
      <c r="T893" s="43" t="str">
        <f>IFERROR(IF(VLOOKUP(B893,Baza[[№]:[Profit]],18,0)=0,"-",VLOOKUP(B893,Baza[[№]:[Profit]],18,0)),"")</f>
        <v/>
      </c>
      <c r="U893" s="41" t="str">
        <f>IFERROR(IF(VLOOKUP(B893,Baza[[№]:[Profit]],19,0)=0,"-",VLOOKUP(B893,Baza[[№]:[Profit]],19,0)),"")</f>
        <v/>
      </c>
      <c r="V893" s="41" t="str">
        <f>IFERROR(VLOOKUP(B893,Baza[[№]:[Profit]],20,0),"")</f>
        <v/>
      </c>
      <c r="W893" s="41" t="str">
        <f>IFERROR(IF(VLOOKUP(B893,Baza[[№]:[Profit]],21,0)=0,"-",VLOOKUP(B893,Baza[[№]:[Profit]],21,0)),"")</f>
        <v/>
      </c>
      <c r="X893" s="45" t="str">
        <f>IFERROR(IF(VLOOKUP(B893,Baza[[№]:[Profit]],22,0)=0,"-",VLOOKUP(B893,Baza[[№]:[Profit]],22,0)),"")</f>
        <v/>
      </c>
      <c r="Y893" s="45" t="str">
        <f>IFERROR(VLOOKUP(B893,Baza[[№]:[Profit]],23,0),"")</f>
        <v/>
      </c>
      <c r="Z893" s="44" t="str">
        <f>IFERROR(VLOOKUP(B893,Baza[[№]:[AFS]],24,0),"")</f>
        <v/>
      </c>
      <c r="AA893" s="45" t="str">
        <f>IF(Таблица2[[#This Row],[Profit]]="","#Н/Д",SUM($Y$40:Y893))</f>
        <v>#Н/Д</v>
      </c>
      <c r="AB893" s="45" t="b">
        <f>IF(Таблица2[[#This Row],[Grafik]]="#Н/Д",FALSE,TRUE)</f>
        <v>0</v>
      </c>
    </row>
    <row r="894" spans="3:28" ht="11.1" hidden="1" customHeight="1" x14ac:dyDescent="0.25">
      <c r="C894" s="41" t="str">
        <f>IFERROR(VLOOKUP(B894,Baza[[№]:[Profit]],2,0),"")</f>
        <v/>
      </c>
      <c r="D89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9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94" s="43" t="str">
        <f>IFERROR(VLOOKUP(B894,Baza[[№]:[Profit]],3,0),"")</f>
        <v/>
      </c>
      <c r="G894" s="43" t="str">
        <f>IFERROR(VLOOKUP(B894,Baza[[№]:[Profit]],4,0),"")</f>
        <v/>
      </c>
      <c r="H894" s="43" t="str">
        <f>IFERROR(VLOOKUP(B894,Baza[[№]:[Profit]],5,0),"")</f>
        <v/>
      </c>
      <c r="I894" s="46" t="str">
        <f>IFERROR(VLOOKUP(B894,Baza[[№]:[Profit]],6,0),"")</f>
        <v/>
      </c>
      <c r="J894" s="49" t="str">
        <f>IFERROR(VLOOKUP(B894,Baza[[№]:[Profit]],7,0),"")</f>
        <v/>
      </c>
      <c r="K894" s="43" t="str">
        <f>IFERROR(VLOOKUP(B894,Baza[[№]:[Profit]],8,0),"")</f>
        <v/>
      </c>
      <c r="L894" s="43" t="str">
        <f>IFERROR(VLOOKUP(B894,Baza[[№]:[Profit]],9,0),"")</f>
        <v/>
      </c>
      <c r="M894" s="43" t="str">
        <f>IFERROR(VLOOKUP(B894,Baza[[№]:[Profit]],10,0),"")</f>
        <v/>
      </c>
      <c r="N894" s="43" t="str">
        <f>IFERROR(IF(VLOOKUP(B894,Baza[[№]:[Profit]],11,0)=0,"-",VLOOKUP(B894,Baza[[№]:[Profit]],11,0)),"")</f>
        <v/>
      </c>
      <c r="O894" s="43" t="str">
        <f>IFERROR(IF(VLOOKUP(B894,Baza[[№]:[Profit]],12,0)=0,"-",VLOOKUP(B894,Baza[[№]:[Profit]],12,0)),"")</f>
        <v/>
      </c>
      <c r="P894" s="43" t="str">
        <f>IFERROR(IF(VLOOKUP(B894,Baza[[№]:[Profit]],13,0)=0,"-",VLOOKUP(B894,Baza[[№]:[Profit]],13,0)),"")</f>
        <v/>
      </c>
      <c r="Q894" s="43" t="str">
        <f>IFERROR(IF(VLOOKUP(B894,Baza[[№]:[Profit]],15,0)=0,"-",VLOOKUP(B894,Baza[[№]:[Profit]],15,0)),"")</f>
        <v/>
      </c>
      <c r="R894" s="43" t="str">
        <f>IFERROR(IF(VLOOKUP(B894,Baza[[№]:[Profit]],16,0)=0,"-",VLOOKUP(B894,Baza[[№]:[Profit]],16,0)),"")</f>
        <v/>
      </c>
      <c r="S894" s="43" t="str">
        <f>IFERROR(IF(VLOOKUP(B894,Baza[[№]:[Profit]],17,0)=0,"-",VLOOKUP(B894,Baza[[№]:[Profit]],17,0)),"")</f>
        <v/>
      </c>
      <c r="T894" s="43" t="str">
        <f>IFERROR(IF(VLOOKUP(B894,Baza[[№]:[Profit]],18,0)=0,"-",VLOOKUP(B894,Baza[[№]:[Profit]],18,0)),"")</f>
        <v/>
      </c>
      <c r="U894" s="41" t="str">
        <f>IFERROR(IF(VLOOKUP(B894,Baza[[№]:[Profit]],19,0)=0,"-",VLOOKUP(B894,Baza[[№]:[Profit]],19,0)),"")</f>
        <v/>
      </c>
      <c r="V894" s="41" t="str">
        <f>IFERROR(VLOOKUP(B894,Baza[[№]:[Profit]],20,0),"")</f>
        <v/>
      </c>
      <c r="W894" s="41" t="str">
        <f>IFERROR(IF(VLOOKUP(B894,Baza[[№]:[Profit]],21,0)=0,"-",VLOOKUP(B894,Baza[[№]:[Profit]],21,0)),"")</f>
        <v/>
      </c>
      <c r="X894" s="45" t="str">
        <f>IFERROR(IF(VLOOKUP(B894,Baza[[№]:[Profit]],22,0)=0,"-",VLOOKUP(B894,Baza[[№]:[Profit]],22,0)),"")</f>
        <v/>
      </c>
      <c r="Y894" s="45" t="str">
        <f>IFERROR(VLOOKUP(B894,Baza[[№]:[Profit]],23,0),"")</f>
        <v/>
      </c>
      <c r="Z894" s="44" t="str">
        <f>IFERROR(VLOOKUP(B894,Baza[[№]:[AFS]],24,0),"")</f>
        <v/>
      </c>
      <c r="AA894" s="45" t="str">
        <f>IF(Таблица2[[#This Row],[Profit]]="","#Н/Д",SUM($Y$40:Y894))</f>
        <v>#Н/Д</v>
      </c>
      <c r="AB894" s="45" t="b">
        <f>IF(Таблица2[[#This Row],[Grafik]]="#Н/Д",FALSE,TRUE)</f>
        <v>0</v>
      </c>
    </row>
    <row r="895" spans="3:28" ht="11.1" hidden="1" customHeight="1" x14ac:dyDescent="0.25">
      <c r="C895" s="41" t="str">
        <f>IFERROR(VLOOKUP(B895,Baza[[№]:[Profit]],2,0),"")</f>
        <v/>
      </c>
      <c r="D89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9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95" s="43" t="str">
        <f>IFERROR(VLOOKUP(B895,Baza[[№]:[Profit]],3,0),"")</f>
        <v/>
      </c>
      <c r="G895" s="43" t="str">
        <f>IFERROR(VLOOKUP(B895,Baza[[№]:[Profit]],4,0),"")</f>
        <v/>
      </c>
      <c r="H895" s="43" t="str">
        <f>IFERROR(VLOOKUP(B895,Baza[[№]:[Profit]],5,0),"")</f>
        <v/>
      </c>
      <c r="I895" s="46" t="str">
        <f>IFERROR(VLOOKUP(B895,Baza[[№]:[Profit]],6,0),"")</f>
        <v/>
      </c>
      <c r="J895" s="49" t="str">
        <f>IFERROR(VLOOKUP(B895,Baza[[№]:[Profit]],7,0),"")</f>
        <v/>
      </c>
      <c r="K895" s="43" t="str">
        <f>IFERROR(VLOOKUP(B895,Baza[[№]:[Profit]],8,0),"")</f>
        <v/>
      </c>
      <c r="L895" s="43" t="str">
        <f>IFERROR(VLOOKUP(B895,Baza[[№]:[Profit]],9,0),"")</f>
        <v/>
      </c>
      <c r="M895" s="43" t="str">
        <f>IFERROR(VLOOKUP(B895,Baza[[№]:[Profit]],10,0),"")</f>
        <v/>
      </c>
      <c r="N895" s="43" t="str">
        <f>IFERROR(IF(VLOOKUP(B895,Baza[[№]:[Profit]],11,0)=0,"-",VLOOKUP(B895,Baza[[№]:[Profit]],11,0)),"")</f>
        <v/>
      </c>
      <c r="O895" s="43" t="str">
        <f>IFERROR(IF(VLOOKUP(B895,Baza[[№]:[Profit]],12,0)=0,"-",VLOOKUP(B895,Baza[[№]:[Profit]],12,0)),"")</f>
        <v/>
      </c>
      <c r="P895" s="43" t="str">
        <f>IFERROR(IF(VLOOKUP(B895,Baza[[№]:[Profit]],13,0)=0,"-",VLOOKUP(B895,Baza[[№]:[Profit]],13,0)),"")</f>
        <v/>
      </c>
      <c r="Q895" s="43" t="str">
        <f>IFERROR(IF(VLOOKUP(B895,Baza[[№]:[Profit]],15,0)=0,"-",VLOOKUP(B895,Baza[[№]:[Profit]],15,0)),"")</f>
        <v/>
      </c>
      <c r="R895" s="43" t="str">
        <f>IFERROR(IF(VLOOKUP(B895,Baza[[№]:[Profit]],16,0)=0,"-",VLOOKUP(B895,Baza[[№]:[Profit]],16,0)),"")</f>
        <v/>
      </c>
      <c r="S895" s="43" t="str">
        <f>IFERROR(IF(VLOOKUP(B895,Baza[[№]:[Profit]],17,0)=0,"-",VLOOKUP(B895,Baza[[№]:[Profit]],17,0)),"")</f>
        <v/>
      </c>
      <c r="T895" s="43" t="str">
        <f>IFERROR(IF(VLOOKUP(B895,Baza[[№]:[Profit]],18,0)=0,"-",VLOOKUP(B895,Baza[[№]:[Profit]],18,0)),"")</f>
        <v/>
      </c>
      <c r="U895" s="41" t="str">
        <f>IFERROR(IF(VLOOKUP(B895,Baza[[№]:[Profit]],19,0)=0,"-",VLOOKUP(B895,Baza[[№]:[Profit]],19,0)),"")</f>
        <v/>
      </c>
      <c r="V895" s="41" t="str">
        <f>IFERROR(VLOOKUP(B895,Baza[[№]:[Profit]],20,0),"")</f>
        <v/>
      </c>
      <c r="W895" s="41" t="str">
        <f>IFERROR(IF(VLOOKUP(B895,Baza[[№]:[Profit]],21,0)=0,"-",VLOOKUP(B895,Baza[[№]:[Profit]],21,0)),"")</f>
        <v/>
      </c>
      <c r="X895" s="45" t="str">
        <f>IFERROR(IF(VLOOKUP(B895,Baza[[№]:[Profit]],22,0)=0,"-",VLOOKUP(B895,Baza[[№]:[Profit]],22,0)),"")</f>
        <v/>
      </c>
      <c r="Y895" s="45" t="str">
        <f>IFERROR(VLOOKUP(B895,Baza[[№]:[Profit]],23,0),"")</f>
        <v/>
      </c>
      <c r="Z895" s="44" t="str">
        <f>IFERROR(VLOOKUP(B895,Baza[[№]:[AFS]],24,0),"")</f>
        <v/>
      </c>
      <c r="AA895" s="45" t="str">
        <f>IF(Таблица2[[#This Row],[Profit]]="","#Н/Д",SUM($Y$40:Y895))</f>
        <v>#Н/Д</v>
      </c>
      <c r="AB895" s="45" t="b">
        <f>IF(Таблица2[[#This Row],[Grafik]]="#Н/Д",FALSE,TRUE)</f>
        <v>0</v>
      </c>
    </row>
    <row r="896" spans="3:28" ht="11.1" hidden="1" customHeight="1" x14ac:dyDescent="0.25">
      <c r="C896" s="41" t="str">
        <f>IFERROR(VLOOKUP(B896,Baza[[№]:[Profit]],2,0),"")</f>
        <v/>
      </c>
      <c r="D89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9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96" s="43" t="str">
        <f>IFERROR(VLOOKUP(B896,Baza[[№]:[Profit]],3,0),"")</f>
        <v/>
      </c>
      <c r="G896" s="43" t="str">
        <f>IFERROR(VLOOKUP(B896,Baza[[№]:[Profit]],4,0),"")</f>
        <v/>
      </c>
      <c r="H896" s="43" t="str">
        <f>IFERROR(VLOOKUP(B896,Baza[[№]:[Profit]],5,0),"")</f>
        <v/>
      </c>
      <c r="I896" s="46" t="str">
        <f>IFERROR(VLOOKUP(B896,Baza[[№]:[Profit]],6,0),"")</f>
        <v/>
      </c>
      <c r="J896" s="49" t="str">
        <f>IFERROR(VLOOKUP(B896,Baza[[№]:[Profit]],7,0),"")</f>
        <v/>
      </c>
      <c r="K896" s="43" t="str">
        <f>IFERROR(VLOOKUP(B896,Baza[[№]:[Profit]],8,0),"")</f>
        <v/>
      </c>
      <c r="L896" s="43" t="str">
        <f>IFERROR(VLOOKUP(B896,Baza[[№]:[Profit]],9,0),"")</f>
        <v/>
      </c>
      <c r="M896" s="43" t="str">
        <f>IFERROR(VLOOKUP(B896,Baza[[№]:[Profit]],10,0),"")</f>
        <v/>
      </c>
      <c r="N896" s="43" t="str">
        <f>IFERROR(IF(VLOOKUP(B896,Baza[[№]:[Profit]],11,0)=0,"-",VLOOKUP(B896,Baza[[№]:[Profit]],11,0)),"")</f>
        <v/>
      </c>
      <c r="O896" s="43" t="str">
        <f>IFERROR(IF(VLOOKUP(B896,Baza[[№]:[Profit]],12,0)=0,"-",VLOOKUP(B896,Baza[[№]:[Profit]],12,0)),"")</f>
        <v/>
      </c>
      <c r="P896" s="43" t="str">
        <f>IFERROR(IF(VLOOKUP(B896,Baza[[№]:[Profit]],13,0)=0,"-",VLOOKUP(B896,Baza[[№]:[Profit]],13,0)),"")</f>
        <v/>
      </c>
      <c r="Q896" s="43" t="str">
        <f>IFERROR(IF(VLOOKUP(B896,Baza[[№]:[Profit]],15,0)=0,"-",VLOOKUP(B896,Baza[[№]:[Profit]],15,0)),"")</f>
        <v/>
      </c>
      <c r="R896" s="43" t="str">
        <f>IFERROR(IF(VLOOKUP(B896,Baza[[№]:[Profit]],16,0)=0,"-",VLOOKUP(B896,Baza[[№]:[Profit]],16,0)),"")</f>
        <v/>
      </c>
      <c r="S896" s="43" t="str">
        <f>IFERROR(IF(VLOOKUP(B896,Baza[[№]:[Profit]],17,0)=0,"-",VLOOKUP(B896,Baza[[№]:[Profit]],17,0)),"")</f>
        <v/>
      </c>
      <c r="T896" s="43" t="str">
        <f>IFERROR(IF(VLOOKUP(B896,Baza[[№]:[Profit]],18,0)=0,"-",VLOOKUP(B896,Baza[[№]:[Profit]],18,0)),"")</f>
        <v/>
      </c>
      <c r="U896" s="41" t="str">
        <f>IFERROR(IF(VLOOKUP(B896,Baza[[№]:[Profit]],19,0)=0,"-",VLOOKUP(B896,Baza[[№]:[Profit]],19,0)),"")</f>
        <v/>
      </c>
      <c r="V896" s="41" t="str">
        <f>IFERROR(VLOOKUP(B896,Baza[[№]:[Profit]],20,0),"")</f>
        <v/>
      </c>
      <c r="W896" s="41" t="str">
        <f>IFERROR(IF(VLOOKUP(B896,Baza[[№]:[Profit]],21,0)=0,"-",VLOOKUP(B896,Baza[[№]:[Profit]],21,0)),"")</f>
        <v/>
      </c>
      <c r="X896" s="45" t="str">
        <f>IFERROR(IF(VLOOKUP(B896,Baza[[№]:[Profit]],22,0)=0,"-",VLOOKUP(B896,Baza[[№]:[Profit]],22,0)),"")</f>
        <v/>
      </c>
      <c r="Y896" s="45" t="str">
        <f>IFERROR(VLOOKUP(B896,Baza[[№]:[Profit]],23,0),"")</f>
        <v/>
      </c>
      <c r="Z896" s="44" t="str">
        <f>IFERROR(VLOOKUP(B896,Baza[[№]:[AFS]],24,0),"")</f>
        <v/>
      </c>
      <c r="AA896" s="45" t="str">
        <f>IF(Таблица2[[#This Row],[Profit]]="","#Н/Д",SUM($Y$40:Y896))</f>
        <v>#Н/Д</v>
      </c>
      <c r="AB896" s="45" t="b">
        <f>IF(Таблица2[[#This Row],[Grafik]]="#Н/Д",FALSE,TRUE)</f>
        <v>0</v>
      </c>
    </row>
    <row r="897" spans="3:28" ht="11.1" hidden="1" customHeight="1" x14ac:dyDescent="0.25">
      <c r="C897" s="41" t="str">
        <f>IFERROR(VLOOKUP(B897,Baza[[№]:[Profit]],2,0),"")</f>
        <v/>
      </c>
      <c r="D89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9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97" s="43" t="str">
        <f>IFERROR(VLOOKUP(B897,Baza[[№]:[Profit]],3,0),"")</f>
        <v/>
      </c>
      <c r="G897" s="43" t="str">
        <f>IFERROR(VLOOKUP(B897,Baza[[№]:[Profit]],4,0),"")</f>
        <v/>
      </c>
      <c r="H897" s="43" t="str">
        <f>IFERROR(VLOOKUP(B897,Baza[[№]:[Profit]],5,0),"")</f>
        <v/>
      </c>
      <c r="I897" s="46" t="str">
        <f>IFERROR(VLOOKUP(B897,Baza[[№]:[Profit]],6,0),"")</f>
        <v/>
      </c>
      <c r="J897" s="49" t="str">
        <f>IFERROR(VLOOKUP(B897,Baza[[№]:[Profit]],7,0),"")</f>
        <v/>
      </c>
      <c r="K897" s="43" t="str">
        <f>IFERROR(VLOOKUP(B897,Baza[[№]:[Profit]],8,0),"")</f>
        <v/>
      </c>
      <c r="L897" s="43" t="str">
        <f>IFERROR(VLOOKUP(B897,Baza[[№]:[Profit]],9,0),"")</f>
        <v/>
      </c>
      <c r="M897" s="43" t="str">
        <f>IFERROR(VLOOKUP(B897,Baza[[№]:[Profit]],10,0),"")</f>
        <v/>
      </c>
      <c r="N897" s="43" t="str">
        <f>IFERROR(IF(VLOOKUP(B897,Baza[[№]:[Profit]],11,0)=0,"-",VLOOKUP(B897,Baza[[№]:[Profit]],11,0)),"")</f>
        <v/>
      </c>
      <c r="O897" s="43" t="str">
        <f>IFERROR(IF(VLOOKUP(B897,Baza[[№]:[Profit]],12,0)=0,"-",VLOOKUP(B897,Baza[[№]:[Profit]],12,0)),"")</f>
        <v/>
      </c>
      <c r="P897" s="43" t="str">
        <f>IFERROR(IF(VLOOKUP(B897,Baza[[№]:[Profit]],13,0)=0,"-",VLOOKUP(B897,Baza[[№]:[Profit]],13,0)),"")</f>
        <v/>
      </c>
      <c r="Q897" s="43" t="str">
        <f>IFERROR(IF(VLOOKUP(B897,Baza[[№]:[Profit]],15,0)=0,"-",VLOOKUP(B897,Baza[[№]:[Profit]],15,0)),"")</f>
        <v/>
      </c>
      <c r="R897" s="43" t="str">
        <f>IFERROR(IF(VLOOKUP(B897,Baza[[№]:[Profit]],16,0)=0,"-",VLOOKUP(B897,Baza[[№]:[Profit]],16,0)),"")</f>
        <v/>
      </c>
      <c r="S897" s="43" t="str">
        <f>IFERROR(IF(VLOOKUP(B897,Baza[[№]:[Profit]],17,0)=0,"-",VLOOKUP(B897,Baza[[№]:[Profit]],17,0)),"")</f>
        <v/>
      </c>
      <c r="T897" s="43" t="str">
        <f>IFERROR(IF(VLOOKUP(B897,Baza[[№]:[Profit]],18,0)=0,"-",VLOOKUP(B897,Baza[[№]:[Profit]],18,0)),"")</f>
        <v/>
      </c>
      <c r="U897" s="41" t="str">
        <f>IFERROR(IF(VLOOKUP(B897,Baza[[№]:[Profit]],19,0)=0,"-",VLOOKUP(B897,Baza[[№]:[Profit]],19,0)),"")</f>
        <v/>
      </c>
      <c r="V897" s="41" t="str">
        <f>IFERROR(VLOOKUP(B897,Baza[[№]:[Profit]],20,0),"")</f>
        <v/>
      </c>
      <c r="W897" s="41" t="str">
        <f>IFERROR(IF(VLOOKUP(B897,Baza[[№]:[Profit]],21,0)=0,"-",VLOOKUP(B897,Baza[[№]:[Profit]],21,0)),"")</f>
        <v/>
      </c>
      <c r="X897" s="45" t="str">
        <f>IFERROR(IF(VLOOKUP(B897,Baza[[№]:[Profit]],22,0)=0,"-",VLOOKUP(B897,Baza[[№]:[Profit]],22,0)),"")</f>
        <v/>
      </c>
      <c r="Y897" s="45" t="str">
        <f>IFERROR(VLOOKUP(B897,Baza[[№]:[Profit]],23,0),"")</f>
        <v/>
      </c>
      <c r="Z897" s="44" t="str">
        <f>IFERROR(VLOOKUP(B897,Baza[[№]:[AFS]],24,0),"")</f>
        <v/>
      </c>
      <c r="AA897" s="45" t="str">
        <f>IF(Таблица2[[#This Row],[Profit]]="","#Н/Д",SUM($Y$40:Y897))</f>
        <v>#Н/Д</v>
      </c>
      <c r="AB897" s="45" t="b">
        <f>IF(Таблица2[[#This Row],[Grafik]]="#Н/Д",FALSE,TRUE)</f>
        <v>0</v>
      </c>
    </row>
    <row r="898" spans="3:28" ht="11.1" hidden="1" customHeight="1" x14ac:dyDescent="0.25">
      <c r="C898" s="41" t="str">
        <f>IFERROR(VLOOKUP(B898,Baza[[№]:[Profit]],2,0),"")</f>
        <v/>
      </c>
      <c r="D89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9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98" s="43" t="str">
        <f>IFERROR(VLOOKUP(B898,Baza[[№]:[Profit]],3,0),"")</f>
        <v/>
      </c>
      <c r="G898" s="43" t="str">
        <f>IFERROR(VLOOKUP(B898,Baza[[№]:[Profit]],4,0),"")</f>
        <v/>
      </c>
      <c r="H898" s="43" t="str">
        <f>IFERROR(VLOOKUP(B898,Baza[[№]:[Profit]],5,0),"")</f>
        <v/>
      </c>
      <c r="I898" s="46" t="str">
        <f>IFERROR(VLOOKUP(B898,Baza[[№]:[Profit]],6,0),"")</f>
        <v/>
      </c>
      <c r="J898" s="49" t="str">
        <f>IFERROR(VLOOKUP(B898,Baza[[№]:[Profit]],7,0),"")</f>
        <v/>
      </c>
      <c r="K898" s="43" t="str">
        <f>IFERROR(VLOOKUP(B898,Baza[[№]:[Profit]],8,0),"")</f>
        <v/>
      </c>
      <c r="L898" s="43" t="str">
        <f>IFERROR(VLOOKUP(B898,Baza[[№]:[Profit]],9,0),"")</f>
        <v/>
      </c>
      <c r="M898" s="43" t="str">
        <f>IFERROR(VLOOKUP(B898,Baza[[№]:[Profit]],10,0),"")</f>
        <v/>
      </c>
      <c r="N898" s="43" t="str">
        <f>IFERROR(IF(VLOOKUP(B898,Baza[[№]:[Profit]],11,0)=0,"-",VLOOKUP(B898,Baza[[№]:[Profit]],11,0)),"")</f>
        <v/>
      </c>
      <c r="O898" s="43" t="str">
        <f>IFERROR(IF(VLOOKUP(B898,Baza[[№]:[Profit]],12,0)=0,"-",VLOOKUP(B898,Baza[[№]:[Profit]],12,0)),"")</f>
        <v/>
      </c>
      <c r="P898" s="43" t="str">
        <f>IFERROR(IF(VLOOKUP(B898,Baza[[№]:[Profit]],13,0)=0,"-",VLOOKUP(B898,Baza[[№]:[Profit]],13,0)),"")</f>
        <v/>
      </c>
      <c r="Q898" s="43" t="str">
        <f>IFERROR(IF(VLOOKUP(B898,Baza[[№]:[Profit]],15,0)=0,"-",VLOOKUP(B898,Baza[[№]:[Profit]],15,0)),"")</f>
        <v/>
      </c>
      <c r="R898" s="43" t="str">
        <f>IFERROR(IF(VLOOKUP(B898,Baza[[№]:[Profit]],16,0)=0,"-",VLOOKUP(B898,Baza[[№]:[Profit]],16,0)),"")</f>
        <v/>
      </c>
      <c r="S898" s="43" t="str">
        <f>IFERROR(IF(VLOOKUP(B898,Baza[[№]:[Profit]],17,0)=0,"-",VLOOKUP(B898,Baza[[№]:[Profit]],17,0)),"")</f>
        <v/>
      </c>
      <c r="T898" s="43" t="str">
        <f>IFERROR(IF(VLOOKUP(B898,Baza[[№]:[Profit]],18,0)=0,"-",VLOOKUP(B898,Baza[[№]:[Profit]],18,0)),"")</f>
        <v/>
      </c>
      <c r="U898" s="41" t="str">
        <f>IFERROR(IF(VLOOKUP(B898,Baza[[№]:[Profit]],19,0)=0,"-",VLOOKUP(B898,Baza[[№]:[Profit]],19,0)),"")</f>
        <v/>
      </c>
      <c r="V898" s="41" t="str">
        <f>IFERROR(VLOOKUP(B898,Baza[[№]:[Profit]],20,0),"")</f>
        <v/>
      </c>
      <c r="W898" s="41" t="str">
        <f>IFERROR(IF(VLOOKUP(B898,Baza[[№]:[Profit]],21,0)=0,"-",VLOOKUP(B898,Baza[[№]:[Profit]],21,0)),"")</f>
        <v/>
      </c>
      <c r="X898" s="45" t="str">
        <f>IFERROR(IF(VLOOKUP(B898,Baza[[№]:[Profit]],22,0)=0,"-",VLOOKUP(B898,Baza[[№]:[Profit]],22,0)),"")</f>
        <v/>
      </c>
      <c r="Y898" s="45" t="str">
        <f>IFERROR(VLOOKUP(B898,Baza[[№]:[Profit]],23,0),"")</f>
        <v/>
      </c>
      <c r="Z898" s="44" t="str">
        <f>IFERROR(VLOOKUP(B898,Baza[[№]:[AFS]],24,0),"")</f>
        <v/>
      </c>
      <c r="AA898" s="45" t="str">
        <f>IF(Таблица2[[#This Row],[Profit]]="","#Н/Д",SUM($Y$40:Y898))</f>
        <v>#Н/Д</v>
      </c>
      <c r="AB898" s="45" t="b">
        <f>IF(Таблица2[[#This Row],[Grafik]]="#Н/Д",FALSE,TRUE)</f>
        <v>0</v>
      </c>
    </row>
    <row r="899" spans="3:28" ht="11.1" hidden="1" customHeight="1" x14ac:dyDescent="0.25">
      <c r="C899" s="41" t="str">
        <f>IFERROR(VLOOKUP(B899,Baza[[№]:[Profit]],2,0),"")</f>
        <v/>
      </c>
      <c r="D89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9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99" s="43" t="str">
        <f>IFERROR(VLOOKUP(B899,Baza[[№]:[Profit]],3,0),"")</f>
        <v/>
      </c>
      <c r="G899" s="43" t="str">
        <f>IFERROR(VLOOKUP(B899,Baza[[№]:[Profit]],4,0),"")</f>
        <v/>
      </c>
      <c r="H899" s="43" t="str">
        <f>IFERROR(VLOOKUP(B899,Baza[[№]:[Profit]],5,0),"")</f>
        <v/>
      </c>
      <c r="I899" s="46" t="str">
        <f>IFERROR(VLOOKUP(B899,Baza[[№]:[Profit]],6,0),"")</f>
        <v/>
      </c>
      <c r="J899" s="49" t="str">
        <f>IFERROR(VLOOKUP(B899,Baza[[№]:[Profit]],7,0),"")</f>
        <v/>
      </c>
      <c r="K899" s="43" t="str">
        <f>IFERROR(VLOOKUP(B899,Baza[[№]:[Profit]],8,0),"")</f>
        <v/>
      </c>
      <c r="L899" s="43" t="str">
        <f>IFERROR(VLOOKUP(B899,Baza[[№]:[Profit]],9,0),"")</f>
        <v/>
      </c>
      <c r="M899" s="43" t="str">
        <f>IFERROR(VLOOKUP(B899,Baza[[№]:[Profit]],10,0),"")</f>
        <v/>
      </c>
      <c r="N899" s="43" t="str">
        <f>IFERROR(IF(VLOOKUP(B899,Baza[[№]:[Profit]],11,0)=0,"-",VLOOKUP(B899,Baza[[№]:[Profit]],11,0)),"")</f>
        <v/>
      </c>
      <c r="O899" s="43" t="str">
        <f>IFERROR(IF(VLOOKUP(B899,Baza[[№]:[Profit]],12,0)=0,"-",VLOOKUP(B899,Baza[[№]:[Profit]],12,0)),"")</f>
        <v/>
      </c>
      <c r="P899" s="43" t="str">
        <f>IFERROR(IF(VLOOKUP(B899,Baza[[№]:[Profit]],13,0)=0,"-",VLOOKUP(B899,Baza[[№]:[Profit]],13,0)),"")</f>
        <v/>
      </c>
      <c r="Q899" s="43" t="str">
        <f>IFERROR(IF(VLOOKUP(B899,Baza[[№]:[Profit]],15,0)=0,"-",VLOOKUP(B899,Baza[[№]:[Profit]],15,0)),"")</f>
        <v/>
      </c>
      <c r="R899" s="43" t="str">
        <f>IFERROR(IF(VLOOKUP(B899,Baza[[№]:[Profit]],16,0)=0,"-",VLOOKUP(B899,Baza[[№]:[Profit]],16,0)),"")</f>
        <v/>
      </c>
      <c r="S899" s="43" t="str">
        <f>IFERROR(IF(VLOOKUP(B899,Baza[[№]:[Profit]],17,0)=0,"-",VLOOKUP(B899,Baza[[№]:[Profit]],17,0)),"")</f>
        <v/>
      </c>
      <c r="T899" s="43" t="str">
        <f>IFERROR(IF(VLOOKUP(B899,Baza[[№]:[Profit]],18,0)=0,"-",VLOOKUP(B899,Baza[[№]:[Profit]],18,0)),"")</f>
        <v/>
      </c>
      <c r="U899" s="41" t="str">
        <f>IFERROR(IF(VLOOKUP(B899,Baza[[№]:[Profit]],19,0)=0,"-",VLOOKUP(B899,Baza[[№]:[Profit]],19,0)),"")</f>
        <v/>
      </c>
      <c r="V899" s="41" t="str">
        <f>IFERROR(VLOOKUP(B899,Baza[[№]:[Profit]],20,0),"")</f>
        <v/>
      </c>
      <c r="W899" s="41" t="str">
        <f>IFERROR(IF(VLOOKUP(B899,Baza[[№]:[Profit]],21,0)=0,"-",VLOOKUP(B899,Baza[[№]:[Profit]],21,0)),"")</f>
        <v/>
      </c>
      <c r="X899" s="45" t="str">
        <f>IFERROR(IF(VLOOKUP(B899,Baza[[№]:[Profit]],22,0)=0,"-",VLOOKUP(B899,Baza[[№]:[Profit]],22,0)),"")</f>
        <v/>
      </c>
      <c r="Y899" s="45" t="str">
        <f>IFERROR(VLOOKUP(B899,Baza[[№]:[Profit]],23,0),"")</f>
        <v/>
      </c>
      <c r="Z899" s="44" t="str">
        <f>IFERROR(VLOOKUP(B899,Baza[[№]:[AFS]],24,0),"")</f>
        <v/>
      </c>
      <c r="AA899" s="45" t="str">
        <f>IF(Таблица2[[#This Row],[Profit]]="","#Н/Д",SUM($Y$40:Y899))</f>
        <v>#Н/Д</v>
      </c>
      <c r="AB899" s="45" t="b">
        <f>IF(Таблица2[[#This Row],[Grafik]]="#Н/Д",FALSE,TRUE)</f>
        <v>0</v>
      </c>
    </row>
    <row r="900" spans="3:28" ht="11.1" hidden="1" customHeight="1" x14ac:dyDescent="0.25">
      <c r="C900" s="41" t="str">
        <f>IFERROR(VLOOKUP(B900,Baza[[№]:[Profit]],2,0),"")</f>
        <v/>
      </c>
      <c r="D90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0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00" s="43" t="str">
        <f>IFERROR(VLOOKUP(B900,Baza[[№]:[Profit]],3,0),"")</f>
        <v/>
      </c>
      <c r="G900" s="43" t="str">
        <f>IFERROR(VLOOKUP(B900,Baza[[№]:[Profit]],4,0),"")</f>
        <v/>
      </c>
      <c r="H900" s="43" t="str">
        <f>IFERROR(VLOOKUP(B900,Baza[[№]:[Profit]],5,0),"")</f>
        <v/>
      </c>
      <c r="I900" s="46" t="str">
        <f>IFERROR(VLOOKUP(B900,Baza[[№]:[Profit]],6,0),"")</f>
        <v/>
      </c>
      <c r="J900" s="49" t="str">
        <f>IFERROR(VLOOKUP(B900,Baza[[№]:[Profit]],7,0),"")</f>
        <v/>
      </c>
      <c r="K900" s="43" t="str">
        <f>IFERROR(VLOOKUP(B900,Baza[[№]:[Profit]],8,0),"")</f>
        <v/>
      </c>
      <c r="L900" s="43" t="str">
        <f>IFERROR(VLOOKUP(B900,Baza[[№]:[Profit]],9,0),"")</f>
        <v/>
      </c>
      <c r="M900" s="43" t="str">
        <f>IFERROR(VLOOKUP(B900,Baza[[№]:[Profit]],10,0),"")</f>
        <v/>
      </c>
      <c r="N900" s="43" t="str">
        <f>IFERROR(IF(VLOOKUP(B900,Baza[[№]:[Profit]],11,0)=0,"-",VLOOKUP(B900,Baza[[№]:[Profit]],11,0)),"")</f>
        <v/>
      </c>
      <c r="O900" s="43" t="str">
        <f>IFERROR(IF(VLOOKUP(B900,Baza[[№]:[Profit]],12,0)=0,"-",VLOOKUP(B900,Baza[[№]:[Profit]],12,0)),"")</f>
        <v/>
      </c>
      <c r="P900" s="43" t="str">
        <f>IFERROR(IF(VLOOKUP(B900,Baza[[№]:[Profit]],13,0)=0,"-",VLOOKUP(B900,Baza[[№]:[Profit]],13,0)),"")</f>
        <v/>
      </c>
      <c r="Q900" s="43" t="str">
        <f>IFERROR(IF(VLOOKUP(B900,Baza[[№]:[Profit]],15,0)=0,"-",VLOOKUP(B900,Baza[[№]:[Profit]],15,0)),"")</f>
        <v/>
      </c>
      <c r="R900" s="43" t="str">
        <f>IFERROR(IF(VLOOKUP(B900,Baza[[№]:[Profit]],16,0)=0,"-",VLOOKUP(B900,Baza[[№]:[Profit]],16,0)),"")</f>
        <v/>
      </c>
      <c r="S900" s="43" t="str">
        <f>IFERROR(IF(VLOOKUP(B900,Baza[[№]:[Profit]],17,0)=0,"-",VLOOKUP(B900,Baza[[№]:[Profit]],17,0)),"")</f>
        <v/>
      </c>
      <c r="T900" s="43" t="str">
        <f>IFERROR(IF(VLOOKUP(B900,Baza[[№]:[Profit]],18,0)=0,"-",VLOOKUP(B900,Baza[[№]:[Profit]],18,0)),"")</f>
        <v/>
      </c>
      <c r="U900" s="41" t="str">
        <f>IFERROR(IF(VLOOKUP(B900,Baza[[№]:[Profit]],19,0)=0,"-",VLOOKUP(B900,Baza[[№]:[Profit]],19,0)),"")</f>
        <v/>
      </c>
      <c r="V900" s="41" t="str">
        <f>IFERROR(VLOOKUP(B900,Baza[[№]:[Profit]],20,0),"")</f>
        <v/>
      </c>
      <c r="W900" s="41" t="str">
        <f>IFERROR(IF(VLOOKUP(B900,Baza[[№]:[Profit]],21,0)=0,"-",VLOOKUP(B900,Baza[[№]:[Profit]],21,0)),"")</f>
        <v/>
      </c>
      <c r="X900" s="45" t="str">
        <f>IFERROR(IF(VLOOKUP(B900,Baza[[№]:[Profit]],22,0)=0,"-",VLOOKUP(B900,Baza[[№]:[Profit]],22,0)),"")</f>
        <v/>
      </c>
      <c r="Y900" s="45" t="str">
        <f>IFERROR(VLOOKUP(B900,Baza[[№]:[Profit]],23,0),"")</f>
        <v/>
      </c>
      <c r="Z900" s="44" t="str">
        <f>IFERROR(VLOOKUP(B900,Baza[[№]:[AFS]],24,0),"")</f>
        <v/>
      </c>
      <c r="AA900" s="45" t="str">
        <f>IF(Таблица2[[#This Row],[Profit]]="","#Н/Д",SUM($Y$40:Y900))</f>
        <v>#Н/Д</v>
      </c>
      <c r="AB900" s="45" t="b">
        <f>IF(Таблица2[[#This Row],[Grafik]]="#Н/Д",FALSE,TRUE)</f>
        <v>0</v>
      </c>
    </row>
    <row r="901" spans="3:28" ht="11.1" hidden="1" customHeight="1" x14ac:dyDescent="0.25">
      <c r="C901" s="41" t="str">
        <f>IFERROR(VLOOKUP(B901,Baza[[№]:[Profit]],2,0),"")</f>
        <v/>
      </c>
      <c r="D90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0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01" s="43" t="str">
        <f>IFERROR(VLOOKUP(B901,Baza[[№]:[Profit]],3,0),"")</f>
        <v/>
      </c>
      <c r="G901" s="43" t="str">
        <f>IFERROR(VLOOKUP(B901,Baza[[№]:[Profit]],4,0),"")</f>
        <v/>
      </c>
      <c r="H901" s="43" t="str">
        <f>IFERROR(VLOOKUP(B901,Baza[[№]:[Profit]],5,0),"")</f>
        <v/>
      </c>
      <c r="I901" s="46" t="str">
        <f>IFERROR(VLOOKUP(B901,Baza[[№]:[Profit]],6,0),"")</f>
        <v/>
      </c>
      <c r="J901" s="49" t="str">
        <f>IFERROR(VLOOKUP(B901,Baza[[№]:[Profit]],7,0),"")</f>
        <v/>
      </c>
      <c r="K901" s="43" t="str">
        <f>IFERROR(VLOOKUP(B901,Baza[[№]:[Profit]],8,0),"")</f>
        <v/>
      </c>
      <c r="L901" s="43" t="str">
        <f>IFERROR(VLOOKUP(B901,Baza[[№]:[Profit]],9,0),"")</f>
        <v/>
      </c>
      <c r="M901" s="43" t="str">
        <f>IFERROR(VLOOKUP(B901,Baza[[№]:[Profit]],10,0),"")</f>
        <v/>
      </c>
      <c r="N901" s="43" t="str">
        <f>IFERROR(IF(VLOOKUP(B901,Baza[[№]:[Profit]],11,0)=0,"-",VLOOKUP(B901,Baza[[№]:[Profit]],11,0)),"")</f>
        <v/>
      </c>
      <c r="O901" s="43" t="str">
        <f>IFERROR(IF(VLOOKUP(B901,Baza[[№]:[Profit]],12,0)=0,"-",VLOOKUP(B901,Baza[[№]:[Profit]],12,0)),"")</f>
        <v/>
      </c>
      <c r="P901" s="43" t="str">
        <f>IFERROR(IF(VLOOKUP(B901,Baza[[№]:[Profit]],13,0)=0,"-",VLOOKUP(B901,Baza[[№]:[Profit]],13,0)),"")</f>
        <v/>
      </c>
      <c r="Q901" s="43" t="str">
        <f>IFERROR(IF(VLOOKUP(B901,Baza[[№]:[Profit]],15,0)=0,"-",VLOOKUP(B901,Baza[[№]:[Profit]],15,0)),"")</f>
        <v/>
      </c>
      <c r="R901" s="43" t="str">
        <f>IFERROR(IF(VLOOKUP(B901,Baza[[№]:[Profit]],16,0)=0,"-",VLOOKUP(B901,Baza[[№]:[Profit]],16,0)),"")</f>
        <v/>
      </c>
      <c r="S901" s="43" t="str">
        <f>IFERROR(IF(VLOOKUP(B901,Baza[[№]:[Profit]],17,0)=0,"-",VLOOKUP(B901,Baza[[№]:[Profit]],17,0)),"")</f>
        <v/>
      </c>
      <c r="T901" s="43" t="str">
        <f>IFERROR(IF(VLOOKUP(B901,Baza[[№]:[Profit]],18,0)=0,"-",VLOOKUP(B901,Baza[[№]:[Profit]],18,0)),"")</f>
        <v/>
      </c>
      <c r="U901" s="41" t="str">
        <f>IFERROR(IF(VLOOKUP(B901,Baza[[№]:[Profit]],19,0)=0,"-",VLOOKUP(B901,Baza[[№]:[Profit]],19,0)),"")</f>
        <v/>
      </c>
      <c r="V901" s="41" t="str">
        <f>IFERROR(VLOOKUP(B901,Baza[[№]:[Profit]],20,0),"")</f>
        <v/>
      </c>
      <c r="W901" s="41" t="str">
        <f>IFERROR(IF(VLOOKUP(B901,Baza[[№]:[Profit]],21,0)=0,"-",VLOOKUP(B901,Baza[[№]:[Profit]],21,0)),"")</f>
        <v/>
      </c>
      <c r="X901" s="45" t="str">
        <f>IFERROR(IF(VLOOKUP(B901,Baza[[№]:[Profit]],22,0)=0,"-",VLOOKUP(B901,Baza[[№]:[Profit]],22,0)),"")</f>
        <v/>
      </c>
      <c r="Y901" s="45" t="str">
        <f>IFERROR(VLOOKUP(B901,Baza[[№]:[Profit]],23,0),"")</f>
        <v/>
      </c>
      <c r="Z901" s="44" t="str">
        <f>IFERROR(VLOOKUP(B901,Baza[[№]:[AFS]],24,0),"")</f>
        <v/>
      </c>
      <c r="AA901" s="45" t="str">
        <f>IF(Таблица2[[#This Row],[Profit]]="","#Н/Д",SUM($Y$40:Y901))</f>
        <v>#Н/Д</v>
      </c>
      <c r="AB901" s="45" t="b">
        <f>IF(Таблица2[[#This Row],[Grafik]]="#Н/Д",FALSE,TRUE)</f>
        <v>0</v>
      </c>
    </row>
    <row r="902" spans="3:28" ht="11.1" hidden="1" customHeight="1" x14ac:dyDescent="0.25">
      <c r="C902" s="41" t="str">
        <f>IFERROR(VLOOKUP(B902,Baza[[№]:[Profit]],2,0),"")</f>
        <v/>
      </c>
      <c r="D90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0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02" s="43" t="str">
        <f>IFERROR(VLOOKUP(B902,Baza[[№]:[Profit]],3,0),"")</f>
        <v/>
      </c>
      <c r="G902" s="43" t="str">
        <f>IFERROR(VLOOKUP(B902,Baza[[№]:[Profit]],4,0),"")</f>
        <v/>
      </c>
      <c r="H902" s="43" t="str">
        <f>IFERROR(VLOOKUP(B902,Baza[[№]:[Profit]],5,0),"")</f>
        <v/>
      </c>
      <c r="I902" s="46" t="str">
        <f>IFERROR(VLOOKUP(B902,Baza[[№]:[Profit]],6,0),"")</f>
        <v/>
      </c>
      <c r="J902" s="49" t="str">
        <f>IFERROR(VLOOKUP(B902,Baza[[№]:[Profit]],7,0),"")</f>
        <v/>
      </c>
      <c r="K902" s="43" t="str">
        <f>IFERROR(VLOOKUP(B902,Baza[[№]:[Profit]],8,0),"")</f>
        <v/>
      </c>
      <c r="L902" s="43" t="str">
        <f>IFERROR(VLOOKUP(B902,Baza[[№]:[Profit]],9,0),"")</f>
        <v/>
      </c>
      <c r="M902" s="43" t="str">
        <f>IFERROR(VLOOKUP(B902,Baza[[№]:[Profit]],10,0),"")</f>
        <v/>
      </c>
      <c r="N902" s="43" t="str">
        <f>IFERROR(IF(VLOOKUP(B902,Baza[[№]:[Profit]],11,0)=0,"-",VLOOKUP(B902,Baza[[№]:[Profit]],11,0)),"")</f>
        <v/>
      </c>
      <c r="O902" s="43" t="str">
        <f>IFERROR(IF(VLOOKUP(B902,Baza[[№]:[Profit]],12,0)=0,"-",VLOOKUP(B902,Baza[[№]:[Profit]],12,0)),"")</f>
        <v/>
      </c>
      <c r="P902" s="43" t="str">
        <f>IFERROR(IF(VLOOKUP(B902,Baza[[№]:[Profit]],13,0)=0,"-",VLOOKUP(B902,Baza[[№]:[Profit]],13,0)),"")</f>
        <v/>
      </c>
      <c r="Q902" s="43" t="str">
        <f>IFERROR(IF(VLOOKUP(B902,Baza[[№]:[Profit]],15,0)=0,"-",VLOOKUP(B902,Baza[[№]:[Profit]],15,0)),"")</f>
        <v/>
      </c>
      <c r="R902" s="43" t="str">
        <f>IFERROR(IF(VLOOKUP(B902,Baza[[№]:[Profit]],16,0)=0,"-",VLOOKUP(B902,Baza[[№]:[Profit]],16,0)),"")</f>
        <v/>
      </c>
      <c r="S902" s="43" t="str">
        <f>IFERROR(IF(VLOOKUP(B902,Baza[[№]:[Profit]],17,0)=0,"-",VLOOKUP(B902,Baza[[№]:[Profit]],17,0)),"")</f>
        <v/>
      </c>
      <c r="T902" s="43" t="str">
        <f>IFERROR(IF(VLOOKUP(B902,Baza[[№]:[Profit]],18,0)=0,"-",VLOOKUP(B902,Baza[[№]:[Profit]],18,0)),"")</f>
        <v/>
      </c>
      <c r="U902" s="41" t="str">
        <f>IFERROR(IF(VLOOKUP(B902,Baza[[№]:[Profit]],19,0)=0,"-",VLOOKUP(B902,Baza[[№]:[Profit]],19,0)),"")</f>
        <v/>
      </c>
      <c r="V902" s="41" t="str">
        <f>IFERROR(VLOOKUP(B902,Baza[[№]:[Profit]],20,0),"")</f>
        <v/>
      </c>
      <c r="W902" s="41" t="str">
        <f>IFERROR(IF(VLOOKUP(B902,Baza[[№]:[Profit]],21,0)=0,"-",VLOOKUP(B902,Baza[[№]:[Profit]],21,0)),"")</f>
        <v/>
      </c>
      <c r="X902" s="45" t="str">
        <f>IFERROR(IF(VLOOKUP(B902,Baza[[№]:[Profit]],22,0)=0,"-",VLOOKUP(B902,Baza[[№]:[Profit]],22,0)),"")</f>
        <v/>
      </c>
      <c r="Y902" s="45" t="str">
        <f>IFERROR(VLOOKUP(B902,Baza[[№]:[Profit]],23,0),"")</f>
        <v/>
      </c>
      <c r="Z902" s="44" t="str">
        <f>IFERROR(VLOOKUP(B902,Baza[[№]:[AFS]],24,0),"")</f>
        <v/>
      </c>
      <c r="AA902" s="45" t="str">
        <f>IF(Таблица2[[#This Row],[Profit]]="","#Н/Д",SUM($Y$40:Y902))</f>
        <v>#Н/Д</v>
      </c>
      <c r="AB902" s="45" t="b">
        <f>IF(Таблица2[[#This Row],[Grafik]]="#Н/Д",FALSE,TRUE)</f>
        <v>0</v>
      </c>
    </row>
    <row r="903" spans="3:28" ht="11.1" hidden="1" customHeight="1" x14ac:dyDescent="0.25">
      <c r="C903" s="41" t="str">
        <f>IFERROR(VLOOKUP(B903,Baza[[№]:[Profit]],2,0),"")</f>
        <v/>
      </c>
      <c r="D90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0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03" s="43" t="str">
        <f>IFERROR(VLOOKUP(B903,Baza[[№]:[Profit]],3,0),"")</f>
        <v/>
      </c>
      <c r="G903" s="43" t="str">
        <f>IFERROR(VLOOKUP(B903,Baza[[№]:[Profit]],4,0),"")</f>
        <v/>
      </c>
      <c r="H903" s="43" t="str">
        <f>IFERROR(VLOOKUP(B903,Baza[[№]:[Profit]],5,0),"")</f>
        <v/>
      </c>
      <c r="I903" s="46" t="str">
        <f>IFERROR(VLOOKUP(B903,Baza[[№]:[Profit]],6,0),"")</f>
        <v/>
      </c>
      <c r="J903" s="49" t="str">
        <f>IFERROR(VLOOKUP(B903,Baza[[№]:[Profit]],7,0),"")</f>
        <v/>
      </c>
      <c r="K903" s="43" t="str">
        <f>IFERROR(VLOOKUP(B903,Baza[[№]:[Profit]],8,0),"")</f>
        <v/>
      </c>
      <c r="L903" s="43" t="str">
        <f>IFERROR(VLOOKUP(B903,Baza[[№]:[Profit]],9,0),"")</f>
        <v/>
      </c>
      <c r="M903" s="43" t="str">
        <f>IFERROR(VLOOKUP(B903,Baza[[№]:[Profit]],10,0),"")</f>
        <v/>
      </c>
      <c r="N903" s="43" t="str">
        <f>IFERROR(IF(VLOOKUP(B903,Baza[[№]:[Profit]],11,0)=0,"-",VLOOKUP(B903,Baza[[№]:[Profit]],11,0)),"")</f>
        <v/>
      </c>
      <c r="O903" s="43" t="str">
        <f>IFERROR(IF(VLOOKUP(B903,Baza[[№]:[Profit]],12,0)=0,"-",VLOOKUP(B903,Baza[[№]:[Profit]],12,0)),"")</f>
        <v/>
      </c>
      <c r="P903" s="43" t="str">
        <f>IFERROR(IF(VLOOKUP(B903,Baza[[№]:[Profit]],13,0)=0,"-",VLOOKUP(B903,Baza[[№]:[Profit]],13,0)),"")</f>
        <v/>
      </c>
      <c r="Q903" s="43" t="str">
        <f>IFERROR(IF(VLOOKUP(B903,Baza[[№]:[Profit]],15,0)=0,"-",VLOOKUP(B903,Baza[[№]:[Profit]],15,0)),"")</f>
        <v/>
      </c>
      <c r="R903" s="43" t="str">
        <f>IFERROR(IF(VLOOKUP(B903,Baza[[№]:[Profit]],16,0)=0,"-",VLOOKUP(B903,Baza[[№]:[Profit]],16,0)),"")</f>
        <v/>
      </c>
      <c r="S903" s="43" t="str">
        <f>IFERROR(IF(VLOOKUP(B903,Baza[[№]:[Profit]],17,0)=0,"-",VLOOKUP(B903,Baza[[№]:[Profit]],17,0)),"")</f>
        <v/>
      </c>
      <c r="T903" s="43" t="str">
        <f>IFERROR(IF(VLOOKUP(B903,Baza[[№]:[Profit]],18,0)=0,"-",VLOOKUP(B903,Baza[[№]:[Profit]],18,0)),"")</f>
        <v/>
      </c>
      <c r="U903" s="41" t="str">
        <f>IFERROR(IF(VLOOKUP(B903,Baza[[№]:[Profit]],19,0)=0,"-",VLOOKUP(B903,Baza[[№]:[Profit]],19,0)),"")</f>
        <v/>
      </c>
      <c r="V903" s="41" t="str">
        <f>IFERROR(VLOOKUP(B903,Baza[[№]:[Profit]],20,0),"")</f>
        <v/>
      </c>
      <c r="W903" s="41" t="str">
        <f>IFERROR(IF(VLOOKUP(B903,Baza[[№]:[Profit]],21,0)=0,"-",VLOOKUP(B903,Baza[[№]:[Profit]],21,0)),"")</f>
        <v/>
      </c>
      <c r="X903" s="45" t="str">
        <f>IFERROR(IF(VLOOKUP(B903,Baza[[№]:[Profit]],22,0)=0,"-",VLOOKUP(B903,Baza[[№]:[Profit]],22,0)),"")</f>
        <v/>
      </c>
      <c r="Y903" s="45" t="str">
        <f>IFERROR(VLOOKUP(B903,Baza[[№]:[Profit]],23,0),"")</f>
        <v/>
      </c>
      <c r="Z903" s="44" t="str">
        <f>IFERROR(VLOOKUP(B903,Baza[[№]:[AFS]],24,0),"")</f>
        <v/>
      </c>
      <c r="AA903" s="45" t="str">
        <f>IF(Таблица2[[#This Row],[Profit]]="","#Н/Д",SUM($Y$40:Y903))</f>
        <v>#Н/Д</v>
      </c>
      <c r="AB903" s="45" t="b">
        <f>IF(Таблица2[[#This Row],[Grafik]]="#Н/Д",FALSE,TRUE)</f>
        <v>0</v>
      </c>
    </row>
    <row r="904" spans="3:28" ht="11.1" hidden="1" customHeight="1" x14ac:dyDescent="0.25">
      <c r="C904" s="41" t="str">
        <f>IFERROR(VLOOKUP(B904,Baza[[№]:[Profit]],2,0),"")</f>
        <v/>
      </c>
      <c r="D90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0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04" s="43" t="str">
        <f>IFERROR(VLOOKUP(B904,Baza[[№]:[Profit]],3,0),"")</f>
        <v/>
      </c>
      <c r="G904" s="43" t="str">
        <f>IFERROR(VLOOKUP(B904,Baza[[№]:[Profit]],4,0),"")</f>
        <v/>
      </c>
      <c r="H904" s="43" t="str">
        <f>IFERROR(VLOOKUP(B904,Baza[[№]:[Profit]],5,0),"")</f>
        <v/>
      </c>
      <c r="I904" s="46" t="str">
        <f>IFERROR(VLOOKUP(B904,Baza[[№]:[Profit]],6,0),"")</f>
        <v/>
      </c>
      <c r="J904" s="49" t="str">
        <f>IFERROR(VLOOKUP(B904,Baza[[№]:[Profit]],7,0),"")</f>
        <v/>
      </c>
      <c r="K904" s="43" t="str">
        <f>IFERROR(VLOOKUP(B904,Baza[[№]:[Profit]],8,0),"")</f>
        <v/>
      </c>
      <c r="L904" s="43" t="str">
        <f>IFERROR(VLOOKUP(B904,Baza[[№]:[Profit]],9,0),"")</f>
        <v/>
      </c>
      <c r="M904" s="43" t="str">
        <f>IFERROR(VLOOKUP(B904,Baza[[№]:[Profit]],10,0),"")</f>
        <v/>
      </c>
      <c r="N904" s="43" t="str">
        <f>IFERROR(IF(VLOOKUP(B904,Baza[[№]:[Profit]],11,0)=0,"-",VLOOKUP(B904,Baza[[№]:[Profit]],11,0)),"")</f>
        <v/>
      </c>
      <c r="O904" s="43" t="str">
        <f>IFERROR(IF(VLOOKUP(B904,Baza[[№]:[Profit]],12,0)=0,"-",VLOOKUP(B904,Baza[[№]:[Profit]],12,0)),"")</f>
        <v/>
      </c>
      <c r="P904" s="43" t="str">
        <f>IFERROR(IF(VLOOKUP(B904,Baza[[№]:[Profit]],13,0)=0,"-",VLOOKUP(B904,Baza[[№]:[Profit]],13,0)),"")</f>
        <v/>
      </c>
      <c r="Q904" s="43" t="str">
        <f>IFERROR(IF(VLOOKUP(B904,Baza[[№]:[Profit]],15,0)=0,"-",VLOOKUP(B904,Baza[[№]:[Profit]],15,0)),"")</f>
        <v/>
      </c>
      <c r="R904" s="43" t="str">
        <f>IFERROR(IF(VLOOKUP(B904,Baza[[№]:[Profit]],16,0)=0,"-",VLOOKUP(B904,Baza[[№]:[Profit]],16,0)),"")</f>
        <v/>
      </c>
      <c r="S904" s="43" t="str">
        <f>IFERROR(IF(VLOOKUP(B904,Baza[[№]:[Profit]],17,0)=0,"-",VLOOKUP(B904,Baza[[№]:[Profit]],17,0)),"")</f>
        <v/>
      </c>
      <c r="T904" s="43" t="str">
        <f>IFERROR(IF(VLOOKUP(B904,Baza[[№]:[Profit]],18,0)=0,"-",VLOOKUP(B904,Baza[[№]:[Profit]],18,0)),"")</f>
        <v/>
      </c>
      <c r="U904" s="41" t="str">
        <f>IFERROR(IF(VLOOKUP(B904,Baza[[№]:[Profit]],19,0)=0,"-",VLOOKUP(B904,Baza[[№]:[Profit]],19,0)),"")</f>
        <v/>
      </c>
      <c r="V904" s="41" t="str">
        <f>IFERROR(VLOOKUP(B904,Baza[[№]:[Profit]],20,0),"")</f>
        <v/>
      </c>
      <c r="W904" s="41" t="str">
        <f>IFERROR(IF(VLOOKUP(B904,Baza[[№]:[Profit]],21,0)=0,"-",VLOOKUP(B904,Baza[[№]:[Profit]],21,0)),"")</f>
        <v/>
      </c>
      <c r="X904" s="45" t="str">
        <f>IFERROR(IF(VLOOKUP(B904,Baza[[№]:[Profit]],22,0)=0,"-",VLOOKUP(B904,Baza[[№]:[Profit]],22,0)),"")</f>
        <v/>
      </c>
      <c r="Y904" s="45" t="str">
        <f>IFERROR(VLOOKUP(B904,Baza[[№]:[Profit]],23,0),"")</f>
        <v/>
      </c>
      <c r="Z904" s="44" t="str">
        <f>IFERROR(VLOOKUP(B904,Baza[[№]:[AFS]],24,0),"")</f>
        <v/>
      </c>
      <c r="AA904" s="45" t="str">
        <f>IF(Таблица2[[#This Row],[Profit]]="","#Н/Д",SUM($Y$40:Y904))</f>
        <v>#Н/Д</v>
      </c>
      <c r="AB904" s="45" t="b">
        <f>IF(Таблица2[[#This Row],[Grafik]]="#Н/Д",FALSE,TRUE)</f>
        <v>0</v>
      </c>
    </row>
    <row r="905" spans="3:28" ht="11.1" hidden="1" customHeight="1" x14ac:dyDescent="0.25">
      <c r="C905" s="41" t="str">
        <f>IFERROR(VLOOKUP(B905,Baza[[№]:[Profit]],2,0),"")</f>
        <v/>
      </c>
      <c r="D90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0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05" s="43" t="str">
        <f>IFERROR(VLOOKUP(B905,Baza[[№]:[Profit]],3,0),"")</f>
        <v/>
      </c>
      <c r="G905" s="43" t="str">
        <f>IFERROR(VLOOKUP(B905,Baza[[№]:[Profit]],4,0),"")</f>
        <v/>
      </c>
      <c r="H905" s="43" t="str">
        <f>IFERROR(VLOOKUP(B905,Baza[[№]:[Profit]],5,0),"")</f>
        <v/>
      </c>
      <c r="I905" s="46" t="str">
        <f>IFERROR(VLOOKUP(B905,Baza[[№]:[Profit]],6,0),"")</f>
        <v/>
      </c>
      <c r="J905" s="49" t="str">
        <f>IFERROR(VLOOKUP(B905,Baza[[№]:[Profit]],7,0),"")</f>
        <v/>
      </c>
      <c r="K905" s="43" t="str">
        <f>IFERROR(VLOOKUP(B905,Baza[[№]:[Profit]],8,0),"")</f>
        <v/>
      </c>
      <c r="L905" s="43" t="str">
        <f>IFERROR(VLOOKUP(B905,Baza[[№]:[Profit]],9,0),"")</f>
        <v/>
      </c>
      <c r="M905" s="43" t="str">
        <f>IFERROR(VLOOKUP(B905,Baza[[№]:[Profit]],10,0),"")</f>
        <v/>
      </c>
      <c r="N905" s="43" t="str">
        <f>IFERROR(IF(VLOOKUP(B905,Baza[[№]:[Profit]],11,0)=0,"-",VLOOKUP(B905,Baza[[№]:[Profit]],11,0)),"")</f>
        <v/>
      </c>
      <c r="O905" s="43" t="str">
        <f>IFERROR(IF(VLOOKUP(B905,Baza[[№]:[Profit]],12,0)=0,"-",VLOOKUP(B905,Baza[[№]:[Profit]],12,0)),"")</f>
        <v/>
      </c>
      <c r="P905" s="43" t="str">
        <f>IFERROR(IF(VLOOKUP(B905,Baza[[№]:[Profit]],13,0)=0,"-",VLOOKUP(B905,Baza[[№]:[Profit]],13,0)),"")</f>
        <v/>
      </c>
      <c r="Q905" s="43" t="str">
        <f>IFERROR(IF(VLOOKUP(B905,Baza[[№]:[Profit]],15,0)=0,"-",VLOOKUP(B905,Baza[[№]:[Profit]],15,0)),"")</f>
        <v/>
      </c>
      <c r="R905" s="43" t="str">
        <f>IFERROR(IF(VLOOKUP(B905,Baza[[№]:[Profit]],16,0)=0,"-",VLOOKUP(B905,Baza[[№]:[Profit]],16,0)),"")</f>
        <v/>
      </c>
      <c r="S905" s="43" t="str">
        <f>IFERROR(IF(VLOOKUP(B905,Baza[[№]:[Profit]],17,0)=0,"-",VLOOKUP(B905,Baza[[№]:[Profit]],17,0)),"")</f>
        <v/>
      </c>
      <c r="T905" s="43" t="str">
        <f>IFERROR(IF(VLOOKUP(B905,Baza[[№]:[Profit]],18,0)=0,"-",VLOOKUP(B905,Baza[[№]:[Profit]],18,0)),"")</f>
        <v/>
      </c>
      <c r="U905" s="41" t="str">
        <f>IFERROR(IF(VLOOKUP(B905,Baza[[№]:[Profit]],19,0)=0,"-",VLOOKUP(B905,Baza[[№]:[Profit]],19,0)),"")</f>
        <v/>
      </c>
      <c r="V905" s="41" t="str">
        <f>IFERROR(VLOOKUP(B905,Baza[[№]:[Profit]],20,0),"")</f>
        <v/>
      </c>
      <c r="W905" s="41" t="str">
        <f>IFERROR(IF(VLOOKUP(B905,Baza[[№]:[Profit]],21,0)=0,"-",VLOOKUP(B905,Baza[[№]:[Profit]],21,0)),"")</f>
        <v/>
      </c>
      <c r="X905" s="45" t="str">
        <f>IFERROR(IF(VLOOKUP(B905,Baza[[№]:[Profit]],22,0)=0,"-",VLOOKUP(B905,Baza[[№]:[Profit]],22,0)),"")</f>
        <v/>
      </c>
      <c r="Y905" s="45" t="str">
        <f>IFERROR(VLOOKUP(B905,Baza[[№]:[Profit]],23,0),"")</f>
        <v/>
      </c>
      <c r="Z905" s="44" t="str">
        <f>IFERROR(VLOOKUP(B905,Baza[[№]:[AFS]],24,0),"")</f>
        <v/>
      </c>
      <c r="AA905" s="45" t="str">
        <f>IF(Таблица2[[#This Row],[Profit]]="","#Н/Д",SUM($Y$40:Y905))</f>
        <v>#Н/Д</v>
      </c>
      <c r="AB905" s="45" t="b">
        <f>IF(Таблица2[[#This Row],[Grafik]]="#Н/Д",FALSE,TRUE)</f>
        <v>0</v>
      </c>
    </row>
    <row r="906" spans="3:28" ht="11.1" hidden="1" customHeight="1" x14ac:dyDescent="0.25">
      <c r="C906" s="41" t="str">
        <f>IFERROR(VLOOKUP(B906,Baza[[№]:[Profit]],2,0),"")</f>
        <v/>
      </c>
      <c r="D90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0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06" s="43" t="str">
        <f>IFERROR(VLOOKUP(B906,Baza[[№]:[Profit]],3,0),"")</f>
        <v/>
      </c>
      <c r="G906" s="43" t="str">
        <f>IFERROR(VLOOKUP(B906,Baza[[№]:[Profit]],4,0),"")</f>
        <v/>
      </c>
      <c r="H906" s="43" t="str">
        <f>IFERROR(VLOOKUP(B906,Baza[[№]:[Profit]],5,0),"")</f>
        <v/>
      </c>
      <c r="I906" s="46" t="str">
        <f>IFERROR(VLOOKUP(B906,Baza[[№]:[Profit]],6,0),"")</f>
        <v/>
      </c>
      <c r="J906" s="49" t="str">
        <f>IFERROR(VLOOKUP(B906,Baza[[№]:[Profit]],7,0),"")</f>
        <v/>
      </c>
      <c r="K906" s="43" t="str">
        <f>IFERROR(VLOOKUP(B906,Baza[[№]:[Profit]],8,0),"")</f>
        <v/>
      </c>
      <c r="L906" s="43" t="str">
        <f>IFERROR(VLOOKUP(B906,Baza[[№]:[Profit]],9,0),"")</f>
        <v/>
      </c>
      <c r="M906" s="43" t="str">
        <f>IFERROR(VLOOKUP(B906,Baza[[№]:[Profit]],10,0),"")</f>
        <v/>
      </c>
      <c r="N906" s="43" t="str">
        <f>IFERROR(IF(VLOOKUP(B906,Baza[[№]:[Profit]],11,0)=0,"-",VLOOKUP(B906,Baza[[№]:[Profit]],11,0)),"")</f>
        <v/>
      </c>
      <c r="O906" s="43" t="str">
        <f>IFERROR(IF(VLOOKUP(B906,Baza[[№]:[Profit]],12,0)=0,"-",VLOOKUP(B906,Baza[[№]:[Profit]],12,0)),"")</f>
        <v/>
      </c>
      <c r="P906" s="43" t="str">
        <f>IFERROR(IF(VLOOKUP(B906,Baza[[№]:[Profit]],13,0)=0,"-",VLOOKUP(B906,Baza[[№]:[Profit]],13,0)),"")</f>
        <v/>
      </c>
      <c r="Q906" s="43" t="str">
        <f>IFERROR(IF(VLOOKUP(B906,Baza[[№]:[Profit]],15,0)=0,"-",VLOOKUP(B906,Baza[[№]:[Profit]],15,0)),"")</f>
        <v/>
      </c>
      <c r="R906" s="43" t="str">
        <f>IFERROR(IF(VLOOKUP(B906,Baza[[№]:[Profit]],16,0)=0,"-",VLOOKUP(B906,Baza[[№]:[Profit]],16,0)),"")</f>
        <v/>
      </c>
      <c r="S906" s="43" t="str">
        <f>IFERROR(IF(VLOOKUP(B906,Baza[[№]:[Profit]],17,0)=0,"-",VLOOKUP(B906,Baza[[№]:[Profit]],17,0)),"")</f>
        <v/>
      </c>
      <c r="T906" s="43" t="str">
        <f>IFERROR(IF(VLOOKUP(B906,Baza[[№]:[Profit]],18,0)=0,"-",VLOOKUP(B906,Baza[[№]:[Profit]],18,0)),"")</f>
        <v/>
      </c>
      <c r="U906" s="41" t="str">
        <f>IFERROR(IF(VLOOKUP(B906,Baza[[№]:[Profit]],19,0)=0,"-",VLOOKUP(B906,Baza[[№]:[Profit]],19,0)),"")</f>
        <v/>
      </c>
      <c r="V906" s="41" t="str">
        <f>IFERROR(VLOOKUP(B906,Baza[[№]:[Profit]],20,0),"")</f>
        <v/>
      </c>
      <c r="W906" s="41" t="str">
        <f>IFERROR(IF(VLOOKUP(B906,Baza[[№]:[Profit]],21,0)=0,"-",VLOOKUP(B906,Baza[[№]:[Profit]],21,0)),"")</f>
        <v/>
      </c>
      <c r="X906" s="45" t="str">
        <f>IFERROR(IF(VLOOKUP(B906,Baza[[№]:[Profit]],22,0)=0,"-",VLOOKUP(B906,Baza[[№]:[Profit]],22,0)),"")</f>
        <v/>
      </c>
      <c r="Y906" s="45" t="str">
        <f>IFERROR(VLOOKUP(B906,Baza[[№]:[Profit]],23,0),"")</f>
        <v/>
      </c>
      <c r="Z906" s="44" t="str">
        <f>IFERROR(VLOOKUP(B906,Baza[[№]:[AFS]],24,0),"")</f>
        <v/>
      </c>
      <c r="AA906" s="45" t="str">
        <f>IF(Таблица2[[#This Row],[Profit]]="","#Н/Д",SUM($Y$40:Y906))</f>
        <v>#Н/Д</v>
      </c>
      <c r="AB906" s="45" t="b">
        <f>IF(Таблица2[[#This Row],[Grafik]]="#Н/Д",FALSE,TRUE)</f>
        <v>0</v>
      </c>
    </row>
    <row r="907" spans="3:28" ht="11.1" hidden="1" customHeight="1" x14ac:dyDescent="0.25">
      <c r="C907" s="41" t="str">
        <f>IFERROR(VLOOKUP(B907,Baza[[№]:[Profit]],2,0),"")</f>
        <v/>
      </c>
      <c r="D90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0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07" s="43" t="str">
        <f>IFERROR(VLOOKUP(B907,Baza[[№]:[Profit]],3,0),"")</f>
        <v/>
      </c>
      <c r="G907" s="43" t="str">
        <f>IFERROR(VLOOKUP(B907,Baza[[№]:[Profit]],4,0),"")</f>
        <v/>
      </c>
      <c r="H907" s="43" t="str">
        <f>IFERROR(VLOOKUP(B907,Baza[[№]:[Profit]],5,0),"")</f>
        <v/>
      </c>
      <c r="I907" s="46" t="str">
        <f>IFERROR(VLOOKUP(B907,Baza[[№]:[Profit]],6,0),"")</f>
        <v/>
      </c>
      <c r="J907" s="49" t="str">
        <f>IFERROR(VLOOKUP(B907,Baza[[№]:[Profit]],7,0),"")</f>
        <v/>
      </c>
      <c r="K907" s="43" t="str">
        <f>IFERROR(VLOOKUP(B907,Baza[[№]:[Profit]],8,0),"")</f>
        <v/>
      </c>
      <c r="L907" s="43" t="str">
        <f>IFERROR(VLOOKUP(B907,Baza[[№]:[Profit]],9,0),"")</f>
        <v/>
      </c>
      <c r="M907" s="43" t="str">
        <f>IFERROR(VLOOKUP(B907,Baza[[№]:[Profit]],10,0),"")</f>
        <v/>
      </c>
      <c r="N907" s="43" t="str">
        <f>IFERROR(IF(VLOOKUP(B907,Baza[[№]:[Profit]],11,0)=0,"-",VLOOKUP(B907,Baza[[№]:[Profit]],11,0)),"")</f>
        <v/>
      </c>
      <c r="O907" s="43" t="str">
        <f>IFERROR(IF(VLOOKUP(B907,Baza[[№]:[Profit]],12,0)=0,"-",VLOOKUP(B907,Baza[[№]:[Profit]],12,0)),"")</f>
        <v/>
      </c>
      <c r="P907" s="43" t="str">
        <f>IFERROR(IF(VLOOKUP(B907,Baza[[№]:[Profit]],13,0)=0,"-",VLOOKUP(B907,Baza[[№]:[Profit]],13,0)),"")</f>
        <v/>
      </c>
      <c r="Q907" s="43" t="str">
        <f>IFERROR(IF(VLOOKUP(B907,Baza[[№]:[Profit]],15,0)=0,"-",VLOOKUP(B907,Baza[[№]:[Profit]],15,0)),"")</f>
        <v/>
      </c>
      <c r="R907" s="43" t="str">
        <f>IFERROR(IF(VLOOKUP(B907,Baza[[№]:[Profit]],16,0)=0,"-",VLOOKUP(B907,Baza[[№]:[Profit]],16,0)),"")</f>
        <v/>
      </c>
      <c r="S907" s="43" t="str">
        <f>IFERROR(IF(VLOOKUP(B907,Baza[[№]:[Profit]],17,0)=0,"-",VLOOKUP(B907,Baza[[№]:[Profit]],17,0)),"")</f>
        <v/>
      </c>
      <c r="T907" s="43" t="str">
        <f>IFERROR(IF(VLOOKUP(B907,Baza[[№]:[Profit]],18,0)=0,"-",VLOOKUP(B907,Baza[[№]:[Profit]],18,0)),"")</f>
        <v/>
      </c>
      <c r="U907" s="41" t="str">
        <f>IFERROR(IF(VLOOKUP(B907,Baza[[№]:[Profit]],19,0)=0,"-",VLOOKUP(B907,Baza[[№]:[Profit]],19,0)),"")</f>
        <v/>
      </c>
      <c r="V907" s="41" t="str">
        <f>IFERROR(VLOOKUP(B907,Baza[[№]:[Profit]],20,0),"")</f>
        <v/>
      </c>
      <c r="W907" s="41" t="str">
        <f>IFERROR(IF(VLOOKUP(B907,Baza[[№]:[Profit]],21,0)=0,"-",VLOOKUP(B907,Baza[[№]:[Profit]],21,0)),"")</f>
        <v/>
      </c>
      <c r="X907" s="45" t="str">
        <f>IFERROR(IF(VLOOKUP(B907,Baza[[№]:[Profit]],22,0)=0,"-",VLOOKUP(B907,Baza[[№]:[Profit]],22,0)),"")</f>
        <v/>
      </c>
      <c r="Y907" s="45" t="str">
        <f>IFERROR(VLOOKUP(B907,Baza[[№]:[Profit]],23,0),"")</f>
        <v/>
      </c>
      <c r="Z907" s="44" t="str">
        <f>IFERROR(VLOOKUP(B907,Baza[[№]:[AFS]],24,0),"")</f>
        <v/>
      </c>
      <c r="AA907" s="45" t="str">
        <f>IF(Таблица2[[#This Row],[Profit]]="","#Н/Д",SUM($Y$40:Y907))</f>
        <v>#Н/Д</v>
      </c>
      <c r="AB907" s="45" t="b">
        <f>IF(Таблица2[[#This Row],[Grafik]]="#Н/Д",FALSE,TRUE)</f>
        <v>0</v>
      </c>
    </row>
    <row r="908" spans="3:28" ht="11.1" hidden="1" customHeight="1" x14ac:dyDescent="0.25">
      <c r="C908" s="41" t="str">
        <f>IFERROR(VLOOKUP(B908,Baza[[№]:[Profit]],2,0),"")</f>
        <v/>
      </c>
      <c r="D90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0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08" s="43" t="str">
        <f>IFERROR(VLOOKUP(B908,Baza[[№]:[Profit]],3,0),"")</f>
        <v/>
      </c>
      <c r="G908" s="43" t="str">
        <f>IFERROR(VLOOKUP(B908,Baza[[№]:[Profit]],4,0),"")</f>
        <v/>
      </c>
      <c r="H908" s="43" t="str">
        <f>IFERROR(VLOOKUP(B908,Baza[[№]:[Profit]],5,0),"")</f>
        <v/>
      </c>
      <c r="I908" s="46" t="str">
        <f>IFERROR(VLOOKUP(B908,Baza[[№]:[Profit]],6,0),"")</f>
        <v/>
      </c>
      <c r="J908" s="49" t="str">
        <f>IFERROR(VLOOKUP(B908,Baza[[№]:[Profit]],7,0),"")</f>
        <v/>
      </c>
      <c r="K908" s="43" t="str">
        <f>IFERROR(VLOOKUP(B908,Baza[[№]:[Profit]],8,0),"")</f>
        <v/>
      </c>
      <c r="L908" s="43" t="str">
        <f>IFERROR(VLOOKUP(B908,Baza[[№]:[Profit]],9,0),"")</f>
        <v/>
      </c>
      <c r="M908" s="43" t="str">
        <f>IFERROR(VLOOKUP(B908,Baza[[№]:[Profit]],10,0),"")</f>
        <v/>
      </c>
      <c r="N908" s="43" t="str">
        <f>IFERROR(IF(VLOOKUP(B908,Baza[[№]:[Profit]],11,0)=0,"-",VLOOKUP(B908,Baza[[№]:[Profit]],11,0)),"")</f>
        <v/>
      </c>
      <c r="O908" s="43" t="str">
        <f>IFERROR(IF(VLOOKUP(B908,Baza[[№]:[Profit]],12,0)=0,"-",VLOOKUP(B908,Baza[[№]:[Profit]],12,0)),"")</f>
        <v/>
      </c>
      <c r="P908" s="43" t="str">
        <f>IFERROR(IF(VLOOKUP(B908,Baza[[№]:[Profit]],13,0)=0,"-",VLOOKUP(B908,Baza[[№]:[Profit]],13,0)),"")</f>
        <v/>
      </c>
      <c r="Q908" s="43" t="str">
        <f>IFERROR(IF(VLOOKUP(B908,Baza[[№]:[Profit]],15,0)=0,"-",VLOOKUP(B908,Baza[[№]:[Profit]],15,0)),"")</f>
        <v/>
      </c>
      <c r="R908" s="43" t="str">
        <f>IFERROR(IF(VLOOKUP(B908,Baza[[№]:[Profit]],16,0)=0,"-",VLOOKUP(B908,Baza[[№]:[Profit]],16,0)),"")</f>
        <v/>
      </c>
      <c r="S908" s="43" t="str">
        <f>IFERROR(IF(VLOOKUP(B908,Baza[[№]:[Profit]],17,0)=0,"-",VLOOKUP(B908,Baza[[№]:[Profit]],17,0)),"")</f>
        <v/>
      </c>
      <c r="T908" s="43" t="str">
        <f>IFERROR(IF(VLOOKUP(B908,Baza[[№]:[Profit]],18,0)=0,"-",VLOOKUP(B908,Baza[[№]:[Profit]],18,0)),"")</f>
        <v/>
      </c>
      <c r="U908" s="41" t="str">
        <f>IFERROR(IF(VLOOKUP(B908,Baza[[№]:[Profit]],19,0)=0,"-",VLOOKUP(B908,Baza[[№]:[Profit]],19,0)),"")</f>
        <v/>
      </c>
      <c r="V908" s="41" t="str">
        <f>IFERROR(VLOOKUP(B908,Baza[[№]:[Profit]],20,0),"")</f>
        <v/>
      </c>
      <c r="W908" s="41" t="str">
        <f>IFERROR(IF(VLOOKUP(B908,Baza[[№]:[Profit]],21,0)=0,"-",VLOOKUP(B908,Baza[[№]:[Profit]],21,0)),"")</f>
        <v/>
      </c>
      <c r="X908" s="45" t="str">
        <f>IFERROR(IF(VLOOKUP(B908,Baza[[№]:[Profit]],22,0)=0,"-",VLOOKUP(B908,Baza[[№]:[Profit]],22,0)),"")</f>
        <v/>
      </c>
      <c r="Y908" s="45" t="str">
        <f>IFERROR(VLOOKUP(B908,Baza[[№]:[Profit]],23,0),"")</f>
        <v/>
      </c>
      <c r="Z908" s="44" t="str">
        <f>IFERROR(VLOOKUP(B908,Baza[[№]:[AFS]],24,0),"")</f>
        <v/>
      </c>
      <c r="AA908" s="45" t="str">
        <f>IF(Таблица2[[#This Row],[Profit]]="","#Н/Д",SUM($Y$40:Y908))</f>
        <v>#Н/Д</v>
      </c>
      <c r="AB908" s="45" t="b">
        <f>IF(Таблица2[[#This Row],[Grafik]]="#Н/Д",FALSE,TRUE)</f>
        <v>0</v>
      </c>
    </row>
    <row r="909" spans="3:28" ht="11.1" hidden="1" customHeight="1" x14ac:dyDescent="0.25">
      <c r="C909" s="41" t="str">
        <f>IFERROR(VLOOKUP(B909,Baza[[№]:[Profit]],2,0),"")</f>
        <v/>
      </c>
      <c r="D90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0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09" s="43" t="str">
        <f>IFERROR(VLOOKUP(B909,Baza[[№]:[Profit]],3,0),"")</f>
        <v/>
      </c>
      <c r="G909" s="43" t="str">
        <f>IFERROR(VLOOKUP(B909,Baza[[№]:[Profit]],4,0),"")</f>
        <v/>
      </c>
      <c r="H909" s="43" t="str">
        <f>IFERROR(VLOOKUP(B909,Baza[[№]:[Profit]],5,0),"")</f>
        <v/>
      </c>
      <c r="I909" s="46" t="str">
        <f>IFERROR(VLOOKUP(B909,Baza[[№]:[Profit]],6,0),"")</f>
        <v/>
      </c>
      <c r="J909" s="49" t="str">
        <f>IFERROR(VLOOKUP(B909,Baza[[№]:[Profit]],7,0),"")</f>
        <v/>
      </c>
      <c r="K909" s="43" t="str">
        <f>IFERROR(VLOOKUP(B909,Baza[[№]:[Profit]],8,0),"")</f>
        <v/>
      </c>
      <c r="L909" s="43" t="str">
        <f>IFERROR(VLOOKUP(B909,Baza[[№]:[Profit]],9,0),"")</f>
        <v/>
      </c>
      <c r="M909" s="43" t="str">
        <f>IFERROR(VLOOKUP(B909,Baza[[№]:[Profit]],10,0),"")</f>
        <v/>
      </c>
      <c r="N909" s="43" t="str">
        <f>IFERROR(IF(VLOOKUP(B909,Baza[[№]:[Profit]],11,0)=0,"-",VLOOKUP(B909,Baza[[№]:[Profit]],11,0)),"")</f>
        <v/>
      </c>
      <c r="O909" s="43" t="str">
        <f>IFERROR(IF(VLOOKUP(B909,Baza[[№]:[Profit]],12,0)=0,"-",VLOOKUP(B909,Baza[[№]:[Profit]],12,0)),"")</f>
        <v/>
      </c>
      <c r="P909" s="43" t="str">
        <f>IFERROR(IF(VLOOKUP(B909,Baza[[№]:[Profit]],13,0)=0,"-",VLOOKUP(B909,Baza[[№]:[Profit]],13,0)),"")</f>
        <v/>
      </c>
      <c r="Q909" s="43" t="str">
        <f>IFERROR(IF(VLOOKUP(B909,Baza[[№]:[Profit]],15,0)=0,"-",VLOOKUP(B909,Baza[[№]:[Profit]],15,0)),"")</f>
        <v/>
      </c>
      <c r="R909" s="43" t="str">
        <f>IFERROR(IF(VLOOKUP(B909,Baza[[№]:[Profit]],16,0)=0,"-",VLOOKUP(B909,Baza[[№]:[Profit]],16,0)),"")</f>
        <v/>
      </c>
      <c r="S909" s="43" t="str">
        <f>IFERROR(IF(VLOOKUP(B909,Baza[[№]:[Profit]],17,0)=0,"-",VLOOKUP(B909,Baza[[№]:[Profit]],17,0)),"")</f>
        <v/>
      </c>
      <c r="T909" s="43" t="str">
        <f>IFERROR(IF(VLOOKUP(B909,Baza[[№]:[Profit]],18,0)=0,"-",VLOOKUP(B909,Baza[[№]:[Profit]],18,0)),"")</f>
        <v/>
      </c>
      <c r="U909" s="41" t="str">
        <f>IFERROR(IF(VLOOKUP(B909,Baza[[№]:[Profit]],19,0)=0,"-",VLOOKUP(B909,Baza[[№]:[Profit]],19,0)),"")</f>
        <v/>
      </c>
      <c r="V909" s="41" t="str">
        <f>IFERROR(VLOOKUP(B909,Baza[[№]:[Profit]],20,0),"")</f>
        <v/>
      </c>
      <c r="W909" s="41" t="str">
        <f>IFERROR(IF(VLOOKUP(B909,Baza[[№]:[Profit]],21,0)=0,"-",VLOOKUP(B909,Baza[[№]:[Profit]],21,0)),"")</f>
        <v/>
      </c>
      <c r="X909" s="45" t="str">
        <f>IFERROR(IF(VLOOKUP(B909,Baza[[№]:[Profit]],22,0)=0,"-",VLOOKUP(B909,Baza[[№]:[Profit]],22,0)),"")</f>
        <v/>
      </c>
      <c r="Y909" s="45" t="str">
        <f>IFERROR(VLOOKUP(B909,Baza[[№]:[Profit]],23,0),"")</f>
        <v/>
      </c>
      <c r="Z909" s="44" t="str">
        <f>IFERROR(VLOOKUP(B909,Baza[[№]:[AFS]],24,0),"")</f>
        <v/>
      </c>
      <c r="AA909" s="45" t="str">
        <f>IF(Таблица2[[#This Row],[Profit]]="","#Н/Д",SUM($Y$40:Y909))</f>
        <v>#Н/Д</v>
      </c>
      <c r="AB909" s="45" t="b">
        <f>IF(Таблица2[[#This Row],[Grafik]]="#Н/Д",FALSE,TRUE)</f>
        <v>0</v>
      </c>
    </row>
    <row r="910" spans="3:28" ht="11.1" hidden="1" customHeight="1" x14ac:dyDescent="0.25">
      <c r="C910" s="41" t="str">
        <f>IFERROR(VLOOKUP(B910,Baza[[№]:[Profit]],2,0),"")</f>
        <v/>
      </c>
      <c r="D91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1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10" s="43" t="str">
        <f>IFERROR(VLOOKUP(B910,Baza[[№]:[Profit]],3,0),"")</f>
        <v/>
      </c>
      <c r="G910" s="43" t="str">
        <f>IFERROR(VLOOKUP(B910,Baza[[№]:[Profit]],4,0),"")</f>
        <v/>
      </c>
      <c r="H910" s="43" t="str">
        <f>IFERROR(VLOOKUP(B910,Baza[[№]:[Profit]],5,0),"")</f>
        <v/>
      </c>
      <c r="I910" s="46" t="str">
        <f>IFERROR(VLOOKUP(B910,Baza[[№]:[Profit]],6,0),"")</f>
        <v/>
      </c>
      <c r="J910" s="49" t="str">
        <f>IFERROR(VLOOKUP(B910,Baza[[№]:[Profit]],7,0),"")</f>
        <v/>
      </c>
      <c r="K910" s="43" t="str">
        <f>IFERROR(VLOOKUP(B910,Baza[[№]:[Profit]],8,0),"")</f>
        <v/>
      </c>
      <c r="L910" s="43" t="str">
        <f>IFERROR(VLOOKUP(B910,Baza[[№]:[Profit]],9,0),"")</f>
        <v/>
      </c>
      <c r="M910" s="43" t="str">
        <f>IFERROR(VLOOKUP(B910,Baza[[№]:[Profit]],10,0),"")</f>
        <v/>
      </c>
      <c r="N910" s="43" t="str">
        <f>IFERROR(IF(VLOOKUP(B910,Baza[[№]:[Profit]],11,0)=0,"-",VLOOKUP(B910,Baza[[№]:[Profit]],11,0)),"")</f>
        <v/>
      </c>
      <c r="O910" s="43" t="str">
        <f>IFERROR(IF(VLOOKUP(B910,Baza[[№]:[Profit]],12,0)=0,"-",VLOOKUP(B910,Baza[[№]:[Profit]],12,0)),"")</f>
        <v/>
      </c>
      <c r="P910" s="43" t="str">
        <f>IFERROR(IF(VLOOKUP(B910,Baza[[№]:[Profit]],13,0)=0,"-",VLOOKUP(B910,Baza[[№]:[Profit]],13,0)),"")</f>
        <v/>
      </c>
      <c r="Q910" s="43" t="str">
        <f>IFERROR(IF(VLOOKUP(B910,Baza[[№]:[Profit]],15,0)=0,"-",VLOOKUP(B910,Baza[[№]:[Profit]],15,0)),"")</f>
        <v/>
      </c>
      <c r="R910" s="43" t="str">
        <f>IFERROR(IF(VLOOKUP(B910,Baza[[№]:[Profit]],16,0)=0,"-",VLOOKUP(B910,Baza[[№]:[Profit]],16,0)),"")</f>
        <v/>
      </c>
      <c r="S910" s="43" t="str">
        <f>IFERROR(IF(VLOOKUP(B910,Baza[[№]:[Profit]],17,0)=0,"-",VLOOKUP(B910,Baza[[№]:[Profit]],17,0)),"")</f>
        <v/>
      </c>
      <c r="T910" s="43" t="str">
        <f>IFERROR(IF(VLOOKUP(B910,Baza[[№]:[Profit]],18,0)=0,"-",VLOOKUP(B910,Baza[[№]:[Profit]],18,0)),"")</f>
        <v/>
      </c>
      <c r="U910" s="41" t="str">
        <f>IFERROR(IF(VLOOKUP(B910,Baza[[№]:[Profit]],19,0)=0,"-",VLOOKUP(B910,Baza[[№]:[Profit]],19,0)),"")</f>
        <v/>
      </c>
      <c r="V910" s="41" t="str">
        <f>IFERROR(VLOOKUP(B910,Baza[[№]:[Profit]],20,0),"")</f>
        <v/>
      </c>
      <c r="W910" s="41" t="str">
        <f>IFERROR(IF(VLOOKUP(B910,Baza[[№]:[Profit]],21,0)=0,"-",VLOOKUP(B910,Baza[[№]:[Profit]],21,0)),"")</f>
        <v/>
      </c>
      <c r="X910" s="45" t="str">
        <f>IFERROR(IF(VLOOKUP(B910,Baza[[№]:[Profit]],22,0)=0,"-",VLOOKUP(B910,Baza[[№]:[Profit]],22,0)),"")</f>
        <v/>
      </c>
      <c r="Y910" s="45" t="str">
        <f>IFERROR(VLOOKUP(B910,Baza[[№]:[Profit]],23,0),"")</f>
        <v/>
      </c>
      <c r="Z910" s="44" t="str">
        <f>IFERROR(VLOOKUP(B910,Baza[[№]:[AFS]],24,0),"")</f>
        <v/>
      </c>
      <c r="AA910" s="45" t="str">
        <f>IF(Таблица2[[#This Row],[Profit]]="","#Н/Д",SUM($Y$40:Y910))</f>
        <v>#Н/Д</v>
      </c>
      <c r="AB910" s="45" t="b">
        <f>IF(Таблица2[[#This Row],[Grafik]]="#Н/Д",FALSE,TRUE)</f>
        <v>0</v>
      </c>
    </row>
    <row r="911" spans="3:28" ht="11.1" hidden="1" customHeight="1" x14ac:dyDescent="0.25">
      <c r="C911" s="41" t="str">
        <f>IFERROR(VLOOKUP(B911,Baza[[№]:[Profit]],2,0),"")</f>
        <v/>
      </c>
      <c r="D91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1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11" s="43" t="str">
        <f>IFERROR(VLOOKUP(B911,Baza[[№]:[Profit]],3,0),"")</f>
        <v/>
      </c>
      <c r="G911" s="43" t="str">
        <f>IFERROR(VLOOKUP(B911,Baza[[№]:[Profit]],4,0),"")</f>
        <v/>
      </c>
      <c r="H911" s="43" t="str">
        <f>IFERROR(VLOOKUP(B911,Baza[[№]:[Profit]],5,0),"")</f>
        <v/>
      </c>
      <c r="I911" s="46" t="str">
        <f>IFERROR(VLOOKUP(B911,Baza[[№]:[Profit]],6,0),"")</f>
        <v/>
      </c>
      <c r="J911" s="49" t="str">
        <f>IFERROR(VLOOKUP(B911,Baza[[№]:[Profit]],7,0),"")</f>
        <v/>
      </c>
      <c r="K911" s="43" t="str">
        <f>IFERROR(VLOOKUP(B911,Baza[[№]:[Profit]],8,0),"")</f>
        <v/>
      </c>
      <c r="L911" s="43" t="str">
        <f>IFERROR(VLOOKUP(B911,Baza[[№]:[Profit]],9,0),"")</f>
        <v/>
      </c>
      <c r="M911" s="43" t="str">
        <f>IFERROR(VLOOKUP(B911,Baza[[№]:[Profit]],10,0),"")</f>
        <v/>
      </c>
      <c r="N911" s="43" t="str">
        <f>IFERROR(IF(VLOOKUP(B911,Baza[[№]:[Profit]],11,0)=0,"-",VLOOKUP(B911,Baza[[№]:[Profit]],11,0)),"")</f>
        <v/>
      </c>
      <c r="O911" s="43" t="str">
        <f>IFERROR(IF(VLOOKUP(B911,Baza[[№]:[Profit]],12,0)=0,"-",VLOOKUP(B911,Baza[[№]:[Profit]],12,0)),"")</f>
        <v/>
      </c>
      <c r="P911" s="43" t="str">
        <f>IFERROR(IF(VLOOKUP(B911,Baza[[№]:[Profit]],13,0)=0,"-",VLOOKUP(B911,Baza[[№]:[Profit]],13,0)),"")</f>
        <v/>
      </c>
      <c r="Q911" s="43" t="str">
        <f>IFERROR(IF(VLOOKUP(B911,Baza[[№]:[Profit]],15,0)=0,"-",VLOOKUP(B911,Baza[[№]:[Profit]],15,0)),"")</f>
        <v/>
      </c>
      <c r="R911" s="43" t="str">
        <f>IFERROR(IF(VLOOKUP(B911,Baza[[№]:[Profit]],16,0)=0,"-",VLOOKUP(B911,Baza[[№]:[Profit]],16,0)),"")</f>
        <v/>
      </c>
      <c r="S911" s="43" t="str">
        <f>IFERROR(IF(VLOOKUP(B911,Baza[[№]:[Profit]],17,0)=0,"-",VLOOKUP(B911,Baza[[№]:[Profit]],17,0)),"")</f>
        <v/>
      </c>
      <c r="T911" s="43" t="str">
        <f>IFERROR(IF(VLOOKUP(B911,Baza[[№]:[Profit]],18,0)=0,"-",VLOOKUP(B911,Baza[[№]:[Profit]],18,0)),"")</f>
        <v/>
      </c>
      <c r="U911" s="41" t="str">
        <f>IFERROR(IF(VLOOKUP(B911,Baza[[№]:[Profit]],19,0)=0,"-",VLOOKUP(B911,Baza[[№]:[Profit]],19,0)),"")</f>
        <v/>
      </c>
      <c r="V911" s="41" t="str">
        <f>IFERROR(VLOOKUP(B911,Baza[[№]:[Profit]],20,0),"")</f>
        <v/>
      </c>
      <c r="W911" s="41" t="str">
        <f>IFERROR(IF(VLOOKUP(B911,Baza[[№]:[Profit]],21,0)=0,"-",VLOOKUP(B911,Baza[[№]:[Profit]],21,0)),"")</f>
        <v/>
      </c>
      <c r="X911" s="45" t="str">
        <f>IFERROR(IF(VLOOKUP(B911,Baza[[№]:[Profit]],22,0)=0,"-",VLOOKUP(B911,Baza[[№]:[Profit]],22,0)),"")</f>
        <v/>
      </c>
      <c r="Y911" s="45" t="str">
        <f>IFERROR(VLOOKUP(B911,Baza[[№]:[Profit]],23,0),"")</f>
        <v/>
      </c>
      <c r="Z911" s="44" t="str">
        <f>IFERROR(VLOOKUP(B911,Baza[[№]:[AFS]],24,0),"")</f>
        <v/>
      </c>
      <c r="AA911" s="45" t="str">
        <f>IF(Таблица2[[#This Row],[Profit]]="","#Н/Д",SUM($Y$40:Y911))</f>
        <v>#Н/Д</v>
      </c>
      <c r="AB911" s="45" t="b">
        <f>IF(Таблица2[[#This Row],[Grafik]]="#Н/Д",FALSE,TRUE)</f>
        <v>0</v>
      </c>
    </row>
    <row r="912" spans="3:28" ht="11.1" hidden="1" customHeight="1" x14ac:dyDescent="0.25">
      <c r="C912" s="41" t="str">
        <f>IFERROR(VLOOKUP(B912,Baza[[№]:[Profit]],2,0),"")</f>
        <v/>
      </c>
      <c r="D91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1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12" s="43" t="str">
        <f>IFERROR(VLOOKUP(B912,Baza[[№]:[Profit]],3,0),"")</f>
        <v/>
      </c>
      <c r="G912" s="43" t="str">
        <f>IFERROR(VLOOKUP(B912,Baza[[№]:[Profit]],4,0),"")</f>
        <v/>
      </c>
      <c r="H912" s="43" t="str">
        <f>IFERROR(VLOOKUP(B912,Baza[[№]:[Profit]],5,0),"")</f>
        <v/>
      </c>
      <c r="I912" s="46" t="str">
        <f>IFERROR(VLOOKUP(B912,Baza[[№]:[Profit]],6,0),"")</f>
        <v/>
      </c>
      <c r="J912" s="49" t="str">
        <f>IFERROR(VLOOKUP(B912,Baza[[№]:[Profit]],7,0),"")</f>
        <v/>
      </c>
      <c r="K912" s="43" t="str">
        <f>IFERROR(VLOOKUP(B912,Baza[[№]:[Profit]],8,0),"")</f>
        <v/>
      </c>
      <c r="L912" s="43" t="str">
        <f>IFERROR(VLOOKUP(B912,Baza[[№]:[Profit]],9,0),"")</f>
        <v/>
      </c>
      <c r="M912" s="43" t="str">
        <f>IFERROR(VLOOKUP(B912,Baza[[№]:[Profit]],10,0),"")</f>
        <v/>
      </c>
      <c r="N912" s="43" t="str">
        <f>IFERROR(IF(VLOOKUP(B912,Baza[[№]:[Profit]],11,0)=0,"-",VLOOKUP(B912,Baza[[№]:[Profit]],11,0)),"")</f>
        <v/>
      </c>
      <c r="O912" s="43" t="str">
        <f>IFERROR(IF(VLOOKUP(B912,Baza[[№]:[Profit]],12,0)=0,"-",VLOOKUP(B912,Baza[[№]:[Profit]],12,0)),"")</f>
        <v/>
      </c>
      <c r="P912" s="43" t="str">
        <f>IFERROR(IF(VLOOKUP(B912,Baza[[№]:[Profit]],13,0)=0,"-",VLOOKUP(B912,Baza[[№]:[Profit]],13,0)),"")</f>
        <v/>
      </c>
      <c r="Q912" s="43" t="str">
        <f>IFERROR(IF(VLOOKUP(B912,Baza[[№]:[Profit]],15,0)=0,"-",VLOOKUP(B912,Baza[[№]:[Profit]],15,0)),"")</f>
        <v/>
      </c>
      <c r="R912" s="43" t="str">
        <f>IFERROR(IF(VLOOKUP(B912,Baza[[№]:[Profit]],16,0)=0,"-",VLOOKUP(B912,Baza[[№]:[Profit]],16,0)),"")</f>
        <v/>
      </c>
      <c r="S912" s="43" t="str">
        <f>IFERROR(IF(VLOOKUP(B912,Baza[[№]:[Profit]],17,0)=0,"-",VLOOKUP(B912,Baza[[№]:[Profit]],17,0)),"")</f>
        <v/>
      </c>
      <c r="T912" s="43" t="str">
        <f>IFERROR(IF(VLOOKUP(B912,Baza[[№]:[Profit]],18,0)=0,"-",VLOOKUP(B912,Baza[[№]:[Profit]],18,0)),"")</f>
        <v/>
      </c>
      <c r="U912" s="41" t="str">
        <f>IFERROR(IF(VLOOKUP(B912,Baza[[№]:[Profit]],19,0)=0,"-",VLOOKUP(B912,Baza[[№]:[Profit]],19,0)),"")</f>
        <v/>
      </c>
      <c r="V912" s="41" t="str">
        <f>IFERROR(VLOOKUP(B912,Baza[[№]:[Profit]],20,0),"")</f>
        <v/>
      </c>
      <c r="W912" s="41" t="str">
        <f>IFERROR(IF(VLOOKUP(B912,Baza[[№]:[Profit]],21,0)=0,"-",VLOOKUP(B912,Baza[[№]:[Profit]],21,0)),"")</f>
        <v/>
      </c>
      <c r="X912" s="45" t="str">
        <f>IFERROR(IF(VLOOKUP(B912,Baza[[№]:[Profit]],22,0)=0,"-",VLOOKUP(B912,Baza[[№]:[Profit]],22,0)),"")</f>
        <v/>
      </c>
      <c r="Y912" s="45" t="str">
        <f>IFERROR(VLOOKUP(B912,Baza[[№]:[Profit]],23,0),"")</f>
        <v/>
      </c>
      <c r="Z912" s="44" t="str">
        <f>IFERROR(VLOOKUP(B912,Baza[[№]:[AFS]],24,0),"")</f>
        <v/>
      </c>
      <c r="AA912" s="45" t="str">
        <f>IF(Таблица2[[#This Row],[Profit]]="","#Н/Д",SUM($Y$40:Y912))</f>
        <v>#Н/Д</v>
      </c>
      <c r="AB912" s="45" t="b">
        <f>IF(Таблица2[[#This Row],[Grafik]]="#Н/Д",FALSE,TRUE)</f>
        <v>0</v>
      </c>
    </row>
    <row r="913" spans="3:28" ht="11.1" hidden="1" customHeight="1" x14ac:dyDescent="0.25">
      <c r="C913" s="41" t="str">
        <f>IFERROR(VLOOKUP(B913,Baza[[№]:[Profit]],2,0),"")</f>
        <v/>
      </c>
      <c r="D91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1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13" s="43" t="str">
        <f>IFERROR(VLOOKUP(B913,Baza[[№]:[Profit]],3,0),"")</f>
        <v/>
      </c>
      <c r="G913" s="43" t="str">
        <f>IFERROR(VLOOKUP(B913,Baza[[№]:[Profit]],4,0),"")</f>
        <v/>
      </c>
      <c r="H913" s="43" t="str">
        <f>IFERROR(VLOOKUP(B913,Baza[[№]:[Profit]],5,0),"")</f>
        <v/>
      </c>
      <c r="I913" s="46" t="str">
        <f>IFERROR(VLOOKUP(B913,Baza[[№]:[Profit]],6,0),"")</f>
        <v/>
      </c>
      <c r="J913" s="49" t="str">
        <f>IFERROR(VLOOKUP(B913,Baza[[№]:[Profit]],7,0),"")</f>
        <v/>
      </c>
      <c r="K913" s="43" t="str">
        <f>IFERROR(VLOOKUP(B913,Baza[[№]:[Profit]],8,0),"")</f>
        <v/>
      </c>
      <c r="L913" s="43" t="str">
        <f>IFERROR(VLOOKUP(B913,Baza[[№]:[Profit]],9,0),"")</f>
        <v/>
      </c>
      <c r="M913" s="43" t="str">
        <f>IFERROR(VLOOKUP(B913,Baza[[№]:[Profit]],10,0),"")</f>
        <v/>
      </c>
      <c r="N913" s="43" t="str">
        <f>IFERROR(IF(VLOOKUP(B913,Baza[[№]:[Profit]],11,0)=0,"-",VLOOKUP(B913,Baza[[№]:[Profit]],11,0)),"")</f>
        <v/>
      </c>
      <c r="O913" s="43" t="str">
        <f>IFERROR(IF(VLOOKUP(B913,Baza[[№]:[Profit]],12,0)=0,"-",VLOOKUP(B913,Baza[[№]:[Profit]],12,0)),"")</f>
        <v/>
      </c>
      <c r="P913" s="43" t="str">
        <f>IFERROR(IF(VLOOKUP(B913,Baza[[№]:[Profit]],13,0)=0,"-",VLOOKUP(B913,Baza[[№]:[Profit]],13,0)),"")</f>
        <v/>
      </c>
      <c r="Q913" s="43" t="str">
        <f>IFERROR(IF(VLOOKUP(B913,Baza[[№]:[Profit]],15,0)=0,"-",VLOOKUP(B913,Baza[[№]:[Profit]],15,0)),"")</f>
        <v/>
      </c>
      <c r="R913" s="43" t="str">
        <f>IFERROR(IF(VLOOKUP(B913,Baza[[№]:[Profit]],16,0)=0,"-",VLOOKUP(B913,Baza[[№]:[Profit]],16,0)),"")</f>
        <v/>
      </c>
      <c r="S913" s="43" t="str">
        <f>IFERROR(IF(VLOOKUP(B913,Baza[[№]:[Profit]],17,0)=0,"-",VLOOKUP(B913,Baza[[№]:[Profit]],17,0)),"")</f>
        <v/>
      </c>
      <c r="T913" s="43" t="str">
        <f>IFERROR(IF(VLOOKUP(B913,Baza[[№]:[Profit]],18,0)=0,"-",VLOOKUP(B913,Baza[[№]:[Profit]],18,0)),"")</f>
        <v/>
      </c>
      <c r="U913" s="41" t="str">
        <f>IFERROR(IF(VLOOKUP(B913,Baza[[№]:[Profit]],19,0)=0,"-",VLOOKUP(B913,Baza[[№]:[Profit]],19,0)),"")</f>
        <v/>
      </c>
      <c r="V913" s="41" t="str">
        <f>IFERROR(VLOOKUP(B913,Baza[[№]:[Profit]],20,0),"")</f>
        <v/>
      </c>
      <c r="W913" s="41" t="str">
        <f>IFERROR(IF(VLOOKUP(B913,Baza[[№]:[Profit]],21,0)=0,"-",VLOOKUP(B913,Baza[[№]:[Profit]],21,0)),"")</f>
        <v/>
      </c>
      <c r="X913" s="45" t="str">
        <f>IFERROR(IF(VLOOKUP(B913,Baza[[№]:[Profit]],22,0)=0,"-",VLOOKUP(B913,Baza[[№]:[Profit]],22,0)),"")</f>
        <v/>
      </c>
      <c r="Y913" s="45" t="str">
        <f>IFERROR(VLOOKUP(B913,Baza[[№]:[Profit]],23,0),"")</f>
        <v/>
      </c>
      <c r="Z913" s="44" t="str">
        <f>IFERROR(VLOOKUP(B913,Baza[[№]:[AFS]],24,0),"")</f>
        <v/>
      </c>
      <c r="AA913" s="45" t="str">
        <f>IF(Таблица2[[#This Row],[Profit]]="","#Н/Д",SUM($Y$40:Y913))</f>
        <v>#Н/Д</v>
      </c>
      <c r="AB913" s="45" t="b">
        <f>IF(Таблица2[[#This Row],[Grafik]]="#Н/Д",FALSE,TRUE)</f>
        <v>0</v>
      </c>
    </row>
    <row r="914" spans="3:28" ht="11.1" hidden="1" customHeight="1" x14ac:dyDescent="0.25">
      <c r="C914" s="41" t="str">
        <f>IFERROR(VLOOKUP(B914,Baza[[№]:[Profit]],2,0),"")</f>
        <v/>
      </c>
      <c r="D91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1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14" s="43" t="str">
        <f>IFERROR(VLOOKUP(B914,Baza[[№]:[Profit]],3,0),"")</f>
        <v/>
      </c>
      <c r="G914" s="43" t="str">
        <f>IFERROR(VLOOKUP(B914,Baza[[№]:[Profit]],4,0),"")</f>
        <v/>
      </c>
      <c r="H914" s="43" t="str">
        <f>IFERROR(VLOOKUP(B914,Baza[[№]:[Profit]],5,0),"")</f>
        <v/>
      </c>
      <c r="I914" s="46" t="str">
        <f>IFERROR(VLOOKUP(B914,Baza[[№]:[Profit]],6,0),"")</f>
        <v/>
      </c>
      <c r="J914" s="49" t="str">
        <f>IFERROR(VLOOKUP(B914,Baza[[№]:[Profit]],7,0),"")</f>
        <v/>
      </c>
      <c r="K914" s="43" t="str">
        <f>IFERROR(VLOOKUP(B914,Baza[[№]:[Profit]],8,0),"")</f>
        <v/>
      </c>
      <c r="L914" s="43" t="str">
        <f>IFERROR(VLOOKUP(B914,Baza[[№]:[Profit]],9,0),"")</f>
        <v/>
      </c>
      <c r="M914" s="43" t="str">
        <f>IFERROR(VLOOKUP(B914,Baza[[№]:[Profit]],10,0),"")</f>
        <v/>
      </c>
      <c r="N914" s="43" t="str">
        <f>IFERROR(IF(VLOOKUP(B914,Baza[[№]:[Profit]],11,0)=0,"-",VLOOKUP(B914,Baza[[№]:[Profit]],11,0)),"")</f>
        <v/>
      </c>
      <c r="O914" s="43" t="str">
        <f>IFERROR(IF(VLOOKUP(B914,Baza[[№]:[Profit]],12,0)=0,"-",VLOOKUP(B914,Baza[[№]:[Profit]],12,0)),"")</f>
        <v/>
      </c>
      <c r="P914" s="43" t="str">
        <f>IFERROR(IF(VLOOKUP(B914,Baza[[№]:[Profit]],13,0)=0,"-",VLOOKUP(B914,Baza[[№]:[Profit]],13,0)),"")</f>
        <v/>
      </c>
      <c r="Q914" s="43" t="str">
        <f>IFERROR(IF(VLOOKUP(B914,Baza[[№]:[Profit]],15,0)=0,"-",VLOOKUP(B914,Baza[[№]:[Profit]],15,0)),"")</f>
        <v/>
      </c>
      <c r="R914" s="43" t="str">
        <f>IFERROR(IF(VLOOKUP(B914,Baza[[№]:[Profit]],16,0)=0,"-",VLOOKUP(B914,Baza[[№]:[Profit]],16,0)),"")</f>
        <v/>
      </c>
      <c r="S914" s="43" t="str">
        <f>IFERROR(IF(VLOOKUP(B914,Baza[[№]:[Profit]],17,0)=0,"-",VLOOKUP(B914,Baza[[№]:[Profit]],17,0)),"")</f>
        <v/>
      </c>
      <c r="T914" s="43" t="str">
        <f>IFERROR(IF(VLOOKUP(B914,Baza[[№]:[Profit]],18,0)=0,"-",VLOOKUP(B914,Baza[[№]:[Profit]],18,0)),"")</f>
        <v/>
      </c>
      <c r="U914" s="41" t="str">
        <f>IFERROR(IF(VLOOKUP(B914,Baza[[№]:[Profit]],19,0)=0,"-",VLOOKUP(B914,Baza[[№]:[Profit]],19,0)),"")</f>
        <v/>
      </c>
      <c r="V914" s="41" t="str">
        <f>IFERROR(VLOOKUP(B914,Baza[[№]:[Profit]],20,0),"")</f>
        <v/>
      </c>
      <c r="W914" s="41" t="str">
        <f>IFERROR(IF(VLOOKUP(B914,Baza[[№]:[Profit]],21,0)=0,"-",VLOOKUP(B914,Baza[[№]:[Profit]],21,0)),"")</f>
        <v/>
      </c>
      <c r="X914" s="45" t="str">
        <f>IFERROR(IF(VLOOKUP(B914,Baza[[№]:[Profit]],22,0)=0,"-",VLOOKUP(B914,Baza[[№]:[Profit]],22,0)),"")</f>
        <v/>
      </c>
      <c r="Y914" s="45" t="str">
        <f>IFERROR(VLOOKUP(B914,Baza[[№]:[Profit]],23,0),"")</f>
        <v/>
      </c>
      <c r="Z914" s="44" t="str">
        <f>IFERROR(VLOOKUP(B914,Baza[[№]:[AFS]],24,0),"")</f>
        <v/>
      </c>
      <c r="AA914" s="45" t="str">
        <f>IF(Таблица2[[#This Row],[Profit]]="","#Н/Д",SUM($Y$40:Y914))</f>
        <v>#Н/Д</v>
      </c>
      <c r="AB914" s="45" t="b">
        <f>IF(Таблица2[[#This Row],[Grafik]]="#Н/Д",FALSE,TRUE)</f>
        <v>0</v>
      </c>
    </row>
    <row r="915" spans="3:28" ht="11.1" hidden="1" customHeight="1" x14ac:dyDescent="0.25">
      <c r="C915" s="41" t="str">
        <f>IFERROR(VLOOKUP(B915,Baza[[№]:[Profit]],2,0),"")</f>
        <v/>
      </c>
      <c r="D91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1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15" s="43" t="str">
        <f>IFERROR(VLOOKUP(B915,Baza[[№]:[Profit]],3,0),"")</f>
        <v/>
      </c>
      <c r="G915" s="43" t="str">
        <f>IFERROR(VLOOKUP(B915,Baza[[№]:[Profit]],4,0),"")</f>
        <v/>
      </c>
      <c r="H915" s="43" t="str">
        <f>IFERROR(VLOOKUP(B915,Baza[[№]:[Profit]],5,0),"")</f>
        <v/>
      </c>
      <c r="I915" s="46" t="str">
        <f>IFERROR(VLOOKUP(B915,Baza[[№]:[Profit]],6,0),"")</f>
        <v/>
      </c>
      <c r="J915" s="49" t="str">
        <f>IFERROR(VLOOKUP(B915,Baza[[№]:[Profit]],7,0),"")</f>
        <v/>
      </c>
      <c r="K915" s="43" t="str">
        <f>IFERROR(VLOOKUP(B915,Baza[[№]:[Profit]],8,0),"")</f>
        <v/>
      </c>
      <c r="L915" s="43" t="str">
        <f>IFERROR(VLOOKUP(B915,Baza[[№]:[Profit]],9,0),"")</f>
        <v/>
      </c>
      <c r="M915" s="43" t="str">
        <f>IFERROR(VLOOKUP(B915,Baza[[№]:[Profit]],10,0),"")</f>
        <v/>
      </c>
      <c r="N915" s="43" t="str">
        <f>IFERROR(IF(VLOOKUP(B915,Baza[[№]:[Profit]],11,0)=0,"-",VLOOKUP(B915,Baza[[№]:[Profit]],11,0)),"")</f>
        <v/>
      </c>
      <c r="O915" s="43" t="str">
        <f>IFERROR(IF(VLOOKUP(B915,Baza[[№]:[Profit]],12,0)=0,"-",VLOOKUP(B915,Baza[[№]:[Profit]],12,0)),"")</f>
        <v/>
      </c>
      <c r="P915" s="43" t="str">
        <f>IFERROR(IF(VLOOKUP(B915,Baza[[№]:[Profit]],13,0)=0,"-",VLOOKUP(B915,Baza[[№]:[Profit]],13,0)),"")</f>
        <v/>
      </c>
      <c r="Q915" s="43" t="str">
        <f>IFERROR(IF(VLOOKUP(B915,Baza[[№]:[Profit]],15,0)=0,"-",VLOOKUP(B915,Baza[[№]:[Profit]],15,0)),"")</f>
        <v/>
      </c>
      <c r="R915" s="43" t="str">
        <f>IFERROR(IF(VLOOKUP(B915,Baza[[№]:[Profit]],16,0)=0,"-",VLOOKUP(B915,Baza[[№]:[Profit]],16,0)),"")</f>
        <v/>
      </c>
      <c r="S915" s="43" t="str">
        <f>IFERROR(IF(VLOOKUP(B915,Baza[[№]:[Profit]],17,0)=0,"-",VLOOKUP(B915,Baza[[№]:[Profit]],17,0)),"")</f>
        <v/>
      </c>
      <c r="T915" s="43" t="str">
        <f>IFERROR(IF(VLOOKUP(B915,Baza[[№]:[Profit]],18,0)=0,"-",VLOOKUP(B915,Baza[[№]:[Profit]],18,0)),"")</f>
        <v/>
      </c>
      <c r="U915" s="41" t="str">
        <f>IFERROR(IF(VLOOKUP(B915,Baza[[№]:[Profit]],19,0)=0,"-",VLOOKUP(B915,Baza[[№]:[Profit]],19,0)),"")</f>
        <v/>
      </c>
      <c r="V915" s="41" t="str">
        <f>IFERROR(VLOOKUP(B915,Baza[[№]:[Profit]],20,0),"")</f>
        <v/>
      </c>
      <c r="W915" s="41" t="str">
        <f>IFERROR(IF(VLOOKUP(B915,Baza[[№]:[Profit]],21,0)=0,"-",VLOOKUP(B915,Baza[[№]:[Profit]],21,0)),"")</f>
        <v/>
      </c>
      <c r="X915" s="45" t="str">
        <f>IFERROR(IF(VLOOKUP(B915,Baza[[№]:[Profit]],22,0)=0,"-",VLOOKUP(B915,Baza[[№]:[Profit]],22,0)),"")</f>
        <v/>
      </c>
      <c r="Y915" s="45" t="str">
        <f>IFERROR(VLOOKUP(B915,Baza[[№]:[Profit]],23,0),"")</f>
        <v/>
      </c>
      <c r="Z915" s="44" t="str">
        <f>IFERROR(VLOOKUP(B915,Baza[[№]:[AFS]],24,0),"")</f>
        <v/>
      </c>
      <c r="AA915" s="45" t="str">
        <f>IF(Таблица2[[#This Row],[Profit]]="","#Н/Д",SUM($Y$40:Y915))</f>
        <v>#Н/Д</v>
      </c>
      <c r="AB915" s="45" t="b">
        <f>IF(Таблица2[[#This Row],[Grafik]]="#Н/Д",FALSE,TRUE)</f>
        <v>0</v>
      </c>
    </row>
    <row r="916" spans="3:28" ht="11.1" hidden="1" customHeight="1" x14ac:dyDescent="0.25">
      <c r="C916" s="41" t="str">
        <f>IFERROR(VLOOKUP(B916,Baza[[№]:[Profit]],2,0),"")</f>
        <v/>
      </c>
      <c r="D91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1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16" s="43" t="str">
        <f>IFERROR(VLOOKUP(B916,Baza[[№]:[Profit]],3,0),"")</f>
        <v/>
      </c>
      <c r="G916" s="43" t="str">
        <f>IFERROR(VLOOKUP(B916,Baza[[№]:[Profit]],4,0),"")</f>
        <v/>
      </c>
      <c r="H916" s="43" t="str">
        <f>IFERROR(VLOOKUP(B916,Baza[[№]:[Profit]],5,0),"")</f>
        <v/>
      </c>
      <c r="I916" s="46" t="str">
        <f>IFERROR(VLOOKUP(B916,Baza[[№]:[Profit]],6,0),"")</f>
        <v/>
      </c>
      <c r="J916" s="49" t="str">
        <f>IFERROR(VLOOKUP(B916,Baza[[№]:[Profit]],7,0),"")</f>
        <v/>
      </c>
      <c r="K916" s="43" t="str">
        <f>IFERROR(VLOOKUP(B916,Baza[[№]:[Profit]],8,0),"")</f>
        <v/>
      </c>
      <c r="L916" s="43" t="str">
        <f>IFERROR(VLOOKUP(B916,Baza[[№]:[Profit]],9,0),"")</f>
        <v/>
      </c>
      <c r="M916" s="43" t="str">
        <f>IFERROR(VLOOKUP(B916,Baza[[№]:[Profit]],10,0),"")</f>
        <v/>
      </c>
      <c r="N916" s="43" t="str">
        <f>IFERROR(IF(VLOOKUP(B916,Baza[[№]:[Profit]],11,0)=0,"-",VLOOKUP(B916,Baza[[№]:[Profit]],11,0)),"")</f>
        <v/>
      </c>
      <c r="O916" s="43" t="str">
        <f>IFERROR(IF(VLOOKUP(B916,Baza[[№]:[Profit]],12,0)=0,"-",VLOOKUP(B916,Baza[[№]:[Profit]],12,0)),"")</f>
        <v/>
      </c>
      <c r="P916" s="43" t="str">
        <f>IFERROR(IF(VLOOKUP(B916,Baza[[№]:[Profit]],13,0)=0,"-",VLOOKUP(B916,Baza[[№]:[Profit]],13,0)),"")</f>
        <v/>
      </c>
      <c r="Q916" s="43" t="str">
        <f>IFERROR(IF(VLOOKUP(B916,Baza[[№]:[Profit]],15,0)=0,"-",VLOOKUP(B916,Baza[[№]:[Profit]],15,0)),"")</f>
        <v/>
      </c>
      <c r="R916" s="43" t="str">
        <f>IFERROR(IF(VLOOKUP(B916,Baza[[№]:[Profit]],16,0)=0,"-",VLOOKUP(B916,Baza[[№]:[Profit]],16,0)),"")</f>
        <v/>
      </c>
      <c r="S916" s="43" t="str">
        <f>IFERROR(IF(VLOOKUP(B916,Baza[[№]:[Profit]],17,0)=0,"-",VLOOKUP(B916,Baza[[№]:[Profit]],17,0)),"")</f>
        <v/>
      </c>
      <c r="T916" s="43" t="str">
        <f>IFERROR(IF(VLOOKUP(B916,Baza[[№]:[Profit]],18,0)=0,"-",VLOOKUP(B916,Baza[[№]:[Profit]],18,0)),"")</f>
        <v/>
      </c>
      <c r="U916" s="41" t="str">
        <f>IFERROR(IF(VLOOKUP(B916,Baza[[№]:[Profit]],19,0)=0,"-",VLOOKUP(B916,Baza[[№]:[Profit]],19,0)),"")</f>
        <v/>
      </c>
      <c r="V916" s="41" t="str">
        <f>IFERROR(VLOOKUP(B916,Baza[[№]:[Profit]],20,0),"")</f>
        <v/>
      </c>
      <c r="W916" s="41" t="str">
        <f>IFERROR(IF(VLOOKUP(B916,Baza[[№]:[Profit]],21,0)=0,"-",VLOOKUP(B916,Baza[[№]:[Profit]],21,0)),"")</f>
        <v/>
      </c>
      <c r="X916" s="45" t="str">
        <f>IFERROR(IF(VLOOKUP(B916,Baza[[№]:[Profit]],22,0)=0,"-",VLOOKUP(B916,Baza[[№]:[Profit]],22,0)),"")</f>
        <v/>
      </c>
      <c r="Y916" s="45" t="str">
        <f>IFERROR(VLOOKUP(B916,Baza[[№]:[Profit]],23,0),"")</f>
        <v/>
      </c>
      <c r="Z916" s="44" t="str">
        <f>IFERROR(VLOOKUP(B916,Baza[[№]:[AFS]],24,0),"")</f>
        <v/>
      </c>
      <c r="AA916" s="45" t="str">
        <f>IF(Таблица2[[#This Row],[Profit]]="","#Н/Д",SUM($Y$40:Y916))</f>
        <v>#Н/Д</v>
      </c>
      <c r="AB916" s="45" t="b">
        <f>IF(Таблица2[[#This Row],[Grafik]]="#Н/Д",FALSE,TRUE)</f>
        <v>0</v>
      </c>
    </row>
    <row r="917" spans="3:28" ht="11.1" hidden="1" customHeight="1" x14ac:dyDescent="0.25">
      <c r="C917" s="41" t="str">
        <f>IFERROR(VLOOKUP(B917,Baza[[№]:[Profit]],2,0),"")</f>
        <v/>
      </c>
      <c r="D91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1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17" s="43" t="str">
        <f>IFERROR(VLOOKUP(B917,Baza[[№]:[Profit]],3,0),"")</f>
        <v/>
      </c>
      <c r="G917" s="43" t="str">
        <f>IFERROR(VLOOKUP(B917,Baza[[№]:[Profit]],4,0),"")</f>
        <v/>
      </c>
      <c r="H917" s="43" t="str">
        <f>IFERROR(VLOOKUP(B917,Baza[[№]:[Profit]],5,0),"")</f>
        <v/>
      </c>
      <c r="I917" s="46" t="str">
        <f>IFERROR(VLOOKUP(B917,Baza[[№]:[Profit]],6,0),"")</f>
        <v/>
      </c>
      <c r="J917" s="49" t="str">
        <f>IFERROR(VLOOKUP(B917,Baza[[№]:[Profit]],7,0),"")</f>
        <v/>
      </c>
      <c r="K917" s="43" t="str">
        <f>IFERROR(VLOOKUP(B917,Baza[[№]:[Profit]],8,0),"")</f>
        <v/>
      </c>
      <c r="L917" s="43" t="str">
        <f>IFERROR(VLOOKUP(B917,Baza[[№]:[Profit]],9,0),"")</f>
        <v/>
      </c>
      <c r="M917" s="43" t="str">
        <f>IFERROR(VLOOKUP(B917,Baza[[№]:[Profit]],10,0),"")</f>
        <v/>
      </c>
      <c r="N917" s="43" t="str">
        <f>IFERROR(IF(VLOOKUP(B917,Baza[[№]:[Profit]],11,0)=0,"-",VLOOKUP(B917,Baza[[№]:[Profit]],11,0)),"")</f>
        <v/>
      </c>
      <c r="O917" s="43" t="str">
        <f>IFERROR(IF(VLOOKUP(B917,Baza[[№]:[Profit]],12,0)=0,"-",VLOOKUP(B917,Baza[[№]:[Profit]],12,0)),"")</f>
        <v/>
      </c>
      <c r="P917" s="43" t="str">
        <f>IFERROR(IF(VLOOKUP(B917,Baza[[№]:[Profit]],13,0)=0,"-",VLOOKUP(B917,Baza[[№]:[Profit]],13,0)),"")</f>
        <v/>
      </c>
      <c r="Q917" s="43" t="str">
        <f>IFERROR(IF(VLOOKUP(B917,Baza[[№]:[Profit]],15,0)=0,"-",VLOOKUP(B917,Baza[[№]:[Profit]],15,0)),"")</f>
        <v/>
      </c>
      <c r="R917" s="43" t="str">
        <f>IFERROR(IF(VLOOKUP(B917,Baza[[№]:[Profit]],16,0)=0,"-",VLOOKUP(B917,Baza[[№]:[Profit]],16,0)),"")</f>
        <v/>
      </c>
      <c r="S917" s="43" t="str">
        <f>IFERROR(IF(VLOOKUP(B917,Baza[[№]:[Profit]],17,0)=0,"-",VLOOKUP(B917,Baza[[№]:[Profit]],17,0)),"")</f>
        <v/>
      </c>
      <c r="T917" s="43" t="str">
        <f>IFERROR(IF(VLOOKUP(B917,Baza[[№]:[Profit]],18,0)=0,"-",VLOOKUP(B917,Baza[[№]:[Profit]],18,0)),"")</f>
        <v/>
      </c>
      <c r="U917" s="41" t="str">
        <f>IFERROR(IF(VLOOKUP(B917,Baza[[№]:[Profit]],19,0)=0,"-",VLOOKUP(B917,Baza[[№]:[Profit]],19,0)),"")</f>
        <v/>
      </c>
      <c r="V917" s="41" t="str">
        <f>IFERROR(VLOOKUP(B917,Baza[[№]:[Profit]],20,0),"")</f>
        <v/>
      </c>
      <c r="W917" s="41" t="str">
        <f>IFERROR(IF(VLOOKUP(B917,Baza[[№]:[Profit]],21,0)=0,"-",VLOOKUP(B917,Baza[[№]:[Profit]],21,0)),"")</f>
        <v/>
      </c>
      <c r="X917" s="45" t="str">
        <f>IFERROR(IF(VLOOKUP(B917,Baza[[№]:[Profit]],22,0)=0,"-",VLOOKUP(B917,Baza[[№]:[Profit]],22,0)),"")</f>
        <v/>
      </c>
      <c r="Y917" s="45" t="str">
        <f>IFERROR(VLOOKUP(B917,Baza[[№]:[Profit]],23,0),"")</f>
        <v/>
      </c>
      <c r="Z917" s="44" t="str">
        <f>IFERROR(VLOOKUP(B917,Baza[[№]:[AFS]],24,0),"")</f>
        <v/>
      </c>
      <c r="AA917" s="45" t="str">
        <f>IF(Таблица2[[#This Row],[Profit]]="","#Н/Д",SUM($Y$40:Y917))</f>
        <v>#Н/Д</v>
      </c>
      <c r="AB917" s="45" t="b">
        <f>IF(Таблица2[[#This Row],[Grafik]]="#Н/Д",FALSE,TRUE)</f>
        <v>0</v>
      </c>
    </row>
    <row r="918" spans="3:28" ht="11.1" hidden="1" customHeight="1" x14ac:dyDescent="0.25">
      <c r="C918" s="41" t="str">
        <f>IFERROR(VLOOKUP(B918,Baza[[№]:[Profit]],2,0),"")</f>
        <v/>
      </c>
      <c r="D91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1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18" s="43" t="str">
        <f>IFERROR(VLOOKUP(B918,Baza[[№]:[Profit]],3,0),"")</f>
        <v/>
      </c>
      <c r="G918" s="43" t="str">
        <f>IFERROR(VLOOKUP(B918,Baza[[№]:[Profit]],4,0),"")</f>
        <v/>
      </c>
      <c r="H918" s="43" t="str">
        <f>IFERROR(VLOOKUP(B918,Baza[[№]:[Profit]],5,0),"")</f>
        <v/>
      </c>
      <c r="I918" s="46" t="str">
        <f>IFERROR(VLOOKUP(B918,Baza[[№]:[Profit]],6,0),"")</f>
        <v/>
      </c>
      <c r="J918" s="49" t="str">
        <f>IFERROR(VLOOKUP(B918,Baza[[№]:[Profit]],7,0),"")</f>
        <v/>
      </c>
      <c r="K918" s="43" t="str">
        <f>IFERROR(VLOOKUP(B918,Baza[[№]:[Profit]],8,0),"")</f>
        <v/>
      </c>
      <c r="L918" s="43" t="str">
        <f>IFERROR(VLOOKUP(B918,Baza[[№]:[Profit]],9,0),"")</f>
        <v/>
      </c>
      <c r="M918" s="43" t="str">
        <f>IFERROR(VLOOKUP(B918,Baza[[№]:[Profit]],10,0),"")</f>
        <v/>
      </c>
      <c r="N918" s="43" t="str">
        <f>IFERROR(IF(VLOOKUP(B918,Baza[[№]:[Profit]],11,0)=0,"-",VLOOKUP(B918,Baza[[№]:[Profit]],11,0)),"")</f>
        <v/>
      </c>
      <c r="O918" s="43" t="str">
        <f>IFERROR(IF(VLOOKUP(B918,Baza[[№]:[Profit]],12,0)=0,"-",VLOOKUP(B918,Baza[[№]:[Profit]],12,0)),"")</f>
        <v/>
      </c>
      <c r="P918" s="43" t="str">
        <f>IFERROR(IF(VLOOKUP(B918,Baza[[№]:[Profit]],13,0)=0,"-",VLOOKUP(B918,Baza[[№]:[Profit]],13,0)),"")</f>
        <v/>
      </c>
      <c r="Q918" s="43" t="str">
        <f>IFERROR(IF(VLOOKUP(B918,Baza[[№]:[Profit]],15,0)=0,"-",VLOOKUP(B918,Baza[[№]:[Profit]],15,0)),"")</f>
        <v/>
      </c>
      <c r="R918" s="43" t="str">
        <f>IFERROR(IF(VLOOKUP(B918,Baza[[№]:[Profit]],16,0)=0,"-",VLOOKUP(B918,Baza[[№]:[Profit]],16,0)),"")</f>
        <v/>
      </c>
      <c r="S918" s="43" t="str">
        <f>IFERROR(IF(VLOOKUP(B918,Baza[[№]:[Profit]],17,0)=0,"-",VLOOKUP(B918,Baza[[№]:[Profit]],17,0)),"")</f>
        <v/>
      </c>
      <c r="T918" s="43" t="str">
        <f>IFERROR(IF(VLOOKUP(B918,Baza[[№]:[Profit]],18,0)=0,"-",VLOOKUP(B918,Baza[[№]:[Profit]],18,0)),"")</f>
        <v/>
      </c>
      <c r="U918" s="41" t="str">
        <f>IFERROR(IF(VLOOKUP(B918,Baza[[№]:[Profit]],19,0)=0,"-",VLOOKUP(B918,Baza[[№]:[Profit]],19,0)),"")</f>
        <v/>
      </c>
      <c r="V918" s="41" t="str">
        <f>IFERROR(VLOOKUP(B918,Baza[[№]:[Profit]],20,0),"")</f>
        <v/>
      </c>
      <c r="W918" s="41" t="str">
        <f>IFERROR(IF(VLOOKUP(B918,Baza[[№]:[Profit]],21,0)=0,"-",VLOOKUP(B918,Baza[[№]:[Profit]],21,0)),"")</f>
        <v/>
      </c>
      <c r="X918" s="45" t="str">
        <f>IFERROR(IF(VLOOKUP(B918,Baza[[№]:[Profit]],22,0)=0,"-",VLOOKUP(B918,Baza[[№]:[Profit]],22,0)),"")</f>
        <v/>
      </c>
      <c r="Y918" s="45" t="str">
        <f>IFERROR(VLOOKUP(B918,Baza[[№]:[Profit]],23,0),"")</f>
        <v/>
      </c>
      <c r="Z918" s="44" t="str">
        <f>IFERROR(VLOOKUP(B918,Baza[[№]:[AFS]],24,0),"")</f>
        <v/>
      </c>
      <c r="AA918" s="45" t="str">
        <f>IF(Таблица2[[#This Row],[Profit]]="","#Н/Д",SUM($Y$40:Y918))</f>
        <v>#Н/Д</v>
      </c>
      <c r="AB918" s="45" t="b">
        <f>IF(Таблица2[[#This Row],[Grafik]]="#Н/Д",FALSE,TRUE)</f>
        <v>0</v>
      </c>
    </row>
    <row r="919" spans="3:28" ht="11.1" hidden="1" customHeight="1" x14ac:dyDescent="0.25">
      <c r="C919" s="41" t="str">
        <f>IFERROR(VLOOKUP(B919,Baza[[№]:[Profit]],2,0),"")</f>
        <v/>
      </c>
      <c r="D91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1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19" s="43" t="str">
        <f>IFERROR(VLOOKUP(B919,Baza[[№]:[Profit]],3,0),"")</f>
        <v/>
      </c>
      <c r="G919" s="43" t="str">
        <f>IFERROR(VLOOKUP(B919,Baza[[№]:[Profit]],4,0),"")</f>
        <v/>
      </c>
      <c r="H919" s="43" t="str">
        <f>IFERROR(VLOOKUP(B919,Baza[[№]:[Profit]],5,0),"")</f>
        <v/>
      </c>
      <c r="I919" s="46" t="str">
        <f>IFERROR(VLOOKUP(B919,Baza[[№]:[Profit]],6,0),"")</f>
        <v/>
      </c>
      <c r="J919" s="49" t="str">
        <f>IFERROR(VLOOKUP(B919,Baza[[№]:[Profit]],7,0),"")</f>
        <v/>
      </c>
      <c r="K919" s="43" t="str">
        <f>IFERROR(VLOOKUP(B919,Baza[[№]:[Profit]],8,0),"")</f>
        <v/>
      </c>
      <c r="L919" s="43" t="str">
        <f>IFERROR(VLOOKUP(B919,Baza[[№]:[Profit]],9,0),"")</f>
        <v/>
      </c>
      <c r="M919" s="43" t="str">
        <f>IFERROR(VLOOKUP(B919,Baza[[№]:[Profit]],10,0),"")</f>
        <v/>
      </c>
      <c r="N919" s="43" t="str">
        <f>IFERROR(IF(VLOOKUP(B919,Baza[[№]:[Profit]],11,0)=0,"-",VLOOKUP(B919,Baza[[№]:[Profit]],11,0)),"")</f>
        <v/>
      </c>
      <c r="O919" s="43" t="str">
        <f>IFERROR(IF(VLOOKUP(B919,Baza[[№]:[Profit]],12,0)=0,"-",VLOOKUP(B919,Baza[[№]:[Profit]],12,0)),"")</f>
        <v/>
      </c>
      <c r="P919" s="43" t="str">
        <f>IFERROR(IF(VLOOKUP(B919,Baza[[№]:[Profit]],13,0)=0,"-",VLOOKUP(B919,Baza[[№]:[Profit]],13,0)),"")</f>
        <v/>
      </c>
      <c r="Q919" s="43" t="str">
        <f>IFERROR(IF(VLOOKUP(B919,Baza[[№]:[Profit]],15,0)=0,"-",VLOOKUP(B919,Baza[[№]:[Profit]],15,0)),"")</f>
        <v/>
      </c>
      <c r="R919" s="43" t="str">
        <f>IFERROR(IF(VLOOKUP(B919,Baza[[№]:[Profit]],16,0)=0,"-",VLOOKUP(B919,Baza[[№]:[Profit]],16,0)),"")</f>
        <v/>
      </c>
      <c r="S919" s="43" t="str">
        <f>IFERROR(IF(VLOOKUP(B919,Baza[[№]:[Profit]],17,0)=0,"-",VLOOKUP(B919,Baza[[№]:[Profit]],17,0)),"")</f>
        <v/>
      </c>
      <c r="T919" s="43" t="str">
        <f>IFERROR(IF(VLOOKUP(B919,Baza[[№]:[Profit]],18,0)=0,"-",VLOOKUP(B919,Baza[[№]:[Profit]],18,0)),"")</f>
        <v/>
      </c>
      <c r="U919" s="41" t="str">
        <f>IFERROR(IF(VLOOKUP(B919,Baza[[№]:[Profit]],19,0)=0,"-",VLOOKUP(B919,Baza[[№]:[Profit]],19,0)),"")</f>
        <v/>
      </c>
      <c r="V919" s="41" t="str">
        <f>IFERROR(VLOOKUP(B919,Baza[[№]:[Profit]],20,0),"")</f>
        <v/>
      </c>
      <c r="W919" s="41" t="str">
        <f>IFERROR(IF(VLOOKUP(B919,Baza[[№]:[Profit]],21,0)=0,"-",VLOOKUP(B919,Baza[[№]:[Profit]],21,0)),"")</f>
        <v/>
      </c>
      <c r="X919" s="45" t="str">
        <f>IFERROR(IF(VLOOKUP(B919,Baza[[№]:[Profit]],22,0)=0,"-",VLOOKUP(B919,Baza[[№]:[Profit]],22,0)),"")</f>
        <v/>
      </c>
      <c r="Y919" s="45" t="str">
        <f>IFERROR(VLOOKUP(B919,Baza[[№]:[Profit]],23,0),"")</f>
        <v/>
      </c>
      <c r="Z919" s="44" t="str">
        <f>IFERROR(VLOOKUP(B919,Baza[[№]:[AFS]],24,0),"")</f>
        <v/>
      </c>
      <c r="AA919" s="45" t="str">
        <f>IF(Таблица2[[#This Row],[Profit]]="","#Н/Д",SUM($Y$40:Y919))</f>
        <v>#Н/Д</v>
      </c>
      <c r="AB919" s="45" t="b">
        <f>IF(Таблица2[[#This Row],[Grafik]]="#Н/Д",FALSE,TRUE)</f>
        <v>0</v>
      </c>
    </row>
    <row r="920" spans="3:28" ht="11.1" hidden="1" customHeight="1" x14ac:dyDescent="0.25">
      <c r="C920" s="41" t="str">
        <f>IFERROR(VLOOKUP(B920,Baza[[№]:[Profit]],2,0),"")</f>
        <v/>
      </c>
      <c r="D92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2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20" s="43" t="str">
        <f>IFERROR(VLOOKUP(B920,Baza[[№]:[Profit]],3,0),"")</f>
        <v/>
      </c>
      <c r="G920" s="43" t="str">
        <f>IFERROR(VLOOKUP(B920,Baza[[№]:[Profit]],4,0),"")</f>
        <v/>
      </c>
      <c r="H920" s="43" t="str">
        <f>IFERROR(VLOOKUP(B920,Baza[[№]:[Profit]],5,0),"")</f>
        <v/>
      </c>
      <c r="I920" s="46" t="str">
        <f>IFERROR(VLOOKUP(B920,Baza[[№]:[Profit]],6,0),"")</f>
        <v/>
      </c>
      <c r="J920" s="49" t="str">
        <f>IFERROR(VLOOKUP(B920,Baza[[№]:[Profit]],7,0),"")</f>
        <v/>
      </c>
      <c r="K920" s="43" t="str">
        <f>IFERROR(VLOOKUP(B920,Baza[[№]:[Profit]],8,0),"")</f>
        <v/>
      </c>
      <c r="L920" s="43" t="str">
        <f>IFERROR(VLOOKUP(B920,Baza[[№]:[Profit]],9,0),"")</f>
        <v/>
      </c>
      <c r="M920" s="43" t="str">
        <f>IFERROR(VLOOKUP(B920,Baza[[№]:[Profit]],10,0),"")</f>
        <v/>
      </c>
      <c r="N920" s="43" t="str">
        <f>IFERROR(IF(VLOOKUP(B920,Baza[[№]:[Profit]],11,0)=0,"-",VLOOKUP(B920,Baza[[№]:[Profit]],11,0)),"")</f>
        <v/>
      </c>
      <c r="O920" s="43" t="str">
        <f>IFERROR(IF(VLOOKUP(B920,Baza[[№]:[Profit]],12,0)=0,"-",VLOOKUP(B920,Baza[[№]:[Profit]],12,0)),"")</f>
        <v/>
      </c>
      <c r="P920" s="43" t="str">
        <f>IFERROR(IF(VLOOKUP(B920,Baza[[№]:[Profit]],13,0)=0,"-",VLOOKUP(B920,Baza[[№]:[Profit]],13,0)),"")</f>
        <v/>
      </c>
      <c r="Q920" s="43" t="str">
        <f>IFERROR(IF(VLOOKUP(B920,Baza[[№]:[Profit]],15,0)=0,"-",VLOOKUP(B920,Baza[[№]:[Profit]],15,0)),"")</f>
        <v/>
      </c>
      <c r="R920" s="43" t="str">
        <f>IFERROR(IF(VLOOKUP(B920,Baza[[№]:[Profit]],16,0)=0,"-",VLOOKUP(B920,Baza[[№]:[Profit]],16,0)),"")</f>
        <v/>
      </c>
      <c r="S920" s="43" t="str">
        <f>IFERROR(IF(VLOOKUP(B920,Baza[[№]:[Profit]],17,0)=0,"-",VLOOKUP(B920,Baza[[№]:[Profit]],17,0)),"")</f>
        <v/>
      </c>
      <c r="T920" s="43" t="str">
        <f>IFERROR(IF(VLOOKUP(B920,Baza[[№]:[Profit]],18,0)=0,"-",VLOOKUP(B920,Baza[[№]:[Profit]],18,0)),"")</f>
        <v/>
      </c>
      <c r="U920" s="41" t="str">
        <f>IFERROR(IF(VLOOKUP(B920,Baza[[№]:[Profit]],19,0)=0,"-",VLOOKUP(B920,Baza[[№]:[Profit]],19,0)),"")</f>
        <v/>
      </c>
      <c r="V920" s="41" t="str">
        <f>IFERROR(VLOOKUP(B920,Baza[[№]:[Profit]],20,0),"")</f>
        <v/>
      </c>
      <c r="W920" s="41" t="str">
        <f>IFERROR(IF(VLOOKUP(B920,Baza[[№]:[Profit]],21,0)=0,"-",VLOOKUP(B920,Baza[[№]:[Profit]],21,0)),"")</f>
        <v/>
      </c>
      <c r="X920" s="45" t="str">
        <f>IFERROR(IF(VLOOKUP(B920,Baza[[№]:[Profit]],22,0)=0,"-",VLOOKUP(B920,Baza[[№]:[Profit]],22,0)),"")</f>
        <v/>
      </c>
      <c r="Y920" s="45" t="str">
        <f>IFERROR(VLOOKUP(B920,Baza[[№]:[Profit]],23,0),"")</f>
        <v/>
      </c>
      <c r="Z920" s="44" t="str">
        <f>IFERROR(VLOOKUP(B920,Baza[[№]:[AFS]],24,0),"")</f>
        <v/>
      </c>
      <c r="AA920" s="45" t="str">
        <f>IF(Таблица2[[#This Row],[Profit]]="","#Н/Д",SUM($Y$40:Y920))</f>
        <v>#Н/Д</v>
      </c>
      <c r="AB920" s="45" t="b">
        <f>IF(Таблица2[[#This Row],[Grafik]]="#Н/Д",FALSE,TRUE)</f>
        <v>0</v>
      </c>
    </row>
    <row r="921" spans="3:28" ht="11.1" hidden="1" customHeight="1" x14ac:dyDescent="0.25">
      <c r="C921" s="41" t="str">
        <f>IFERROR(VLOOKUP(B921,Baza[[№]:[Profit]],2,0),"")</f>
        <v/>
      </c>
      <c r="D92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2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21" s="43" t="str">
        <f>IFERROR(VLOOKUP(B921,Baza[[№]:[Profit]],3,0),"")</f>
        <v/>
      </c>
      <c r="G921" s="43" t="str">
        <f>IFERROR(VLOOKUP(B921,Baza[[№]:[Profit]],4,0),"")</f>
        <v/>
      </c>
      <c r="H921" s="43" t="str">
        <f>IFERROR(VLOOKUP(B921,Baza[[№]:[Profit]],5,0),"")</f>
        <v/>
      </c>
      <c r="I921" s="46" t="str">
        <f>IFERROR(VLOOKUP(B921,Baza[[№]:[Profit]],6,0),"")</f>
        <v/>
      </c>
      <c r="J921" s="49" t="str">
        <f>IFERROR(VLOOKUP(B921,Baza[[№]:[Profit]],7,0),"")</f>
        <v/>
      </c>
      <c r="K921" s="43" t="str">
        <f>IFERROR(VLOOKUP(B921,Baza[[№]:[Profit]],8,0),"")</f>
        <v/>
      </c>
      <c r="L921" s="43" t="str">
        <f>IFERROR(VLOOKUP(B921,Baza[[№]:[Profit]],9,0),"")</f>
        <v/>
      </c>
      <c r="M921" s="43" t="str">
        <f>IFERROR(VLOOKUP(B921,Baza[[№]:[Profit]],10,0),"")</f>
        <v/>
      </c>
      <c r="N921" s="43" t="str">
        <f>IFERROR(IF(VLOOKUP(B921,Baza[[№]:[Profit]],11,0)=0,"-",VLOOKUP(B921,Baza[[№]:[Profit]],11,0)),"")</f>
        <v/>
      </c>
      <c r="O921" s="43" t="str">
        <f>IFERROR(IF(VLOOKUP(B921,Baza[[№]:[Profit]],12,0)=0,"-",VLOOKUP(B921,Baza[[№]:[Profit]],12,0)),"")</f>
        <v/>
      </c>
      <c r="P921" s="43" t="str">
        <f>IFERROR(IF(VLOOKUP(B921,Baza[[№]:[Profit]],13,0)=0,"-",VLOOKUP(B921,Baza[[№]:[Profit]],13,0)),"")</f>
        <v/>
      </c>
      <c r="Q921" s="43" t="str">
        <f>IFERROR(IF(VLOOKUP(B921,Baza[[№]:[Profit]],15,0)=0,"-",VLOOKUP(B921,Baza[[№]:[Profit]],15,0)),"")</f>
        <v/>
      </c>
      <c r="R921" s="43" t="str">
        <f>IFERROR(IF(VLOOKUP(B921,Baza[[№]:[Profit]],16,0)=0,"-",VLOOKUP(B921,Baza[[№]:[Profit]],16,0)),"")</f>
        <v/>
      </c>
      <c r="S921" s="43" t="str">
        <f>IFERROR(IF(VLOOKUP(B921,Baza[[№]:[Profit]],17,0)=0,"-",VLOOKUP(B921,Baza[[№]:[Profit]],17,0)),"")</f>
        <v/>
      </c>
      <c r="T921" s="43" t="str">
        <f>IFERROR(IF(VLOOKUP(B921,Baza[[№]:[Profit]],18,0)=0,"-",VLOOKUP(B921,Baza[[№]:[Profit]],18,0)),"")</f>
        <v/>
      </c>
      <c r="U921" s="41" t="str">
        <f>IFERROR(IF(VLOOKUP(B921,Baza[[№]:[Profit]],19,0)=0,"-",VLOOKUP(B921,Baza[[№]:[Profit]],19,0)),"")</f>
        <v/>
      </c>
      <c r="V921" s="41" t="str">
        <f>IFERROR(VLOOKUP(B921,Baza[[№]:[Profit]],20,0),"")</f>
        <v/>
      </c>
      <c r="W921" s="41" t="str">
        <f>IFERROR(IF(VLOOKUP(B921,Baza[[№]:[Profit]],21,0)=0,"-",VLOOKUP(B921,Baza[[№]:[Profit]],21,0)),"")</f>
        <v/>
      </c>
      <c r="X921" s="45" t="str">
        <f>IFERROR(IF(VLOOKUP(B921,Baza[[№]:[Profit]],22,0)=0,"-",VLOOKUP(B921,Baza[[№]:[Profit]],22,0)),"")</f>
        <v/>
      </c>
      <c r="Y921" s="45" t="str">
        <f>IFERROR(VLOOKUP(B921,Baza[[№]:[Profit]],23,0),"")</f>
        <v/>
      </c>
      <c r="Z921" s="44" t="str">
        <f>IFERROR(VLOOKUP(B921,Baza[[№]:[AFS]],24,0),"")</f>
        <v/>
      </c>
      <c r="AA921" s="45" t="str">
        <f>IF(Таблица2[[#This Row],[Profit]]="","#Н/Д",SUM($Y$40:Y921))</f>
        <v>#Н/Д</v>
      </c>
      <c r="AB921" s="45" t="b">
        <f>IF(Таблица2[[#This Row],[Grafik]]="#Н/Д",FALSE,TRUE)</f>
        <v>0</v>
      </c>
    </row>
    <row r="922" spans="3:28" ht="11.1" hidden="1" customHeight="1" x14ac:dyDescent="0.25">
      <c r="C922" s="41" t="str">
        <f>IFERROR(VLOOKUP(B922,Baza[[№]:[Profit]],2,0),"")</f>
        <v/>
      </c>
      <c r="D92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2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22" s="43" t="str">
        <f>IFERROR(VLOOKUP(B922,Baza[[№]:[Profit]],3,0),"")</f>
        <v/>
      </c>
      <c r="G922" s="43" t="str">
        <f>IFERROR(VLOOKUP(B922,Baza[[№]:[Profit]],4,0),"")</f>
        <v/>
      </c>
      <c r="H922" s="43" t="str">
        <f>IFERROR(VLOOKUP(B922,Baza[[№]:[Profit]],5,0),"")</f>
        <v/>
      </c>
      <c r="I922" s="46" t="str">
        <f>IFERROR(VLOOKUP(B922,Baza[[№]:[Profit]],6,0),"")</f>
        <v/>
      </c>
      <c r="J922" s="49" t="str">
        <f>IFERROR(VLOOKUP(B922,Baza[[№]:[Profit]],7,0),"")</f>
        <v/>
      </c>
      <c r="K922" s="43" t="str">
        <f>IFERROR(VLOOKUP(B922,Baza[[№]:[Profit]],8,0),"")</f>
        <v/>
      </c>
      <c r="L922" s="43" t="str">
        <f>IFERROR(VLOOKUP(B922,Baza[[№]:[Profit]],9,0),"")</f>
        <v/>
      </c>
      <c r="M922" s="43" t="str">
        <f>IFERROR(VLOOKUP(B922,Baza[[№]:[Profit]],10,0),"")</f>
        <v/>
      </c>
      <c r="N922" s="43" t="str">
        <f>IFERROR(IF(VLOOKUP(B922,Baza[[№]:[Profit]],11,0)=0,"-",VLOOKUP(B922,Baza[[№]:[Profit]],11,0)),"")</f>
        <v/>
      </c>
      <c r="O922" s="43" t="str">
        <f>IFERROR(IF(VLOOKUP(B922,Baza[[№]:[Profit]],12,0)=0,"-",VLOOKUP(B922,Baza[[№]:[Profit]],12,0)),"")</f>
        <v/>
      </c>
      <c r="P922" s="43" t="str">
        <f>IFERROR(IF(VLOOKUP(B922,Baza[[№]:[Profit]],13,0)=0,"-",VLOOKUP(B922,Baza[[№]:[Profit]],13,0)),"")</f>
        <v/>
      </c>
      <c r="Q922" s="43" t="str">
        <f>IFERROR(IF(VLOOKUP(B922,Baza[[№]:[Profit]],15,0)=0,"-",VLOOKUP(B922,Baza[[№]:[Profit]],15,0)),"")</f>
        <v/>
      </c>
      <c r="R922" s="43" t="str">
        <f>IFERROR(IF(VLOOKUP(B922,Baza[[№]:[Profit]],16,0)=0,"-",VLOOKUP(B922,Baza[[№]:[Profit]],16,0)),"")</f>
        <v/>
      </c>
      <c r="S922" s="43" t="str">
        <f>IFERROR(IF(VLOOKUP(B922,Baza[[№]:[Profit]],17,0)=0,"-",VLOOKUP(B922,Baza[[№]:[Profit]],17,0)),"")</f>
        <v/>
      </c>
      <c r="T922" s="43" t="str">
        <f>IFERROR(IF(VLOOKUP(B922,Baza[[№]:[Profit]],18,0)=0,"-",VLOOKUP(B922,Baza[[№]:[Profit]],18,0)),"")</f>
        <v/>
      </c>
      <c r="U922" s="41" t="str">
        <f>IFERROR(IF(VLOOKUP(B922,Baza[[№]:[Profit]],19,0)=0,"-",VLOOKUP(B922,Baza[[№]:[Profit]],19,0)),"")</f>
        <v/>
      </c>
      <c r="V922" s="41" t="str">
        <f>IFERROR(VLOOKUP(B922,Baza[[№]:[Profit]],20,0),"")</f>
        <v/>
      </c>
      <c r="W922" s="41" t="str">
        <f>IFERROR(IF(VLOOKUP(B922,Baza[[№]:[Profit]],21,0)=0,"-",VLOOKUP(B922,Baza[[№]:[Profit]],21,0)),"")</f>
        <v/>
      </c>
      <c r="X922" s="45" t="str">
        <f>IFERROR(IF(VLOOKUP(B922,Baza[[№]:[Profit]],22,0)=0,"-",VLOOKUP(B922,Baza[[№]:[Profit]],22,0)),"")</f>
        <v/>
      </c>
      <c r="Y922" s="45" t="str">
        <f>IFERROR(VLOOKUP(B922,Baza[[№]:[Profit]],23,0),"")</f>
        <v/>
      </c>
      <c r="Z922" s="44" t="str">
        <f>IFERROR(VLOOKUP(B922,Baza[[№]:[AFS]],24,0),"")</f>
        <v/>
      </c>
      <c r="AA922" s="45" t="str">
        <f>IF(Таблица2[[#This Row],[Profit]]="","#Н/Д",SUM($Y$40:Y922))</f>
        <v>#Н/Д</v>
      </c>
      <c r="AB922" s="45" t="b">
        <f>IF(Таблица2[[#This Row],[Grafik]]="#Н/Д",FALSE,TRUE)</f>
        <v>0</v>
      </c>
    </row>
    <row r="923" spans="3:28" ht="11.1" hidden="1" customHeight="1" x14ac:dyDescent="0.25">
      <c r="C923" s="41" t="str">
        <f>IFERROR(VLOOKUP(B923,Baza[[№]:[Profit]],2,0),"")</f>
        <v/>
      </c>
      <c r="D92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2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23" s="43" t="str">
        <f>IFERROR(VLOOKUP(B923,Baza[[№]:[Profit]],3,0),"")</f>
        <v/>
      </c>
      <c r="G923" s="43" t="str">
        <f>IFERROR(VLOOKUP(B923,Baza[[№]:[Profit]],4,0),"")</f>
        <v/>
      </c>
      <c r="H923" s="43" t="str">
        <f>IFERROR(VLOOKUP(B923,Baza[[№]:[Profit]],5,0),"")</f>
        <v/>
      </c>
      <c r="I923" s="46" t="str">
        <f>IFERROR(VLOOKUP(B923,Baza[[№]:[Profit]],6,0),"")</f>
        <v/>
      </c>
      <c r="J923" s="49" t="str">
        <f>IFERROR(VLOOKUP(B923,Baza[[№]:[Profit]],7,0),"")</f>
        <v/>
      </c>
      <c r="K923" s="43" t="str">
        <f>IFERROR(VLOOKUP(B923,Baza[[№]:[Profit]],8,0),"")</f>
        <v/>
      </c>
      <c r="L923" s="43" t="str">
        <f>IFERROR(VLOOKUP(B923,Baza[[№]:[Profit]],9,0),"")</f>
        <v/>
      </c>
      <c r="M923" s="43" t="str">
        <f>IFERROR(VLOOKUP(B923,Baza[[№]:[Profit]],10,0),"")</f>
        <v/>
      </c>
      <c r="N923" s="43" t="str">
        <f>IFERROR(IF(VLOOKUP(B923,Baza[[№]:[Profit]],11,0)=0,"-",VLOOKUP(B923,Baza[[№]:[Profit]],11,0)),"")</f>
        <v/>
      </c>
      <c r="O923" s="43" t="str">
        <f>IFERROR(IF(VLOOKUP(B923,Baza[[№]:[Profit]],12,0)=0,"-",VLOOKUP(B923,Baza[[№]:[Profit]],12,0)),"")</f>
        <v/>
      </c>
      <c r="P923" s="43" t="str">
        <f>IFERROR(IF(VLOOKUP(B923,Baza[[№]:[Profit]],13,0)=0,"-",VLOOKUP(B923,Baza[[№]:[Profit]],13,0)),"")</f>
        <v/>
      </c>
      <c r="Q923" s="43" t="str">
        <f>IFERROR(IF(VLOOKUP(B923,Baza[[№]:[Profit]],15,0)=0,"-",VLOOKUP(B923,Baza[[№]:[Profit]],15,0)),"")</f>
        <v/>
      </c>
      <c r="R923" s="43" t="str">
        <f>IFERROR(IF(VLOOKUP(B923,Baza[[№]:[Profit]],16,0)=0,"-",VLOOKUP(B923,Baza[[№]:[Profit]],16,0)),"")</f>
        <v/>
      </c>
      <c r="S923" s="43" t="str">
        <f>IFERROR(IF(VLOOKUP(B923,Baza[[№]:[Profit]],17,0)=0,"-",VLOOKUP(B923,Baza[[№]:[Profit]],17,0)),"")</f>
        <v/>
      </c>
      <c r="T923" s="43" t="str">
        <f>IFERROR(IF(VLOOKUP(B923,Baza[[№]:[Profit]],18,0)=0,"-",VLOOKUP(B923,Baza[[№]:[Profit]],18,0)),"")</f>
        <v/>
      </c>
      <c r="U923" s="41" t="str">
        <f>IFERROR(IF(VLOOKUP(B923,Baza[[№]:[Profit]],19,0)=0,"-",VLOOKUP(B923,Baza[[№]:[Profit]],19,0)),"")</f>
        <v/>
      </c>
      <c r="V923" s="41" t="str">
        <f>IFERROR(VLOOKUP(B923,Baza[[№]:[Profit]],20,0),"")</f>
        <v/>
      </c>
      <c r="W923" s="41" t="str">
        <f>IFERROR(IF(VLOOKUP(B923,Baza[[№]:[Profit]],21,0)=0,"-",VLOOKUP(B923,Baza[[№]:[Profit]],21,0)),"")</f>
        <v/>
      </c>
      <c r="X923" s="45" t="str">
        <f>IFERROR(IF(VLOOKUP(B923,Baza[[№]:[Profit]],22,0)=0,"-",VLOOKUP(B923,Baza[[№]:[Profit]],22,0)),"")</f>
        <v/>
      </c>
      <c r="Y923" s="45" t="str">
        <f>IFERROR(VLOOKUP(B923,Baza[[№]:[Profit]],23,0),"")</f>
        <v/>
      </c>
      <c r="Z923" s="44" t="str">
        <f>IFERROR(VLOOKUP(B923,Baza[[№]:[AFS]],24,0),"")</f>
        <v/>
      </c>
      <c r="AA923" s="45" t="str">
        <f>IF(Таблица2[[#This Row],[Profit]]="","#Н/Д",SUM($Y$40:Y923))</f>
        <v>#Н/Д</v>
      </c>
      <c r="AB923" s="45" t="b">
        <f>IF(Таблица2[[#This Row],[Grafik]]="#Н/Д",FALSE,TRUE)</f>
        <v>0</v>
      </c>
    </row>
    <row r="924" spans="3:28" ht="11.1" hidden="1" customHeight="1" x14ac:dyDescent="0.25">
      <c r="C924" s="41" t="str">
        <f>IFERROR(VLOOKUP(B924,Baza[[№]:[Profit]],2,0),"")</f>
        <v/>
      </c>
      <c r="D92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2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24" s="43" t="str">
        <f>IFERROR(VLOOKUP(B924,Baza[[№]:[Profit]],3,0),"")</f>
        <v/>
      </c>
      <c r="G924" s="43" t="str">
        <f>IFERROR(VLOOKUP(B924,Baza[[№]:[Profit]],4,0),"")</f>
        <v/>
      </c>
      <c r="H924" s="43" t="str">
        <f>IFERROR(VLOOKUP(B924,Baza[[№]:[Profit]],5,0),"")</f>
        <v/>
      </c>
      <c r="I924" s="46" t="str">
        <f>IFERROR(VLOOKUP(B924,Baza[[№]:[Profit]],6,0),"")</f>
        <v/>
      </c>
      <c r="J924" s="49" t="str">
        <f>IFERROR(VLOOKUP(B924,Baza[[№]:[Profit]],7,0),"")</f>
        <v/>
      </c>
      <c r="K924" s="43" t="str">
        <f>IFERROR(VLOOKUP(B924,Baza[[№]:[Profit]],8,0),"")</f>
        <v/>
      </c>
      <c r="L924" s="43" t="str">
        <f>IFERROR(VLOOKUP(B924,Baza[[№]:[Profit]],9,0),"")</f>
        <v/>
      </c>
      <c r="M924" s="43" t="str">
        <f>IFERROR(VLOOKUP(B924,Baza[[№]:[Profit]],10,0),"")</f>
        <v/>
      </c>
      <c r="N924" s="43" t="str">
        <f>IFERROR(IF(VLOOKUP(B924,Baza[[№]:[Profit]],11,0)=0,"-",VLOOKUP(B924,Baza[[№]:[Profit]],11,0)),"")</f>
        <v/>
      </c>
      <c r="O924" s="43" t="str">
        <f>IFERROR(IF(VLOOKUP(B924,Baza[[№]:[Profit]],12,0)=0,"-",VLOOKUP(B924,Baza[[№]:[Profit]],12,0)),"")</f>
        <v/>
      </c>
      <c r="P924" s="43" t="str">
        <f>IFERROR(IF(VLOOKUP(B924,Baza[[№]:[Profit]],13,0)=0,"-",VLOOKUP(B924,Baza[[№]:[Profit]],13,0)),"")</f>
        <v/>
      </c>
      <c r="Q924" s="43" t="str">
        <f>IFERROR(IF(VLOOKUP(B924,Baza[[№]:[Profit]],15,0)=0,"-",VLOOKUP(B924,Baza[[№]:[Profit]],15,0)),"")</f>
        <v/>
      </c>
      <c r="R924" s="43" t="str">
        <f>IFERROR(IF(VLOOKUP(B924,Baza[[№]:[Profit]],16,0)=0,"-",VLOOKUP(B924,Baza[[№]:[Profit]],16,0)),"")</f>
        <v/>
      </c>
      <c r="S924" s="43" t="str">
        <f>IFERROR(IF(VLOOKUP(B924,Baza[[№]:[Profit]],17,0)=0,"-",VLOOKUP(B924,Baza[[№]:[Profit]],17,0)),"")</f>
        <v/>
      </c>
      <c r="T924" s="43" t="str">
        <f>IFERROR(IF(VLOOKUP(B924,Baza[[№]:[Profit]],18,0)=0,"-",VLOOKUP(B924,Baza[[№]:[Profit]],18,0)),"")</f>
        <v/>
      </c>
      <c r="U924" s="41" t="str">
        <f>IFERROR(IF(VLOOKUP(B924,Baza[[№]:[Profit]],19,0)=0,"-",VLOOKUP(B924,Baza[[№]:[Profit]],19,0)),"")</f>
        <v/>
      </c>
      <c r="V924" s="41" t="str">
        <f>IFERROR(VLOOKUP(B924,Baza[[№]:[Profit]],20,0),"")</f>
        <v/>
      </c>
      <c r="W924" s="41" t="str">
        <f>IFERROR(IF(VLOOKUP(B924,Baza[[№]:[Profit]],21,0)=0,"-",VLOOKUP(B924,Baza[[№]:[Profit]],21,0)),"")</f>
        <v/>
      </c>
      <c r="X924" s="45" t="str">
        <f>IFERROR(IF(VLOOKUP(B924,Baza[[№]:[Profit]],22,0)=0,"-",VLOOKUP(B924,Baza[[№]:[Profit]],22,0)),"")</f>
        <v/>
      </c>
      <c r="Y924" s="45" t="str">
        <f>IFERROR(VLOOKUP(B924,Baza[[№]:[Profit]],23,0),"")</f>
        <v/>
      </c>
      <c r="Z924" s="44" t="str">
        <f>IFERROR(VLOOKUP(B924,Baza[[№]:[AFS]],24,0),"")</f>
        <v/>
      </c>
      <c r="AA924" s="45" t="str">
        <f>IF(Таблица2[[#This Row],[Profit]]="","#Н/Д",SUM($Y$40:Y924))</f>
        <v>#Н/Д</v>
      </c>
      <c r="AB924" s="45" t="b">
        <f>IF(Таблица2[[#This Row],[Grafik]]="#Н/Д",FALSE,TRUE)</f>
        <v>0</v>
      </c>
    </row>
    <row r="925" spans="3:28" ht="11.1" hidden="1" customHeight="1" x14ac:dyDescent="0.25">
      <c r="C925" s="41" t="str">
        <f>IFERROR(VLOOKUP(B925,Baza[[№]:[Profit]],2,0),"")</f>
        <v/>
      </c>
      <c r="D92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2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25" s="43" t="str">
        <f>IFERROR(VLOOKUP(B925,Baza[[№]:[Profit]],3,0),"")</f>
        <v/>
      </c>
      <c r="G925" s="43" t="str">
        <f>IFERROR(VLOOKUP(B925,Baza[[№]:[Profit]],4,0),"")</f>
        <v/>
      </c>
      <c r="H925" s="43" t="str">
        <f>IFERROR(VLOOKUP(B925,Baza[[№]:[Profit]],5,0),"")</f>
        <v/>
      </c>
      <c r="I925" s="46" t="str">
        <f>IFERROR(VLOOKUP(B925,Baza[[№]:[Profit]],6,0),"")</f>
        <v/>
      </c>
      <c r="J925" s="49" t="str">
        <f>IFERROR(VLOOKUP(B925,Baza[[№]:[Profit]],7,0),"")</f>
        <v/>
      </c>
      <c r="K925" s="43" t="str">
        <f>IFERROR(VLOOKUP(B925,Baza[[№]:[Profit]],8,0),"")</f>
        <v/>
      </c>
      <c r="L925" s="43" t="str">
        <f>IFERROR(VLOOKUP(B925,Baza[[№]:[Profit]],9,0),"")</f>
        <v/>
      </c>
      <c r="M925" s="43" t="str">
        <f>IFERROR(VLOOKUP(B925,Baza[[№]:[Profit]],10,0),"")</f>
        <v/>
      </c>
      <c r="N925" s="43" t="str">
        <f>IFERROR(IF(VLOOKUP(B925,Baza[[№]:[Profit]],11,0)=0,"-",VLOOKUP(B925,Baza[[№]:[Profit]],11,0)),"")</f>
        <v/>
      </c>
      <c r="O925" s="43" t="str">
        <f>IFERROR(IF(VLOOKUP(B925,Baza[[№]:[Profit]],12,0)=0,"-",VLOOKUP(B925,Baza[[№]:[Profit]],12,0)),"")</f>
        <v/>
      </c>
      <c r="P925" s="43" t="str">
        <f>IFERROR(IF(VLOOKUP(B925,Baza[[№]:[Profit]],13,0)=0,"-",VLOOKUP(B925,Baza[[№]:[Profit]],13,0)),"")</f>
        <v/>
      </c>
      <c r="Q925" s="43" t="str">
        <f>IFERROR(IF(VLOOKUP(B925,Baza[[№]:[Profit]],15,0)=0,"-",VLOOKUP(B925,Baza[[№]:[Profit]],15,0)),"")</f>
        <v/>
      </c>
      <c r="R925" s="43" t="str">
        <f>IFERROR(IF(VLOOKUP(B925,Baza[[№]:[Profit]],16,0)=0,"-",VLOOKUP(B925,Baza[[№]:[Profit]],16,0)),"")</f>
        <v/>
      </c>
      <c r="S925" s="43" t="str">
        <f>IFERROR(IF(VLOOKUP(B925,Baza[[№]:[Profit]],17,0)=0,"-",VLOOKUP(B925,Baza[[№]:[Profit]],17,0)),"")</f>
        <v/>
      </c>
      <c r="T925" s="43" t="str">
        <f>IFERROR(IF(VLOOKUP(B925,Baza[[№]:[Profit]],18,0)=0,"-",VLOOKUP(B925,Baza[[№]:[Profit]],18,0)),"")</f>
        <v/>
      </c>
      <c r="U925" s="41" t="str">
        <f>IFERROR(IF(VLOOKUP(B925,Baza[[№]:[Profit]],19,0)=0,"-",VLOOKUP(B925,Baza[[№]:[Profit]],19,0)),"")</f>
        <v/>
      </c>
      <c r="V925" s="41" t="str">
        <f>IFERROR(VLOOKUP(B925,Baza[[№]:[Profit]],20,0),"")</f>
        <v/>
      </c>
      <c r="W925" s="41" t="str">
        <f>IFERROR(IF(VLOOKUP(B925,Baza[[№]:[Profit]],21,0)=0,"-",VLOOKUP(B925,Baza[[№]:[Profit]],21,0)),"")</f>
        <v/>
      </c>
      <c r="X925" s="45" t="str">
        <f>IFERROR(IF(VLOOKUP(B925,Baza[[№]:[Profit]],22,0)=0,"-",VLOOKUP(B925,Baza[[№]:[Profit]],22,0)),"")</f>
        <v/>
      </c>
      <c r="Y925" s="45" t="str">
        <f>IFERROR(VLOOKUP(B925,Baza[[№]:[Profit]],23,0),"")</f>
        <v/>
      </c>
      <c r="Z925" s="44" t="str">
        <f>IFERROR(VLOOKUP(B925,Baza[[№]:[AFS]],24,0),"")</f>
        <v/>
      </c>
      <c r="AA925" s="45" t="str">
        <f>IF(Таблица2[[#This Row],[Profit]]="","#Н/Д",SUM($Y$40:Y925))</f>
        <v>#Н/Д</v>
      </c>
      <c r="AB925" s="45" t="b">
        <f>IF(Таблица2[[#This Row],[Grafik]]="#Н/Д",FALSE,TRUE)</f>
        <v>0</v>
      </c>
    </row>
    <row r="926" spans="3:28" ht="11.1" hidden="1" customHeight="1" x14ac:dyDescent="0.25">
      <c r="C926" s="41" t="str">
        <f>IFERROR(VLOOKUP(B926,Baza[[№]:[Profit]],2,0),"")</f>
        <v/>
      </c>
      <c r="D92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2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26" s="43" t="str">
        <f>IFERROR(VLOOKUP(B926,Baza[[№]:[Profit]],3,0),"")</f>
        <v/>
      </c>
      <c r="G926" s="43" t="str">
        <f>IFERROR(VLOOKUP(B926,Baza[[№]:[Profit]],4,0),"")</f>
        <v/>
      </c>
      <c r="H926" s="43" t="str">
        <f>IFERROR(VLOOKUP(B926,Baza[[№]:[Profit]],5,0),"")</f>
        <v/>
      </c>
      <c r="I926" s="46" t="str">
        <f>IFERROR(VLOOKUP(B926,Baza[[№]:[Profit]],6,0),"")</f>
        <v/>
      </c>
      <c r="J926" s="49" t="str">
        <f>IFERROR(VLOOKUP(B926,Baza[[№]:[Profit]],7,0),"")</f>
        <v/>
      </c>
      <c r="K926" s="43" t="str">
        <f>IFERROR(VLOOKUP(B926,Baza[[№]:[Profit]],8,0),"")</f>
        <v/>
      </c>
      <c r="L926" s="43" t="str">
        <f>IFERROR(VLOOKUP(B926,Baza[[№]:[Profit]],9,0),"")</f>
        <v/>
      </c>
      <c r="M926" s="43" t="str">
        <f>IFERROR(VLOOKUP(B926,Baza[[№]:[Profit]],10,0),"")</f>
        <v/>
      </c>
      <c r="N926" s="43" t="str">
        <f>IFERROR(IF(VLOOKUP(B926,Baza[[№]:[Profit]],11,0)=0,"-",VLOOKUP(B926,Baza[[№]:[Profit]],11,0)),"")</f>
        <v/>
      </c>
      <c r="O926" s="43" t="str">
        <f>IFERROR(IF(VLOOKUP(B926,Baza[[№]:[Profit]],12,0)=0,"-",VLOOKUP(B926,Baza[[№]:[Profit]],12,0)),"")</f>
        <v/>
      </c>
      <c r="P926" s="43" t="str">
        <f>IFERROR(IF(VLOOKUP(B926,Baza[[№]:[Profit]],13,0)=0,"-",VLOOKUP(B926,Baza[[№]:[Profit]],13,0)),"")</f>
        <v/>
      </c>
      <c r="Q926" s="43" t="str">
        <f>IFERROR(IF(VLOOKUP(B926,Baza[[№]:[Profit]],15,0)=0,"-",VLOOKUP(B926,Baza[[№]:[Profit]],15,0)),"")</f>
        <v/>
      </c>
      <c r="R926" s="43" t="str">
        <f>IFERROR(IF(VLOOKUP(B926,Baza[[№]:[Profit]],16,0)=0,"-",VLOOKUP(B926,Baza[[№]:[Profit]],16,0)),"")</f>
        <v/>
      </c>
      <c r="S926" s="43" t="str">
        <f>IFERROR(IF(VLOOKUP(B926,Baza[[№]:[Profit]],17,0)=0,"-",VLOOKUP(B926,Baza[[№]:[Profit]],17,0)),"")</f>
        <v/>
      </c>
      <c r="T926" s="43" t="str">
        <f>IFERROR(IF(VLOOKUP(B926,Baza[[№]:[Profit]],18,0)=0,"-",VLOOKUP(B926,Baza[[№]:[Profit]],18,0)),"")</f>
        <v/>
      </c>
      <c r="U926" s="41" t="str">
        <f>IFERROR(IF(VLOOKUP(B926,Baza[[№]:[Profit]],19,0)=0,"-",VLOOKUP(B926,Baza[[№]:[Profit]],19,0)),"")</f>
        <v/>
      </c>
      <c r="V926" s="41" t="str">
        <f>IFERROR(VLOOKUP(B926,Baza[[№]:[Profit]],20,0),"")</f>
        <v/>
      </c>
      <c r="W926" s="41" t="str">
        <f>IFERROR(IF(VLOOKUP(B926,Baza[[№]:[Profit]],21,0)=0,"-",VLOOKUP(B926,Baza[[№]:[Profit]],21,0)),"")</f>
        <v/>
      </c>
      <c r="X926" s="45" t="str">
        <f>IFERROR(IF(VLOOKUP(B926,Baza[[№]:[Profit]],22,0)=0,"-",VLOOKUP(B926,Baza[[№]:[Profit]],22,0)),"")</f>
        <v/>
      </c>
      <c r="Y926" s="45" t="str">
        <f>IFERROR(VLOOKUP(B926,Baza[[№]:[Profit]],23,0),"")</f>
        <v/>
      </c>
      <c r="Z926" s="44" t="str">
        <f>IFERROR(VLOOKUP(B926,Baza[[№]:[AFS]],24,0),"")</f>
        <v/>
      </c>
      <c r="AA926" s="45" t="str">
        <f>IF(Таблица2[[#This Row],[Profit]]="","#Н/Д",SUM($Y$40:Y926))</f>
        <v>#Н/Д</v>
      </c>
      <c r="AB926" s="45" t="b">
        <f>IF(Таблица2[[#This Row],[Grafik]]="#Н/Д",FALSE,TRUE)</f>
        <v>0</v>
      </c>
    </row>
    <row r="927" spans="3:28" ht="11.1" hidden="1" customHeight="1" x14ac:dyDescent="0.25">
      <c r="C927" s="41" t="str">
        <f>IFERROR(VLOOKUP(B927,Baza[[№]:[Profit]],2,0),"")</f>
        <v/>
      </c>
      <c r="D92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2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27" s="43" t="str">
        <f>IFERROR(VLOOKUP(B927,Baza[[№]:[Profit]],3,0),"")</f>
        <v/>
      </c>
      <c r="G927" s="43" t="str">
        <f>IFERROR(VLOOKUP(B927,Baza[[№]:[Profit]],4,0),"")</f>
        <v/>
      </c>
      <c r="H927" s="43" t="str">
        <f>IFERROR(VLOOKUP(B927,Baza[[№]:[Profit]],5,0),"")</f>
        <v/>
      </c>
      <c r="I927" s="46" t="str">
        <f>IFERROR(VLOOKUP(B927,Baza[[№]:[Profit]],6,0),"")</f>
        <v/>
      </c>
      <c r="J927" s="49" t="str">
        <f>IFERROR(VLOOKUP(B927,Baza[[№]:[Profit]],7,0),"")</f>
        <v/>
      </c>
      <c r="K927" s="43" t="str">
        <f>IFERROR(VLOOKUP(B927,Baza[[№]:[Profit]],8,0),"")</f>
        <v/>
      </c>
      <c r="L927" s="43" t="str">
        <f>IFERROR(VLOOKUP(B927,Baza[[№]:[Profit]],9,0),"")</f>
        <v/>
      </c>
      <c r="M927" s="43" t="str">
        <f>IFERROR(VLOOKUP(B927,Baza[[№]:[Profit]],10,0),"")</f>
        <v/>
      </c>
      <c r="N927" s="43" t="str">
        <f>IFERROR(IF(VLOOKUP(B927,Baza[[№]:[Profit]],11,0)=0,"-",VLOOKUP(B927,Baza[[№]:[Profit]],11,0)),"")</f>
        <v/>
      </c>
      <c r="O927" s="43" t="str">
        <f>IFERROR(IF(VLOOKUP(B927,Baza[[№]:[Profit]],12,0)=0,"-",VLOOKUP(B927,Baza[[№]:[Profit]],12,0)),"")</f>
        <v/>
      </c>
      <c r="P927" s="43" t="str">
        <f>IFERROR(IF(VLOOKUP(B927,Baza[[№]:[Profit]],13,0)=0,"-",VLOOKUP(B927,Baza[[№]:[Profit]],13,0)),"")</f>
        <v/>
      </c>
      <c r="Q927" s="43" t="str">
        <f>IFERROR(IF(VLOOKUP(B927,Baza[[№]:[Profit]],15,0)=0,"-",VLOOKUP(B927,Baza[[№]:[Profit]],15,0)),"")</f>
        <v/>
      </c>
      <c r="R927" s="43" t="str">
        <f>IFERROR(IF(VLOOKUP(B927,Baza[[№]:[Profit]],16,0)=0,"-",VLOOKUP(B927,Baza[[№]:[Profit]],16,0)),"")</f>
        <v/>
      </c>
      <c r="S927" s="43" t="str">
        <f>IFERROR(IF(VLOOKUP(B927,Baza[[№]:[Profit]],17,0)=0,"-",VLOOKUP(B927,Baza[[№]:[Profit]],17,0)),"")</f>
        <v/>
      </c>
      <c r="T927" s="43" t="str">
        <f>IFERROR(IF(VLOOKUP(B927,Baza[[№]:[Profit]],18,0)=0,"-",VLOOKUP(B927,Baza[[№]:[Profit]],18,0)),"")</f>
        <v/>
      </c>
      <c r="U927" s="41" t="str">
        <f>IFERROR(IF(VLOOKUP(B927,Baza[[№]:[Profit]],19,0)=0,"-",VLOOKUP(B927,Baza[[№]:[Profit]],19,0)),"")</f>
        <v/>
      </c>
      <c r="V927" s="41" t="str">
        <f>IFERROR(VLOOKUP(B927,Baza[[№]:[Profit]],20,0),"")</f>
        <v/>
      </c>
      <c r="W927" s="41" t="str">
        <f>IFERROR(IF(VLOOKUP(B927,Baza[[№]:[Profit]],21,0)=0,"-",VLOOKUP(B927,Baza[[№]:[Profit]],21,0)),"")</f>
        <v/>
      </c>
      <c r="X927" s="45" t="str">
        <f>IFERROR(IF(VLOOKUP(B927,Baza[[№]:[Profit]],22,0)=0,"-",VLOOKUP(B927,Baza[[№]:[Profit]],22,0)),"")</f>
        <v/>
      </c>
      <c r="Y927" s="45" t="str">
        <f>IFERROR(VLOOKUP(B927,Baza[[№]:[Profit]],23,0),"")</f>
        <v/>
      </c>
      <c r="Z927" s="44" t="str">
        <f>IFERROR(VLOOKUP(B927,Baza[[№]:[AFS]],24,0),"")</f>
        <v/>
      </c>
      <c r="AA927" s="45" t="str">
        <f>IF(Таблица2[[#This Row],[Profit]]="","#Н/Д",SUM($Y$40:Y927))</f>
        <v>#Н/Д</v>
      </c>
      <c r="AB927" s="45" t="b">
        <f>IF(Таблица2[[#This Row],[Grafik]]="#Н/Д",FALSE,TRUE)</f>
        <v>0</v>
      </c>
    </row>
    <row r="928" spans="3:28" ht="11.1" hidden="1" customHeight="1" x14ac:dyDescent="0.25">
      <c r="C928" s="41" t="str">
        <f>IFERROR(VLOOKUP(B928,Baza[[№]:[Profit]],2,0),"")</f>
        <v/>
      </c>
      <c r="D92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2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28" s="43" t="str">
        <f>IFERROR(VLOOKUP(B928,Baza[[№]:[Profit]],3,0),"")</f>
        <v/>
      </c>
      <c r="G928" s="43" t="str">
        <f>IFERROR(VLOOKUP(B928,Baza[[№]:[Profit]],4,0),"")</f>
        <v/>
      </c>
      <c r="H928" s="43" t="str">
        <f>IFERROR(VLOOKUP(B928,Baza[[№]:[Profit]],5,0),"")</f>
        <v/>
      </c>
      <c r="I928" s="46" t="str">
        <f>IFERROR(VLOOKUP(B928,Baza[[№]:[Profit]],6,0),"")</f>
        <v/>
      </c>
      <c r="J928" s="49" t="str">
        <f>IFERROR(VLOOKUP(B928,Baza[[№]:[Profit]],7,0),"")</f>
        <v/>
      </c>
      <c r="K928" s="43" t="str">
        <f>IFERROR(VLOOKUP(B928,Baza[[№]:[Profit]],8,0),"")</f>
        <v/>
      </c>
      <c r="L928" s="43" t="str">
        <f>IFERROR(VLOOKUP(B928,Baza[[№]:[Profit]],9,0),"")</f>
        <v/>
      </c>
      <c r="M928" s="43" t="str">
        <f>IFERROR(VLOOKUP(B928,Baza[[№]:[Profit]],10,0),"")</f>
        <v/>
      </c>
      <c r="N928" s="43" t="str">
        <f>IFERROR(IF(VLOOKUP(B928,Baza[[№]:[Profit]],11,0)=0,"-",VLOOKUP(B928,Baza[[№]:[Profit]],11,0)),"")</f>
        <v/>
      </c>
      <c r="O928" s="43" t="str">
        <f>IFERROR(IF(VLOOKUP(B928,Baza[[№]:[Profit]],12,0)=0,"-",VLOOKUP(B928,Baza[[№]:[Profit]],12,0)),"")</f>
        <v/>
      </c>
      <c r="P928" s="43" t="str">
        <f>IFERROR(IF(VLOOKUP(B928,Baza[[№]:[Profit]],13,0)=0,"-",VLOOKUP(B928,Baza[[№]:[Profit]],13,0)),"")</f>
        <v/>
      </c>
      <c r="Q928" s="43" t="str">
        <f>IFERROR(IF(VLOOKUP(B928,Baza[[№]:[Profit]],15,0)=0,"-",VLOOKUP(B928,Baza[[№]:[Profit]],15,0)),"")</f>
        <v/>
      </c>
      <c r="R928" s="43" t="str">
        <f>IFERROR(IF(VLOOKUP(B928,Baza[[№]:[Profit]],16,0)=0,"-",VLOOKUP(B928,Baza[[№]:[Profit]],16,0)),"")</f>
        <v/>
      </c>
      <c r="S928" s="43" t="str">
        <f>IFERROR(IF(VLOOKUP(B928,Baza[[№]:[Profit]],17,0)=0,"-",VLOOKUP(B928,Baza[[№]:[Profit]],17,0)),"")</f>
        <v/>
      </c>
      <c r="T928" s="43" t="str">
        <f>IFERROR(IF(VLOOKUP(B928,Baza[[№]:[Profit]],18,0)=0,"-",VLOOKUP(B928,Baza[[№]:[Profit]],18,0)),"")</f>
        <v/>
      </c>
      <c r="U928" s="41" t="str">
        <f>IFERROR(IF(VLOOKUP(B928,Baza[[№]:[Profit]],19,0)=0,"-",VLOOKUP(B928,Baza[[№]:[Profit]],19,0)),"")</f>
        <v/>
      </c>
      <c r="V928" s="41" t="str">
        <f>IFERROR(VLOOKUP(B928,Baza[[№]:[Profit]],20,0),"")</f>
        <v/>
      </c>
      <c r="W928" s="41" t="str">
        <f>IFERROR(IF(VLOOKUP(B928,Baza[[№]:[Profit]],21,0)=0,"-",VLOOKUP(B928,Baza[[№]:[Profit]],21,0)),"")</f>
        <v/>
      </c>
      <c r="X928" s="45" t="str">
        <f>IFERROR(IF(VLOOKUP(B928,Baza[[№]:[Profit]],22,0)=0,"-",VLOOKUP(B928,Baza[[№]:[Profit]],22,0)),"")</f>
        <v/>
      </c>
      <c r="Y928" s="45" t="str">
        <f>IFERROR(VLOOKUP(B928,Baza[[№]:[Profit]],23,0),"")</f>
        <v/>
      </c>
      <c r="Z928" s="44" t="str">
        <f>IFERROR(VLOOKUP(B928,Baza[[№]:[AFS]],24,0),"")</f>
        <v/>
      </c>
      <c r="AA928" s="45" t="str">
        <f>IF(Таблица2[[#This Row],[Profit]]="","#Н/Д",SUM($Y$40:Y928))</f>
        <v>#Н/Д</v>
      </c>
      <c r="AB928" s="45" t="b">
        <f>IF(Таблица2[[#This Row],[Grafik]]="#Н/Д",FALSE,TRUE)</f>
        <v>0</v>
      </c>
    </row>
    <row r="929" spans="3:28" ht="11.1" hidden="1" customHeight="1" x14ac:dyDescent="0.25">
      <c r="C929" s="41" t="str">
        <f>IFERROR(VLOOKUP(B929,Baza[[№]:[Profit]],2,0),"")</f>
        <v/>
      </c>
      <c r="D92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2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29" s="43" t="str">
        <f>IFERROR(VLOOKUP(B929,Baza[[№]:[Profit]],3,0),"")</f>
        <v/>
      </c>
      <c r="G929" s="43" t="str">
        <f>IFERROR(VLOOKUP(B929,Baza[[№]:[Profit]],4,0),"")</f>
        <v/>
      </c>
      <c r="H929" s="43" t="str">
        <f>IFERROR(VLOOKUP(B929,Baza[[№]:[Profit]],5,0),"")</f>
        <v/>
      </c>
      <c r="I929" s="46" t="str">
        <f>IFERROR(VLOOKUP(B929,Baza[[№]:[Profit]],6,0),"")</f>
        <v/>
      </c>
      <c r="J929" s="49" t="str">
        <f>IFERROR(VLOOKUP(B929,Baza[[№]:[Profit]],7,0),"")</f>
        <v/>
      </c>
      <c r="K929" s="43" t="str">
        <f>IFERROR(VLOOKUP(B929,Baza[[№]:[Profit]],8,0),"")</f>
        <v/>
      </c>
      <c r="L929" s="43" t="str">
        <f>IFERROR(VLOOKUP(B929,Baza[[№]:[Profit]],9,0),"")</f>
        <v/>
      </c>
      <c r="M929" s="43" t="str">
        <f>IFERROR(VLOOKUP(B929,Baza[[№]:[Profit]],10,0),"")</f>
        <v/>
      </c>
      <c r="N929" s="43" t="str">
        <f>IFERROR(IF(VLOOKUP(B929,Baza[[№]:[Profit]],11,0)=0,"-",VLOOKUP(B929,Baza[[№]:[Profit]],11,0)),"")</f>
        <v/>
      </c>
      <c r="O929" s="43" t="str">
        <f>IFERROR(IF(VLOOKUP(B929,Baza[[№]:[Profit]],12,0)=0,"-",VLOOKUP(B929,Baza[[№]:[Profit]],12,0)),"")</f>
        <v/>
      </c>
      <c r="P929" s="43" t="str">
        <f>IFERROR(IF(VLOOKUP(B929,Baza[[№]:[Profit]],13,0)=0,"-",VLOOKUP(B929,Baza[[№]:[Profit]],13,0)),"")</f>
        <v/>
      </c>
      <c r="Q929" s="43" t="str">
        <f>IFERROR(IF(VLOOKUP(B929,Baza[[№]:[Profit]],15,0)=0,"-",VLOOKUP(B929,Baza[[№]:[Profit]],15,0)),"")</f>
        <v/>
      </c>
      <c r="R929" s="43" t="str">
        <f>IFERROR(IF(VLOOKUP(B929,Baza[[№]:[Profit]],16,0)=0,"-",VLOOKUP(B929,Baza[[№]:[Profit]],16,0)),"")</f>
        <v/>
      </c>
      <c r="S929" s="43" t="str">
        <f>IFERROR(IF(VLOOKUP(B929,Baza[[№]:[Profit]],17,0)=0,"-",VLOOKUP(B929,Baza[[№]:[Profit]],17,0)),"")</f>
        <v/>
      </c>
      <c r="T929" s="43" t="str">
        <f>IFERROR(IF(VLOOKUP(B929,Baza[[№]:[Profit]],18,0)=0,"-",VLOOKUP(B929,Baza[[№]:[Profit]],18,0)),"")</f>
        <v/>
      </c>
      <c r="U929" s="41" t="str">
        <f>IFERROR(IF(VLOOKUP(B929,Baza[[№]:[Profit]],19,0)=0,"-",VLOOKUP(B929,Baza[[№]:[Profit]],19,0)),"")</f>
        <v/>
      </c>
      <c r="V929" s="41" t="str">
        <f>IFERROR(VLOOKUP(B929,Baza[[№]:[Profit]],20,0),"")</f>
        <v/>
      </c>
      <c r="W929" s="41" t="str">
        <f>IFERROR(IF(VLOOKUP(B929,Baza[[№]:[Profit]],21,0)=0,"-",VLOOKUP(B929,Baza[[№]:[Profit]],21,0)),"")</f>
        <v/>
      </c>
      <c r="X929" s="45" t="str">
        <f>IFERROR(IF(VLOOKUP(B929,Baza[[№]:[Profit]],22,0)=0,"-",VLOOKUP(B929,Baza[[№]:[Profit]],22,0)),"")</f>
        <v/>
      </c>
      <c r="Y929" s="45" t="str">
        <f>IFERROR(VLOOKUP(B929,Baza[[№]:[Profit]],23,0),"")</f>
        <v/>
      </c>
      <c r="Z929" s="44" t="str">
        <f>IFERROR(VLOOKUP(B929,Baza[[№]:[AFS]],24,0),"")</f>
        <v/>
      </c>
      <c r="AA929" s="45" t="str">
        <f>IF(Таблица2[[#This Row],[Profit]]="","#Н/Д",SUM($Y$40:Y929))</f>
        <v>#Н/Д</v>
      </c>
      <c r="AB929" s="45" t="b">
        <f>IF(Таблица2[[#This Row],[Grafik]]="#Н/Д",FALSE,TRUE)</f>
        <v>0</v>
      </c>
    </row>
    <row r="930" spans="3:28" ht="11.1" hidden="1" customHeight="1" x14ac:dyDescent="0.25">
      <c r="C930" s="41" t="str">
        <f>IFERROR(VLOOKUP(B930,Baza[[№]:[Profit]],2,0),"")</f>
        <v/>
      </c>
      <c r="D93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3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30" s="43" t="str">
        <f>IFERROR(VLOOKUP(B930,Baza[[№]:[Profit]],3,0),"")</f>
        <v/>
      </c>
      <c r="G930" s="43" t="str">
        <f>IFERROR(VLOOKUP(B930,Baza[[№]:[Profit]],4,0),"")</f>
        <v/>
      </c>
      <c r="H930" s="43" t="str">
        <f>IFERROR(VLOOKUP(B930,Baza[[№]:[Profit]],5,0),"")</f>
        <v/>
      </c>
      <c r="I930" s="46" t="str">
        <f>IFERROR(VLOOKUP(B930,Baza[[№]:[Profit]],6,0),"")</f>
        <v/>
      </c>
      <c r="J930" s="49" t="str">
        <f>IFERROR(VLOOKUP(B930,Baza[[№]:[Profit]],7,0),"")</f>
        <v/>
      </c>
      <c r="K930" s="43" t="str">
        <f>IFERROR(VLOOKUP(B930,Baza[[№]:[Profit]],8,0),"")</f>
        <v/>
      </c>
      <c r="L930" s="43" t="str">
        <f>IFERROR(VLOOKUP(B930,Baza[[№]:[Profit]],9,0),"")</f>
        <v/>
      </c>
      <c r="M930" s="43" t="str">
        <f>IFERROR(VLOOKUP(B930,Baza[[№]:[Profit]],10,0),"")</f>
        <v/>
      </c>
      <c r="N930" s="43" t="str">
        <f>IFERROR(IF(VLOOKUP(B930,Baza[[№]:[Profit]],11,0)=0,"-",VLOOKUP(B930,Baza[[№]:[Profit]],11,0)),"")</f>
        <v/>
      </c>
      <c r="O930" s="43" t="str">
        <f>IFERROR(IF(VLOOKUP(B930,Baza[[№]:[Profit]],12,0)=0,"-",VLOOKUP(B930,Baza[[№]:[Profit]],12,0)),"")</f>
        <v/>
      </c>
      <c r="P930" s="43" t="str">
        <f>IFERROR(IF(VLOOKUP(B930,Baza[[№]:[Profit]],13,0)=0,"-",VLOOKUP(B930,Baza[[№]:[Profit]],13,0)),"")</f>
        <v/>
      </c>
      <c r="Q930" s="43" t="str">
        <f>IFERROR(IF(VLOOKUP(B930,Baza[[№]:[Profit]],15,0)=0,"-",VLOOKUP(B930,Baza[[№]:[Profit]],15,0)),"")</f>
        <v/>
      </c>
      <c r="R930" s="43" t="str">
        <f>IFERROR(IF(VLOOKUP(B930,Baza[[№]:[Profit]],16,0)=0,"-",VLOOKUP(B930,Baza[[№]:[Profit]],16,0)),"")</f>
        <v/>
      </c>
      <c r="S930" s="43" t="str">
        <f>IFERROR(IF(VLOOKUP(B930,Baza[[№]:[Profit]],17,0)=0,"-",VLOOKUP(B930,Baza[[№]:[Profit]],17,0)),"")</f>
        <v/>
      </c>
      <c r="T930" s="43" t="str">
        <f>IFERROR(IF(VLOOKUP(B930,Baza[[№]:[Profit]],18,0)=0,"-",VLOOKUP(B930,Baza[[№]:[Profit]],18,0)),"")</f>
        <v/>
      </c>
      <c r="U930" s="41" t="str">
        <f>IFERROR(IF(VLOOKUP(B930,Baza[[№]:[Profit]],19,0)=0,"-",VLOOKUP(B930,Baza[[№]:[Profit]],19,0)),"")</f>
        <v/>
      </c>
      <c r="V930" s="41" t="str">
        <f>IFERROR(VLOOKUP(B930,Baza[[№]:[Profit]],20,0),"")</f>
        <v/>
      </c>
      <c r="W930" s="41" t="str">
        <f>IFERROR(IF(VLOOKUP(B930,Baza[[№]:[Profit]],21,0)=0,"-",VLOOKUP(B930,Baza[[№]:[Profit]],21,0)),"")</f>
        <v/>
      </c>
      <c r="X930" s="45" t="str">
        <f>IFERROR(IF(VLOOKUP(B930,Baza[[№]:[Profit]],22,0)=0,"-",VLOOKUP(B930,Baza[[№]:[Profit]],22,0)),"")</f>
        <v/>
      </c>
      <c r="Y930" s="45" t="str">
        <f>IFERROR(VLOOKUP(B930,Baza[[№]:[Profit]],23,0),"")</f>
        <v/>
      </c>
      <c r="Z930" s="44" t="str">
        <f>IFERROR(VLOOKUP(B930,Baza[[№]:[AFS]],24,0),"")</f>
        <v/>
      </c>
      <c r="AA930" s="45" t="str">
        <f>IF(Таблица2[[#This Row],[Profit]]="","#Н/Д",SUM($Y$40:Y930))</f>
        <v>#Н/Д</v>
      </c>
      <c r="AB930" s="45" t="b">
        <f>IF(Таблица2[[#This Row],[Grafik]]="#Н/Д",FALSE,TRUE)</f>
        <v>0</v>
      </c>
    </row>
    <row r="931" spans="3:28" ht="11.1" hidden="1" customHeight="1" x14ac:dyDescent="0.25">
      <c r="C931" s="41" t="str">
        <f>IFERROR(VLOOKUP(B931,Baza[[№]:[Profit]],2,0),"")</f>
        <v/>
      </c>
      <c r="D93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3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31" s="43" t="str">
        <f>IFERROR(VLOOKUP(B931,Baza[[№]:[Profit]],3,0),"")</f>
        <v/>
      </c>
      <c r="G931" s="43" t="str">
        <f>IFERROR(VLOOKUP(B931,Baza[[№]:[Profit]],4,0),"")</f>
        <v/>
      </c>
      <c r="H931" s="43" t="str">
        <f>IFERROR(VLOOKUP(B931,Baza[[№]:[Profit]],5,0),"")</f>
        <v/>
      </c>
      <c r="I931" s="46" t="str">
        <f>IFERROR(VLOOKUP(B931,Baza[[№]:[Profit]],6,0),"")</f>
        <v/>
      </c>
      <c r="J931" s="49" t="str">
        <f>IFERROR(VLOOKUP(B931,Baza[[№]:[Profit]],7,0),"")</f>
        <v/>
      </c>
      <c r="K931" s="43" t="str">
        <f>IFERROR(VLOOKUP(B931,Baza[[№]:[Profit]],8,0),"")</f>
        <v/>
      </c>
      <c r="L931" s="43" t="str">
        <f>IFERROR(VLOOKUP(B931,Baza[[№]:[Profit]],9,0),"")</f>
        <v/>
      </c>
      <c r="M931" s="43" t="str">
        <f>IFERROR(VLOOKUP(B931,Baza[[№]:[Profit]],10,0),"")</f>
        <v/>
      </c>
      <c r="N931" s="43" t="str">
        <f>IFERROR(IF(VLOOKUP(B931,Baza[[№]:[Profit]],11,0)=0,"-",VLOOKUP(B931,Baza[[№]:[Profit]],11,0)),"")</f>
        <v/>
      </c>
      <c r="O931" s="43" t="str">
        <f>IFERROR(IF(VLOOKUP(B931,Baza[[№]:[Profit]],12,0)=0,"-",VLOOKUP(B931,Baza[[№]:[Profit]],12,0)),"")</f>
        <v/>
      </c>
      <c r="P931" s="43" t="str">
        <f>IFERROR(IF(VLOOKUP(B931,Baza[[№]:[Profit]],13,0)=0,"-",VLOOKUP(B931,Baza[[№]:[Profit]],13,0)),"")</f>
        <v/>
      </c>
      <c r="Q931" s="43" t="str">
        <f>IFERROR(IF(VLOOKUP(B931,Baza[[№]:[Profit]],15,0)=0,"-",VLOOKUP(B931,Baza[[№]:[Profit]],15,0)),"")</f>
        <v/>
      </c>
      <c r="R931" s="43" t="str">
        <f>IFERROR(IF(VLOOKUP(B931,Baza[[№]:[Profit]],16,0)=0,"-",VLOOKUP(B931,Baza[[№]:[Profit]],16,0)),"")</f>
        <v/>
      </c>
      <c r="S931" s="43" t="str">
        <f>IFERROR(IF(VLOOKUP(B931,Baza[[№]:[Profit]],17,0)=0,"-",VLOOKUP(B931,Baza[[№]:[Profit]],17,0)),"")</f>
        <v/>
      </c>
      <c r="T931" s="43" t="str">
        <f>IFERROR(IF(VLOOKUP(B931,Baza[[№]:[Profit]],18,0)=0,"-",VLOOKUP(B931,Baza[[№]:[Profit]],18,0)),"")</f>
        <v/>
      </c>
      <c r="U931" s="41" t="str">
        <f>IFERROR(IF(VLOOKUP(B931,Baza[[№]:[Profit]],19,0)=0,"-",VLOOKUP(B931,Baza[[№]:[Profit]],19,0)),"")</f>
        <v/>
      </c>
      <c r="V931" s="41" t="str">
        <f>IFERROR(VLOOKUP(B931,Baza[[№]:[Profit]],20,0),"")</f>
        <v/>
      </c>
      <c r="W931" s="41" t="str">
        <f>IFERROR(IF(VLOOKUP(B931,Baza[[№]:[Profit]],21,0)=0,"-",VLOOKUP(B931,Baza[[№]:[Profit]],21,0)),"")</f>
        <v/>
      </c>
      <c r="X931" s="45" t="str">
        <f>IFERROR(IF(VLOOKUP(B931,Baza[[№]:[Profit]],22,0)=0,"-",VLOOKUP(B931,Baza[[№]:[Profit]],22,0)),"")</f>
        <v/>
      </c>
      <c r="Y931" s="45" t="str">
        <f>IFERROR(VLOOKUP(B931,Baza[[№]:[Profit]],23,0),"")</f>
        <v/>
      </c>
      <c r="Z931" s="44" t="str">
        <f>IFERROR(VLOOKUP(B931,Baza[[№]:[AFS]],24,0),"")</f>
        <v/>
      </c>
      <c r="AA931" s="45" t="str">
        <f>IF(Таблица2[[#This Row],[Profit]]="","#Н/Д",SUM($Y$40:Y931))</f>
        <v>#Н/Д</v>
      </c>
      <c r="AB931" s="45" t="b">
        <f>IF(Таблица2[[#This Row],[Grafik]]="#Н/Д",FALSE,TRUE)</f>
        <v>0</v>
      </c>
    </row>
    <row r="932" spans="3:28" ht="11.1" hidden="1" customHeight="1" x14ac:dyDescent="0.25">
      <c r="C932" s="41" t="str">
        <f>IFERROR(VLOOKUP(B932,Baza[[№]:[Profit]],2,0),"")</f>
        <v/>
      </c>
      <c r="D93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3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32" s="43" t="str">
        <f>IFERROR(VLOOKUP(B932,Baza[[№]:[Profit]],3,0),"")</f>
        <v/>
      </c>
      <c r="G932" s="43" t="str">
        <f>IFERROR(VLOOKUP(B932,Baza[[№]:[Profit]],4,0),"")</f>
        <v/>
      </c>
      <c r="H932" s="43" t="str">
        <f>IFERROR(VLOOKUP(B932,Baza[[№]:[Profit]],5,0),"")</f>
        <v/>
      </c>
      <c r="I932" s="46" t="str">
        <f>IFERROR(VLOOKUP(B932,Baza[[№]:[Profit]],6,0),"")</f>
        <v/>
      </c>
      <c r="J932" s="49" t="str">
        <f>IFERROR(VLOOKUP(B932,Baza[[№]:[Profit]],7,0),"")</f>
        <v/>
      </c>
      <c r="K932" s="43" t="str">
        <f>IFERROR(VLOOKUP(B932,Baza[[№]:[Profit]],8,0),"")</f>
        <v/>
      </c>
      <c r="L932" s="43" t="str">
        <f>IFERROR(VLOOKUP(B932,Baza[[№]:[Profit]],9,0),"")</f>
        <v/>
      </c>
      <c r="M932" s="43" t="str">
        <f>IFERROR(VLOOKUP(B932,Baza[[№]:[Profit]],10,0),"")</f>
        <v/>
      </c>
      <c r="N932" s="43" t="str">
        <f>IFERROR(IF(VLOOKUP(B932,Baza[[№]:[Profit]],11,0)=0,"-",VLOOKUP(B932,Baza[[№]:[Profit]],11,0)),"")</f>
        <v/>
      </c>
      <c r="O932" s="43" t="str">
        <f>IFERROR(IF(VLOOKUP(B932,Baza[[№]:[Profit]],12,0)=0,"-",VLOOKUP(B932,Baza[[№]:[Profit]],12,0)),"")</f>
        <v/>
      </c>
      <c r="P932" s="43" t="str">
        <f>IFERROR(IF(VLOOKUP(B932,Baza[[№]:[Profit]],13,0)=0,"-",VLOOKUP(B932,Baza[[№]:[Profit]],13,0)),"")</f>
        <v/>
      </c>
      <c r="Q932" s="43" t="str">
        <f>IFERROR(IF(VLOOKUP(B932,Baza[[№]:[Profit]],15,0)=0,"-",VLOOKUP(B932,Baza[[№]:[Profit]],15,0)),"")</f>
        <v/>
      </c>
      <c r="R932" s="43" t="str">
        <f>IFERROR(IF(VLOOKUP(B932,Baza[[№]:[Profit]],16,0)=0,"-",VLOOKUP(B932,Baza[[№]:[Profit]],16,0)),"")</f>
        <v/>
      </c>
      <c r="S932" s="43" t="str">
        <f>IFERROR(IF(VLOOKUP(B932,Baza[[№]:[Profit]],17,0)=0,"-",VLOOKUP(B932,Baza[[№]:[Profit]],17,0)),"")</f>
        <v/>
      </c>
      <c r="T932" s="43" t="str">
        <f>IFERROR(IF(VLOOKUP(B932,Baza[[№]:[Profit]],18,0)=0,"-",VLOOKUP(B932,Baza[[№]:[Profit]],18,0)),"")</f>
        <v/>
      </c>
      <c r="U932" s="41" t="str">
        <f>IFERROR(IF(VLOOKUP(B932,Baza[[№]:[Profit]],19,0)=0,"-",VLOOKUP(B932,Baza[[№]:[Profit]],19,0)),"")</f>
        <v/>
      </c>
      <c r="V932" s="41" t="str">
        <f>IFERROR(VLOOKUP(B932,Baza[[№]:[Profit]],20,0),"")</f>
        <v/>
      </c>
      <c r="W932" s="41" t="str">
        <f>IFERROR(IF(VLOOKUP(B932,Baza[[№]:[Profit]],21,0)=0,"-",VLOOKUP(B932,Baza[[№]:[Profit]],21,0)),"")</f>
        <v/>
      </c>
      <c r="X932" s="45" t="str">
        <f>IFERROR(IF(VLOOKUP(B932,Baza[[№]:[Profit]],22,0)=0,"-",VLOOKUP(B932,Baza[[№]:[Profit]],22,0)),"")</f>
        <v/>
      </c>
      <c r="Y932" s="45" t="str">
        <f>IFERROR(VLOOKUP(B932,Baza[[№]:[Profit]],23,0),"")</f>
        <v/>
      </c>
      <c r="Z932" s="44" t="str">
        <f>IFERROR(VLOOKUP(B932,Baza[[№]:[AFS]],24,0),"")</f>
        <v/>
      </c>
      <c r="AA932" s="45" t="str">
        <f>IF(Таблица2[[#This Row],[Profit]]="","#Н/Д",SUM($Y$40:Y932))</f>
        <v>#Н/Д</v>
      </c>
      <c r="AB932" s="45" t="b">
        <f>IF(Таблица2[[#This Row],[Grafik]]="#Н/Д",FALSE,TRUE)</f>
        <v>0</v>
      </c>
    </row>
    <row r="933" spans="3:28" ht="11.1" hidden="1" customHeight="1" x14ac:dyDescent="0.25">
      <c r="C933" s="41" t="str">
        <f>IFERROR(VLOOKUP(B933,Baza[[№]:[Profit]],2,0),"")</f>
        <v/>
      </c>
      <c r="D93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3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33" s="43" t="str">
        <f>IFERROR(VLOOKUP(B933,Baza[[№]:[Profit]],3,0),"")</f>
        <v/>
      </c>
      <c r="G933" s="43" t="str">
        <f>IFERROR(VLOOKUP(B933,Baza[[№]:[Profit]],4,0),"")</f>
        <v/>
      </c>
      <c r="H933" s="43" t="str">
        <f>IFERROR(VLOOKUP(B933,Baza[[№]:[Profit]],5,0),"")</f>
        <v/>
      </c>
      <c r="I933" s="46" t="str">
        <f>IFERROR(VLOOKUP(B933,Baza[[№]:[Profit]],6,0),"")</f>
        <v/>
      </c>
      <c r="J933" s="49" t="str">
        <f>IFERROR(VLOOKUP(B933,Baza[[№]:[Profit]],7,0),"")</f>
        <v/>
      </c>
      <c r="K933" s="43" t="str">
        <f>IFERROR(VLOOKUP(B933,Baza[[№]:[Profit]],8,0),"")</f>
        <v/>
      </c>
      <c r="L933" s="43" t="str">
        <f>IFERROR(VLOOKUP(B933,Baza[[№]:[Profit]],9,0),"")</f>
        <v/>
      </c>
      <c r="M933" s="43" t="str">
        <f>IFERROR(VLOOKUP(B933,Baza[[№]:[Profit]],10,0),"")</f>
        <v/>
      </c>
      <c r="N933" s="43" t="str">
        <f>IFERROR(IF(VLOOKUP(B933,Baza[[№]:[Profit]],11,0)=0,"-",VLOOKUP(B933,Baza[[№]:[Profit]],11,0)),"")</f>
        <v/>
      </c>
      <c r="O933" s="43" t="str">
        <f>IFERROR(IF(VLOOKUP(B933,Baza[[№]:[Profit]],12,0)=0,"-",VLOOKUP(B933,Baza[[№]:[Profit]],12,0)),"")</f>
        <v/>
      </c>
      <c r="P933" s="43" t="str">
        <f>IFERROR(IF(VLOOKUP(B933,Baza[[№]:[Profit]],13,0)=0,"-",VLOOKUP(B933,Baza[[№]:[Profit]],13,0)),"")</f>
        <v/>
      </c>
      <c r="Q933" s="43" t="str">
        <f>IFERROR(IF(VLOOKUP(B933,Baza[[№]:[Profit]],15,0)=0,"-",VLOOKUP(B933,Baza[[№]:[Profit]],15,0)),"")</f>
        <v/>
      </c>
      <c r="R933" s="43" t="str">
        <f>IFERROR(IF(VLOOKUP(B933,Baza[[№]:[Profit]],16,0)=0,"-",VLOOKUP(B933,Baza[[№]:[Profit]],16,0)),"")</f>
        <v/>
      </c>
      <c r="S933" s="43" t="str">
        <f>IFERROR(IF(VLOOKUP(B933,Baza[[№]:[Profit]],17,0)=0,"-",VLOOKUP(B933,Baza[[№]:[Profit]],17,0)),"")</f>
        <v/>
      </c>
      <c r="T933" s="43" t="str">
        <f>IFERROR(IF(VLOOKUP(B933,Baza[[№]:[Profit]],18,0)=0,"-",VLOOKUP(B933,Baza[[№]:[Profit]],18,0)),"")</f>
        <v/>
      </c>
      <c r="U933" s="41" t="str">
        <f>IFERROR(IF(VLOOKUP(B933,Baza[[№]:[Profit]],19,0)=0,"-",VLOOKUP(B933,Baza[[№]:[Profit]],19,0)),"")</f>
        <v/>
      </c>
      <c r="V933" s="41" t="str">
        <f>IFERROR(VLOOKUP(B933,Baza[[№]:[Profit]],20,0),"")</f>
        <v/>
      </c>
      <c r="W933" s="41" t="str">
        <f>IFERROR(IF(VLOOKUP(B933,Baza[[№]:[Profit]],21,0)=0,"-",VLOOKUP(B933,Baza[[№]:[Profit]],21,0)),"")</f>
        <v/>
      </c>
      <c r="X933" s="45" t="str">
        <f>IFERROR(IF(VLOOKUP(B933,Baza[[№]:[Profit]],22,0)=0,"-",VLOOKUP(B933,Baza[[№]:[Profit]],22,0)),"")</f>
        <v/>
      </c>
      <c r="Y933" s="45" t="str">
        <f>IFERROR(VLOOKUP(B933,Baza[[№]:[Profit]],23,0),"")</f>
        <v/>
      </c>
      <c r="Z933" s="44" t="str">
        <f>IFERROR(VLOOKUP(B933,Baza[[№]:[AFS]],24,0),"")</f>
        <v/>
      </c>
      <c r="AA933" s="45" t="str">
        <f>IF(Таблица2[[#This Row],[Profit]]="","#Н/Д",SUM($Y$40:Y933))</f>
        <v>#Н/Д</v>
      </c>
      <c r="AB933" s="45" t="b">
        <f>IF(Таблица2[[#This Row],[Grafik]]="#Н/Д",FALSE,TRUE)</f>
        <v>0</v>
      </c>
    </row>
    <row r="934" spans="3:28" ht="11.1" hidden="1" customHeight="1" x14ac:dyDescent="0.25">
      <c r="C934" s="41" t="str">
        <f>IFERROR(VLOOKUP(B934,Baza[[№]:[Profit]],2,0),"")</f>
        <v/>
      </c>
      <c r="D93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3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34" s="43" t="str">
        <f>IFERROR(VLOOKUP(B934,Baza[[№]:[Profit]],3,0),"")</f>
        <v/>
      </c>
      <c r="G934" s="43" t="str">
        <f>IFERROR(VLOOKUP(B934,Baza[[№]:[Profit]],4,0),"")</f>
        <v/>
      </c>
      <c r="H934" s="43" t="str">
        <f>IFERROR(VLOOKUP(B934,Baza[[№]:[Profit]],5,0),"")</f>
        <v/>
      </c>
      <c r="I934" s="46" t="str">
        <f>IFERROR(VLOOKUP(B934,Baza[[№]:[Profit]],6,0),"")</f>
        <v/>
      </c>
      <c r="J934" s="49" t="str">
        <f>IFERROR(VLOOKUP(B934,Baza[[№]:[Profit]],7,0),"")</f>
        <v/>
      </c>
      <c r="K934" s="43" t="str">
        <f>IFERROR(VLOOKUP(B934,Baza[[№]:[Profit]],8,0),"")</f>
        <v/>
      </c>
      <c r="L934" s="43" t="str">
        <f>IFERROR(VLOOKUP(B934,Baza[[№]:[Profit]],9,0),"")</f>
        <v/>
      </c>
      <c r="M934" s="43" t="str">
        <f>IFERROR(VLOOKUP(B934,Baza[[№]:[Profit]],10,0),"")</f>
        <v/>
      </c>
      <c r="N934" s="43" t="str">
        <f>IFERROR(IF(VLOOKUP(B934,Baza[[№]:[Profit]],11,0)=0,"-",VLOOKUP(B934,Baza[[№]:[Profit]],11,0)),"")</f>
        <v/>
      </c>
      <c r="O934" s="43" t="str">
        <f>IFERROR(IF(VLOOKUP(B934,Baza[[№]:[Profit]],12,0)=0,"-",VLOOKUP(B934,Baza[[№]:[Profit]],12,0)),"")</f>
        <v/>
      </c>
      <c r="P934" s="43" t="str">
        <f>IFERROR(IF(VLOOKUP(B934,Baza[[№]:[Profit]],13,0)=0,"-",VLOOKUP(B934,Baza[[№]:[Profit]],13,0)),"")</f>
        <v/>
      </c>
      <c r="Q934" s="43" t="str">
        <f>IFERROR(IF(VLOOKUP(B934,Baza[[№]:[Profit]],15,0)=0,"-",VLOOKUP(B934,Baza[[№]:[Profit]],15,0)),"")</f>
        <v/>
      </c>
      <c r="R934" s="43" t="str">
        <f>IFERROR(IF(VLOOKUP(B934,Baza[[№]:[Profit]],16,0)=0,"-",VLOOKUP(B934,Baza[[№]:[Profit]],16,0)),"")</f>
        <v/>
      </c>
      <c r="S934" s="43" t="str">
        <f>IFERROR(IF(VLOOKUP(B934,Baza[[№]:[Profit]],17,0)=0,"-",VLOOKUP(B934,Baza[[№]:[Profit]],17,0)),"")</f>
        <v/>
      </c>
      <c r="T934" s="43" t="str">
        <f>IFERROR(IF(VLOOKUP(B934,Baza[[№]:[Profit]],18,0)=0,"-",VLOOKUP(B934,Baza[[№]:[Profit]],18,0)),"")</f>
        <v/>
      </c>
      <c r="U934" s="41" t="str">
        <f>IFERROR(IF(VLOOKUP(B934,Baza[[№]:[Profit]],19,0)=0,"-",VLOOKUP(B934,Baza[[№]:[Profit]],19,0)),"")</f>
        <v/>
      </c>
      <c r="V934" s="41" t="str">
        <f>IFERROR(VLOOKUP(B934,Baza[[№]:[Profit]],20,0),"")</f>
        <v/>
      </c>
      <c r="W934" s="41" t="str">
        <f>IFERROR(IF(VLOOKUP(B934,Baza[[№]:[Profit]],21,0)=0,"-",VLOOKUP(B934,Baza[[№]:[Profit]],21,0)),"")</f>
        <v/>
      </c>
      <c r="X934" s="45" t="str">
        <f>IFERROR(IF(VLOOKUP(B934,Baza[[№]:[Profit]],22,0)=0,"-",VLOOKUP(B934,Baza[[№]:[Profit]],22,0)),"")</f>
        <v/>
      </c>
      <c r="Y934" s="45" t="str">
        <f>IFERROR(VLOOKUP(B934,Baza[[№]:[Profit]],23,0),"")</f>
        <v/>
      </c>
      <c r="Z934" s="44" t="str">
        <f>IFERROR(VLOOKUP(B934,Baza[[№]:[AFS]],24,0),"")</f>
        <v/>
      </c>
      <c r="AA934" s="45" t="str">
        <f>IF(Таблица2[[#This Row],[Profit]]="","#Н/Д",SUM($Y$40:Y934))</f>
        <v>#Н/Д</v>
      </c>
      <c r="AB934" s="45" t="b">
        <f>IF(Таблица2[[#This Row],[Grafik]]="#Н/Д",FALSE,TRUE)</f>
        <v>0</v>
      </c>
    </row>
    <row r="935" spans="3:28" ht="11.1" hidden="1" customHeight="1" x14ac:dyDescent="0.25">
      <c r="C935" s="41" t="str">
        <f>IFERROR(VLOOKUP(B935,Baza[[№]:[Profit]],2,0),"")</f>
        <v/>
      </c>
      <c r="D93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3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35" s="43" t="str">
        <f>IFERROR(VLOOKUP(B935,Baza[[№]:[Profit]],3,0),"")</f>
        <v/>
      </c>
      <c r="G935" s="43" t="str">
        <f>IFERROR(VLOOKUP(B935,Baza[[№]:[Profit]],4,0),"")</f>
        <v/>
      </c>
      <c r="H935" s="43" t="str">
        <f>IFERROR(VLOOKUP(B935,Baza[[№]:[Profit]],5,0),"")</f>
        <v/>
      </c>
      <c r="I935" s="46" t="str">
        <f>IFERROR(VLOOKUP(B935,Baza[[№]:[Profit]],6,0),"")</f>
        <v/>
      </c>
      <c r="J935" s="49" t="str">
        <f>IFERROR(VLOOKUP(B935,Baza[[№]:[Profit]],7,0),"")</f>
        <v/>
      </c>
      <c r="K935" s="43" t="str">
        <f>IFERROR(VLOOKUP(B935,Baza[[№]:[Profit]],8,0),"")</f>
        <v/>
      </c>
      <c r="L935" s="43" t="str">
        <f>IFERROR(VLOOKUP(B935,Baza[[№]:[Profit]],9,0),"")</f>
        <v/>
      </c>
      <c r="M935" s="43" t="str">
        <f>IFERROR(VLOOKUP(B935,Baza[[№]:[Profit]],10,0),"")</f>
        <v/>
      </c>
      <c r="N935" s="43" t="str">
        <f>IFERROR(IF(VLOOKUP(B935,Baza[[№]:[Profit]],11,0)=0,"-",VLOOKUP(B935,Baza[[№]:[Profit]],11,0)),"")</f>
        <v/>
      </c>
      <c r="O935" s="43" t="str">
        <f>IFERROR(IF(VLOOKUP(B935,Baza[[№]:[Profit]],12,0)=0,"-",VLOOKUP(B935,Baza[[№]:[Profit]],12,0)),"")</f>
        <v/>
      </c>
      <c r="P935" s="43" t="str">
        <f>IFERROR(IF(VLOOKUP(B935,Baza[[№]:[Profit]],13,0)=0,"-",VLOOKUP(B935,Baza[[№]:[Profit]],13,0)),"")</f>
        <v/>
      </c>
      <c r="Q935" s="43" t="str">
        <f>IFERROR(IF(VLOOKUP(B935,Baza[[№]:[Profit]],15,0)=0,"-",VLOOKUP(B935,Baza[[№]:[Profit]],15,0)),"")</f>
        <v/>
      </c>
      <c r="R935" s="43" t="str">
        <f>IFERROR(IF(VLOOKUP(B935,Baza[[№]:[Profit]],16,0)=0,"-",VLOOKUP(B935,Baza[[№]:[Profit]],16,0)),"")</f>
        <v/>
      </c>
      <c r="S935" s="43" t="str">
        <f>IFERROR(IF(VLOOKUP(B935,Baza[[№]:[Profit]],17,0)=0,"-",VLOOKUP(B935,Baza[[№]:[Profit]],17,0)),"")</f>
        <v/>
      </c>
      <c r="T935" s="43" t="str">
        <f>IFERROR(IF(VLOOKUP(B935,Baza[[№]:[Profit]],18,0)=0,"-",VLOOKUP(B935,Baza[[№]:[Profit]],18,0)),"")</f>
        <v/>
      </c>
      <c r="U935" s="41" t="str">
        <f>IFERROR(IF(VLOOKUP(B935,Baza[[№]:[Profit]],19,0)=0,"-",VLOOKUP(B935,Baza[[№]:[Profit]],19,0)),"")</f>
        <v/>
      </c>
      <c r="V935" s="41" t="str">
        <f>IFERROR(VLOOKUP(B935,Baza[[№]:[Profit]],20,0),"")</f>
        <v/>
      </c>
      <c r="W935" s="41" t="str">
        <f>IFERROR(IF(VLOOKUP(B935,Baza[[№]:[Profit]],21,0)=0,"-",VLOOKUP(B935,Baza[[№]:[Profit]],21,0)),"")</f>
        <v/>
      </c>
      <c r="X935" s="45" t="str">
        <f>IFERROR(IF(VLOOKUP(B935,Baza[[№]:[Profit]],22,0)=0,"-",VLOOKUP(B935,Baza[[№]:[Profit]],22,0)),"")</f>
        <v/>
      </c>
      <c r="Y935" s="45" t="str">
        <f>IFERROR(VLOOKUP(B935,Baza[[№]:[Profit]],23,0),"")</f>
        <v/>
      </c>
      <c r="Z935" s="44" t="str">
        <f>IFERROR(VLOOKUP(B935,Baza[[№]:[AFS]],24,0),"")</f>
        <v/>
      </c>
      <c r="AA935" s="45" t="str">
        <f>IF(Таблица2[[#This Row],[Profit]]="","#Н/Д",SUM($Y$40:Y935))</f>
        <v>#Н/Д</v>
      </c>
      <c r="AB935" s="45" t="b">
        <f>IF(Таблица2[[#This Row],[Grafik]]="#Н/Д",FALSE,TRUE)</f>
        <v>0</v>
      </c>
    </row>
    <row r="936" spans="3:28" ht="11.1" hidden="1" customHeight="1" x14ac:dyDescent="0.25">
      <c r="C936" s="41" t="str">
        <f>IFERROR(VLOOKUP(B936,Baza[[№]:[Profit]],2,0),"")</f>
        <v/>
      </c>
      <c r="D93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3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36" s="43" t="str">
        <f>IFERROR(VLOOKUP(B936,Baza[[№]:[Profit]],3,0),"")</f>
        <v/>
      </c>
      <c r="G936" s="43" t="str">
        <f>IFERROR(VLOOKUP(B936,Baza[[№]:[Profit]],4,0),"")</f>
        <v/>
      </c>
      <c r="H936" s="43" t="str">
        <f>IFERROR(VLOOKUP(B936,Baza[[№]:[Profit]],5,0),"")</f>
        <v/>
      </c>
      <c r="I936" s="46" t="str">
        <f>IFERROR(VLOOKUP(B936,Baza[[№]:[Profit]],6,0),"")</f>
        <v/>
      </c>
      <c r="J936" s="49" t="str">
        <f>IFERROR(VLOOKUP(B936,Baza[[№]:[Profit]],7,0),"")</f>
        <v/>
      </c>
      <c r="K936" s="43" t="str">
        <f>IFERROR(VLOOKUP(B936,Baza[[№]:[Profit]],8,0),"")</f>
        <v/>
      </c>
      <c r="L936" s="43" t="str">
        <f>IFERROR(VLOOKUP(B936,Baza[[№]:[Profit]],9,0),"")</f>
        <v/>
      </c>
      <c r="M936" s="43" t="str">
        <f>IFERROR(VLOOKUP(B936,Baza[[№]:[Profit]],10,0),"")</f>
        <v/>
      </c>
      <c r="N936" s="43" t="str">
        <f>IFERROR(IF(VLOOKUP(B936,Baza[[№]:[Profit]],11,0)=0,"-",VLOOKUP(B936,Baza[[№]:[Profit]],11,0)),"")</f>
        <v/>
      </c>
      <c r="O936" s="43" t="str">
        <f>IFERROR(IF(VLOOKUP(B936,Baza[[№]:[Profit]],12,0)=0,"-",VLOOKUP(B936,Baza[[№]:[Profit]],12,0)),"")</f>
        <v/>
      </c>
      <c r="P936" s="43" t="str">
        <f>IFERROR(IF(VLOOKUP(B936,Baza[[№]:[Profit]],13,0)=0,"-",VLOOKUP(B936,Baza[[№]:[Profit]],13,0)),"")</f>
        <v/>
      </c>
      <c r="Q936" s="43" t="str">
        <f>IFERROR(IF(VLOOKUP(B936,Baza[[№]:[Profit]],15,0)=0,"-",VLOOKUP(B936,Baza[[№]:[Profit]],15,0)),"")</f>
        <v/>
      </c>
      <c r="R936" s="43" t="str">
        <f>IFERROR(IF(VLOOKUP(B936,Baza[[№]:[Profit]],16,0)=0,"-",VLOOKUP(B936,Baza[[№]:[Profit]],16,0)),"")</f>
        <v/>
      </c>
      <c r="S936" s="43" t="str">
        <f>IFERROR(IF(VLOOKUP(B936,Baza[[№]:[Profit]],17,0)=0,"-",VLOOKUP(B936,Baza[[№]:[Profit]],17,0)),"")</f>
        <v/>
      </c>
      <c r="T936" s="43" t="str">
        <f>IFERROR(IF(VLOOKUP(B936,Baza[[№]:[Profit]],18,0)=0,"-",VLOOKUP(B936,Baza[[№]:[Profit]],18,0)),"")</f>
        <v/>
      </c>
      <c r="U936" s="41" t="str">
        <f>IFERROR(IF(VLOOKUP(B936,Baza[[№]:[Profit]],19,0)=0,"-",VLOOKUP(B936,Baza[[№]:[Profit]],19,0)),"")</f>
        <v/>
      </c>
      <c r="V936" s="41" t="str">
        <f>IFERROR(VLOOKUP(B936,Baza[[№]:[Profit]],20,0),"")</f>
        <v/>
      </c>
      <c r="W936" s="41" t="str">
        <f>IFERROR(IF(VLOOKUP(B936,Baza[[№]:[Profit]],21,0)=0,"-",VLOOKUP(B936,Baza[[№]:[Profit]],21,0)),"")</f>
        <v/>
      </c>
      <c r="X936" s="45" t="str">
        <f>IFERROR(IF(VLOOKUP(B936,Baza[[№]:[Profit]],22,0)=0,"-",VLOOKUP(B936,Baza[[№]:[Profit]],22,0)),"")</f>
        <v/>
      </c>
      <c r="Y936" s="45" t="str">
        <f>IFERROR(VLOOKUP(B936,Baza[[№]:[Profit]],23,0),"")</f>
        <v/>
      </c>
      <c r="Z936" s="44" t="str">
        <f>IFERROR(VLOOKUP(B936,Baza[[№]:[AFS]],24,0),"")</f>
        <v/>
      </c>
      <c r="AA936" s="45" t="str">
        <f>IF(Таблица2[[#This Row],[Profit]]="","#Н/Д",SUM($Y$40:Y936))</f>
        <v>#Н/Д</v>
      </c>
      <c r="AB936" s="45" t="b">
        <f>IF(Таблица2[[#This Row],[Grafik]]="#Н/Д",FALSE,TRUE)</f>
        <v>0</v>
      </c>
    </row>
    <row r="937" spans="3:28" ht="11.1" hidden="1" customHeight="1" x14ac:dyDescent="0.25">
      <c r="C937" s="41" t="str">
        <f>IFERROR(VLOOKUP(B937,Baza[[№]:[Profit]],2,0),"")</f>
        <v/>
      </c>
      <c r="D93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3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37" s="43" t="str">
        <f>IFERROR(VLOOKUP(B937,Baza[[№]:[Profit]],3,0),"")</f>
        <v/>
      </c>
      <c r="G937" s="43" t="str">
        <f>IFERROR(VLOOKUP(B937,Baza[[№]:[Profit]],4,0),"")</f>
        <v/>
      </c>
      <c r="H937" s="43" t="str">
        <f>IFERROR(VLOOKUP(B937,Baza[[№]:[Profit]],5,0),"")</f>
        <v/>
      </c>
      <c r="I937" s="46" t="str">
        <f>IFERROR(VLOOKUP(B937,Baza[[№]:[Profit]],6,0),"")</f>
        <v/>
      </c>
      <c r="J937" s="49" t="str">
        <f>IFERROR(VLOOKUP(B937,Baza[[№]:[Profit]],7,0),"")</f>
        <v/>
      </c>
      <c r="K937" s="43" t="str">
        <f>IFERROR(VLOOKUP(B937,Baza[[№]:[Profit]],8,0),"")</f>
        <v/>
      </c>
      <c r="L937" s="43" t="str">
        <f>IFERROR(VLOOKUP(B937,Baza[[№]:[Profit]],9,0),"")</f>
        <v/>
      </c>
      <c r="M937" s="43" t="str">
        <f>IFERROR(VLOOKUP(B937,Baza[[№]:[Profit]],10,0),"")</f>
        <v/>
      </c>
      <c r="N937" s="43" t="str">
        <f>IFERROR(IF(VLOOKUP(B937,Baza[[№]:[Profit]],11,0)=0,"-",VLOOKUP(B937,Baza[[№]:[Profit]],11,0)),"")</f>
        <v/>
      </c>
      <c r="O937" s="43" t="str">
        <f>IFERROR(IF(VLOOKUP(B937,Baza[[№]:[Profit]],12,0)=0,"-",VLOOKUP(B937,Baza[[№]:[Profit]],12,0)),"")</f>
        <v/>
      </c>
      <c r="P937" s="43" t="str">
        <f>IFERROR(IF(VLOOKUP(B937,Baza[[№]:[Profit]],13,0)=0,"-",VLOOKUP(B937,Baza[[№]:[Profit]],13,0)),"")</f>
        <v/>
      </c>
      <c r="Q937" s="43" t="str">
        <f>IFERROR(IF(VLOOKUP(B937,Baza[[№]:[Profit]],15,0)=0,"-",VLOOKUP(B937,Baza[[№]:[Profit]],15,0)),"")</f>
        <v/>
      </c>
      <c r="R937" s="43" t="str">
        <f>IFERROR(IF(VLOOKUP(B937,Baza[[№]:[Profit]],16,0)=0,"-",VLOOKUP(B937,Baza[[№]:[Profit]],16,0)),"")</f>
        <v/>
      </c>
      <c r="S937" s="43" t="str">
        <f>IFERROR(IF(VLOOKUP(B937,Baza[[№]:[Profit]],17,0)=0,"-",VLOOKUP(B937,Baza[[№]:[Profit]],17,0)),"")</f>
        <v/>
      </c>
      <c r="T937" s="43" t="str">
        <f>IFERROR(IF(VLOOKUP(B937,Baza[[№]:[Profit]],18,0)=0,"-",VLOOKUP(B937,Baza[[№]:[Profit]],18,0)),"")</f>
        <v/>
      </c>
      <c r="U937" s="41" t="str">
        <f>IFERROR(IF(VLOOKUP(B937,Baza[[№]:[Profit]],19,0)=0,"-",VLOOKUP(B937,Baza[[№]:[Profit]],19,0)),"")</f>
        <v/>
      </c>
      <c r="V937" s="41" t="str">
        <f>IFERROR(VLOOKUP(B937,Baza[[№]:[Profit]],20,0),"")</f>
        <v/>
      </c>
      <c r="W937" s="41" t="str">
        <f>IFERROR(IF(VLOOKUP(B937,Baza[[№]:[Profit]],21,0)=0,"-",VLOOKUP(B937,Baza[[№]:[Profit]],21,0)),"")</f>
        <v/>
      </c>
      <c r="X937" s="45" t="str">
        <f>IFERROR(IF(VLOOKUP(B937,Baza[[№]:[Profit]],22,0)=0,"-",VLOOKUP(B937,Baza[[№]:[Profit]],22,0)),"")</f>
        <v/>
      </c>
      <c r="Y937" s="45" t="str">
        <f>IFERROR(VLOOKUP(B937,Baza[[№]:[Profit]],23,0),"")</f>
        <v/>
      </c>
      <c r="Z937" s="44" t="str">
        <f>IFERROR(VLOOKUP(B937,Baza[[№]:[AFS]],24,0),"")</f>
        <v/>
      </c>
      <c r="AA937" s="45" t="str">
        <f>IF(Таблица2[[#This Row],[Profit]]="","#Н/Д",SUM($Y$40:Y937))</f>
        <v>#Н/Д</v>
      </c>
      <c r="AB937" s="45" t="b">
        <f>IF(Таблица2[[#This Row],[Grafik]]="#Н/Д",FALSE,TRUE)</f>
        <v>0</v>
      </c>
    </row>
    <row r="938" spans="3:28" ht="11.1" hidden="1" customHeight="1" x14ac:dyDescent="0.25">
      <c r="C938" s="41" t="str">
        <f>IFERROR(VLOOKUP(B938,Baza[[№]:[Profit]],2,0),"")</f>
        <v/>
      </c>
      <c r="D93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3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38" s="43" t="str">
        <f>IFERROR(VLOOKUP(B938,Baza[[№]:[Profit]],3,0),"")</f>
        <v/>
      </c>
      <c r="G938" s="43" t="str">
        <f>IFERROR(VLOOKUP(B938,Baza[[№]:[Profit]],4,0),"")</f>
        <v/>
      </c>
      <c r="H938" s="43" t="str">
        <f>IFERROR(VLOOKUP(B938,Baza[[№]:[Profit]],5,0),"")</f>
        <v/>
      </c>
      <c r="I938" s="46" t="str">
        <f>IFERROR(VLOOKUP(B938,Baza[[№]:[Profit]],6,0),"")</f>
        <v/>
      </c>
      <c r="J938" s="49" t="str">
        <f>IFERROR(VLOOKUP(B938,Baza[[№]:[Profit]],7,0),"")</f>
        <v/>
      </c>
      <c r="K938" s="43" t="str">
        <f>IFERROR(VLOOKUP(B938,Baza[[№]:[Profit]],8,0),"")</f>
        <v/>
      </c>
      <c r="L938" s="43" t="str">
        <f>IFERROR(VLOOKUP(B938,Baza[[№]:[Profit]],9,0),"")</f>
        <v/>
      </c>
      <c r="M938" s="43" t="str">
        <f>IFERROR(VLOOKUP(B938,Baza[[№]:[Profit]],10,0),"")</f>
        <v/>
      </c>
      <c r="N938" s="43" t="str">
        <f>IFERROR(IF(VLOOKUP(B938,Baza[[№]:[Profit]],11,0)=0,"-",VLOOKUP(B938,Baza[[№]:[Profit]],11,0)),"")</f>
        <v/>
      </c>
      <c r="O938" s="43" t="str">
        <f>IFERROR(IF(VLOOKUP(B938,Baza[[№]:[Profit]],12,0)=0,"-",VLOOKUP(B938,Baza[[№]:[Profit]],12,0)),"")</f>
        <v/>
      </c>
      <c r="P938" s="43" t="str">
        <f>IFERROR(IF(VLOOKUP(B938,Baza[[№]:[Profit]],13,0)=0,"-",VLOOKUP(B938,Baza[[№]:[Profit]],13,0)),"")</f>
        <v/>
      </c>
      <c r="Q938" s="43" t="str">
        <f>IFERROR(IF(VLOOKUP(B938,Baza[[№]:[Profit]],15,0)=0,"-",VLOOKUP(B938,Baza[[№]:[Profit]],15,0)),"")</f>
        <v/>
      </c>
      <c r="R938" s="43" t="str">
        <f>IFERROR(IF(VLOOKUP(B938,Baza[[№]:[Profit]],16,0)=0,"-",VLOOKUP(B938,Baza[[№]:[Profit]],16,0)),"")</f>
        <v/>
      </c>
      <c r="S938" s="43" t="str">
        <f>IFERROR(IF(VLOOKUP(B938,Baza[[№]:[Profit]],17,0)=0,"-",VLOOKUP(B938,Baza[[№]:[Profit]],17,0)),"")</f>
        <v/>
      </c>
      <c r="T938" s="43" t="str">
        <f>IFERROR(IF(VLOOKUP(B938,Baza[[№]:[Profit]],18,0)=0,"-",VLOOKUP(B938,Baza[[№]:[Profit]],18,0)),"")</f>
        <v/>
      </c>
      <c r="U938" s="41" t="str">
        <f>IFERROR(IF(VLOOKUP(B938,Baza[[№]:[Profit]],19,0)=0,"-",VLOOKUP(B938,Baza[[№]:[Profit]],19,0)),"")</f>
        <v/>
      </c>
      <c r="V938" s="41" t="str">
        <f>IFERROR(VLOOKUP(B938,Baza[[№]:[Profit]],20,0),"")</f>
        <v/>
      </c>
      <c r="W938" s="41" t="str">
        <f>IFERROR(IF(VLOOKUP(B938,Baza[[№]:[Profit]],21,0)=0,"-",VLOOKUP(B938,Baza[[№]:[Profit]],21,0)),"")</f>
        <v/>
      </c>
      <c r="X938" s="45" t="str">
        <f>IFERROR(IF(VLOOKUP(B938,Baza[[№]:[Profit]],22,0)=0,"-",VLOOKUP(B938,Baza[[№]:[Profit]],22,0)),"")</f>
        <v/>
      </c>
      <c r="Y938" s="45" t="str">
        <f>IFERROR(VLOOKUP(B938,Baza[[№]:[Profit]],23,0),"")</f>
        <v/>
      </c>
      <c r="Z938" s="44" t="str">
        <f>IFERROR(VLOOKUP(B938,Baza[[№]:[AFS]],24,0),"")</f>
        <v/>
      </c>
      <c r="AA938" s="45" t="str">
        <f>IF(Таблица2[[#This Row],[Profit]]="","#Н/Д",SUM($Y$40:Y938))</f>
        <v>#Н/Д</v>
      </c>
      <c r="AB938" s="45" t="b">
        <f>IF(Таблица2[[#This Row],[Grafik]]="#Н/Д",FALSE,TRUE)</f>
        <v>0</v>
      </c>
    </row>
    <row r="939" spans="3:28" ht="11.1" hidden="1" customHeight="1" x14ac:dyDescent="0.25">
      <c r="C939" s="41" t="str">
        <f>IFERROR(VLOOKUP(B939,Baza[[№]:[Profit]],2,0),"")</f>
        <v/>
      </c>
      <c r="D93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3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39" s="43" t="str">
        <f>IFERROR(VLOOKUP(B939,Baza[[№]:[Profit]],3,0),"")</f>
        <v/>
      </c>
      <c r="G939" s="43" t="str">
        <f>IFERROR(VLOOKUP(B939,Baza[[№]:[Profit]],4,0),"")</f>
        <v/>
      </c>
      <c r="H939" s="43" t="str">
        <f>IFERROR(VLOOKUP(B939,Baza[[№]:[Profit]],5,0),"")</f>
        <v/>
      </c>
      <c r="I939" s="46" t="str">
        <f>IFERROR(VLOOKUP(B939,Baza[[№]:[Profit]],6,0),"")</f>
        <v/>
      </c>
      <c r="J939" s="49" t="str">
        <f>IFERROR(VLOOKUP(B939,Baza[[№]:[Profit]],7,0),"")</f>
        <v/>
      </c>
      <c r="K939" s="43" t="str">
        <f>IFERROR(VLOOKUP(B939,Baza[[№]:[Profit]],8,0),"")</f>
        <v/>
      </c>
      <c r="L939" s="43" t="str">
        <f>IFERROR(VLOOKUP(B939,Baza[[№]:[Profit]],9,0),"")</f>
        <v/>
      </c>
      <c r="M939" s="43" t="str">
        <f>IFERROR(VLOOKUP(B939,Baza[[№]:[Profit]],10,0),"")</f>
        <v/>
      </c>
      <c r="N939" s="43" t="str">
        <f>IFERROR(IF(VLOOKUP(B939,Baza[[№]:[Profit]],11,0)=0,"-",VLOOKUP(B939,Baza[[№]:[Profit]],11,0)),"")</f>
        <v/>
      </c>
      <c r="O939" s="43" t="str">
        <f>IFERROR(IF(VLOOKUP(B939,Baza[[№]:[Profit]],12,0)=0,"-",VLOOKUP(B939,Baza[[№]:[Profit]],12,0)),"")</f>
        <v/>
      </c>
      <c r="P939" s="43" t="str">
        <f>IFERROR(IF(VLOOKUP(B939,Baza[[№]:[Profit]],13,0)=0,"-",VLOOKUP(B939,Baza[[№]:[Profit]],13,0)),"")</f>
        <v/>
      </c>
      <c r="Q939" s="43" t="str">
        <f>IFERROR(IF(VLOOKUP(B939,Baza[[№]:[Profit]],15,0)=0,"-",VLOOKUP(B939,Baza[[№]:[Profit]],15,0)),"")</f>
        <v/>
      </c>
      <c r="R939" s="43" t="str">
        <f>IFERROR(IF(VLOOKUP(B939,Baza[[№]:[Profit]],16,0)=0,"-",VLOOKUP(B939,Baza[[№]:[Profit]],16,0)),"")</f>
        <v/>
      </c>
      <c r="S939" s="43" t="str">
        <f>IFERROR(IF(VLOOKUP(B939,Baza[[№]:[Profit]],17,0)=0,"-",VLOOKUP(B939,Baza[[№]:[Profit]],17,0)),"")</f>
        <v/>
      </c>
      <c r="T939" s="43" t="str">
        <f>IFERROR(IF(VLOOKUP(B939,Baza[[№]:[Profit]],18,0)=0,"-",VLOOKUP(B939,Baza[[№]:[Profit]],18,0)),"")</f>
        <v/>
      </c>
      <c r="U939" s="41" t="str">
        <f>IFERROR(IF(VLOOKUP(B939,Baza[[№]:[Profit]],19,0)=0,"-",VLOOKUP(B939,Baza[[№]:[Profit]],19,0)),"")</f>
        <v/>
      </c>
      <c r="V939" s="41" t="str">
        <f>IFERROR(VLOOKUP(B939,Baza[[№]:[Profit]],20,0),"")</f>
        <v/>
      </c>
      <c r="W939" s="41" t="str">
        <f>IFERROR(IF(VLOOKUP(B939,Baza[[№]:[Profit]],21,0)=0,"-",VLOOKUP(B939,Baza[[№]:[Profit]],21,0)),"")</f>
        <v/>
      </c>
      <c r="X939" s="45" t="str">
        <f>IFERROR(IF(VLOOKUP(B939,Baza[[№]:[Profit]],22,0)=0,"-",VLOOKUP(B939,Baza[[№]:[Profit]],22,0)),"")</f>
        <v/>
      </c>
      <c r="Y939" s="45" t="str">
        <f>IFERROR(VLOOKUP(B939,Baza[[№]:[Profit]],23,0),"")</f>
        <v/>
      </c>
      <c r="Z939" s="44" t="str">
        <f>IFERROR(VLOOKUP(B939,Baza[[№]:[AFS]],24,0),"")</f>
        <v/>
      </c>
      <c r="AA939" s="45" t="str">
        <f>IF(Таблица2[[#This Row],[Profit]]="","#Н/Д",SUM($Y$40:Y939))</f>
        <v>#Н/Д</v>
      </c>
      <c r="AB939" s="45" t="b">
        <f>IF(Таблица2[[#This Row],[Grafik]]="#Н/Д",FALSE,TRUE)</f>
        <v>0</v>
      </c>
    </row>
    <row r="940" spans="3:28" ht="11.1" hidden="1" customHeight="1" x14ac:dyDescent="0.25">
      <c r="C940" s="41" t="str">
        <f>IFERROR(VLOOKUP(B940,Baza[[№]:[Profit]],2,0),"")</f>
        <v/>
      </c>
      <c r="D94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4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40" s="43" t="str">
        <f>IFERROR(VLOOKUP(B940,Baza[[№]:[Profit]],3,0),"")</f>
        <v/>
      </c>
      <c r="G940" s="43" t="str">
        <f>IFERROR(VLOOKUP(B940,Baza[[№]:[Profit]],4,0),"")</f>
        <v/>
      </c>
      <c r="H940" s="43" t="str">
        <f>IFERROR(VLOOKUP(B940,Baza[[№]:[Profit]],5,0),"")</f>
        <v/>
      </c>
      <c r="I940" s="46" t="str">
        <f>IFERROR(VLOOKUP(B940,Baza[[№]:[Profit]],6,0),"")</f>
        <v/>
      </c>
      <c r="J940" s="49" t="str">
        <f>IFERROR(VLOOKUP(B940,Baza[[№]:[Profit]],7,0),"")</f>
        <v/>
      </c>
      <c r="K940" s="43" t="str">
        <f>IFERROR(VLOOKUP(B940,Baza[[№]:[Profit]],8,0),"")</f>
        <v/>
      </c>
      <c r="L940" s="43" t="str">
        <f>IFERROR(VLOOKUP(B940,Baza[[№]:[Profit]],9,0),"")</f>
        <v/>
      </c>
      <c r="M940" s="43" t="str">
        <f>IFERROR(VLOOKUP(B940,Baza[[№]:[Profit]],10,0),"")</f>
        <v/>
      </c>
      <c r="N940" s="43" t="str">
        <f>IFERROR(IF(VLOOKUP(B940,Baza[[№]:[Profit]],11,0)=0,"-",VLOOKUP(B940,Baza[[№]:[Profit]],11,0)),"")</f>
        <v/>
      </c>
      <c r="O940" s="43" t="str">
        <f>IFERROR(IF(VLOOKUP(B940,Baza[[№]:[Profit]],12,0)=0,"-",VLOOKUP(B940,Baza[[№]:[Profit]],12,0)),"")</f>
        <v/>
      </c>
      <c r="P940" s="43" t="str">
        <f>IFERROR(IF(VLOOKUP(B940,Baza[[№]:[Profit]],13,0)=0,"-",VLOOKUP(B940,Baza[[№]:[Profit]],13,0)),"")</f>
        <v/>
      </c>
      <c r="Q940" s="43" t="str">
        <f>IFERROR(IF(VLOOKUP(B940,Baza[[№]:[Profit]],15,0)=0,"-",VLOOKUP(B940,Baza[[№]:[Profit]],15,0)),"")</f>
        <v/>
      </c>
      <c r="R940" s="43" t="str">
        <f>IFERROR(IF(VLOOKUP(B940,Baza[[№]:[Profit]],16,0)=0,"-",VLOOKUP(B940,Baza[[№]:[Profit]],16,0)),"")</f>
        <v/>
      </c>
      <c r="S940" s="43" t="str">
        <f>IFERROR(IF(VLOOKUP(B940,Baza[[№]:[Profit]],17,0)=0,"-",VLOOKUP(B940,Baza[[№]:[Profit]],17,0)),"")</f>
        <v/>
      </c>
      <c r="T940" s="43" t="str">
        <f>IFERROR(IF(VLOOKUP(B940,Baza[[№]:[Profit]],18,0)=0,"-",VLOOKUP(B940,Baza[[№]:[Profit]],18,0)),"")</f>
        <v/>
      </c>
      <c r="U940" s="41" t="str">
        <f>IFERROR(IF(VLOOKUP(B940,Baza[[№]:[Profit]],19,0)=0,"-",VLOOKUP(B940,Baza[[№]:[Profit]],19,0)),"")</f>
        <v/>
      </c>
      <c r="V940" s="41" t="str">
        <f>IFERROR(VLOOKUP(B940,Baza[[№]:[Profit]],20,0),"")</f>
        <v/>
      </c>
      <c r="W940" s="41" t="str">
        <f>IFERROR(IF(VLOOKUP(B940,Baza[[№]:[Profit]],21,0)=0,"-",VLOOKUP(B940,Baza[[№]:[Profit]],21,0)),"")</f>
        <v/>
      </c>
      <c r="X940" s="45" t="str">
        <f>IFERROR(IF(VLOOKUP(B940,Baza[[№]:[Profit]],22,0)=0,"-",VLOOKUP(B940,Baza[[№]:[Profit]],22,0)),"")</f>
        <v/>
      </c>
      <c r="Y940" s="45" t="str">
        <f>IFERROR(VLOOKUP(B940,Baza[[№]:[Profit]],23,0),"")</f>
        <v/>
      </c>
      <c r="Z940" s="44" t="str">
        <f>IFERROR(VLOOKUP(B940,Baza[[№]:[AFS]],24,0),"")</f>
        <v/>
      </c>
      <c r="AA940" s="45" t="str">
        <f>IF(Таблица2[[#This Row],[Profit]]="","#Н/Д",SUM($Y$40:Y940))</f>
        <v>#Н/Д</v>
      </c>
      <c r="AB940" s="45" t="b">
        <f>IF(Таблица2[[#This Row],[Grafik]]="#Н/Д",FALSE,TRUE)</f>
        <v>0</v>
      </c>
    </row>
    <row r="941" spans="3:28" ht="11.1" hidden="1" customHeight="1" x14ac:dyDescent="0.25">
      <c r="C941" s="41" t="str">
        <f>IFERROR(VLOOKUP(B941,Baza[[№]:[Profit]],2,0),"")</f>
        <v/>
      </c>
      <c r="D94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4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41" s="43" t="str">
        <f>IFERROR(VLOOKUP(B941,Baza[[№]:[Profit]],3,0),"")</f>
        <v/>
      </c>
      <c r="G941" s="43" t="str">
        <f>IFERROR(VLOOKUP(B941,Baza[[№]:[Profit]],4,0),"")</f>
        <v/>
      </c>
      <c r="H941" s="43" t="str">
        <f>IFERROR(VLOOKUP(B941,Baza[[№]:[Profit]],5,0),"")</f>
        <v/>
      </c>
      <c r="I941" s="46" t="str">
        <f>IFERROR(VLOOKUP(B941,Baza[[№]:[Profit]],6,0),"")</f>
        <v/>
      </c>
      <c r="J941" s="49" t="str">
        <f>IFERROR(VLOOKUP(B941,Baza[[№]:[Profit]],7,0),"")</f>
        <v/>
      </c>
      <c r="K941" s="43" t="str">
        <f>IFERROR(VLOOKUP(B941,Baza[[№]:[Profit]],8,0),"")</f>
        <v/>
      </c>
      <c r="L941" s="43" t="str">
        <f>IFERROR(VLOOKUP(B941,Baza[[№]:[Profit]],9,0),"")</f>
        <v/>
      </c>
      <c r="M941" s="43" t="str">
        <f>IFERROR(VLOOKUP(B941,Baza[[№]:[Profit]],10,0),"")</f>
        <v/>
      </c>
      <c r="N941" s="43" t="str">
        <f>IFERROR(IF(VLOOKUP(B941,Baza[[№]:[Profit]],11,0)=0,"-",VLOOKUP(B941,Baza[[№]:[Profit]],11,0)),"")</f>
        <v/>
      </c>
      <c r="O941" s="43" t="str">
        <f>IFERROR(IF(VLOOKUP(B941,Baza[[№]:[Profit]],12,0)=0,"-",VLOOKUP(B941,Baza[[№]:[Profit]],12,0)),"")</f>
        <v/>
      </c>
      <c r="P941" s="43" t="str">
        <f>IFERROR(IF(VLOOKUP(B941,Baza[[№]:[Profit]],13,0)=0,"-",VLOOKUP(B941,Baza[[№]:[Profit]],13,0)),"")</f>
        <v/>
      </c>
      <c r="Q941" s="43" t="str">
        <f>IFERROR(IF(VLOOKUP(B941,Baza[[№]:[Profit]],15,0)=0,"-",VLOOKUP(B941,Baza[[№]:[Profit]],15,0)),"")</f>
        <v/>
      </c>
      <c r="R941" s="43" t="str">
        <f>IFERROR(IF(VLOOKUP(B941,Baza[[№]:[Profit]],16,0)=0,"-",VLOOKUP(B941,Baza[[№]:[Profit]],16,0)),"")</f>
        <v/>
      </c>
      <c r="S941" s="43" t="str">
        <f>IFERROR(IF(VLOOKUP(B941,Baza[[№]:[Profit]],17,0)=0,"-",VLOOKUP(B941,Baza[[№]:[Profit]],17,0)),"")</f>
        <v/>
      </c>
      <c r="T941" s="43" t="str">
        <f>IFERROR(IF(VLOOKUP(B941,Baza[[№]:[Profit]],18,0)=0,"-",VLOOKUP(B941,Baza[[№]:[Profit]],18,0)),"")</f>
        <v/>
      </c>
      <c r="U941" s="41" t="str">
        <f>IFERROR(IF(VLOOKUP(B941,Baza[[№]:[Profit]],19,0)=0,"-",VLOOKUP(B941,Baza[[№]:[Profit]],19,0)),"")</f>
        <v/>
      </c>
      <c r="V941" s="41" t="str">
        <f>IFERROR(VLOOKUP(B941,Baza[[№]:[Profit]],20,0),"")</f>
        <v/>
      </c>
      <c r="W941" s="41" t="str">
        <f>IFERROR(IF(VLOOKUP(B941,Baza[[№]:[Profit]],21,0)=0,"-",VLOOKUP(B941,Baza[[№]:[Profit]],21,0)),"")</f>
        <v/>
      </c>
      <c r="X941" s="45" t="str">
        <f>IFERROR(IF(VLOOKUP(B941,Baza[[№]:[Profit]],22,0)=0,"-",VLOOKUP(B941,Baza[[№]:[Profit]],22,0)),"")</f>
        <v/>
      </c>
      <c r="Y941" s="45" t="str">
        <f>IFERROR(VLOOKUP(B941,Baza[[№]:[Profit]],23,0),"")</f>
        <v/>
      </c>
      <c r="Z941" s="44" t="str">
        <f>IFERROR(VLOOKUP(B941,Baza[[№]:[AFS]],24,0),"")</f>
        <v/>
      </c>
      <c r="AA941" s="45" t="str">
        <f>IF(Таблица2[[#This Row],[Profit]]="","#Н/Д",SUM($Y$40:Y941))</f>
        <v>#Н/Д</v>
      </c>
      <c r="AB941" s="45" t="b">
        <f>IF(Таблица2[[#This Row],[Grafik]]="#Н/Д",FALSE,TRUE)</f>
        <v>0</v>
      </c>
    </row>
    <row r="942" spans="3:28" ht="11.1" hidden="1" customHeight="1" x14ac:dyDescent="0.25">
      <c r="C942" s="41" t="str">
        <f>IFERROR(VLOOKUP(B942,Baza[[№]:[Profit]],2,0),"")</f>
        <v/>
      </c>
      <c r="D94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4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42" s="43" t="str">
        <f>IFERROR(VLOOKUP(B942,Baza[[№]:[Profit]],3,0),"")</f>
        <v/>
      </c>
      <c r="G942" s="43" t="str">
        <f>IFERROR(VLOOKUP(B942,Baza[[№]:[Profit]],4,0),"")</f>
        <v/>
      </c>
      <c r="H942" s="43" t="str">
        <f>IFERROR(VLOOKUP(B942,Baza[[№]:[Profit]],5,0),"")</f>
        <v/>
      </c>
      <c r="I942" s="46" t="str">
        <f>IFERROR(VLOOKUP(B942,Baza[[№]:[Profit]],6,0),"")</f>
        <v/>
      </c>
      <c r="J942" s="49" t="str">
        <f>IFERROR(VLOOKUP(B942,Baza[[№]:[Profit]],7,0),"")</f>
        <v/>
      </c>
      <c r="K942" s="43" t="str">
        <f>IFERROR(VLOOKUP(B942,Baza[[№]:[Profit]],8,0),"")</f>
        <v/>
      </c>
      <c r="L942" s="43" t="str">
        <f>IFERROR(VLOOKUP(B942,Baza[[№]:[Profit]],9,0),"")</f>
        <v/>
      </c>
      <c r="M942" s="43" t="str">
        <f>IFERROR(VLOOKUP(B942,Baza[[№]:[Profit]],10,0),"")</f>
        <v/>
      </c>
      <c r="N942" s="43" t="str">
        <f>IFERROR(IF(VLOOKUP(B942,Baza[[№]:[Profit]],11,0)=0,"-",VLOOKUP(B942,Baza[[№]:[Profit]],11,0)),"")</f>
        <v/>
      </c>
      <c r="O942" s="43" t="str">
        <f>IFERROR(IF(VLOOKUP(B942,Baza[[№]:[Profit]],12,0)=0,"-",VLOOKUP(B942,Baza[[№]:[Profit]],12,0)),"")</f>
        <v/>
      </c>
      <c r="P942" s="43" t="str">
        <f>IFERROR(IF(VLOOKUP(B942,Baza[[№]:[Profit]],13,0)=0,"-",VLOOKUP(B942,Baza[[№]:[Profit]],13,0)),"")</f>
        <v/>
      </c>
      <c r="Q942" s="43" t="str">
        <f>IFERROR(IF(VLOOKUP(B942,Baza[[№]:[Profit]],15,0)=0,"-",VLOOKUP(B942,Baza[[№]:[Profit]],15,0)),"")</f>
        <v/>
      </c>
      <c r="R942" s="43" t="str">
        <f>IFERROR(IF(VLOOKUP(B942,Baza[[№]:[Profit]],16,0)=0,"-",VLOOKUP(B942,Baza[[№]:[Profit]],16,0)),"")</f>
        <v/>
      </c>
      <c r="S942" s="43" t="str">
        <f>IFERROR(IF(VLOOKUP(B942,Baza[[№]:[Profit]],17,0)=0,"-",VLOOKUP(B942,Baza[[№]:[Profit]],17,0)),"")</f>
        <v/>
      </c>
      <c r="T942" s="43" t="str">
        <f>IFERROR(IF(VLOOKUP(B942,Baza[[№]:[Profit]],18,0)=0,"-",VLOOKUP(B942,Baza[[№]:[Profit]],18,0)),"")</f>
        <v/>
      </c>
      <c r="U942" s="41" t="str">
        <f>IFERROR(IF(VLOOKUP(B942,Baza[[№]:[Profit]],19,0)=0,"-",VLOOKUP(B942,Baza[[№]:[Profit]],19,0)),"")</f>
        <v/>
      </c>
      <c r="V942" s="41" t="str">
        <f>IFERROR(VLOOKUP(B942,Baza[[№]:[Profit]],20,0),"")</f>
        <v/>
      </c>
      <c r="W942" s="41" t="str">
        <f>IFERROR(IF(VLOOKUP(B942,Baza[[№]:[Profit]],21,0)=0,"-",VLOOKUP(B942,Baza[[№]:[Profit]],21,0)),"")</f>
        <v/>
      </c>
      <c r="X942" s="45" t="str">
        <f>IFERROR(IF(VLOOKUP(B942,Baza[[№]:[Profit]],22,0)=0,"-",VLOOKUP(B942,Baza[[№]:[Profit]],22,0)),"")</f>
        <v/>
      </c>
      <c r="Y942" s="45" t="str">
        <f>IFERROR(VLOOKUP(B942,Baza[[№]:[Profit]],23,0),"")</f>
        <v/>
      </c>
      <c r="Z942" s="44" t="str">
        <f>IFERROR(VLOOKUP(B942,Baza[[№]:[AFS]],24,0),"")</f>
        <v/>
      </c>
      <c r="AA942" s="45" t="str">
        <f>IF(Таблица2[[#This Row],[Profit]]="","#Н/Д",SUM($Y$40:Y942))</f>
        <v>#Н/Д</v>
      </c>
      <c r="AB942" s="45" t="b">
        <f>IF(Таблица2[[#This Row],[Grafik]]="#Н/Д",FALSE,TRUE)</f>
        <v>0</v>
      </c>
    </row>
    <row r="943" spans="3:28" ht="11.1" hidden="1" customHeight="1" x14ac:dyDescent="0.25">
      <c r="C943" s="41" t="str">
        <f>IFERROR(VLOOKUP(B943,Baza[[№]:[Profit]],2,0),"")</f>
        <v/>
      </c>
      <c r="D94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4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43" s="43" t="str">
        <f>IFERROR(VLOOKUP(B943,Baza[[№]:[Profit]],3,0),"")</f>
        <v/>
      </c>
      <c r="G943" s="43" t="str">
        <f>IFERROR(VLOOKUP(B943,Baza[[№]:[Profit]],4,0),"")</f>
        <v/>
      </c>
      <c r="H943" s="43" t="str">
        <f>IFERROR(VLOOKUP(B943,Baza[[№]:[Profit]],5,0),"")</f>
        <v/>
      </c>
      <c r="I943" s="46" t="str">
        <f>IFERROR(VLOOKUP(B943,Baza[[№]:[Profit]],6,0),"")</f>
        <v/>
      </c>
      <c r="J943" s="49" t="str">
        <f>IFERROR(VLOOKUP(B943,Baza[[№]:[Profit]],7,0),"")</f>
        <v/>
      </c>
      <c r="K943" s="43" t="str">
        <f>IFERROR(VLOOKUP(B943,Baza[[№]:[Profit]],8,0),"")</f>
        <v/>
      </c>
      <c r="L943" s="43" t="str">
        <f>IFERROR(VLOOKUP(B943,Baza[[№]:[Profit]],9,0),"")</f>
        <v/>
      </c>
      <c r="M943" s="43" t="str">
        <f>IFERROR(VLOOKUP(B943,Baza[[№]:[Profit]],10,0),"")</f>
        <v/>
      </c>
      <c r="N943" s="43" t="str">
        <f>IFERROR(IF(VLOOKUP(B943,Baza[[№]:[Profit]],11,0)=0,"-",VLOOKUP(B943,Baza[[№]:[Profit]],11,0)),"")</f>
        <v/>
      </c>
      <c r="O943" s="43" t="str">
        <f>IFERROR(IF(VLOOKUP(B943,Baza[[№]:[Profit]],12,0)=0,"-",VLOOKUP(B943,Baza[[№]:[Profit]],12,0)),"")</f>
        <v/>
      </c>
      <c r="P943" s="43" t="str">
        <f>IFERROR(IF(VLOOKUP(B943,Baza[[№]:[Profit]],13,0)=0,"-",VLOOKUP(B943,Baza[[№]:[Profit]],13,0)),"")</f>
        <v/>
      </c>
      <c r="Q943" s="43" t="str">
        <f>IFERROR(IF(VLOOKUP(B943,Baza[[№]:[Profit]],15,0)=0,"-",VLOOKUP(B943,Baza[[№]:[Profit]],15,0)),"")</f>
        <v/>
      </c>
      <c r="R943" s="43" t="str">
        <f>IFERROR(IF(VLOOKUP(B943,Baza[[№]:[Profit]],16,0)=0,"-",VLOOKUP(B943,Baza[[№]:[Profit]],16,0)),"")</f>
        <v/>
      </c>
      <c r="S943" s="43" t="str">
        <f>IFERROR(IF(VLOOKUP(B943,Baza[[№]:[Profit]],17,0)=0,"-",VLOOKUP(B943,Baza[[№]:[Profit]],17,0)),"")</f>
        <v/>
      </c>
      <c r="T943" s="43" t="str">
        <f>IFERROR(IF(VLOOKUP(B943,Baza[[№]:[Profit]],18,0)=0,"-",VLOOKUP(B943,Baza[[№]:[Profit]],18,0)),"")</f>
        <v/>
      </c>
      <c r="U943" s="41" t="str">
        <f>IFERROR(IF(VLOOKUP(B943,Baza[[№]:[Profit]],19,0)=0,"-",VLOOKUP(B943,Baza[[№]:[Profit]],19,0)),"")</f>
        <v/>
      </c>
      <c r="V943" s="41" t="str">
        <f>IFERROR(VLOOKUP(B943,Baza[[№]:[Profit]],20,0),"")</f>
        <v/>
      </c>
      <c r="W943" s="41" t="str">
        <f>IFERROR(IF(VLOOKUP(B943,Baza[[№]:[Profit]],21,0)=0,"-",VLOOKUP(B943,Baza[[№]:[Profit]],21,0)),"")</f>
        <v/>
      </c>
      <c r="X943" s="45" t="str">
        <f>IFERROR(IF(VLOOKUP(B943,Baza[[№]:[Profit]],22,0)=0,"-",VLOOKUP(B943,Baza[[№]:[Profit]],22,0)),"")</f>
        <v/>
      </c>
      <c r="Y943" s="45" t="str">
        <f>IFERROR(VLOOKUP(B943,Baza[[№]:[Profit]],23,0),"")</f>
        <v/>
      </c>
      <c r="Z943" s="44" t="str">
        <f>IFERROR(VLOOKUP(B943,Baza[[№]:[AFS]],24,0),"")</f>
        <v/>
      </c>
      <c r="AA943" s="45" t="str">
        <f>IF(Таблица2[[#This Row],[Profit]]="","#Н/Д",SUM($Y$40:Y943))</f>
        <v>#Н/Д</v>
      </c>
      <c r="AB943" s="45" t="b">
        <f>IF(Таблица2[[#This Row],[Grafik]]="#Н/Д",FALSE,TRUE)</f>
        <v>0</v>
      </c>
    </row>
    <row r="944" spans="3:28" ht="11.1" hidden="1" customHeight="1" x14ac:dyDescent="0.25">
      <c r="C944" s="41" t="str">
        <f>IFERROR(VLOOKUP(B944,Baza[[№]:[Profit]],2,0),"")</f>
        <v/>
      </c>
      <c r="D94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4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44" s="43" t="str">
        <f>IFERROR(VLOOKUP(B944,Baza[[№]:[Profit]],3,0),"")</f>
        <v/>
      </c>
      <c r="G944" s="43" t="str">
        <f>IFERROR(VLOOKUP(B944,Baza[[№]:[Profit]],4,0),"")</f>
        <v/>
      </c>
      <c r="H944" s="43" t="str">
        <f>IFERROR(VLOOKUP(B944,Baza[[№]:[Profit]],5,0),"")</f>
        <v/>
      </c>
      <c r="I944" s="46" t="str">
        <f>IFERROR(VLOOKUP(B944,Baza[[№]:[Profit]],6,0),"")</f>
        <v/>
      </c>
      <c r="J944" s="49" t="str">
        <f>IFERROR(VLOOKUP(B944,Baza[[№]:[Profit]],7,0),"")</f>
        <v/>
      </c>
      <c r="K944" s="43" t="str">
        <f>IFERROR(VLOOKUP(B944,Baza[[№]:[Profit]],8,0),"")</f>
        <v/>
      </c>
      <c r="L944" s="43" t="str">
        <f>IFERROR(VLOOKUP(B944,Baza[[№]:[Profit]],9,0),"")</f>
        <v/>
      </c>
      <c r="M944" s="43" t="str">
        <f>IFERROR(VLOOKUP(B944,Baza[[№]:[Profit]],10,0),"")</f>
        <v/>
      </c>
      <c r="N944" s="43" t="str">
        <f>IFERROR(IF(VLOOKUP(B944,Baza[[№]:[Profit]],11,0)=0,"-",VLOOKUP(B944,Baza[[№]:[Profit]],11,0)),"")</f>
        <v/>
      </c>
      <c r="O944" s="43" t="str">
        <f>IFERROR(IF(VLOOKUP(B944,Baza[[№]:[Profit]],12,0)=0,"-",VLOOKUP(B944,Baza[[№]:[Profit]],12,0)),"")</f>
        <v/>
      </c>
      <c r="P944" s="43" t="str">
        <f>IFERROR(IF(VLOOKUP(B944,Baza[[№]:[Profit]],13,0)=0,"-",VLOOKUP(B944,Baza[[№]:[Profit]],13,0)),"")</f>
        <v/>
      </c>
      <c r="Q944" s="43" t="str">
        <f>IFERROR(IF(VLOOKUP(B944,Baza[[№]:[Profit]],15,0)=0,"-",VLOOKUP(B944,Baza[[№]:[Profit]],15,0)),"")</f>
        <v/>
      </c>
      <c r="R944" s="43" t="str">
        <f>IFERROR(IF(VLOOKUP(B944,Baza[[№]:[Profit]],16,0)=0,"-",VLOOKUP(B944,Baza[[№]:[Profit]],16,0)),"")</f>
        <v/>
      </c>
      <c r="S944" s="43" t="str">
        <f>IFERROR(IF(VLOOKUP(B944,Baza[[№]:[Profit]],17,0)=0,"-",VLOOKUP(B944,Baza[[№]:[Profit]],17,0)),"")</f>
        <v/>
      </c>
      <c r="T944" s="43" t="str">
        <f>IFERROR(IF(VLOOKUP(B944,Baza[[№]:[Profit]],18,0)=0,"-",VLOOKUP(B944,Baza[[№]:[Profit]],18,0)),"")</f>
        <v/>
      </c>
      <c r="U944" s="41" t="str">
        <f>IFERROR(IF(VLOOKUP(B944,Baza[[№]:[Profit]],19,0)=0,"-",VLOOKUP(B944,Baza[[№]:[Profit]],19,0)),"")</f>
        <v/>
      </c>
      <c r="V944" s="41" t="str">
        <f>IFERROR(VLOOKUP(B944,Baza[[№]:[Profit]],20,0),"")</f>
        <v/>
      </c>
      <c r="W944" s="41" t="str">
        <f>IFERROR(IF(VLOOKUP(B944,Baza[[№]:[Profit]],21,0)=0,"-",VLOOKUP(B944,Baza[[№]:[Profit]],21,0)),"")</f>
        <v/>
      </c>
      <c r="X944" s="45" t="str">
        <f>IFERROR(IF(VLOOKUP(B944,Baza[[№]:[Profit]],22,0)=0,"-",VLOOKUP(B944,Baza[[№]:[Profit]],22,0)),"")</f>
        <v/>
      </c>
      <c r="Y944" s="45" t="str">
        <f>IFERROR(VLOOKUP(B944,Baza[[№]:[Profit]],23,0),"")</f>
        <v/>
      </c>
      <c r="Z944" s="44" t="str">
        <f>IFERROR(VLOOKUP(B944,Baza[[№]:[AFS]],24,0),"")</f>
        <v/>
      </c>
      <c r="AA944" s="45" t="str">
        <f>IF(Таблица2[[#This Row],[Profit]]="","#Н/Д",SUM($Y$40:Y944))</f>
        <v>#Н/Д</v>
      </c>
      <c r="AB944" s="45" t="b">
        <f>IF(Таблица2[[#This Row],[Grafik]]="#Н/Д",FALSE,TRUE)</f>
        <v>0</v>
      </c>
    </row>
    <row r="945" spans="3:28" ht="11.1" hidden="1" customHeight="1" x14ac:dyDescent="0.25">
      <c r="C945" s="41" t="str">
        <f>IFERROR(VLOOKUP(B945,Baza[[№]:[Profit]],2,0),"")</f>
        <v/>
      </c>
      <c r="D94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4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45" s="43" t="str">
        <f>IFERROR(VLOOKUP(B945,Baza[[№]:[Profit]],3,0),"")</f>
        <v/>
      </c>
      <c r="G945" s="43" t="str">
        <f>IFERROR(VLOOKUP(B945,Baza[[№]:[Profit]],4,0),"")</f>
        <v/>
      </c>
      <c r="H945" s="43" t="str">
        <f>IFERROR(VLOOKUP(B945,Baza[[№]:[Profit]],5,0),"")</f>
        <v/>
      </c>
      <c r="I945" s="46" t="str">
        <f>IFERROR(VLOOKUP(B945,Baza[[№]:[Profit]],6,0),"")</f>
        <v/>
      </c>
      <c r="J945" s="49" t="str">
        <f>IFERROR(VLOOKUP(B945,Baza[[№]:[Profit]],7,0),"")</f>
        <v/>
      </c>
      <c r="K945" s="43" t="str">
        <f>IFERROR(VLOOKUP(B945,Baza[[№]:[Profit]],8,0),"")</f>
        <v/>
      </c>
      <c r="L945" s="43" t="str">
        <f>IFERROR(VLOOKUP(B945,Baza[[№]:[Profit]],9,0),"")</f>
        <v/>
      </c>
      <c r="M945" s="43" t="str">
        <f>IFERROR(VLOOKUP(B945,Baza[[№]:[Profit]],10,0),"")</f>
        <v/>
      </c>
      <c r="N945" s="43" t="str">
        <f>IFERROR(IF(VLOOKUP(B945,Baza[[№]:[Profit]],11,0)=0,"-",VLOOKUP(B945,Baza[[№]:[Profit]],11,0)),"")</f>
        <v/>
      </c>
      <c r="O945" s="43" t="str">
        <f>IFERROR(IF(VLOOKUP(B945,Baza[[№]:[Profit]],12,0)=0,"-",VLOOKUP(B945,Baza[[№]:[Profit]],12,0)),"")</f>
        <v/>
      </c>
      <c r="P945" s="43" t="str">
        <f>IFERROR(IF(VLOOKUP(B945,Baza[[№]:[Profit]],13,0)=0,"-",VLOOKUP(B945,Baza[[№]:[Profit]],13,0)),"")</f>
        <v/>
      </c>
      <c r="Q945" s="43" t="str">
        <f>IFERROR(IF(VLOOKUP(B945,Baza[[№]:[Profit]],15,0)=0,"-",VLOOKUP(B945,Baza[[№]:[Profit]],15,0)),"")</f>
        <v/>
      </c>
      <c r="R945" s="43" t="str">
        <f>IFERROR(IF(VLOOKUP(B945,Baza[[№]:[Profit]],16,0)=0,"-",VLOOKUP(B945,Baza[[№]:[Profit]],16,0)),"")</f>
        <v/>
      </c>
      <c r="S945" s="43" t="str">
        <f>IFERROR(IF(VLOOKUP(B945,Baza[[№]:[Profit]],17,0)=0,"-",VLOOKUP(B945,Baza[[№]:[Profit]],17,0)),"")</f>
        <v/>
      </c>
      <c r="T945" s="43" t="str">
        <f>IFERROR(IF(VLOOKUP(B945,Baza[[№]:[Profit]],18,0)=0,"-",VLOOKUP(B945,Baza[[№]:[Profit]],18,0)),"")</f>
        <v/>
      </c>
      <c r="U945" s="41" t="str">
        <f>IFERROR(IF(VLOOKUP(B945,Baza[[№]:[Profit]],19,0)=0,"-",VLOOKUP(B945,Baza[[№]:[Profit]],19,0)),"")</f>
        <v/>
      </c>
      <c r="V945" s="41" t="str">
        <f>IFERROR(VLOOKUP(B945,Baza[[№]:[Profit]],20,0),"")</f>
        <v/>
      </c>
      <c r="W945" s="41" t="str">
        <f>IFERROR(IF(VLOOKUP(B945,Baza[[№]:[Profit]],21,0)=0,"-",VLOOKUP(B945,Baza[[№]:[Profit]],21,0)),"")</f>
        <v/>
      </c>
      <c r="X945" s="45" t="str">
        <f>IFERROR(IF(VLOOKUP(B945,Baza[[№]:[Profit]],22,0)=0,"-",VLOOKUP(B945,Baza[[№]:[Profit]],22,0)),"")</f>
        <v/>
      </c>
      <c r="Y945" s="45" t="str">
        <f>IFERROR(VLOOKUP(B945,Baza[[№]:[Profit]],23,0),"")</f>
        <v/>
      </c>
      <c r="Z945" s="44" t="str">
        <f>IFERROR(VLOOKUP(B945,Baza[[№]:[AFS]],24,0),"")</f>
        <v/>
      </c>
      <c r="AA945" s="45" t="str">
        <f>IF(Таблица2[[#This Row],[Profit]]="","#Н/Д",SUM($Y$40:Y945))</f>
        <v>#Н/Д</v>
      </c>
      <c r="AB945" s="45" t="b">
        <f>IF(Таблица2[[#This Row],[Grafik]]="#Н/Д",FALSE,TRUE)</f>
        <v>0</v>
      </c>
    </row>
    <row r="946" spans="3:28" ht="11.1" hidden="1" customHeight="1" x14ac:dyDescent="0.25">
      <c r="C946" s="41" t="str">
        <f>IFERROR(VLOOKUP(B946,Baza[[№]:[Profit]],2,0),"")</f>
        <v/>
      </c>
      <c r="D94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4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46" s="43" t="str">
        <f>IFERROR(VLOOKUP(B946,Baza[[№]:[Profit]],3,0),"")</f>
        <v/>
      </c>
      <c r="G946" s="43" t="str">
        <f>IFERROR(VLOOKUP(B946,Baza[[№]:[Profit]],4,0),"")</f>
        <v/>
      </c>
      <c r="H946" s="43" t="str">
        <f>IFERROR(VLOOKUP(B946,Baza[[№]:[Profit]],5,0),"")</f>
        <v/>
      </c>
      <c r="I946" s="46" t="str">
        <f>IFERROR(VLOOKUP(B946,Baza[[№]:[Profit]],6,0),"")</f>
        <v/>
      </c>
      <c r="J946" s="49" t="str">
        <f>IFERROR(VLOOKUP(B946,Baza[[№]:[Profit]],7,0),"")</f>
        <v/>
      </c>
      <c r="K946" s="43" t="str">
        <f>IFERROR(VLOOKUP(B946,Baza[[№]:[Profit]],8,0),"")</f>
        <v/>
      </c>
      <c r="L946" s="43" t="str">
        <f>IFERROR(VLOOKUP(B946,Baza[[№]:[Profit]],9,0),"")</f>
        <v/>
      </c>
      <c r="M946" s="43" t="str">
        <f>IFERROR(VLOOKUP(B946,Baza[[№]:[Profit]],10,0),"")</f>
        <v/>
      </c>
      <c r="N946" s="43" t="str">
        <f>IFERROR(IF(VLOOKUP(B946,Baza[[№]:[Profit]],11,0)=0,"-",VLOOKUP(B946,Baza[[№]:[Profit]],11,0)),"")</f>
        <v/>
      </c>
      <c r="O946" s="43" t="str">
        <f>IFERROR(IF(VLOOKUP(B946,Baza[[№]:[Profit]],12,0)=0,"-",VLOOKUP(B946,Baza[[№]:[Profit]],12,0)),"")</f>
        <v/>
      </c>
      <c r="P946" s="43" t="str">
        <f>IFERROR(IF(VLOOKUP(B946,Baza[[№]:[Profit]],13,0)=0,"-",VLOOKUP(B946,Baza[[№]:[Profit]],13,0)),"")</f>
        <v/>
      </c>
      <c r="Q946" s="43" t="str">
        <f>IFERROR(IF(VLOOKUP(B946,Baza[[№]:[Profit]],15,0)=0,"-",VLOOKUP(B946,Baza[[№]:[Profit]],15,0)),"")</f>
        <v/>
      </c>
      <c r="R946" s="43" t="str">
        <f>IFERROR(IF(VLOOKUP(B946,Baza[[№]:[Profit]],16,0)=0,"-",VLOOKUP(B946,Baza[[№]:[Profit]],16,0)),"")</f>
        <v/>
      </c>
      <c r="S946" s="43" t="str">
        <f>IFERROR(IF(VLOOKUP(B946,Baza[[№]:[Profit]],17,0)=0,"-",VLOOKUP(B946,Baza[[№]:[Profit]],17,0)),"")</f>
        <v/>
      </c>
      <c r="T946" s="43" t="str">
        <f>IFERROR(IF(VLOOKUP(B946,Baza[[№]:[Profit]],18,0)=0,"-",VLOOKUP(B946,Baza[[№]:[Profit]],18,0)),"")</f>
        <v/>
      </c>
      <c r="U946" s="41" t="str">
        <f>IFERROR(IF(VLOOKUP(B946,Baza[[№]:[Profit]],19,0)=0,"-",VLOOKUP(B946,Baza[[№]:[Profit]],19,0)),"")</f>
        <v/>
      </c>
      <c r="V946" s="41" t="str">
        <f>IFERROR(VLOOKUP(B946,Baza[[№]:[Profit]],20,0),"")</f>
        <v/>
      </c>
      <c r="W946" s="41" t="str">
        <f>IFERROR(IF(VLOOKUP(B946,Baza[[№]:[Profit]],21,0)=0,"-",VLOOKUP(B946,Baza[[№]:[Profit]],21,0)),"")</f>
        <v/>
      </c>
      <c r="X946" s="45" t="str">
        <f>IFERROR(IF(VLOOKUP(B946,Baza[[№]:[Profit]],22,0)=0,"-",VLOOKUP(B946,Baza[[№]:[Profit]],22,0)),"")</f>
        <v/>
      </c>
      <c r="Y946" s="45" t="str">
        <f>IFERROR(VLOOKUP(B946,Baza[[№]:[Profit]],23,0),"")</f>
        <v/>
      </c>
      <c r="Z946" s="44" t="str">
        <f>IFERROR(VLOOKUP(B946,Baza[[№]:[AFS]],24,0),"")</f>
        <v/>
      </c>
      <c r="AA946" s="45" t="str">
        <f>IF(Таблица2[[#This Row],[Profit]]="","#Н/Д",SUM($Y$40:Y946))</f>
        <v>#Н/Д</v>
      </c>
      <c r="AB946" s="45" t="b">
        <f>IF(Таблица2[[#This Row],[Grafik]]="#Н/Д",FALSE,TRUE)</f>
        <v>0</v>
      </c>
    </row>
    <row r="947" spans="3:28" ht="11.1" hidden="1" customHeight="1" x14ac:dyDescent="0.25">
      <c r="C947" s="41" t="str">
        <f>IFERROR(VLOOKUP(B947,Baza[[№]:[Profit]],2,0),"")</f>
        <v/>
      </c>
      <c r="D94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4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47" s="43" t="str">
        <f>IFERROR(VLOOKUP(B947,Baza[[№]:[Profit]],3,0),"")</f>
        <v/>
      </c>
      <c r="G947" s="43" t="str">
        <f>IFERROR(VLOOKUP(B947,Baza[[№]:[Profit]],4,0),"")</f>
        <v/>
      </c>
      <c r="H947" s="43" t="str">
        <f>IFERROR(VLOOKUP(B947,Baza[[№]:[Profit]],5,0),"")</f>
        <v/>
      </c>
      <c r="I947" s="46" t="str">
        <f>IFERROR(VLOOKUP(B947,Baza[[№]:[Profit]],6,0),"")</f>
        <v/>
      </c>
      <c r="J947" s="49" t="str">
        <f>IFERROR(VLOOKUP(B947,Baza[[№]:[Profit]],7,0),"")</f>
        <v/>
      </c>
      <c r="K947" s="43" t="str">
        <f>IFERROR(VLOOKUP(B947,Baza[[№]:[Profit]],8,0),"")</f>
        <v/>
      </c>
      <c r="L947" s="43" t="str">
        <f>IFERROR(VLOOKUP(B947,Baza[[№]:[Profit]],9,0),"")</f>
        <v/>
      </c>
      <c r="M947" s="43" t="str">
        <f>IFERROR(VLOOKUP(B947,Baza[[№]:[Profit]],10,0),"")</f>
        <v/>
      </c>
      <c r="N947" s="43" t="str">
        <f>IFERROR(IF(VLOOKUP(B947,Baza[[№]:[Profit]],11,0)=0,"-",VLOOKUP(B947,Baza[[№]:[Profit]],11,0)),"")</f>
        <v/>
      </c>
      <c r="O947" s="43" t="str">
        <f>IFERROR(IF(VLOOKUP(B947,Baza[[№]:[Profit]],12,0)=0,"-",VLOOKUP(B947,Baza[[№]:[Profit]],12,0)),"")</f>
        <v/>
      </c>
      <c r="P947" s="43" t="str">
        <f>IFERROR(IF(VLOOKUP(B947,Baza[[№]:[Profit]],13,0)=0,"-",VLOOKUP(B947,Baza[[№]:[Profit]],13,0)),"")</f>
        <v/>
      </c>
      <c r="Q947" s="43" t="str">
        <f>IFERROR(IF(VLOOKUP(B947,Baza[[№]:[Profit]],15,0)=0,"-",VLOOKUP(B947,Baza[[№]:[Profit]],15,0)),"")</f>
        <v/>
      </c>
      <c r="R947" s="43" t="str">
        <f>IFERROR(IF(VLOOKUP(B947,Baza[[№]:[Profit]],16,0)=0,"-",VLOOKUP(B947,Baza[[№]:[Profit]],16,0)),"")</f>
        <v/>
      </c>
      <c r="S947" s="43" t="str">
        <f>IFERROR(IF(VLOOKUP(B947,Baza[[№]:[Profit]],17,0)=0,"-",VLOOKUP(B947,Baza[[№]:[Profit]],17,0)),"")</f>
        <v/>
      </c>
      <c r="T947" s="43" t="str">
        <f>IFERROR(IF(VLOOKUP(B947,Baza[[№]:[Profit]],18,0)=0,"-",VLOOKUP(B947,Baza[[№]:[Profit]],18,0)),"")</f>
        <v/>
      </c>
      <c r="U947" s="41" t="str">
        <f>IFERROR(IF(VLOOKUP(B947,Baza[[№]:[Profit]],19,0)=0,"-",VLOOKUP(B947,Baza[[№]:[Profit]],19,0)),"")</f>
        <v/>
      </c>
      <c r="V947" s="41" t="str">
        <f>IFERROR(VLOOKUP(B947,Baza[[№]:[Profit]],20,0),"")</f>
        <v/>
      </c>
      <c r="W947" s="41" t="str">
        <f>IFERROR(IF(VLOOKUP(B947,Baza[[№]:[Profit]],21,0)=0,"-",VLOOKUP(B947,Baza[[№]:[Profit]],21,0)),"")</f>
        <v/>
      </c>
      <c r="X947" s="45" t="str">
        <f>IFERROR(IF(VLOOKUP(B947,Baza[[№]:[Profit]],22,0)=0,"-",VLOOKUP(B947,Baza[[№]:[Profit]],22,0)),"")</f>
        <v/>
      </c>
      <c r="Y947" s="45" t="str">
        <f>IFERROR(VLOOKUP(B947,Baza[[№]:[Profit]],23,0),"")</f>
        <v/>
      </c>
      <c r="Z947" s="44" t="str">
        <f>IFERROR(VLOOKUP(B947,Baza[[№]:[AFS]],24,0),"")</f>
        <v/>
      </c>
      <c r="AA947" s="45" t="str">
        <f>IF(Таблица2[[#This Row],[Profit]]="","#Н/Д",SUM($Y$40:Y947))</f>
        <v>#Н/Д</v>
      </c>
      <c r="AB947" s="45" t="b">
        <f>IF(Таблица2[[#This Row],[Grafik]]="#Н/Д",FALSE,TRUE)</f>
        <v>0</v>
      </c>
    </row>
    <row r="948" spans="3:28" ht="11.1" hidden="1" customHeight="1" x14ac:dyDescent="0.25">
      <c r="C948" s="41" t="str">
        <f>IFERROR(VLOOKUP(B948,Baza[[№]:[Profit]],2,0),"")</f>
        <v/>
      </c>
      <c r="D94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4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48" s="43" t="str">
        <f>IFERROR(VLOOKUP(B948,Baza[[№]:[Profit]],3,0),"")</f>
        <v/>
      </c>
      <c r="G948" s="43" t="str">
        <f>IFERROR(VLOOKUP(B948,Baza[[№]:[Profit]],4,0),"")</f>
        <v/>
      </c>
      <c r="H948" s="43" t="str">
        <f>IFERROR(VLOOKUP(B948,Baza[[№]:[Profit]],5,0),"")</f>
        <v/>
      </c>
      <c r="I948" s="46" t="str">
        <f>IFERROR(VLOOKUP(B948,Baza[[№]:[Profit]],6,0),"")</f>
        <v/>
      </c>
      <c r="J948" s="49" t="str">
        <f>IFERROR(VLOOKUP(B948,Baza[[№]:[Profit]],7,0),"")</f>
        <v/>
      </c>
      <c r="K948" s="43" t="str">
        <f>IFERROR(VLOOKUP(B948,Baza[[№]:[Profit]],8,0),"")</f>
        <v/>
      </c>
      <c r="L948" s="43" t="str">
        <f>IFERROR(VLOOKUP(B948,Baza[[№]:[Profit]],9,0),"")</f>
        <v/>
      </c>
      <c r="M948" s="43" t="str">
        <f>IFERROR(VLOOKUP(B948,Baza[[№]:[Profit]],10,0),"")</f>
        <v/>
      </c>
      <c r="N948" s="43" t="str">
        <f>IFERROR(IF(VLOOKUP(B948,Baza[[№]:[Profit]],11,0)=0,"-",VLOOKUP(B948,Baza[[№]:[Profit]],11,0)),"")</f>
        <v/>
      </c>
      <c r="O948" s="43" t="str">
        <f>IFERROR(IF(VLOOKUP(B948,Baza[[№]:[Profit]],12,0)=0,"-",VLOOKUP(B948,Baza[[№]:[Profit]],12,0)),"")</f>
        <v/>
      </c>
      <c r="P948" s="43" t="str">
        <f>IFERROR(IF(VLOOKUP(B948,Baza[[№]:[Profit]],13,0)=0,"-",VLOOKUP(B948,Baza[[№]:[Profit]],13,0)),"")</f>
        <v/>
      </c>
      <c r="Q948" s="43" t="str">
        <f>IFERROR(IF(VLOOKUP(B948,Baza[[№]:[Profit]],15,0)=0,"-",VLOOKUP(B948,Baza[[№]:[Profit]],15,0)),"")</f>
        <v/>
      </c>
      <c r="R948" s="43" t="str">
        <f>IFERROR(IF(VLOOKUP(B948,Baza[[№]:[Profit]],16,0)=0,"-",VLOOKUP(B948,Baza[[№]:[Profit]],16,0)),"")</f>
        <v/>
      </c>
      <c r="S948" s="43" t="str">
        <f>IFERROR(IF(VLOOKUP(B948,Baza[[№]:[Profit]],17,0)=0,"-",VLOOKUP(B948,Baza[[№]:[Profit]],17,0)),"")</f>
        <v/>
      </c>
      <c r="T948" s="43" t="str">
        <f>IFERROR(IF(VLOOKUP(B948,Baza[[№]:[Profit]],18,0)=0,"-",VLOOKUP(B948,Baza[[№]:[Profit]],18,0)),"")</f>
        <v/>
      </c>
      <c r="U948" s="41" t="str">
        <f>IFERROR(IF(VLOOKUP(B948,Baza[[№]:[Profit]],19,0)=0,"-",VLOOKUP(B948,Baza[[№]:[Profit]],19,0)),"")</f>
        <v/>
      </c>
      <c r="V948" s="41" t="str">
        <f>IFERROR(VLOOKUP(B948,Baza[[№]:[Profit]],20,0),"")</f>
        <v/>
      </c>
      <c r="W948" s="41" t="str">
        <f>IFERROR(IF(VLOOKUP(B948,Baza[[№]:[Profit]],21,0)=0,"-",VLOOKUP(B948,Baza[[№]:[Profit]],21,0)),"")</f>
        <v/>
      </c>
      <c r="X948" s="45" t="str">
        <f>IFERROR(IF(VLOOKUP(B948,Baza[[№]:[Profit]],22,0)=0,"-",VLOOKUP(B948,Baza[[№]:[Profit]],22,0)),"")</f>
        <v/>
      </c>
      <c r="Y948" s="45" t="str">
        <f>IFERROR(VLOOKUP(B948,Baza[[№]:[Profit]],23,0),"")</f>
        <v/>
      </c>
      <c r="Z948" s="44" t="str">
        <f>IFERROR(VLOOKUP(B948,Baza[[№]:[AFS]],24,0),"")</f>
        <v/>
      </c>
      <c r="AA948" s="45" t="str">
        <f>IF(Таблица2[[#This Row],[Profit]]="","#Н/Д",SUM($Y$40:Y948))</f>
        <v>#Н/Д</v>
      </c>
      <c r="AB948" s="45" t="b">
        <f>IF(Таблица2[[#This Row],[Grafik]]="#Н/Д",FALSE,TRUE)</f>
        <v>0</v>
      </c>
    </row>
    <row r="949" spans="3:28" ht="11.1" hidden="1" customHeight="1" x14ac:dyDescent="0.25">
      <c r="C949" s="41" t="str">
        <f>IFERROR(VLOOKUP(B949,Baza[[№]:[Profit]],2,0),"")</f>
        <v/>
      </c>
      <c r="D94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4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49" s="43" t="str">
        <f>IFERROR(VLOOKUP(B949,Baza[[№]:[Profit]],3,0),"")</f>
        <v/>
      </c>
      <c r="G949" s="43" t="str">
        <f>IFERROR(VLOOKUP(B949,Baza[[№]:[Profit]],4,0),"")</f>
        <v/>
      </c>
      <c r="H949" s="43" t="str">
        <f>IFERROR(VLOOKUP(B949,Baza[[№]:[Profit]],5,0),"")</f>
        <v/>
      </c>
      <c r="I949" s="46" t="str">
        <f>IFERROR(VLOOKUP(B949,Baza[[№]:[Profit]],6,0),"")</f>
        <v/>
      </c>
      <c r="J949" s="49" t="str">
        <f>IFERROR(VLOOKUP(B949,Baza[[№]:[Profit]],7,0),"")</f>
        <v/>
      </c>
      <c r="K949" s="43" t="str">
        <f>IFERROR(VLOOKUP(B949,Baza[[№]:[Profit]],8,0),"")</f>
        <v/>
      </c>
      <c r="L949" s="43" t="str">
        <f>IFERROR(VLOOKUP(B949,Baza[[№]:[Profit]],9,0),"")</f>
        <v/>
      </c>
      <c r="M949" s="43" t="str">
        <f>IFERROR(VLOOKUP(B949,Baza[[№]:[Profit]],10,0),"")</f>
        <v/>
      </c>
      <c r="N949" s="43" t="str">
        <f>IFERROR(IF(VLOOKUP(B949,Baza[[№]:[Profit]],11,0)=0,"-",VLOOKUP(B949,Baza[[№]:[Profit]],11,0)),"")</f>
        <v/>
      </c>
      <c r="O949" s="43" t="str">
        <f>IFERROR(IF(VLOOKUP(B949,Baza[[№]:[Profit]],12,0)=0,"-",VLOOKUP(B949,Baza[[№]:[Profit]],12,0)),"")</f>
        <v/>
      </c>
      <c r="P949" s="43" t="str">
        <f>IFERROR(IF(VLOOKUP(B949,Baza[[№]:[Profit]],13,0)=0,"-",VLOOKUP(B949,Baza[[№]:[Profit]],13,0)),"")</f>
        <v/>
      </c>
      <c r="Q949" s="43" t="str">
        <f>IFERROR(IF(VLOOKUP(B949,Baza[[№]:[Profit]],15,0)=0,"-",VLOOKUP(B949,Baza[[№]:[Profit]],15,0)),"")</f>
        <v/>
      </c>
      <c r="R949" s="43" t="str">
        <f>IFERROR(IF(VLOOKUP(B949,Baza[[№]:[Profit]],16,0)=0,"-",VLOOKUP(B949,Baza[[№]:[Profit]],16,0)),"")</f>
        <v/>
      </c>
      <c r="S949" s="43" t="str">
        <f>IFERROR(IF(VLOOKUP(B949,Baza[[№]:[Profit]],17,0)=0,"-",VLOOKUP(B949,Baza[[№]:[Profit]],17,0)),"")</f>
        <v/>
      </c>
      <c r="T949" s="43" t="str">
        <f>IFERROR(IF(VLOOKUP(B949,Baza[[№]:[Profit]],18,0)=0,"-",VLOOKUP(B949,Baza[[№]:[Profit]],18,0)),"")</f>
        <v/>
      </c>
      <c r="U949" s="41" t="str">
        <f>IFERROR(IF(VLOOKUP(B949,Baza[[№]:[Profit]],19,0)=0,"-",VLOOKUP(B949,Baza[[№]:[Profit]],19,0)),"")</f>
        <v/>
      </c>
      <c r="V949" s="41" t="str">
        <f>IFERROR(VLOOKUP(B949,Baza[[№]:[Profit]],20,0),"")</f>
        <v/>
      </c>
      <c r="W949" s="41" t="str">
        <f>IFERROR(IF(VLOOKUP(B949,Baza[[№]:[Profit]],21,0)=0,"-",VLOOKUP(B949,Baza[[№]:[Profit]],21,0)),"")</f>
        <v/>
      </c>
      <c r="X949" s="45" t="str">
        <f>IFERROR(IF(VLOOKUP(B949,Baza[[№]:[Profit]],22,0)=0,"-",VLOOKUP(B949,Baza[[№]:[Profit]],22,0)),"")</f>
        <v/>
      </c>
      <c r="Y949" s="45" t="str">
        <f>IFERROR(VLOOKUP(B949,Baza[[№]:[Profit]],23,0),"")</f>
        <v/>
      </c>
      <c r="Z949" s="44" t="str">
        <f>IFERROR(VLOOKUP(B949,Baza[[№]:[AFS]],24,0),"")</f>
        <v/>
      </c>
      <c r="AA949" s="45" t="str">
        <f>IF(Таблица2[[#This Row],[Profit]]="","#Н/Д",SUM($Y$40:Y949))</f>
        <v>#Н/Д</v>
      </c>
      <c r="AB949" s="45" t="b">
        <f>IF(Таблица2[[#This Row],[Grafik]]="#Н/Д",FALSE,TRUE)</f>
        <v>0</v>
      </c>
    </row>
    <row r="950" spans="3:28" ht="11.1" hidden="1" customHeight="1" x14ac:dyDescent="0.25">
      <c r="C950" s="41" t="str">
        <f>IFERROR(VLOOKUP(B950,Baza[[№]:[Profit]],2,0),"")</f>
        <v/>
      </c>
      <c r="D95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5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50" s="43" t="str">
        <f>IFERROR(VLOOKUP(B950,Baza[[№]:[Profit]],3,0),"")</f>
        <v/>
      </c>
      <c r="G950" s="43" t="str">
        <f>IFERROR(VLOOKUP(B950,Baza[[№]:[Profit]],4,0),"")</f>
        <v/>
      </c>
      <c r="H950" s="43" t="str">
        <f>IFERROR(VLOOKUP(B950,Baza[[№]:[Profit]],5,0),"")</f>
        <v/>
      </c>
      <c r="I950" s="46" t="str">
        <f>IFERROR(VLOOKUP(B950,Baza[[№]:[Profit]],6,0),"")</f>
        <v/>
      </c>
      <c r="J950" s="49" t="str">
        <f>IFERROR(VLOOKUP(B950,Baza[[№]:[Profit]],7,0),"")</f>
        <v/>
      </c>
      <c r="K950" s="43" t="str">
        <f>IFERROR(VLOOKUP(B950,Baza[[№]:[Profit]],8,0),"")</f>
        <v/>
      </c>
      <c r="L950" s="43" t="str">
        <f>IFERROR(VLOOKUP(B950,Baza[[№]:[Profit]],9,0),"")</f>
        <v/>
      </c>
      <c r="M950" s="43" t="str">
        <f>IFERROR(VLOOKUP(B950,Baza[[№]:[Profit]],10,0),"")</f>
        <v/>
      </c>
      <c r="N950" s="43" t="str">
        <f>IFERROR(IF(VLOOKUP(B950,Baza[[№]:[Profit]],11,0)=0,"-",VLOOKUP(B950,Baza[[№]:[Profit]],11,0)),"")</f>
        <v/>
      </c>
      <c r="O950" s="43" t="str">
        <f>IFERROR(IF(VLOOKUP(B950,Baza[[№]:[Profit]],12,0)=0,"-",VLOOKUP(B950,Baza[[№]:[Profit]],12,0)),"")</f>
        <v/>
      </c>
      <c r="P950" s="43" t="str">
        <f>IFERROR(IF(VLOOKUP(B950,Baza[[№]:[Profit]],13,0)=0,"-",VLOOKUP(B950,Baza[[№]:[Profit]],13,0)),"")</f>
        <v/>
      </c>
      <c r="Q950" s="43" t="str">
        <f>IFERROR(IF(VLOOKUP(B950,Baza[[№]:[Profit]],15,0)=0,"-",VLOOKUP(B950,Baza[[№]:[Profit]],15,0)),"")</f>
        <v/>
      </c>
      <c r="R950" s="43" t="str">
        <f>IFERROR(IF(VLOOKUP(B950,Baza[[№]:[Profit]],16,0)=0,"-",VLOOKUP(B950,Baza[[№]:[Profit]],16,0)),"")</f>
        <v/>
      </c>
      <c r="S950" s="43" t="str">
        <f>IFERROR(IF(VLOOKUP(B950,Baza[[№]:[Profit]],17,0)=0,"-",VLOOKUP(B950,Baza[[№]:[Profit]],17,0)),"")</f>
        <v/>
      </c>
      <c r="T950" s="43" t="str">
        <f>IFERROR(IF(VLOOKUP(B950,Baza[[№]:[Profit]],18,0)=0,"-",VLOOKUP(B950,Baza[[№]:[Profit]],18,0)),"")</f>
        <v/>
      </c>
      <c r="U950" s="41" t="str">
        <f>IFERROR(IF(VLOOKUP(B950,Baza[[№]:[Profit]],19,0)=0,"-",VLOOKUP(B950,Baza[[№]:[Profit]],19,0)),"")</f>
        <v/>
      </c>
      <c r="V950" s="41" t="str">
        <f>IFERROR(VLOOKUP(B950,Baza[[№]:[Profit]],20,0),"")</f>
        <v/>
      </c>
      <c r="W950" s="41" t="str">
        <f>IFERROR(IF(VLOOKUP(B950,Baza[[№]:[Profit]],21,0)=0,"-",VLOOKUP(B950,Baza[[№]:[Profit]],21,0)),"")</f>
        <v/>
      </c>
      <c r="X950" s="45" t="str">
        <f>IFERROR(IF(VLOOKUP(B950,Baza[[№]:[Profit]],22,0)=0,"-",VLOOKUP(B950,Baza[[№]:[Profit]],22,0)),"")</f>
        <v/>
      </c>
      <c r="Y950" s="45" t="str">
        <f>IFERROR(VLOOKUP(B950,Baza[[№]:[Profit]],23,0),"")</f>
        <v/>
      </c>
      <c r="Z950" s="44" t="str">
        <f>IFERROR(VLOOKUP(B950,Baza[[№]:[AFS]],24,0),"")</f>
        <v/>
      </c>
      <c r="AA950" s="45" t="str">
        <f>IF(Таблица2[[#This Row],[Profit]]="","#Н/Д",SUM($Y$40:Y950))</f>
        <v>#Н/Д</v>
      </c>
      <c r="AB950" s="45" t="b">
        <f>IF(Таблица2[[#This Row],[Grafik]]="#Н/Д",FALSE,TRUE)</f>
        <v>0</v>
      </c>
    </row>
    <row r="951" spans="3:28" ht="11.1" hidden="1" customHeight="1" x14ac:dyDescent="0.25">
      <c r="C951" s="41" t="str">
        <f>IFERROR(VLOOKUP(B951,Baza[[№]:[Profit]],2,0),"")</f>
        <v/>
      </c>
      <c r="D95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5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51" s="43" t="str">
        <f>IFERROR(VLOOKUP(B951,Baza[[№]:[Profit]],3,0),"")</f>
        <v/>
      </c>
      <c r="G951" s="43" t="str">
        <f>IFERROR(VLOOKUP(B951,Baza[[№]:[Profit]],4,0),"")</f>
        <v/>
      </c>
      <c r="H951" s="43" t="str">
        <f>IFERROR(VLOOKUP(B951,Baza[[№]:[Profit]],5,0),"")</f>
        <v/>
      </c>
      <c r="I951" s="46" t="str">
        <f>IFERROR(VLOOKUP(B951,Baza[[№]:[Profit]],6,0),"")</f>
        <v/>
      </c>
      <c r="J951" s="49" t="str">
        <f>IFERROR(VLOOKUP(B951,Baza[[№]:[Profit]],7,0),"")</f>
        <v/>
      </c>
      <c r="K951" s="43" t="str">
        <f>IFERROR(VLOOKUP(B951,Baza[[№]:[Profit]],8,0),"")</f>
        <v/>
      </c>
      <c r="L951" s="43" t="str">
        <f>IFERROR(VLOOKUP(B951,Baza[[№]:[Profit]],9,0),"")</f>
        <v/>
      </c>
      <c r="M951" s="43" t="str">
        <f>IFERROR(VLOOKUP(B951,Baza[[№]:[Profit]],10,0),"")</f>
        <v/>
      </c>
      <c r="N951" s="43" t="str">
        <f>IFERROR(IF(VLOOKUP(B951,Baza[[№]:[Profit]],11,0)=0,"-",VLOOKUP(B951,Baza[[№]:[Profit]],11,0)),"")</f>
        <v/>
      </c>
      <c r="O951" s="43" t="str">
        <f>IFERROR(IF(VLOOKUP(B951,Baza[[№]:[Profit]],12,0)=0,"-",VLOOKUP(B951,Baza[[№]:[Profit]],12,0)),"")</f>
        <v/>
      </c>
      <c r="P951" s="43" t="str">
        <f>IFERROR(IF(VLOOKUP(B951,Baza[[№]:[Profit]],13,0)=0,"-",VLOOKUP(B951,Baza[[№]:[Profit]],13,0)),"")</f>
        <v/>
      </c>
      <c r="Q951" s="43" t="str">
        <f>IFERROR(IF(VLOOKUP(B951,Baza[[№]:[Profit]],15,0)=0,"-",VLOOKUP(B951,Baza[[№]:[Profit]],15,0)),"")</f>
        <v/>
      </c>
      <c r="R951" s="43" t="str">
        <f>IFERROR(IF(VLOOKUP(B951,Baza[[№]:[Profit]],16,0)=0,"-",VLOOKUP(B951,Baza[[№]:[Profit]],16,0)),"")</f>
        <v/>
      </c>
      <c r="S951" s="43" t="str">
        <f>IFERROR(IF(VLOOKUP(B951,Baza[[№]:[Profit]],17,0)=0,"-",VLOOKUP(B951,Baza[[№]:[Profit]],17,0)),"")</f>
        <v/>
      </c>
      <c r="T951" s="43" t="str">
        <f>IFERROR(IF(VLOOKUP(B951,Baza[[№]:[Profit]],18,0)=0,"-",VLOOKUP(B951,Baza[[№]:[Profit]],18,0)),"")</f>
        <v/>
      </c>
      <c r="U951" s="41" t="str">
        <f>IFERROR(IF(VLOOKUP(B951,Baza[[№]:[Profit]],19,0)=0,"-",VLOOKUP(B951,Baza[[№]:[Profit]],19,0)),"")</f>
        <v/>
      </c>
      <c r="V951" s="41" t="str">
        <f>IFERROR(VLOOKUP(B951,Baza[[№]:[Profit]],20,0),"")</f>
        <v/>
      </c>
      <c r="W951" s="41" t="str">
        <f>IFERROR(IF(VLOOKUP(B951,Baza[[№]:[Profit]],21,0)=0,"-",VLOOKUP(B951,Baza[[№]:[Profit]],21,0)),"")</f>
        <v/>
      </c>
      <c r="X951" s="45" t="str">
        <f>IFERROR(IF(VLOOKUP(B951,Baza[[№]:[Profit]],22,0)=0,"-",VLOOKUP(B951,Baza[[№]:[Profit]],22,0)),"")</f>
        <v/>
      </c>
      <c r="Y951" s="45" t="str">
        <f>IFERROR(VLOOKUP(B951,Baza[[№]:[Profit]],23,0),"")</f>
        <v/>
      </c>
      <c r="Z951" s="44" t="str">
        <f>IFERROR(VLOOKUP(B951,Baza[[№]:[AFS]],24,0),"")</f>
        <v/>
      </c>
      <c r="AA951" s="45" t="str">
        <f>IF(Таблица2[[#This Row],[Profit]]="","#Н/Д",SUM($Y$40:Y951))</f>
        <v>#Н/Д</v>
      </c>
      <c r="AB951" s="45" t="b">
        <f>IF(Таблица2[[#This Row],[Grafik]]="#Н/Д",FALSE,TRUE)</f>
        <v>0</v>
      </c>
    </row>
    <row r="952" spans="3:28" ht="11.1" hidden="1" customHeight="1" x14ac:dyDescent="0.25">
      <c r="C952" s="41" t="str">
        <f>IFERROR(VLOOKUP(B952,Baza[[№]:[Profit]],2,0),"")</f>
        <v/>
      </c>
      <c r="D95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5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52" s="43" t="str">
        <f>IFERROR(VLOOKUP(B952,Baza[[№]:[Profit]],3,0),"")</f>
        <v/>
      </c>
      <c r="G952" s="43" t="str">
        <f>IFERROR(VLOOKUP(B952,Baza[[№]:[Profit]],4,0),"")</f>
        <v/>
      </c>
      <c r="H952" s="43" t="str">
        <f>IFERROR(VLOOKUP(B952,Baza[[№]:[Profit]],5,0),"")</f>
        <v/>
      </c>
      <c r="I952" s="46" t="str">
        <f>IFERROR(VLOOKUP(B952,Baza[[№]:[Profit]],6,0),"")</f>
        <v/>
      </c>
      <c r="J952" s="49" t="str">
        <f>IFERROR(VLOOKUP(B952,Baza[[№]:[Profit]],7,0),"")</f>
        <v/>
      </c>
      <c r="K952" s="43" t="str">
        <f>IFERROR(VLOOKUP(B952,Baza[[№]:[Profit]],8,0),"")</f>
        <v/>
      </c>
      <c r="L952" s="43" t="str">
        <f>IFERROR(VLOOKUP(B952,Baza[[№]:[Profit]],9,0),"")</f>
        <v/>
      </c>
      <c r="M952" s="43" t="str">
        <f>IFERROR(VLOOKUP(B952,Baza[[№]:[Profit]],10,0),"")</f>
        <v/>
      </c>
      <c r="N952" s="43" t="str">
        <f>IFERROR(IF(VLOOKUP(B952,Baza[[№]:[Profit]],11,0)=0,"-",VLOOKUP(B952,Baza[[№]:[Profit]],11,0)),"")</f>
        <v/>
      </c>
      <c r="O952" s="43" t="str">
        <f>IFERROR(IF(VLOOKUP(B952,Baza[[№]:[Profit]],12,0)=0,"-",VLOOKUP(B952,Baza[[№]:[Profit]],12,0)),"")</f>
        <v/>
      </c>
      <c r="P952" s="43" t="str">
        <f>IFERROR(IF(VLOOKUP(B952,Baza[[№]:[Profit]],13,0)=0,"-",VLOOKUP(B952,Baza[[№]:[Profit]],13,0)),"")</f>
        <v/>
      </c>
      <c r="Q952" s="43" t="str">
        <f>IFERROR(IF(VLOOKUP(B952,Baza[[№]:[Profit]],15,0)=0,"-",VLOOKUP(B952,Baza[[№]:[Profit]],15,0)),"")</f>
        <v/>
      </c>
      <c r="R952" s="43" t="str">
        <f>IFERROR(IF(VLOOKUP(B952,Baza[[№]:[Profit]],16,0)=0,"-",VLOOKUP(B952,Baza[[№]:[Profit]],16,0)),"")</f>
        <v/>
      </c>
      <c r="S952" s="43" t="str">
        <f>IFERROR(IF(VLOOKUP(B952,Baza[[№]:[Profit]],17,0)=0,"-",VLOOKUP(B952,Baza[[№]:[Profit]],17,0)),"")</f>
        <v/>
      </c>
      <c r="T952" s="43" t="str">
        <f>IFERROR(IF(VLOOKUP(B952,Baza[[№]:[Profit]],18,0)=0,"-",VLOOKUP(B952,Baza[[№]:[Profit]],18,0)),"")</f>
        <v/>
      </c>
      <c r="U952" s="41" t="str">
        <f>IFERROR(IF(VLOOKUP(B952,Baza[[№]:[Profit]],19,0)=0,"-",VLOOKUP(B952,Baza[[№]:[Profit]],19,0)),"")</f>
        <v/>
      </c>
      <c r="V952" s="41" t="str">
        <f>IFERROR(VLOOKUP(B952,Baza[[№]:[Profit]],20,0),"")</f>
        <v/>
      </c>
      <c r="W952" s="41" t="str">
        <f>IFERROR(IF(VLOOKUP(B952,Baza[[№]:[Profit]],21,0)=0,"-",VLOOKUP(B952,Baza[[№]:[Profit]],21,0)),"")</f>
        <v/>
      </c>
      <c r="X952" s="45" t="str">
        <f>IFERROR(IF(VLOOKUP(B952,Baza[[№]:[Profit]],22,0)=0,"-",VLOOKUP(B952,Baza[[№]:[Profit]],22,0)),"")</f>
        <v/>
      </c>
      <c r="Y952" s="45" t="str">
        <f>IFERROR(VLOOKUP(B952,Baza[[№]:[Profit]],23,0),"")</f>
        <v/>
      </c>
      <c r="Z952" s="44" t="str">
        <f>IFERROR(VLOOKUP(B952,Baza[[№]:[AFS]],24,0),"")</f>
        <v/>
      </c>
      <c r="AA952" s="45" t="str">
        <f>IF(Таблица2[[#This Row],[Profit]]="","#Н/Д",SUM($Y$40:Y952))</f>
        <v>#Н/Д</v>
      </c>
      <c r="AB952" s="45" t="b">
        <f>IF(Таблица2[[#This Row],[Grafik]]="#Н/Д",FALSE,TRUE)</f>
        <v>0</v>
      </c>
    </row>
    <row r="953" spans="3:28" ht="11.1" hidden="1" customHeight="1" x14ac:dyDescent="0.25">
      <c r="C953" s="41" t="str">
        <f>IFERROR(VLOOKUP(B953,Baza[[№]:[Profit]],2,0),"")</f>
        <v/>
      </c>
      <c r="D95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5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53" s="43" t="str">
        <f>IFERROR(VLOOKUP(B953,Baza[[№]:[Profit]],3,0),"")</f>
        <v/>
      </c>
      <c r="G953" s="43" t="str">
        <f>IFERROR(VLOOKUP(B953,Baza[[№]:[Profit]],4,0),"")</f>
        <v/>
      </c>
      <c r="H953" s="43" t="str">
        <f>IFERROR(VLOOKUP(B953,Baza[[№]:[Profit]],5,0),"")</f>
        <v/>
      </c>
      <c r="I953" s="46" t="str">
        <f>IFERROR(VLOOKUP(B953,Baza[[№]:[Profit]],6,0),"")</f>
        <v/>
      </c>
      <c r="J953" s="49" t="str">
        <f>IFERROR(VLOOKUP(B953,Baza[[№]:[Profit]],7,0),"")</f>
        <v/>
      </c>
      <c r="K953" s="43" t="str">
        <f>IFERROR(VLOOKUP(B953,Baza[[№]:[Profit]],8,0),"")</f>
        <v/>
      </c>
      <c r="L953" s="43" t="str">
        <f>IFERROR(VLOOKUP(B953,Baza[[№]:[Profit]],9,0),"")</f>
        <v/>
      </c>
      <c r="M953" s="43" t="str">
        <f>IFERROR(VLOOKUP(B953,Baza[[№]:[Profit]],10,0),"")</f>
        <v/>
      </c>
      <c r="N953" s="43" t="str">
        <f>IFERROR(IF(VLOOKUP(B953,Baza[[№]:[Profit]],11,0)=0,"-",VLOOKUP(B953,Baza[[№]:[Profit]],11,0)),"")</f>
        <v/>
      </c>
      <c r="O953" s="43" t="str">
        <f>IFERROR(IF(VLOOKUP(B953,Baza[[№]:[Profit]],12,0)=0,"-",VLOOKUP(B953,Baza[[№]:[Profit]],12,0)),"")</f>
        <v/>
      </c>
      <c r="P953" s="43" t="str">
        <f>IFERROR(IF(VLOOKUP(B953,Baza[[№]:[Profit]],13,0)=0,"-",VLOOKUP(B953,Baza[[№]:[Profit]],13,0)),"")</f>
        <v/>
      </c>
      <c r="Q953" s="43" t="str">
        <f>IFERROR(IF(VLOOKUP(B953,Baza[[№]:[Profit]],15,0)=0,"-",VLOOKUP(B953,Baza[[№]:[Profit]],15,0)),"")</f>
        <v/>
      </c>
      <c r="R953" s="43" t="str">
        <f>IFERROR(IF(VLOOKUP(B953,Baza[[№]:[Profit]],16,0)=0,"-",VLOOKUP(B953,Baza[[№]:[Profit]],16,0)),"")</f>
        <v/>
      </c>
      <c r="S953" s="43" t="str">
        <f>IFERROR(IF(VLOOKUP(B953,Baza[[№]:[Profit]],17,0)=0,"-",VLOOKUP(B953,Baza[[№]:[Profit]],17,0)),"")</f>
        <v/>
      </c>
      <c r="T953" s="43" t="str">
        <f>IFERROR(IF(VLOOKUP(B953,Baza[[№]:[Profit]],18,0)=0,"-",VLOOKUP(B953,Baza[[№]:[Profit]],18,0)),"")</f>
        <v/>
      </c>
      <c r="U953" s="41" t="str">
        <f>IFERROR(IF(VLOOKUP(B953,Baza[[№]:[Profit]],19,0)=0,"-",VLOOKUP(B953,Baza[[№]:[Profit]],19,0)),"")</f>
        <v/>
      </c>
      <c r="V953" s="41" t="str">
        <f>IFERROR(VLOOKUP(B953,Baza[[№]:[Profit]],20,0),"")</f>
        <v/>
      </c>
      <c r="W953" s="41" t="str">
        <f>IFERROR(IF(VLOOKUP(B953,Baza[[№]:[Profit]],21,0)=0,"-",VLOOKUP(B953,Baza[[№]:[Profit]],21,0)),"")</f>
        <v/>
      </c>
      <c r="X953" s="45" t="str">
        <f>IFERROR(IF(VLOOKUP(B953,Baza[[№]:[Profit]],22,0)=0,"-",VLOOKUP(B953,Baza[[№]:[Profit]],22,0)),"")</f>
        <v/>
      </c>
      <c r="Y953" s="45" t="str">
        <f>IFERROR(VLOOKUP(B953,Baza[[№]:[Profit]],23,0),"")</f>
        <v/>
      </c>
      <c r="Z953" s="44" t="str">
        <f>IFERROR(VLOOKUP(B953,Baza[[№]:[AFS]],24,0),"")</f>
        <v/>
      </c>
      <c r="AA953" s="45" t="str">
        <f>IF(Таблица2[[#This Row],[Profit]]="","#Н/Д",SUM($Y$40:Y953))</f>
        <v>#Н/Д</v>
      </c>
      <c r="AB953" s="45" t="b">
        <f>IF(Таблица2[[#This Row],[Grafik]]="#Н/Д",FALSE,TRUE)</f>
        <v>0</v>
      </c>
    </row>
    <row r="954" spans="3:28" ht="11.1" hidden="1" customHeight="1" x14ac:dyDescent="0.25">
      <c r="C954" s="41" t="str">
        <f>IFERROR(VLOOKUP(B954,Baza[[№]:[Profit]],2,0),"")</f>
        <v/>
      </c>
      <c r="D95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5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54" s="43" t="str">
        <f>IFERROR(VLOOKUP(B954,Baza[[№]:[Profit]],3,0),"")</f>
        <v/>
      </c>
      <c r="G954" s="43" t="str">
        <f>IFERROR(VLOOKUP(B954,Baza[[№]:[Profit]],4,0),"")</f>
        <v/>
      </c>
      <c r="H954" s="43" t="str">
        <f>IFERROR(VLOOKUP(B954,Baza[[№]:[Profit]],5,0),"")</f>
        <v/>
      </c>
      <c r="I954" s="46" t="str">
        <f>IFERROR(VLOOKUP(B954,Baza[[№]:[Profit]],6,0),"")</f>
        <v/>
      </c>
      <c r="J954" s="49" t="str">
        <f>IFERROR(VLOOKUP(B954,Baza[[№]:[Profit]],7,0),"")</f>
        <v/>
      </c>
      <c r="K954" s="43" t="str">
        <f>IFERROR(VLOOKUP(B954,Baza[[№]:[Profit]],8,0),"")</f>
        <v/>
      </c>
      <c r="L954" s="43" t="str">
        <f>IFERROR(VLOOKUP(B954,Baza[[№]:[Profit]],9,0),"")</f>
        <v/>
      </c>
      <c r="M954" s="43" t="str">
        <f>IFERROR(VLOOKUP(B954,Baza[[№]:[Profit]],10,0),"")</f>
        <v/>
      </c>
      <c r="N954" s="43" t="str">
        <f>IFERROR(IF(VLOOKUP(B954,Baza[[№]:[Profit]],11,0)=0,"-",VLOOKUP(B954,Baza[[№]:[Profit]],11,0)),"")</f>
        <v/>
      </c>
      <c r="O954" s="43" t="str">
        <f>IFERROR(IF(VLOOKUP(B954,Baza[[№]:[Profit]],12,0)=0,"-",VLOOKUP(B954,Baza[[№]:[Profit]],12,0)),"")</f>
        <v/>
      </c>
      <c r="P954" s="43" t="str">
        <f>IFERROR(IF(VLOOKUP(B954,Baza[[№]:[Profit]],13,0)=0,"-",VLOOKUP(B954,Baza[[№]:[Profit]],13,0)),"")</f>
        <v/>
      </c>
      <c r="Q954" s="43" t="str">
        <f>IFERROR(IF(VLOOKUP(B954,Baza[[№]:[Profit]],15,0)=0,"-",VLOOKUP(B954,Baza[[№]:[Profit]],15,0)),"")</f>
        <v/>
      </c>
      <c r="R954" s="43" t="str">
        <f>IFERROR(IF(VLOOKUP(B954,Baza[[№]:[Profit]],16,0)=0,"-",VLOOKUP(B954,Baza[[№]:[Profit]],16,0)),"")</f>
        <v/>
      </c>
      <c r="S954" s="43" t="str">
        <f>IFERROR(IF(VLOOKUP(B954,Baza[[№]:[Profit]],17,0)=0,"-",VLOOKUP(B954,Baza[[№]:[Profit]],17,0)),"")</f>
        <v/>
      </c>
      <c r="T954" s="43" t="str">
        <f>IFERROR(IF(VLOOKUP(B954,Baza[[№]:[Profit]],18,0)=0,"-",VLOOKUP(B954,Baza[[№]:[Profit]],18,0)),"")</f>
        <v/>
      </c>
      <c r="U954" s="41" t="str">
        <f>IFERROR(IF(VLOOKUP(B954,Baza[[№]:[Profit]],19,0)=0,"-",VLOOKUP(B954,Baza[[№]:[Profit]],19,0)),"")</f>
        <v/>
      </c>
      <c r="V954" s="41" t="str">
        <f>IFERROR(VLOOKUP(B954,Baza[[№]:[Profit]],20,0),"")</f>
        <v/>
      </c>
      <c r="W954" s="41" t="str">
        <f>IFERROR(IF(VLOOKUP(B954,Baza[[№]:[Profit]],21,0)=0,"-",VLOOKUP(B954,Baza[[№]:[Profit]],21,0)),"")</f>
        <v/>
      </c>
      <c r="X954" s="45" t="str">
        <f>IFERROR(IF(VLOOKUP(B954,Baza[[№]:[Profit]],22,0)=0,"-",VLOOKUP(B954,Baza[[№]:[Profit]],22,0)),"")</f>
        <v/>
      </c>
      <c r="Y954" s="45" t="str">
        <f>IFERROR(VLOOKUP(B954,Baza[[№]:[Profit]],23,0),"")</f>
        <v/>
      </c>
      <c r="Z954" s="44" t="str">
        <f>IFERROR(VLOOKUP(B954,Baza[[№]:[AFS]],24,0),"")</f>
        <v/>
      </c>
      <c r="AA954" s="45" t="str">
        <f>IF(Таблица2[[#This Row],[Profit]]="","#Н/Д",SUM($Y$40:Y954))</f>
        <v>#Н/Д</v>
      </c>
      <c r="AB954" s="45" t="b">
        <f>IF(Таблица2[[#This Row],[Grafik]]="#Н/Д",FALSE,TRUE)</f>
        <v>0</v>
      </c>
    </row>
    <row r="955" spans="3:28" ht="11.1" hidden="1" customHeight="1" x14ac:dyDescent="0.25">
      <c r="C955" s="41" t="str">
        <f>IFERROR(VLOOKUP(B955,Baza[[№]:[Profit]],2,0),"")</f>
        <v/>
      </c>
      <c r="D95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5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55" s="43" t="str">
        <f>IFERROR(VLOOKUP(B955,Baza[[№]:[Profit]],3,0),"")</f>
        <v/>
      </c>
      <c r="G955" s="43" t="str">
        <f>IFERROR(VLOOKUP(B955,Baza[[№]:[Profit]],4,0),"")</f>
        <v/>
      </c>
      <c r="H955" s="43" t="str">
        <f>IFERROR(VLOOKUP(B955,Baza[[№]:[Profit]],5,0),"")</f>
        <v/>
      </c>
      <c r="I955" s="46" t="str">
        <f>IFERROR(VLOOKUP(B955,Baza[[№]:[Profit]],6,0),"")</f>
        <v/>
      </c>
      <c r="J955" s="49" t="str">
        <f>IFERROR(VLOOKUP(B955,Baza[[№]:[Profit]],7,0),"")</f>
        <v/>
      </c>
      <c r="K955" s="43" t="str">
        <f>IFERROR(VLOOKUP(B955,Baza[[№]:[Profit]],8,0),"")</f>
        <v/>
      </c>
      <c r="L955" s="43" t="str">
        <f>IFERROR(VLOOKUP(B955,Baza[[№]:[Profit]],9,0),"")</f>
        <v/>
      </c>
      <c r="M955" s="43" t="str">
        <f>IFERROR(VLOOKUP(B955,Baza[[№]:[Profit]],10,0),"")</f>
        <v/>
      </c>
      <c r="N955" s="43" t="str">
        <f>IFERROR(IF(VLOOKUP(B955,Baza[[№]:[Profit]],11,0)=0,"-",VLOOKUP(B955,Baza[[№]:[Profit]],11,0)),"")</f>
        <v/>
      </c>
      <c r="O955" s="43" t="str">
        <f>IFERROR(IF(VLOOKUP(B955,Baza[[№]:[Profit]],12,0)=0,"-",VLOOKUP(B955,Baza[[№]:[Profit]],12,0)),"")</f>
        <v/>
      </c>
      <c r="P955" s="43" t="str">
        <f>IFERROR(IF(VLOOKUP(B955,Baza[[№]:[Profit]],13,0)=0,"-",VLOOKUP(B955,Baza[[№]:[Profit]],13,0)),"")</f>
        <v/>
      </c>
      <c r="Q955" s="43" t="str">
        <f>IFERROR(IF(VLOOKUP(B955,Baza[[№]:[Profit]],15,0)=0,"-",VLOOKUP(B955,Baza[[№]:[Profit]],15,0)),"")</f>
        <v/>
      </c>
      <c r="R955" s="43" t="str">
        <f>IFERROR(IF(VLOOKUP(B955,Baza[[№]:[Profit]],16,0)=0,"-",VLOOKUP(B955,Baza[[№]:[Profit]],16,0)),"")</f>
        <v/>
      </c>
      <c r="S955" s="43" t="str">
        <f>IFERROR(IF(VLOOKUP(B955,Baza[[№]:[Profit]],17,0)=0,"-",VLOOKUP(B955,Baza[[№]:[Profit]],17,0)),"")</f>
        <v/>
      </c>
      <c r="T955" s="43" t="str">
        <f>IFERROR(IF(VLOOKUP(B955,Baza[[№]:[Profit]],18,0)=0,"-",VLOOKUP(B955,Baza[[№]:[Profit]],18,0)),"")</f>
        <v/>
      </c>
      <c r="U955" s="41" t="str">
        <f>IFERROR(IF(VLOOKUP(B955,Baza[[№]:[Profit]],19,0)=0,"-",VLOOKUP(B955,Baza[[№]:[Profit]],19,0)),"")</f>
        <v/>
      </c>
      <c r="V955" s="41" t="str">
        <f>IFERROR(VLOOKUP(B955,Baza[[№]:[Profit]],20,0),"")</f>
        <v/>
      </c>
      <c r="W955" s="41" t="str">
        <f>IFERROR(IF(VLOOKUP(B955,Baza[[№]:[Profit]],21,0)=0,"-",VLOOKUP(B955,Baza[[№]:[Profit]],21,0)),"")</f>
        <v/>
      </c>
      <c r="X955" s="45" t="str">
        <f>IFERROR(IF(VLOOKUP(B955,Baza[[№]:[Profit]],22,0)=0,"-",VLOOKUP(B955,Baza[[№]:[Profit]],22,0)),"")</f>
        <v/>
      </c>
      <c r="Y955" s="45" t="str">
        <f>IFERROR(VLOOKUP(B955,Baza[[№]:[Profit]],23,0),"")</f>
        <v/>
      </c>
      <c r="Z955" s="44" t="str">
        <f>IFERROR(VLOOKUP(B955,Baza[[№]:[AFS]],24,0),"")</f>
        <v/>
      </c>
      <c r="AA955" s="45" t="str">
        <f>IF(Таблица2[[#This Row],[Profit]]="","#Н/Д",SUM($Y$40:Y955))</f>
        <v>#Н/Д</v>
      </c>
      <c r="AB955" s="45" t="b">
        <f>IF(Таблица2[[#This Row],[Grafik]]="#Н/Д",FALSE,TRUE)</f>
        <v>0</v>
      </c>
    </row>
    <row r="956" spans="3:28" ht="11.1" hidden="1" customHeight="1" x14ac:dyDescent="0.25">
      <c r="C956" s="41" t="str">
        <f>IFERROR(VLOOKUP(B956,Baza[[№]:[Profit]],2,0),"")</f>
        <v/>
      </c>
      <c r="D95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5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56" s="43" t="str">
        <f>IFERROR(VLOOKUP(B956,Baza[[№]:[Profit]],3,0),"")</f>
        <v/>
      </c>
      <c r="G956" s="43" t="str">
        <f>IFERROR(VLOOKUP(B956,Baza[[№]:[Profit]],4,0),"")</f>
        <v/>
      </c>
      <c r="H956" s="43" t="str">
        <f>IFERROR(VLOOKUP(B956,Baza[[№]:[Profit]],5,0),"")</f>
        <v/>
      </c>
      <c r="I956" s="46" t="str">
        <f>IFERROR(VLOOKUP(B956,Baza[[№]:[Profit]],6,0),"")</f>
        <v/>
      </c>
      <c r="J956" s="49" t="str">
        <f>IFERROR(VLOOKUP(B956,Baza[[№]:[Profit]],7,0),"")</f>
        <v/>
      </c>
      <c r="K956" s="43" t="str">
        <f>IFERROR(VLOOKUP(B956,Baza[[№]:[Profit]],8,0),"")</f>
        <v/>
      </c>
      <c r="L956" s="43" t="str">
        <f>IFERROR(VLOOKUP(B956,Baza[[№]:[Profit]],9,0),"")</f>
        <v/>
      </c>
      <c r="M956" s="43" t="str">
        <f>IFERROR(VLOOKUP(B956,Baza[[№]:[Profit]],10,0),"")</f>
        <v/>
      </c>
      <c r="N956" s="43" t="str">
        <f>IFERROR(IF(VLOOKUP(B956,Baza[[№]:[Profit]],11,0)=0,"-",VLOOKUP(B956,Baza[[№]:[Profit]],11,0)),"")</f>
        <v/>
      </c>
      <c r="O956" s="43" t="str">
        <f>IFERROR(IF(VLOOKUP(B956,Baza[[№]:[Profit]],12,0)=0,"-",VLOOKUP(B956,Baza[[№]:[Profit]],12,0)),"")</f>
        <v/>
      </c>
      <c r="P956" s="43" t="str">
        <f>IFERROR(IF(VLOOKUP(B956,Baza[[№]:[Profit]],13,0)=0,"-",VLOOKUP(B956,Baza[[№]:[Profit]],13,0)),"")</f>
        <v/>
      </c>
      <c r="Q956" s="43" t="str">
        <f>IFERROR(IF(VLOOKUP(B956,Baza[[№]:[Profit]],15,0)=0,"-",VLOOKUP(B956,Baza[[№]:[Profit]],15,0)),"")</f>
        <v/>
      </c>
      <c r="R956" s="43" t="str">
        <f>IFERROR(IF(VLOOKUP(B956,Baza[[№]:[Profit]],16,0)=0,"-",VLOOKUP(B956,Baza[[№]:[Profit]],16,0)),"")</f>
        <v/>
      </c>
      <c r="S956" s="43" t="str">
        <f>IFERROR(IF(VLOOKUP(B956,Baza[[№]:[Profit]],17,0)=0,"-",VLOOKUP(B956,Baza[[№]:[Profit]],17,0)),"")</f>
        <v/>
      </c>
      <c r="T956" s="43" t="str">
        <f>IFERROR(IF(VLOOKUP(B956,Baza[[№]:[Profit]],18,0)=0,"-",VLOOKUP(B956,Baza[[№]:[Profit]],18,0)),"")</f>
        <v/>
      </c>
      <c r="U956" s="41" t="str">
        <f>IFERROR(IF(VLOOKUP(B956,Baza[[№]:[Profit]],19,0)=0,"-",VLOOKUP(B956,Baza[[№]:[Profit]],19,0)),"")</f>
        <v/>
      </c>
      <c r="V956" s="41" t="str">
        <f>IFERROR(VLOOKUP(B956,Baza[[№]:[Profit]],20,0),"")</f>
        <v/>
      </c>
      <c r="W956" s="41" t="str">
        <f>IFERROR(IF(VLOOKUP(B956,Baza[[№]:[Profit]],21,0)=0,"-",VLOOKUP(B956,Baza[[№]:[Profit]],21,0)),"")</f>
        <v/>
      </c>
      <c r="X956" s="45" t="str">
        <f>IFERROR(IF(VLOOKUP(B956,Baza[[№]:[Profit]],22,0)=0,"-",VLOOKUP(B956,Baza[[№]:[Profit]],22,0)),"")</f>
        <v/>
      </c>
      <c r="Y956" s="45" t="str">
        <f>IFERROR(VLOOKUP(B956,Baza[[№]:[Profit]],23,0),"")</f>
        <v/>
      </c>
      <c r="Z956" s="44" t="str">
        <f>IFERROR(VLOOKUP(B956,Baza[[№]:[AFS]],24,0),"")</f>
        <v/>
      </c>
      <c r="AA956" s="45" t="str">
        <f>IF(Таблица2[[#This Row],[Profit]]="","#Н/Д",SUM($Y$40:Y956))</f>
        <v>#Н/Д</v>
      </c>
      <c r="AB956" s="45" t="b">
        <f>IF(Таблица2[[#This Row],[Grafik]]="#Н/Д",FALSE,TRUE)</f>
        <v>0</v>
      </c>
    </row>
    <row r="957" spans="3:28" ht="11.1" hidden="1" customHeight="1" x14ac:dyDescent="0.25">
      <c r="C957" s="41" t="str">
        <f>IFERROR(VLOOKUP(B957,Baza[[№]:[Profit]],2,0),"")</f>
        <v/>
      </c>
      <c r="D95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5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57" s="43" t="str">
        <f>IFERROR(VLOOKUP(B957,Baza[[№]:[Profit]],3,0),"")</f>
        <v/>
      </c>
      <c r="G957" s="43" t="str">
        <f>IFERROR(VLOOKUP(B957,Baza[[№]:[Profit]],4,0),"")</f>
        <v/>
      </c>
      <c r="H957" s="43" t="str">
        <f>IFERROR(VLOOKUP(B957,Baza[[№]:[Profit]],5,0),"")</f>
        <v/>
      </c>
      <c r="I957" s="46" t="str">
        <f>IFERROR(VLOOKUP(B957,Baza[[№]:[Profit]],6,0),"")</f>
        <v/>
      </c>
      <c r="J957" s="49" t="str">
        <f>IFERROR(VLOOKUP(B957,Baza[[№]:[Profit]],7,0),"")</f>
        <v/>
      </c>
      <c r="K957" s="43" t="str">
        <f>IFERROR(VLOOKUP(B957,Baza[[№]:[Profit]],8,0),"")</f>
        <v/>
      </c>
      <c r="L957" s="43" t="str">
        <f>IFERROR(VLOOKUP(B957,Baza[[№]:[Profit]],9,0),"")</f>
        <v/>
      </c>
      <c r="M957" s="43" t="str">
        <f>IFERROR(VLOOKUP(B957,Baza[[№]:[Profit]],10,0),"")</f>
        <v/>
      </c>
      <c r="N957" s="43" t="str">
        <f>IFERROR(IF(VLOOKUP(B957,Baza[[№]:[Profit]],11,0)=0,"-",VLOOKUP(B957,Baza[[№]:[Profit]],11,0)),"")</f>
        <v/>
      </c>
      <c r="O957" s="43" t="str">
        <f>IFERROR(IF(VLOOKUP(B957,Baza[[№]:[Profit]],12,0)=0,"-",VLOOKUP(B957,Baza[[№]:[Profit]],12,0)),"")</f>
        <v/>
      </c>
      <c r="P957" s="43" t="str">
        <f>IFERROR(IF(VLOOKUP(B957,Baza[[№]:[Profit]],13,0)=0,"-",VLOOKUP(B957,Baza[[№]:[Profit]],13,0)),"")</f>
        <v/>
      </c>
      <c r="Q957" s="43" t="str">
        <f>IFERROR(IF(VLOOKUP(B957,Baza[[№]:[Profit]],15,0)=0,"-",VLOOKUP(B957,Baza[[№]:[Profit]],15,0)),"")</f>
        <v/>
      </c>
      <c r="R957" s="43" t="str">
        <f>IFERROR(IF(VLOOKUP(B957,Baza[[№]:[Profit]],16,0)=0,"-",VLOOKUP(B957,Baza[[№]:[Profit]],16,0)),"")</f>
        <v/>
      </c>
      <c r="S957" s="43" t="str">
        <f>IFERROR(IF(VLOOKUP(B957,Baza[[№]:[Profit]],17,0)=0,"-",VLOOKUP(B957,Baza[[№]:[Profit]],17,0)),"")</f>
        <v/>
      </c>
      <c r="T957" s="43" t="str">
        <f>IFERROR(IF(VLOOKUP(B957,Baza[[№]:[Profit]],18,0)=0,"-",VLOOKUP(B957,Baza[[№]:[Profit]],18,0)),"")</f>
        <v/>
      </c>
      <c r="U957" s="41" t="str">
        <f>IFERROR(IF(VLOOKUP(B957,Baza[[№]:[Profit]],19,0)=0,"-",VLOOKUP(B957,Baza[[№]:[Profit]],19,0)),"")</f>
        <v/>
      </c>
      <c r="V957" s="41" t="str">
        <f>IFERROR(VLOOKUP(B957,Baza[[№]:[Profit]],20,0),"")</f>
        <v/>
      </c>
      <c r="W957" s="41" t="str">
        <f>IFERROR(IF(VLOOKUP(B957,Baza[[№]:[Profit]],21,0)=0,"-",VLOOKUP(B957,Baza[[№]:[Profit]],21,0)),"")</f>
        <v/>
      </c>
      <c r="X957" s="45" t="str">
        <f>IFERROR(IF(VLOOKUP(B957,Baza[[№]:[Profit]],22,0)=0,"-",VLOOKUP(B957,Baza[[№]:[Profit]],22,0)),"")</f>
        <v/>
      </c>
      <c r="Y957" s="45" t="str">
        <f>IFERROR(VLOOKUP(B957,Baza[[№]:[Profit]],23,0),"")</f>
        <v/>
      </c>
      <c r="Z957" s="44" t="str">
        <f>IFERROR(VLOOKUP(B957,Baza[[№]:[AFS]],24,0),"")</f>
        <v/>
      </c>
      <c r="AA957" s="45" t="str">
        <f>IF(Таблица2[[#This Row],[Profit]]="","#Н/Д",SUM($Y$40:Y957))</f>
        <v>#Н/Д</v>
      </c>
      <c r="AB957" s="45" t="b">
        <f>IF(Таблица2[[#This Row],[Grafik]]="#Н/Д",FALSE,TRUE)</f>
        <v>0</v>
      </c>
    </row>
    <row r="958" spans="3:28" ht="11.1" hidden="1" customHeight="1" x14ac:dyDescent="0.25">
      <c r="C958" s="41" t="str">
        <f>IFERROR(VLOOKUP(B958,Baza[[№]:[Profit]],2,0),"")</f>
        <v/>
      </c>
      <c r="D95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5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58" s="43" t="str">
        <f>IFERROR(VLOOKUP(B958,Baza[[№]:[Profit]],3,0),"")</f>
        <v/>
      </c>
      <c r="G958" s="43" t="str">
        <f>IFERROR(VLOOKUP(B958,Baza[[№]:[Profit]],4,0),"")</f>
        <v/>
      </c>
      <c r="H958" s="43" t="str">
        <f>IFERROR(VLOOKUP(B958,Baza[[№]:[Profit]],5,0),"")</f>
        <v/>
      </c>
      <c r="I958" s="46" t="str">
        <f>IFERROR(VLOOKUP(B958,Baza[[№]:[Profit]],6,0),"")</f>
        <v/>
      </c>
      <c r="J958" s="49" t="str">
        <f>IFERROR(VLOOKUP(B958,Baza[[№]:[Profit]],7,0),"")</f>
        <v/>
      </c>
      <c r="K958" s="43" t="str">
        <f>IFERROR(VLOOKUP(B958,Baza[[№]:[Profit]],8,0),"")</f>
        <v/>
      </c>
      <c r="L958" s="43" t="str">
        <f>IFERROR(VLOOKUP(B958,Baza[[№]:[Profit]],9,0),"")</f>
        <v/>
      </c>
      <c r="M958" s="43" t="str">
        <f>IFERROR(VLOOKUP(B958,Baza[[№]:[Profit]],10,0),"")</f>
        <v/>
      </c>
      <c r="N958" s="43" t="str">
        <f>IFERROR(IF(VLOOKUP(B958,Baza[[№]:[Profit]],11,0)=0,"-",VLOOKUP(B958,Baza[[№]:[Profit]],11,0)),"")</f>
        <v/>
      </c>
      <c r="O958" s="43" t="str">
        <f>IFERROR(IF(VLOOKUP(B958,Baza[[№]:[Profit]],12,0)=0,"-",VLOOKUP(B958,Baza[[№]:[Profit]],12,0)),"")</f>
        <v/>
      </c>
      <c r="P958" s="43" t="str">
        <f>IFERROR(IF(VLOOKUP(B958,Baza[[№]:[Profit]],13,0)=0,"-",VLOOKUP(B958,Baza[[№]:[Profit]],13,0)),"")</f>
        <v/>
      </c>
      <c r="Q958" s="43" t="str">
        <f>IFERROR(IF(VLOOKUP(B958,Baza[[№]:[Profit]],15,0)=0,"-",VLOOKUP(B958,Baza[[№]:[Profit]],15,0)),"")</f>
        <v/>
      </c>
      <c r="R958" s="43" t="str">
        <f>IFERROR(IF(VLOOKUP(B958,Baza[[№]:[Profit]],16,0)=0,"-",VLOOKUP(B958,Baza[[№]:[Profit]],16,0)),"")</f>
        <v/>
      </c>
      <c r="S958" s="43" t="str">
        <f>IFERROR(IF(VLOOKUP(B958,Baza[[№]:[Profit]],17,0)=0,"-",VLOOKUP(B958,Baza[[№]:[Profit]],17,0)),"")</f>
        <v/>
      </c>
      <c r="T958" s="43" t="str">
        <f>IFERROR(IF(VLOOKUP(B958,Baza[[№]:[Profit]],18,0)=0,"-",VLOOKUP(B958,Baza[[№]:[Profit]],18,0)),"")</f>
        <v/>
      </c>
      <c r="U958" s="41" t="str">
        <f>IFERROR(IF(VLOOKUP(B958,Baza[[№]:[Profit]],19,0)=0,"-",VLOOKUP(B958,Baza[[№]:[Profit]],19,0)),"")</f>
        <v/>
      </c>
      <c r="V958" s="41" t="str">
        <f>IFERROR(VLOOKUP(B958,Baza[[№]:[Profit]],20,0),"")</f>
        <v/>
      </c>
      <c r="W958" s="41" t="str">
        <f>IFERROR(IF(VLOOKUP(B958,Baza[[№]:[Profit]],21,0)=0,"-",VLOOKUP(B958,Baza[[№]:[Profit]],21,0)),"")</f>
        <v/>
      </c>
      <c r="X958" s="45" t="str">
        <f>IFERROR(IF(VLOOKUP(B958,Baza[[№]:[Profit]],22,0)=0,"-",VLOOKUP(B958,Baza[[№]:[Profit]],22,0)),"")</f>
        <v/>
      </c>
      <c r="Y958" s="45" t="str">
        <f>IFERROR(VLOOKUP(B958,Baza[[№]:[Profit]],23,0),"")</f>
        <v/>
      </c>
      <c r="Z958" s="44" t="str">
        <f>IFERROR(VLOOKUP(B958,Baza[[№]:[AFS]],24,0),"")</f>
        <v/>
      </c>
      <c r="AA958" s="45" t="str">
        <f>IF(Таблица2[[#This Row],[Profit]]="","#Н/Д",SUM($Y$40:Y958))</f>
        <v>#Н/Д</v>
      </c>
      <c r="AB958" s="45" t="b">
        <f>IF(Таблица2[[#This Row],[Grafik]]="#Н/Д",FALSE,TRUE)</f>
        <v>0</v>
      </c>
    </row>
    <row r="959" spans="3:28" ht="11.1" hidden="1" customHeight="1" x14ac:dyDescent="0.25">
      <c r="C959" s="41" t="str">
        <f>IFERROR(VLOOKUP(B959,Baza[[№]:[Profit]],2,0),"")</f>
        <v/>
      </c>
      <c r="D95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5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59" s="43" t="str">
        <f>IFERROR(VLOOKUP(B959,Baza[[№]:[Profit]],3,0),"")</f>
        <v/>
      </c>
      <c r="G959" s="43" t="str">
        <f>IFERROR(VLOOKUP(B959,Baza[[№]:[Profit]],4,0),"")</f>
        <v/>
      </c>
      <c r="H959" s="43" t="str">
        <f>IFERROR(VLOOKUP(B959,Baza[[№]:[Profit]],5,0),"")</f>
        <v/>
      </c>
      <c r="I959" s="46" t="str">
        <f>IFERROR(VLOOKUP(B959,Baza[[№]:[Profit]],6,0),"")</f>
        <v/>
      </c>
      <c r="J959" s="49" t="str">
        <f>IFERROR(VLOOKUP(B959,Baza[[№]:[Profit]],7,0),"")</f>
        <v/>
      </c>
      <c r="K959" s="43" t="str">
        <f>IFERROR(VLOOKUP(B959,Baza[[№]:[Profit]],8,0),"")</f>
        <v/>
      </c>
      <c r="L959" s="43" t="str">
        <f>IFERROR(VLOOKUP(B959,Baza[[№]:[Profit]],9,0),"")</f>
        <v/>
      </c>
      <c r="M959" s="43" t="str">
        <f>IFERROR(VLOOKUP(B959,Baza[[№]:[Profit]],10,0),"")</f>
        <v/>
      </c>
      <c r="N959" s="43" t="str">
        <f>IFERROR(IF(VLOOKUP(B959,Baza[[№]:[Profit]],11,0)=0,"-",VLOOKUP(B959,Baza[[№]:[Profit]],11,0)),"")</f>
        <v/>
      </c>
      <c r="O959" s="43" t="str">
        <f>IFERROR(IF(VLOOKUP(B959,Baza[[№]:[Profit]],12,0)=0,"-",VLOOKUP(B959,Baza[[№]:[Profit]],12,0)),"")</f>
        <v/>
      </c>
      <c r="P959" s="43" t="str">
        <f>IFERROR(IF(VLOOKUP(B959,Baza[[№]:[Profit]],13,0)=0,"-",VLOOKUP(B959,Baza[[№]:[Profit]],13,0)),"")</f>
        <v/>
      </c>
      <c r="Q959" s="43" t="str">
        <f>IFERROR(IF(VLOOKUP(B959,Baza[[№]:[Profit]],15,0)=0,"-",VLOOKUP(B959,Baza[[№]:[Profit]],15,0)),"")</f>
        <v/>
      </c>
      <c r="R959" s="43" t="str">
        <f>IFERROR(IF(VLOOKUP(B959,Baza[[№]:[Profit]],16,0)=0,"-",VLOOKUP(B959,Baza[[№]:[Profit]],16,0)),"")</f>
        <v/>
      </c>
      <c r="S959" s="43" t="str">
        <f>IFERROR(IF(VLOOKUP(B959,Baza[[№]:[Profit]],17,0)=0,"-",VLOOKUP(B959,Baza[[№]:[Profit]],17,0)),"")</f>
        <v/>
      </c>
      <c r="T959" s="43" t="str">
        <f>IFERROR(IF(VLOOKUP(B959,Baza[[№]:[Profit]],18,0)=0,"-",VLOOKUP(B959,Baza[[№]:[Profit]],18,0)),"")</f>
        <v/>
      </c>
      <c r="U959" s="41" t="str">
        <f>IFERROR(IF(VLOOKUP(B959,Baza[[№]:[Profit]],19,0)=0,"-",VLOOKUP(B959,Baza[[№]:[Profit]],19,0)),"")</f>
        <v/>
      </c>
      <c r="V959" s="41" t="str">
        <f>IFERROR(VLOOKUP(B959,Baza[[№]:[Profit]],20,0),"")</f>
        <v/>
      </c>
      <c r="W959" s="41" t="str">
        <f>IFERROR(IF(VLOOKUP(B959,Baza[[№]:[Profit]],21,0)=0,"-",VLOOKUP(B959,Baza[[№]:[Profit]],21,0)),"")</f>
        <v/>
      </c>
      <c r="X959" s="45" t="str">
        <f>IFERROR(IF(VLOOKUP(B959,Baza[[№]:[Profit]],22,0)=0,"-",VLOOKUP(B959,Baza[[№]:[Profit]],22,0)),"")</f>
        <v/>
      </c>
      <c r="Y959" s="45" t="str">
        <f>IFERROR(VLOOKUP(B959,Baza[[№]:[Profit]],23,0),"")</f>
        <v/>
      </c>
      <c r="Z959" s="44" t="str">
        <f>IFERROR(VLOOKUP(B959,Baza[[№]:[AFS]],24,0),"")</f>
        <v/>
      </c>
      <c r="AA959" s="45" t="str">
        <f>IF(Таблица2[[#This Row],[Profit]]="","#Н/Д",SUM($Y$40:Y959))</f>
        <v>#Н/Д</v>
      </c>
      <c r="AB959" s="45" t="b">
        <f>IF(Таблица2[[#This Row],[Grafik]]="#Н/Д",FALSE,TRUE)</f>
        <v>0</v>
      </c>
    </row>
    <row r="960" spans="3:28" ht="11.1" hidden="1" customHeight="1" x14ac:dyDescent="0.25">
      <c r="C960" s="41" t="str">
        <f>IFERROR(VLOOKUP(B960,Baza[[№]:[Profit]],2,0),"")</f>
        <v/>
      </c>
      <c r="D96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6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60" s="43" t="str">
        <f>IFERROR(VLOOKUP(B960,Baza[[№]:[Profit]],3,0),"")</f>
        <v/>
      </c>
      <c r="G960" s="43" t="str">
        <f>IFERROR(VLOOKUP(B960,Baza[[№]:[Profit]],4,0),"")</f>
        <v/>
      </c>
      <c r="H960" s="43" t="str">
        <f>IFERROR(VLOOKUP(B960,Baza[[№]:[Profit]],5,0),"")</f>
        <v/>
      </c>
      <c r="I960" s="46" t="str">
        <f>IFERROR(VLOOKUP(B960,Baza[[№]:[Profit]],6,0),"")</f>
        <v/>
      </c>
      <c r="J960" s="49" t="str">
        <f>IFERROR(VLOOKUP(B960,Baza[[№]:[Profit]],7,0),"")</f>
        <v/>
      </c>
      <c r="K960" s="43" t="str">
        <f>IFERROR(VLOOKUP(B960,Baza[[№]:[Profit]],8,0),"")</f>
        <v/>
      </c>
      <c r="L960" s="43" t="str">
        <f>IFERROR(VLOOKUP(B960,Baza[[№]:[Profit]],9,0),"")</f>
        <v/>
      </c>
      <c r="M960" s="43" t="str">
        <f>IFERROR(VLOOKUP(B960,Baza[[№]:[Profit]],10,0),"")</f>
        <v/>
      </c>
      <c r="N960" s="43" t="str">
        <f>IFERROR(IF(VLOOKUP(B960,Baza[[№]:[Profit]],11,0)=0,"-",VLOOKUP(B960,Baza[[№]:[Profit]],11,0)),"")</f>
        <v/>
      </c>
      <c r="O960" s="43" t="str">
        <f>IFERROR(IF(VLOOKUP(B960,Baza[[№]:[Profit]],12,0)=0,"-",VLOOKUP(B960,Baza[[№]:[Profit]],12,0)),"")</f>
        <v/>
      </c>
      <c r="P960" s="43" t="str">
        <f>IFERROR(IF(VLOOKUP(B960,Baza[[№]:[Profit]],13,0)=0,"-",VLOOKUP(B960,Baza[[№]:[Profit]],13,0)),"")</f>
        <v/>
      </c>
      <c r="Q960" s="43" t="str">
        <f>IFERROR(IF(VLOOKUP(B960,Baza[[№]:[Profit]],15,0)=0,"-",VLOOKUP(B960,Baza[[№]:[Profit]],15,0)),"")</f>
        <v/>
      </c>
      <c r="R960" s="43" t="str">
        <f>IFERROR(IF(VLOOKUP(B960,Baza[[№]:[Profit]],16,0)=0,"-",VLOOKUP(B960,Baza[[№]:[Profit]],16,0)),"")</f>
        <v/>
      </c>
      <c r="S960" s="43" t="str">
        <f>IFERROR(IF(VLOOKUP(B960,Baza[[№]:[Profit]],17,0)=0,"-",VLOOKUP(B960,Baza[[№]:[Profit]],17,0)),"")</f>
        <v/>
      </c>
      <c r="T960" s="43" t="str">
        <f>IFERROR(IF(VLOOKUP(B960,Baza[[№]:[Profit]],18,0)=0,"-",VLOOKUP(B960,Baza[[№]:[Profit]],18,0)),"")</f>
        <v/>
      </c>
      <c r="U960" s="41" t="str">
        <f>IFERROR(IF(VLOOKUP(B960,Baza[[№]:[Profit]],19,0)=0,"-",VLOOKUP(B960,Baza[[№]:[Profit]],19,0)),"")</f>
        <v/>
      </c>
      <c r="V960" s="41" t="str">
        <f>IFERROR(VLOOKUP(B960,Baza[[№]:[Profit]],20,0),"")</f>
        <v/>
      </c>
      <c r="W960" s="41" t="str">
        <f>IFERROR(IF(VLOOKUP(B960,Baza[[№]:[Profit]],21,0)=0,"-",VLOOKUP(B960,Baza[[№]:[Profit]],21,0)),"")</f>
        <v/>
      </c>
      <c r="X960" s="45" t="str">
        <f>IFERROR(IF(VLOOKUP(B960,Baza[[№]:[Profit]],22,0)=0,"-",VLOOKUP(B960,Baza[[№]:[Profit]],22,0)),"")</f>
        <v/>
      </c>
      <c r="Y960" s="45" t="str">
        <f>IFERROR(VLOOKUP(B960,Baza[[№]:[Profit]],23,0),"")</f>
        <v/>
      </c>
      <c r="Z960" s="44" t="str">
        <f>IFERROR(VLOOKUP(B960,Baza[[№]:[AFS]],24,0),"")</f>
        <v/>
      </c>
      <c r="AA960" s="45" t="str">
        <f>IF(Таблица2[[#This Row],[Profit]]="","#Н/Д",SUM($Y$40:Y960))</f>
        <v>#Н/Д</v>
      </c>
      <c r="AB960" s="45" t="b">
        <f>IF(Таблица2[[#This Row],[Grafik]]="#Н/Д",FALSE,TRUE)</f>
        <v>0</v>
      </c>
    </row>
    <row r="961" spans="3:28" ht="11.1" hidden="1" customHeight="1" x14ac:dyDescent="0.25">
      <c r="C961" s="41" t="str">
        <f>IFERROR(VLOOKUP(B961,Baza[[№]:[Profit]],2,0),"")</f>
        <v/>
      </c>
      <c r="D96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6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61" s="43" t="str">
        <f>IFERROR(VLOOKUP(B961,Baza[[№]:[Profit]],3,0),"")</f>
        <v/>
      </c>
      <c r="G961" s="43" t="str">
        <f>IFERROR(VLOOKUP(B961,Baza[[№]:[Profit]],4,0),"")</f>
        <v/>
      </c>
      <c r="H961" s="43" t="str">
        <f>IFERROR(VLOOKUP(B961,Baza[[№]:[Profit]],5,0),"")</f>
        <v/>
      </c>
      <c r="I961" s="46" t="str">
        <f>IFERROR(VLOOKUP(B961,Baza[[№]:[Profit]],6,0),"")</f>
        <v/>
      </c>
      <c r="J961" s="49" t="str">
        <f>IFERROR(VLOOKUP(B961,Baza[[№]:[Profit]],7,0),"")</f>
        <v/>
      </c>
      <c r="K961" s="43" t="str">
        <f>IFERROR(VLOOKUP(B961,Baza[[№]:[Profit]],8,0),"")</f>
        <v/>
      </c>
      <c r="L961" s="43" t="str">
        <f>IFERROR(VLOOKUP(B961,Baza[[№]:[Profit]],9,0),"")</f>
        <v/>
      </c>
      <c r="M961" s="43" t="str">
        <f>IFERROR(VLOOKUP(B961,Baza[[№]:[Profit]],10,0),"")</f>
        <v/>
      </c>
      <c r="N961" s="43" t="str">
        <f>IFERROR(IF(VLOOKUP(B961,Baza[[№]:[Profit]],11,0)=0,"-",VLOOKUP(B961,Baza[[№]:[Profit]],11,0)),"")</f>
        <v/>
      </c>
      <c r="O961" s="43" t="str">
        <f>IFERROR(IF(VLOOKUP(B961,Baza[[№]:[Profit]],12,0)=0,"-",VLOOKUP(B961,Baza[[№]:[Profit]],12,0)),"")</f>
        <v/>
      </c>
      <c r="P961" s="43" t="str">
        <f>IFERROR(IF(VLOOKUP(B961,Baza[[№]:[Profit]],13,0)=0,"-",VLOOKUP(B961,Baza[[№]:[Profit]],13,0)),"")</f>
        <v/>
      </c>
      <c r="Q961" s="43" t="str">
        <f>IFERROR(IF(VLOOKUP(B961,Baza[[№]:[Profit]],15,0)=0,"-",VLOOKUP(B961,Baza[[№]:[Profit]],15,0)),"")</f>
        <v/>
      </c>
      <c r="R961" s="43" t="str">
        <f>IFERROR(IF(VLOOKUP(B961,Baza[[№]:[Profit]],16,0)=0,"-",VLOOKUP(B961,Baza[[№]:[Profit]],16,0)),"")</f>
        <v/>
      </c>
      <c r="S961" s="43" t="str">
        <f>IFERROR(IF(VLOOKUP(B961,Baza[[№]:[Profit]],17,0)=0,"-",VLOOKUP(B961,Baza[[№]:[Profit]],17,0)),"")</f>
        <v/>
      </c>
      <c r="T961" s="43" t="str">
        <f>IFERROR(IF(VLOOKUP(B961,Baza[[№]:[Profit]],18,0)=0,"-",VLOOKUP(B961,Baza[[№]:[Profit]],18,0)),"")</f>
        <v/>
      </c>
      <c r="U961" s="41" t="str">
        <f>IFERROR(IF(VLOOKUP(B961,Baza[[№]:[Profit]],19,0)=0,"-",VLOOKUP(B961,Baza[[№]:[Profit]],19,0)),"")</f>
        <v/>
      </c>
      <c r="V961" s="41" t="str">
        <f>IFERROR(VLOOKUP(B961,Baza[[№]:[Profit]],20,0),"")</f>
        <v/>
      </c>
      <c r="W961" s="41" t="str">
        <f>IFERROR(IF(VLOOKUP(B961,Baza[[№]:[Profit]],21,0)=0,"-",VLOOKUP(B961,Baza[[№]:[Profit]],21,0)),"")</f>
        <v/>
      </c>
      <c r="X961" s="45" t="str">
        <f>IFERROR(IF(VLOOKUP(B961,Baza[[№]:[Profit]],22,0)=0,"-",VLOOKUP(B961,Baza[[№]:[Profit]],22,0)),"")</f>
        <v/>
      </c>
      <c r="Y961" s="45" t="str">
        <f>IFERROR(VLOOKUP(B961,Baza[[№]:[Profit]],23,0),"")</f>
        <v/>
      </c>
      <c r="Z961" s="44" t="str">
        <f>IFERROR(VLOOKUP(B961,Baza[[№]:[AFS]],24,0),"")</f>
        <v/>
      </c>
      <c r="AA961" s="45" t="str">
        <f>IF(Таблица2[[#This Row],[Profit]]="","#Н/Д",SUM($Y$40:Y961))</f>
        <v>#Н/Д</v>
      </c>
      <c r="AB961" s="45" t="b">
        <f>IF(Таблица2[[#This Row],[Grafik]]="#Н/Д",FALSE,TRUE)</f>
        <v>0</v>
      </c>
    </row>
    <row r="962" spans="3:28" ht="11.1" hidden="1" customHeight="1" x14ac:dyDescent="0.25">
      <c r="C962" s="41" t="str">
        <f>IFERROR(VLOOKUP(B962,Baza[[№]:[Profit]],2,0),"")</f>
        <v/>
      </c>
      <c r="D96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6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62" s="43" t="str">
        <f>IFERROR(VLOOKUP(B962,Baza[[№]:[Profit]],3,0),"")</f>
        <v/>
      </c>
      <c r="G962" s="43" t="str">
        <f>IFERROR(VLOOKUP(B962,Baza[[№]:[Profit]],4,0),"")</f>
        <v/>
      </c>
      <c r="H962" s="43" t="str">
        <f>IFERROR(VLOOKUP(B962,Baza[[№]:[Profit]],5,0),"")</f>
        <v/>
      </c>
      <c r="I962" s="46" t="str">
        <f>IFERROR(VLOOKUP(B962,Baza[[№]:[Profit]],6,0),"")</f>
        <v/>
      </c>
      <c r="J962" s="49" t="str">
        <f>IFERROR(VLOOKUP(B962,Baza[[№]:[Profit]],7,0),"")</f>
        <v/>
      </c>
      <c r="K962" s="43" t="str">
        <f>IFERROR(VLOOKUP(B962,Baza[[№]:[Profit]],8,0),"")</f>
        <v/>
      </c>
      <c r="L962" s="43" t="str">
        <f>IFERROR(VLOOKUP(B962,Baza[[№]:[Profit]],9,0),"")</f>
        <v/>
      </c>
      <c r="M962" s="43" t="str">
        <f>IFERROR(VLOOKUP(B962,Baza[[№]:[Profit]],10,0),"")</f>
        <v/>
      </c>
      <c r="N962" s="43" t="str">
        <f>IFERROR(IF(VLOOKUP(B962,Baza[[№]:[Profit]],11,0)=0,"-",VLOOKUP(B962,Baza[[№]:[Profit]],11,0)),"")</f>
        <v/>
      </c>
      <c r="O962" s="43" t="str">
        <f>IFERROR(IF(VLOOKUP(B962,Baza[[№]:[Profit]],12,0)=0,"-",VLOOKUP(B962,Baza[[№]:[Profit]],12,0)),"")</f>
        <v/>
      </c>
      <c r="P962" s="43" t="str">
        <f>IFERROR(IF(VLOOKUP(B962,Baza[[№]:[Profit]],13,0)=0,"-",VLOOKUP(B962,Baza[[№]:[Profit]],13,0)),"")</f>
        <v/>
      </c>
      <c r="Q962" s="43" t="str">
        <f>IFERROR(IF(VLOOKUP(B962,Baza[[№]:[Profit]],15,0)=0,"-",VLOOKUP(B962,Baza[[№]:[Profit]],15,0)),"")</f>
        <v/>
      </c>
      <c r="R962" s="43" t="str">
        <f>IFERROR(IF(VLOOKUP(B962,Baza[[№]:[Profit]],16,0)=0,"-",VLOOKUP(B962,Baza[[№]:[Profit]],16,0)),"")</f>
        <v/>
      </c>
      <c r="S962" s="43" t="str">
        <f>IFERROR(IF(VLOOKUP(B962,Baza[[№]:[Profit]],17,0)=0,"-",VLOOKUP(B962,Baza[[№]:[Profit]],17,0)),"")</f>
        <v/>
      </c>
      <c r="T962" s="43" t="str">
        <f>IFERROR(IF(VLOOKUP(B962,Baza[[№]:[Profit]],18,0)=0,"-",VLOOKUP(B962,Baza[[№]:[Profit]],18,0)),"")</f>
        <v/>
      </c>
      <c r="U962" s="41" t="str">
        <f>IFERROR(IF(VLOOKUP(B962,Baza[[№]:[Profit]],19,0)=0,"-",VLOOKUP(B962,Baza[[№]:[Profit]],19,0)),"")</f>
        <v/>
      </c>
      <c r="V962" s="41" t="str">
        <f>IFERROR(VLOOKUP(B962,Baza[[№]:[Profit]],20,0),"")</f>
        <v/>
      </c>
      <c r="W962" s="41" t="str">
        <f>IFERROR(IF(VLOOKUP(B962,Baza[[№]:[Profit]],21,0)=0,"-",VLOOKUP(B962,Baza[[№]:[Profit]],21,0)),"")</f>
        <v/>
      </c>
      <c r="X962" s="45" t="str">
        <f>IFERROR(IF(VLOOKUP(B962,Baza[[№]:[Profit]],22,0)=0,"-",VLOOKUP(B962,Baza[[№]:[Profit]],22,0)),"")</f>
        <v/>
      </c>
      <c r="Y962" s="45" t="str">
        <f>IFERROR(VLOOKUP(B962,Baza[[№]:[Profit]],23,0),"")</f>
        <v/>
      </c>
      <c r="Z962" s="44" t="str">
        <f>IFERROR(VLOOKUP(B962,Baza[[№]:[AFS]],24,0),"")</f>
        <v/>
      </c>
      <c r="AA962" s="45" t="str">
        <f>IF(Таблица2[[#This Row],[Profit]]="","#Н/Д",SUM($Y$40:Y962))</f>
        <v>#Н/Д</v>
      </c>
      <c r="AB962" s="45" t="b">
        <f>IF(Таблица2[[#This Row],[Grafik]]="#Н/Д",FALSE,TRUE)</f>
        <v>0</v>
      </c>
    </row>
    <row r="963" spans="3:28" ht="11.1" hidden="1" customHeight="1" x14ac:dyDescent="0.25">
      <c r="C963" s="41" t="str">
        <f>IFERROR(VLOOKUP(B963,Baza[[№]:[Profit]],2,0),"")</f>
        <v/>
      </c>
      <c r="D96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6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63" s="43" t="str">
        <f>IFERROR(VLOOKUP(B963,Baza[[№]:[Profit]],3,0),"")</f>
        <v/>
      </c>
      <c r="G963" s="43" t="str">
        <f>IFERROR(VLOOKUP(B963,Baza[[№]:[Profit]],4,0),"")</f>
        <v/>
      </c>
      <c r="H963" s="43" t="str">
        <f>IFERROR(VLOOKUP(B963,Baza[[№]:[Profit]],5,0),"")</f>
        <v/>
      </c>
      <c r="I963" s="46" t="str">
        <f>IFERROR(VLOOKUP(B963,Baza[[№]:[Profit]],6,0),"")</f>
        <v/>
      </c>
      <c r="J963" s="49" t="str">
        <f>IFERROR(VLOOKUP(B963,Baza[[№]:[Profit]],7,0),"")</f>
        <v/>
      </c>
      <c r="K963" s="43" t="str">
        <f>IFERROR(VLOOKUP(B963,Baza[[№]:[Profit]],8,0),"")</f>
        <v/>
      </c>
      <c r="L963" s="43" t="str">
        <f>IFERROR(VLOOKUP(B963,Baza[[№]:[Profit]],9,0),"")</f>
        <v/>
      </c>
      <c r="M963" s="43" t="str">
        <f>IFERROR(VLOOKUP(B963,Baza[[№]:[Profit]],10,0),"")</f>
        <v/>
      </c>
      <c r="N963" s="43" t="str">
        <f>IFERROR(IF(VLOOKUP(B963,Baza[[№]:[Profit]],11,0)=0,"-",VLOOKUP(B963,Baza[[№]:[Profit]],11,0)),"")</f>
        <v/>
      </c>
      <c r="O963" s="43" t="str">
        <f>IFERROR(IF(VLOOKUP(B963,Baza[[№]:[Profit]],12,0)=0,"-",VLOOKUP(B963,Baza[[№]:[Profit]],12,0)),"")</f>
        <v/>
      </c>
      <c r="P963" s="43" t="str">
        <f>IFERROR(IF(VLOOKUP(B963,Baza[[№]:[Profit]],13,0)=0,"-",VLOOKUP(B963,Baza[[№]:[Profit]],13,0)),"")</f>
        <v/>
      </c>
      <c r="Q963" s="43" t="str">
        <f>IFERROR(IF(VLOOKUP(B963,Baza[[№]:[Profit]],15,0)=0,"-",VLOOKUP(B963,Baza[[№]:[Profit]],15,0)),"")</f>
        <v/>
      </c>
      <c r="R963" s="43" t="str">
        <f>IFERROR(IF(VLOOKUP(B963,Baza[[№]:[Profit]],16,0)=0,"-",VLOOKUP(B963,Baza[[№]:[Profit]],16,0)),"")</f>
        <v/>
      </c>
      <c r="S963" s="43" t="str">
        <f>IFERROR(IF(VLOOKUP(B963,Baza[[№]:[Profit]],17,0)=0,"-",VLOOKUP(B963,Baza[[№]:[Profit]],17,0)),"")</f>
        <v/>
      </c>
      <c r="T963" s="43" t="str">
        <f>IFERROR(IF(VLOOKUP(B963,Baza[[№]:[Profit]],18,0)=0,"-",VLOOKUP(B963,Baza[[№]:[Profit]],18,0)),"")</f>
        <v/>
      </c>
      <c r="U963" s="41" t="str">
        <f>IFERROR(IF(VLOOKUP(B963,Baza[[№]:[Profit]],19,0)=0,"-",VLOOKUP(B963,Baza[[№]:[Profit]],19,0)),"")</f>
        <v/>
      </c>
      <c r="V963" s="41" t="str">
        <f>IFERROR(VLOOKUP(B963,Baza[[№]:[Profit]],20,0),"")</f>
        <v/>
      </c>
      <c r="W963" s="41" t="str">
        <f>IFERROR(IF(VLOOKUP(B963,Baza[[№]:[Profit]],21,0)=0,"-",VLOOKUP(B963,Baza[[№]:[Profit]],21,0)),"")</f>
        <v/>
      </c>
      <c r="X963" s="45" t="str">
        <f>IFERROR(IF(VLOOKUP(B963,Baza[[№]:[Profit]],22,0)=0,"-",VLOOKUP(B963,Baza[[№]:[Profit]],22,0)),"")</f>
        <v/>
      </c>
      <c r="Y963" s="45" t="str">
        <f>IFERROR(VLOOKUP(B963,Baza[[№]:[Profit]],23,0),"")</f>
        <v/>
      </c>
      <c r="Z963" s="44" t="str">
        <f>IFERROR(VLOOKUP(B963,Baza[[№]:[AFS]],24,0),"")</f>
        <v/>
      </c>
      <c r="AA963" s="45" t="str">
        <f>IF(Таблица2[[#This Row],[Profit]]="","#Н/Д",SUM($Y$40:Y963))</f>
        <v>#Н/Д</v>
      </c>
      <c r="AB963" s="45" t="b">
        <f>IF(Таблица2[[#This Row],[Grafik]]="#Н/Д",FALSE,TRUE)</f>
        <v>0</v>
      </c>
    </row>
    <row r="964" spans="3:28" ht="11.1" hidden="1" customHeight="1" x14ac:dyDescent="0.25">
      <c r="C964" s="41" t="str">
        <f>IFERROR(VLOOKUP(B964,Baza[[№]:[Profit]],2,0),"")</f>
        <v/>
      </c>
      <c r="D96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6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64" s="43" t="str">
        <f>IFERROR(VLOOKUP(B964,Baza[[№]:[Profit]],3,0),"")</f>
        <v/>
      </c>
      <c r="G964" s="43" t="str">
        <f>IFERROR(VLOOKUP(B964,Baza[[№]:[Profit]],4,0),"")</f>
        <v/>
      </c>
      <c r="H964" s="43" t="str">
        <f>IFERROR(VLOOKUP(B964,Baza[[№]:[Profit]],5,0),"")</f>
        <v/>
      </c>
      <c r="I964" s="46" t="str">
        <f>IFERROR(VLOOKUP(B964,Baza[[№]:[Profit]],6,0),"")</f>
        <v/>
      </c>
      <c r="J964" s="49" t="str">
        <f>IFERROR(VLOOKUP(B964,Baza[[№]:[Profit]],7,0),"")</f>
        <v/>
      </c>
      <c r="K964" s="43" t="str">
        <f>IFERROR(VLOOKUP(B964,Baza[[№]:[Profit]],8,0),"")</f>
        <v/>
      </c>
      <c r="L964" s="43" t="str">
        <f>IFERROR(VLOOKUP(B964,Baza[[№]:[Profit]],9,0),"")</f>
        <v/>
      </c>
      <c r="M964" s="43" t="str">
        <f>IFERROR(VLOOKUP(B964,Baza[[№]:[Profit]],10,0),"")</f>
        <v/>
      </c>
      <c r="N964" s="43" t="str">
        <f>IFERROR(IF(VLOOKUP(B964,Baza[[№]:[Profit]],11,0)=0,"-",VLOOKUP(B964,Baza[[№]:[Profit]],11,0)),"")</f>
        <v/>
      </c>
      <c r="O964" s="43" t="str">
        <f>IFERROR(IF(VLOOKUP(B964,Baza[[№]:[Profit]],12,0)=0,"-",VLOOKUP(B964,Baza[[№]:[Profit]],12,0)),"")</f>
        <v/>
      </c>
      <c r="P964" s="43" t="str">
        <f>IFERROR(IF(VLOOKUP(B964,Baza[[№]:[Profit]],13,0)=0,"-",VLOOKUP(B964,Baza[[№]:[Profit]],13,0)),"")</f>
        <v/>
      </c>
      <c r="Q964" s="43" t="str">
        <f>IFERROR(IF(VLOOKUP(B964,Baza[[№]:[Profit]],15,0)=0,"-",VLOOKUP(B964,Baza[[№]:[Profit]],15,0)),"")</f>
        <v/>
      </c>
      <c r="R964" s="43" t="str">
        <f>IFERROR(IF(VLOOKUP(B964,Baza[[№]:[Profit]],16,0)=0,"-",VLOOKUP(B964,Baza[[№]:[Profit]],16,0)),"")</f>
        <v/>
      </c>
      <c r="S964" s="43" t="str">
        <f>IFERROR(IF(VLOOKUP(B964,Baza[[№]:[Profit]],17,0)=0,"-",VLOOKUP(B964,Baza[[№]:[Profit]],17,0)),"")</f>
        <v/>
      </c>
      <c r="T964" s="43" t="str">
        <f>IFERROR(IF(VLOOKUP(B964,Baza[[№]:[Profit]],18,0)=0,"-",VLOOKUP(B964,Baza[[№]:[Profit]],18,0)),"")</f>
        <v/>
      </c>
      <c r="U964" s="41" t="str">
        <f>IFERROR(IF(VLOOKUP(B964,Baza[[№]:[Profit]],19,0)=0,"-",VLOOKUP(B964,Baza[[№]:[Profit]],19,0)),"")</f>
        <v/>
      </c>
      <c r="V964" s="41" t="str">
        <f>IFERROR(VLOOKUP(B964,Baza[[№]:[Profit]],20,0),"")</f>
        <v/>
      </c>
      <c r="W964" s="41" t="str">
        <f>IFERROR(IF(VLOOKUP(B964,Baza[[№]:[Profit]],21,0)=0,"-",VLOOKUP(B964,Baza[[№]:[Profit]],21,0)),"")</f>
        <v/>
      </c>
      <c r="X964" s="45" t="str">
        <f>IFERROR(IF(VLOOKUP(B964,Baza[[№]:[Profit]],22,0)=0,"-",VLOOKUP(B964,Baza[[№]:[Profit]],22,0)),"")</f>
        <v/>
      </c>
      <c r="Y964" s="45" t="str">
        <f>IFERROR(VLOOKUP(B964,Baza[[№]:[Profit]],23,0),"")</f>
        <v/>
      </c>
      <c r="Z964" s="44" t="str">
        <f>IFERROR(VLOOKUP(B964,Baza[[№]:[AFS]],24,0),"")</f>
        <v/>
      </c>
      <c r="AA964" s="45" t="str">
        <f>IF(Таблица2[[#This Row],[Profit]]="","#Н/Д",SUM($Y$40:Y964))</f>
        <v>#Н/Д</v>
      </c>
      <c r="AB964" s="45" t="b">
        <f>IF(Таблица2[[#This Row],[Grafik]]="#Н/Д",FALSE,TRUE)</f>
        <v>0</v>
      </c>
    </row>
    <row r="965" spans="3:28" ht="11.1" hidden="1" customHeight="1" x14ac:dyDescent="0.25">
      <c r="C965" s="41" t="str">
        <f>IFERROR(VLOOKUP(B965,Baza[[№]:[Profit]],2,0),"")</f>
        <v/>
      </c>
      <c r="D96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6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65" s="43" t="str">
        <f>IFERROR(VLOOKUP(B965,Baza[[№]:[Profit]],3,0),"")</f>
        <v/>
      </c>
      <c r="G965" s="43" t="str">
        <f>IFERROR(VLOOKUP(B965,Baza[[№]:[Profit]],4,0),"")</f>
        <v/>
      </c>
      <c r="H965" s="43" t="str">
        <f>IFERROR(VLOOKUP(B965,Baza[[№]:[Profit]],5,0),"")</f>
        <v/>
      </c>
      <c r="I965" s="46" t="str">
        <f>IFERROR(VLOOKUP(B965,Baza[[№]:[Profit]],6,0),"")</f>
        <v/>
      </c>
      <c r="J965" s="49" t="str">
        <f>IFERROR(VLOOKUP(B965,Baza[[№]:[Profit]],7,0),"")</f>
        <v/>
      </c>
      <c r="K965" s="43" t="str">
        <f>IFERROR(VLOOKUP(B965,Baza[[№]:[Profit]],8,0),"")</f>
        <v/>
      </c>
      <c r="L965" s="43" t="str">
        <f>IFERROR(VLOOKUP(B965,Baza[[№]:[Profit]],9,0),"")</f>
        <v/>
      </c>
      <c r="M965" s="43" t="str">
        <f>IFERROR(VLOOKUP(B965,Baza[[№]:[Profit]],10,0),"")</f>
        <v/>
      </c>
      <c r="N965" s="43" t="str">
        <f>IFERROR(IF(VLOOKUP(B965,Baza[[№]:[Profit]],11,0)=0,"-",VLOOKUP(B965,Baza[[№]:[Profit]],11,0)),"")</f>
        <v/>
      </c>
      <c r="O965" s="43" t="str">
        <f>IFERROR(IF(VLOOKUP(B965,Baza[[№]:[Profit]],12,0)=0,"-",VLOOKUP(B965,Baza[[№]:[Profit]],12,0)),"")</f>
        <v/>
      </c>
      <c r="P965" s="43" t="str">
        <f>IFERROR(IF(VLOOKUP(B965,Baza[[№]:[Profit]],13,0)=0,"-",VLOOKUP(B965,Baza[[№]:[Profit]],13,0)),"")</f>
        <v/>
      </c>
      <c r="Q965" s="43" t="str">
        <f>IFERROR(IF(VLOOKUP(B965,Baza[[№]:[Profit]],15,0)=0,"-",VLOOKUP(B965,Baza[[№]:[Profit]],15,0)),"")</f>
        <v/>
      </c>
      <c r="R965" s="43" t="str">
        <f>IFERROR(IF(VLOOKUP(B965,Baza[[№]:[Profit]],16,0)=0,"-",VLOOKUP(B965,Baza[[№]:[Profit]],16,0)),"")</f>
        <v/>
      </c>
      <c r="S965" s="43" t="str">
        <f>IFERROR(IF(VLOOKUP(B965,Baza[[№]:[Profit]],17,0)=0,"-",VLOOKUP(B965,Baza[[№]:[Profit]],17,0)),"")</f>
        <v/>
      </c>
      <c r="T965" s="43" t="str">
        <f>IFERROR(IF(VLOOKUP(B965,Baza[[№]:[Profit]],18,0)=0,"-",VLOOKUP(B965,Baza[[№]:[Profit]],18,0)),"")</f>
        <v/>
      </c>
      <c r="U965" s="41" t="str">
        <f>IFERROR(IF(VLOOKUP(B965,Baza[[№]:[Profit]],19,0)=0,"-",VLOOKUP(B965,Baza[[№]:[Profit]],19,0)),"")</f>
        <v/>
      </c>
      <c r="V965" s="41" t="str">
        <f>IFERROR(VLOOKUP(B965,Baza[[№]:[Profit]],20,0),"")</f>
        <v/>
      </c>
      <c r="W965" s="41" t="str">
        <f>IFERROR(IF(VLOOKUP(B965,Baza[[№]:[Profit]],21,0)=0,"-",VLOOKUP(B965,Baza[[№]:[Profit]],21,0)),"")</f>
        <v/>
      </c>
      <c r="X965" s="45" t="str">
        <f>IFERROR(IF(VLOOKUP(B965,Baza[[№]:[Profit]],22,0)=0,"-",VLOOKUP(B965,Baza[[№]:[Profit]],22,0)),"")</f>
        <v/>
      </c>
      <c r="Y965" s="45" t="str">
        <f>IFERROR(VLOOKUP(B965,Baza[[№]:[Profit]],23,0),"")</f>
        <v/>
      </c>
      <c r="Z965" s="44" t="str">
        <f>IFERROR(VLOOKUP(B965,Baza[[№]:[AFS]],24,0),"")</f>
        <v/>
      </c>
      <c r="AA965" s="45" t="str">
        <f>IF(Таблица2[[#This Row],[Profit]]="","#Н/Д",SUM($Y$40:Y965))</f>
        <v>#Н/Д</v>
      </c>
      <c r="AB965" s="45" t="b">
        <f>IF(Таблица2[[#This Row],[Grafik]]="#Н/Д",FALSE,TRUE)</f>
        <v>0</v>
      </c>
    </row>
    <row r="966" spans="3:28" ht="11.1" hidden="1" customHeight="1" x14ac:dyDescent="0.25">
      <c r="C966" s="41" t="str">
        <f>IFERROR(VLOOKUP(B966,Baza[[№]:[Profit]],2,0),"")</f>
        <v/>
      </c>
      <c r="D96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6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66" s="43" t="str">
        <f>IFERROR(VLOOKUP(B966,Baza[[№]:[Profit]],3,0),"")</f>
        <v/>
      </c>
      <c r="G966" s="43" t="str">
        <f>IFERROR(VLOOKUP(B966,Baza[[№]:[Profit]],4,0),"")</f>
        <v/>
      </c>
      <c r="H966" s="43" t="str">
        <f>IFERROR(VLOOKUP(B966,Baza[[№]:[Profit]],5,0),"")</f>
        <v/>
      </c>
      <c r="I966" s="46" t="str">
        <f>IFERROR(VLOOKUP(B966,Baza[[№]:[Profit]],6,0),"")</f>
        <v/>
      </c>
      <c r="J966" s="49" t="str">
        <f>IFERROR(VLOOKUP(B966,Baza[[№]:[Profit]],7,0),"")</f>
        <v/>
      </c>
      <c r="K966" s="43" t="str">
        <f>IFERROR(VLOOKUP(B966,Baza[[№]:[Profit]],8,0),"")</f>
        <v/>
      </c>
      <c r="L966" s="43" t="str">
        <f>IFERROR(VLOOKUP(B966,Baza[[№]:[Profit]],9,0),"")</f>
        <v/>
      </c>
      <c r="M966" s="43" t="str">
        <f>IFERROR(VLOOKUP(B966,Baza[[№]:[Profit]],10,0),"")</f>
        <v/>
      </c>
      <c r="N966" s="43" t="str">
        <f>IFERROR(IF(VLOOKUP(B966,Baza[[№]:[Profit]],11,0)=0,"-",VLOOKUP(B966,Baza[[№]:[Profit]],11,0)),"")</f>
        <v/>
      </c>
      <c r="O966" s="43" t="str">
        <f>IFERROR(IF(VLOOKUP(B966,Baza[[№]:[Profit]],12,0)=0,"-",VLOOKUP(B966,Baza[[№]:[Profit]],12,0)),"")</f>
        <v/>
      </c>
      <c r="P966" s="43" t="str">
        <f>IFERROR(IF(VLOOKUP(B966,Baza[[№]:[Profit]],13,0)=0,"-",VLOOKUP(B966,Baza[[№]:[Profit]],13,0)),"")</f>
        <v/>
      </c>
      <c r="Q966" s="43" t="str">
        <f>IFERROR(IF(VLOOKUP(B966,Baza[[№]:[Profit]],15,0)=0,"-",VLOOKUP(B966,Baza[[№]:[Profit]],15,0)),"")</f>
        <v/>
      </c>
      <c r="R966" s="43" t="str">
        <f>IFERROR(IF(VLOOKUP(B966,Baza[[№]:[Profit]],16,0)=0,"-",VLOOKUP(B966,Baza[[№]:[Profit]],16,0)),"")</f>
        <v/>
      </c>
      <c r="S966" s="43" t="str">
        <f>IFERROR(IF(VLOOKUP(B966,Baza[[№]:[Profit]],17,0)=0,"-",VLOOKUP(B966,Baza[[№]:[Profit]],17,0)),"")</f>
        <v/>
      </c>
      <c r="T966" s="43" t="str">
        <f>IFERROR(IF(VLOOKUP(B966,Baza[[№]:[Profit]],18,0)=0,"-",VLOOKUP(B966,Baza[[№]:[Profit]],18,0)),"")</f>
        <v/>
      </c>
      <c r="U966" s="41" t="str">
        <f>IFERROR(IF(VLOOKUP(B966,Baza[[№]:[Profit]],19,0)=0,"-",VLOOKUP(B966,Baza[[№]:[Profit]],19,0)),"")</f>
        <v/>
      </c>
      <c r="V966" s="41" t="str">
        <f>IFERROR(VLOOKUP(B966,Baza[[№]:[Profit]],20,0),"")</f>
        <v/>
      </c>
      <c r="W966" s="41" t="str">
        <f>IFERROR(IF(VLOOKUP(B966,Baza[[№]:[Profit]],21,0)=0,"-",VLOOKUP(B966,Baza[[№]:[Profit]],21,0)),"")</f>
        <v/>
      </c>
      <c r="X966" s="45" t="str">
        <f>IFERROR(IF(VLOOKUP(B966,Baza[[№]:[Profit]],22,0)=0,"-",VLOOKUP(B966,Baza[[№]:[Profit]],22,0)),"")</f>
        <v/>
      </c>
      <c r="Y966" s="45" t="str">
        <f>IFERROR(VLOOKUP(B966,Baza[[№]:[Profit]],23,0),"")</f>
        <v/>
      </c>
      <c r="Z966" s="44" t="str">
        <f>IFERROR(VLOOKUP(B966,Baza[[№]:[AFS]],24,0),"")</f>
        <v/>
      </c>
      <c r="AA966" s="45" t="str">
        <f>IF(Таблица2[[#This Row],[Profit]]="","#Н/Д",SUM($Y$40:Y966))</f>
        <v>#Н/Д</v>
      </c>
      <c r="AB966" s="45" t="b">
        <f>IF(Таблица2[[#This Row],[Grafik]]="#Н/Д",FALSE,TRUE)</f>
        <v>0</v>
      </c>
    </row>
    <row r="967" spans="3:28" ht="11.1" hidden="1" customHeight="1" x14ac:dyDescent="0.25">
      <c r="C967" s="41" t="str">
        <f>IFERROR(VLOOKUP(B967,Baza[[№]:[Profit]],2,0),"")</f>
        <v/>
      </c>
      <c r="D96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6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67" s="43" t="str">
        <f>IFERROR(VLOOKUP(B967,Baza[[№]:[Profit]],3,0),"")</f>
        <v/>
      </c>
      <c r="G967" s="43" t="str">
        <f>IFERROR(VLOOKUP(B967,Baza[[№]:[Profit]],4,0),"")</f>
        <v/>
      </c>
      <c r="H967" s="43" t="str">
        <f>IFERROR(VLOOKUP(B967,Baza[[№]:[Profit]],5,0),"")</f>
        <v/>
      </c>
      <c r="I967" s="46" t="str">
        <f>IFERROR(VLOOKUP(B967,Baza[[№]:[Profit]],6,0),"")</f>
        <v/>
      </c>
      <c r="J967" s="49" t="str">
        <f>IFERROR(VLOOKUP(B967,Baza[[№]:[Profit]],7,0),"")</f>
        <v/>
      </c>
      <c r="K967" s="43" t="str">
        <f>IFERROR(VLOOKUP(B967,Baza[[№]:[Profit]],8,0),"")</f>
        <v/>
      </c>
      <c r="L967" s="43" t="str">
        <f>IFERROR(VLOOKUP(B967,Baza[[№]:[Profit]],9,0),"")</f>
        <v/>
      </c>
      <c r="M967" s="43" t="str">
        <f>IFERROR(VLOOKUP(B967,Baza[[№]:[Profit]],10,0),"")</f>
        <v/>
      </c>
      <c r="N967" s="43" t="str">
        <f>IFERROR(IF(VLOOKUP(B967,Baza[[№]:[Profit]],11,0)=0,"-",VLOOKUP(B967,Baza[[№]:[Profit]],11,0)),"")</f>
        <v/>
      </c>
      <c r="O967" s="43" t="str">
        <f>IFERROR(IF(VLOOKUP(B967,Baza[[№]:[Profit]],12,0)=0,"-",VLOOKUP(B967,Baza[[№]:[Profit]],12,0)),"")</f>
        <v/>
      </c>
      <c r="P967" s="43" t="str">
        <f>IFERROR(IF(VLOOKUP(B967,Baza[[№]:[Profit]],13,0)=0,"-",VLOOKUP(B967,Baza[[№]:[Profit]],13,0)),"")</f>
        <v/>
      </c>
      <c r="Q967" s="43" t="str">
        <f>IFERROR(IF(VLOOKUP(B967,Baza[[№]:[Profit]],15,0)=0,"-",VLOOKUP(B967,Baza[[№]:[Profit]],15,0)),"")</f>
        <v/>
      </c>
      <c r="R967" s="43" t="str">
        <f>IFERROR(IF(VLOOKUP(B967,Baza[[№]:[Profit]],16,0)=0,"-",VLOOKUP(B967,Baza[[№]:[Profit]],16,0)),"")</f>
        <v/>
      </c>
      <c r="S967" s="43" t="str">
        <f>IFERROR(IF(VLOOKUP(B967,Baza[[№]:[Profit]],17,0)=0,"-",VLOOKUP(B967,Baza[[№]:[Profit]],17,0)),"")</f>
        <v/>
      </c>
      <c r="T967" s="43" t="str">
        <f>IFERROR(IF(VLOOKUP(B967,Baza[[№]:[Profit]],18,0)=0,"-",VLOOKUP(B967,Baza[[№]:[Profit]],18,0)),"")</f>
        <v/>
      </c>
      <c r="U967" s="41" t="str">
        <f>IFERROR(IF(VLOOKUP(B967,Baza[[№]:[Profit]],19,0)=0,"-",VLOOKUP(B967,Baza[[№]:[Profit]],19,0)),"")</f>
        <v/>
      </c>
      <c r="V967" s="41" t="str">
        <f>IFERROR(VLOOKUP(B967,Baza[[№]:[Profit]],20,0),"")</f>
        <v/>
      </c>
      <c r="W967" s="41" t="str">
        <f>IFERROR(IF(VLOOKUP(B967,Baza[[№]:[Profit]],21,0)=0,"-",VLOOKUP(B967,Baza[[№]:[Profit]],21,0)),"")</f>
        <v/>
      </c>
      <c r="X967" s="45" t="str">
        <f>IFERROR(IF(VLOOKUP(B967,Baza[[№]:[Profit]],22,0)=0,"-",VLOOKUP(B967,Baza[[№]:[Profit]],22,0)),"")</f>
        <v/>
      </c>
      <c r="Y967" s="45" t="str">
        <f>IFERROR(VLOOKUP(B967,Baza[[№]:[Profit]],23,0),"")</f>
        <v/>
      </c>
      <c r="Z967" s="44" t="str">
        <f>IFERROR(VLOOKUP(B967,Baza[[№]:[AFS]],24,0),"")</f>
        <v/>
      </c>
      <c r="AA967" s="45" t="str">
        <f>IF(Таблица2[[#This Row],[Profit]]="","#Н/Д",SUM($Y$40:Y967))</f>
        <v>#Н/Д</v>
      </c>
      <c r="AB967" s="45" t="b">
        <f>IF(Таблица2[[#This Row],[Grafik]]="#Н/Д",FALSE,TRUE)</f>
        <v>0</v>
      </c>
    </row>
    <row r="968" spans="3:28" ht="11.1" hidden="1" customHeight="1" x14ac:dyDescent="0.25">
      <c r="C968" s="41" t="str">
        <f>IFERROR(VLOOKUP(B968,Baza[[№]:[Profit]],2,0),"")</f>
        <v/>
      </c>
      <c r="D96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6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68" s="43" t="str">
        <f>IFERROR(VLOOKUP(B968,Baza[[№]:[Profit]],3,0),"")</f>
        <v/>
      </c>
      <c r="G968" s="43" t="str">
        <f>IFERROR(VLOOKUP(B968,Baza[[№]:[Profit]],4,0),"")</f>
        <v/>
      </c>
      <c r="H968" s="43" t="str">
        <f>IFERROR(VLOOKUP(B968,Baza[[№]:[Profit]],5,0),"")</f>
        <v/>
      </c>
      <c r="I968" s="46" t="str">
        <f>IFERROR(VLOOKUP(B968,Baza[[№]:[Profit]],6,0),"")</f>
        <v/>
      </c>
      <c r="J968" s="49" t="str">
        <f>IFERROR(VLOOKUP(B968,Baza[[№]:[Profit]],7,0),"")</f>
        <v/>
      </c>
      <c r="K968" s="43" t="str">
        <f>IFERROR(VLOOKUP(B968,Baza[[№]:[Profit]],8,0),"")</f>
        <v/>
      </c>
      <c r="L968" s="43" t="str">
        <f>IFERROR(VLOOKUP(B968,Baza[[№]:[Profit]],9,0),"")</f>
        <v/>
      </c>
      <c r="M968" s="43" t="str">
        <f>IFERROR(VLOOKUP(B968,Baza[[№]:[Profit]],10,0),"")</f>
        <v/>
      </c>
      <c r="N968" s="43" t="str">
        <f>IFERROR(IF(VLOOKUP(B968,Baza[[№]:[Profit]],11,0)=0,"-",VLOOKUP(B968,Baza[[№]:[Profit]],11,0)),"")</f>
        <v/>
      </c>
      <c r="O968" s="43" t="str">
        <f>IFERROR(IF(VLOOKUP(B968,Baza[[№]:[Profit]],12,0)=0,"-",VLOOKUP(B968,Baza[[№]:[Profit]],12,0)),"")</f>
        <v/>
      </c>
      <c r="P968" s="43" t="str">
        <f>IFERROR(IF(VLOOKUP(B968,Baza[[№]:[Profit]],13,0)=0,"-",VLOOKUP(B968,Baza[[№]:[Profit]],13,0)),"")</f>
        <v/>
      </c>
      <c r="Q968" s="43" t="str">
        <f>IFERROR(IF(VLOOKUP(B968,Baza[[№]:[Profit]],15,0)=0,"-",VLOOKUP(B968,Baza[[№]:[Profit]],15,0)),"")</f>
        <v/>
      </c>
      <c r="R968" s="43" t="str">
        <f>IFERROR(IF(VLOOKUP(B968,Baza[[№]:[Profit]],16,0)=0,"-",VLOOKUP(B968,Baza[[№]:[Profit]],16,0)),"")</f>
        <v/>
      </c>
      <c r="S968" s="43" t="str">
        <f>IFERROR(IF(VLOOKUP(B968,Baza[[№]:[Profit]],17,0)=0,"-",VLOOKUP(B968,Baza[[№]:[Profit]],17,0)),"")</f>
        <v/>
      </c>
      <c r="T968" s="43" t="str">
        <f>IFERROR(IF(VLOOKUP(B968,Baza[[№]:[Profit]],18,0)=0,"-",VLOOKUP(B968,Baza[[№]:[Profit]],18,0)),"")</f>
        <v/>
      </c>
      <c r="U968" s="41" t="str">
        <f>IFERROR(IF(VLOOKUP(B968,Baza[[№]:[Profit]],19,0)=0,"-",VLOOKUP(B968,Baza[[№]:[Profit]],19,0)),"")</f>
        <v/>
      </c>
      <c r="V968" s="41" t="str">
        <f>IFERROR(VLOOKUP(B968,Baza[[№]:[Profit]],20,0),"")</f>
        <v/>
      </c>
      <c r="W968" s="41" t="str">
        <f>IFERROR(IF(VLOOKUP(B968,Baza[[№]:[Profit]],21,0)=0,"-",VLOOKUP(B968,Baza[[№]:[Profit]],21,0)),"")</f>
        <v/>
      </c>
      <c r="X968" s="45" t="str">
        <f>IFERROR(IF(VLOOKUP(B968,Baza[[№]:[Profit]],22,0)=0,"-",VLOOKUP(B968,Baza[[№]:[Profit]],22,0)),"")</f>
        <v/>
      </c>
      <c r="Y968" s="45" t="str">
        <f>IFERROR(VLOOKUP(B968,Baza[[№]:[Profit]],23,0),"")</f>
        <v/>
      </c>
      <c r="Z968" s="44" t="str">
        <f>IFERROR(VLOOKUP(B968,Baza[[№]:[AFS]],24,0),"")</f>
        <v/>
      </c>
      <c r="AA968" s="45" t="str">
        <f>IF(Таблица2[[#This Row],[Profit]]="","#Н/Д",SUM($Y$40:Y968))</f>
        <v>#Н/Д</v>
      </c>
      <c r="AB968" s="45" t="b">
        <f>IF(Таблица2[[#This Row],[Grafik]]="#Н/Д",FALSE,TRUE)</f>
        <v>0</v>
      </c>
    </row>
    <row r="969" spans="3:28" ht="11.1" hidden="1" customHeight="1" x14ac:dyDescent="0.25">
      <c r="C969" s="41" t="str">
        <f>IFERROR(VLOOKUP(B969,Baza[[№]:[Profit]],2,0),"")</f>
        <v/>
      </c>
      <c r="D96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6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69" s="43" t="str">
        <f>IFERROR(VLOOKUP(B969,Baza[[№]:[Profit]],3,0),"")</f>
        <v/>
      </c>
      <c r="G969" s="43" t="str">
        <f>IFERROR(VLOOKUP(B969,Baza[[№]:[Profit]],4,0),"")</f>
        <v/>
      </c>
      <c r="H969" s="43" t="str">
        <f>IFERROR(VLOOKUP(B969,Baza[[№]:[Profit]],5,0),"")</f>
        <v/>
      </c>
      <c r="I969" s="46" t="str">
        <f>IFERROR(VLOOKUP(B969,Baza[[№]:[Profit]],6,0),"")</f>
        <v/>
      </c>
      <c r="J969" s="49" t="str">
        <f>IFERROR(VLOOKUP(B969,Baza[[№]:[Profit]],7,0),"")</f>
        <v/>
      </c>
      <c r="K969" s="43" t="str">
        <f>IFERROR(VLOOKUP(B969,Baza[[№]:[Profit]],8,0),"")</f>
        <v/>
      </c>
      <c r="L969" s="43" t="str">
        <f>IFERROR(VLOOKUP(B969,Baza[[№]:[Profit]],9,0),"")</f>
        <v/>
      </c>
      <c r="M969" s="43" t="str">
        <f>IFERROR(VLOOKUP(B969,Baza[[№]:[Profit]],10,0),"")</f>
        <v/>
      </c>
      <c r="N969" s="43" t="str">
        <f>IFERROR(IF(VLOOKUP(B969,Baza[[№]:[Profit]],11,0)=0,"-",VLOOKUP(B969,Baza[[№]:[Profit]],11,0)),"")</f>
        <v/>
      </c>
      <c r="O969" s="43" t="str">
        <f>IFERROR(IF(VLOOKUP(B969,Baza[[№]:[Profit]],12,0)=0,"-",VLOOKUP(B969,Baza[[№]:[Profit]],12,0)),"")</f>
        <v/>
      </c>
      <c r="P969" s="43" t="str">
        <f>IFERROR(IF(VLOOKUP(B969,Baza[[№]:[Profit]],13,0)=0,"-",VLOOKUP(B969,Baza[[№]:[Profit]],13,0)),"")</f>
        <v/>
      </c>
      <c r="Q969" s="43" t="str">
        <f>IFERROR(IF(VLOOKUP(B969,Baza[[№]:[Profit]],15,0)=0,"-",VLOOKUP(B969,Baza[[№]:[Profit]],15,0)),"")</f>
        <v/>
      </c>
      <c r="R969" s="43" t="str">
        <f>IFERROR(IF(VLOOKUP(B969,Baza[[№]:[Profit]],16,0)=0,"-",VLOOKUP(B969,Baza[[№]:[Profit]],16,0)),"")</f>
        <v/>
      </c>
      <c r="S969" s="43" t="str">
        <f>IFERROR(IF(VLOOKUP(B969,Baza[[№]:[Profit]],17,0)=0,"-",VLOOKUP(B969,Baza[[№]:[Profit]],17,0)),"")</f>
        <v/>
      </c>
      <c r="T969" s="43" t="str">
        <f>IFERROR(IF(VLOOKUP(B969,Baza[[№]:[Profit]],18,0)=0,"-",VLOOKUP(B969,Baza[[№]:[Profit]],18,0)),"")</f>
        <v/>
      </c>
      <c r="U969" s="41" t="str">
        <f>IFERROR(IF(VLOOKUP(B969,Baza[[№]:[Profit]],19,0)=0,"-",VLOOKUP(B969,Baza[[№]:[Profit]],19,0)),"")</f>
        <v/>
      </c>
      <c r="V969" s="41" t="str">
        <f>IFERROR(VLOOKUP(B969,Baza[[№]:[Profit]],20,0),"")</f>
        <v/>
      </c>
      <c r="W969" s="41" t="str">
        <f>IFERROR(IF(VLOOKUP(B969,Baza[[№]:[Profit]],21,0)=0,"-",VLOOKUP(B969,Baza[[№]:[Profit]],21,0)),"")</f>
        <v/>
      </c>
      <c r="X969" s="45" t="str">
        <f>IFERROR(IF(VLOOKUP(B969,Baza[[№]:[Profit]],22,0)=0,"-",VLOOKUP(B969,Baza[[№]:[Profit]],22,0)),"")</f>
        <v/>
      </c>
      <c r="Y969" s="45" t="str">
        <f>IFERROR(VLOOKUP(B969,Baza[[№]:[Profit]],23,0),"")</f>
        <v/>
      </c>
      <c r="Z969" s="44" t="str">
        <f>IFERROR(VLOOKUP(B969,Baza[[№]:[AFS]],24,0),"")</f>
        <v/>
      </c>
      <c r="AA969" s="45" t="str">
        <f>IF(Таблица2[[#This Row],[Profit]]="","#Н/Д",SUM($Y$40:Y969))</f>
        <v>#Н/Д</v>
      </c>
      <c r="AB969" s="45" t="b">
        <f>IF(Таблица2[[#This Row],[Grafik]]="#Н/Д",FALSE,TRUE)</f>
        <v>0</v>
      </c>
    </row>
    <row r="970" spans="3:28" ht="11.1" hidden="1" customHeight="1" x14ac:dyDescent="0.25">
      <c r="C970" s="41" t="str">
        <f>IFERROR(VLOOKUP(B970,Baza[[№]:[Profit]],2,0),"")</f>
        <v/>
      </c>
      <c r="D97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7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70" s="43" t="str">
        <f>IFERROR(VLOOKUP(B970,Baza[[№]:[Profit]],3,0),"")</f>
        <v/>
      </c>
      <c r="G970" s="43" t="str">
        <f>IFERROR(VLOOKUP(B970,Baza[[№]:[Profit]],4,0),"")</f>
        <v/>
      </c>
      <c r="H970" s="43" t="str">
        <f>IFERROR(VLOOKUP(B970,Baza[[№]:[Profit]],5,0),"")</f>
        <v/>
      </c>
      <c r="I970" s="46" t="str">
        <f>IFERROR(VLOOKUP(B970,Baza[[№]:[Profit]],6,0),"")</f>
        <v/>
      </c>
      <c r="J970" s="49" t="str">
        <f>IFERROR(VLOOKUP(B970,Baza[[№]:[Profit]],7,0),"")</f>
        <v/>
      </c>
      <c r="K970" s="43" t="str">
        <f>IFERROR(VLOOKUP(B970,Baza[[№]:[Profit]],8,0),"")</f>
        <v/>
      </c>
      <c r="L970" s="43" t="str">
        <f>IFERROR(VLOOKUP(B970,Baza[[№]:[Profit]],9,0),"")</f>
        <v/>
      </c>
      <c r="M970" s="43" t="str">
        <f>IFERROR(VLOOKUP(B970,Baza[[№]:[Profit]],10,0),"")</f>
        <v/>
      </c>
      <c r="N970" s="43" t="str">
        <f>IFERROR(IF(VLOOKUP(B970,Baza[[№]:[Profit]],11,0)=0,"-",VLOOKUP(B970,Baza[[№]:[Profit]],11,0)),"")</f>
        <v/>
      </c>
      <c r="O970" s="43" t="str">
        <f>IFERROR(IF(VLOOKUP(B970,Baza[[№]:[Profit]],12,0)=0,"-",VLOOKUP(B970,Baza[[№]:[Profit]],12,0)),"")</f>
        <v/>
      </c>
      <c r="P970" s="43" t="str">
        <f>IFERROR(IF(VLOOKUP(B970,Baza[[№]:[Profit]],13,0)=0,"-",VLOOKUP(B970,Baza[[№]:[Profit]],13,0)),"")</f>
        <v/>
      </c>
      <c r="Q970" s="43" t="str">
        <f>IFERROR(IF(VLOOKUP(B970,Baza[[№]:[Profit]],15,0)=0,"-",VLOOKUP(B970,Baza[[№]:[Profit]],15,0)),"")</f>
        <v/>
      </c>
      <c r="R970" s="43" t="str">
        <f>IFERROR(IF(VLOOKUP(B970,Baza[[№]:[Profit]],16,0)=0,"-",VLOOKUP(B970,Baza[[№]:[Profit]],16,0)),"")</f>
        <v/>
      </c>
      <c r="S970" s="43" t="str">
        <f>IFERROR(IF(VLOOKUP(B970,Baza[[№]:[Profit]],17,0)=0,"-",VLOOKUP(B970,Baza[[№]:[Profit]],17,0)),"")</f>
        <v/>
      </c>
      <c r="T970" s="43" t="str">
        <f>IFERROR(IF(VLOOKUP(B970,Baza[[№]:[Profit]],18,0)=0,"-",VLOOKUP(B970,Baza[[№]:[Profit]],18,0)),"")</f>
        <v/>
      </c>
      <c r="U970" s="41" t="str">
        <f>IFERROR(IF(VLOOKUP(B970,Baza[[№]:[Profit]],19,0)=0,"-",VLOOKUP(B970,Baza[[№]:[Profit]],19,0)),"")</f>
        <v/>
      </c>
      <c r="V970" s="41" t="str">
        <f>IFERROR(VLOOKUP(B970,Baza[[№]:[Profit]],20,0),"")</f>
        <v/>
      </c>
      <c r="W970" s="41" t="str">
        <f>IFERROR(IF(VLOOKUP(B970,Baza[[№]:[Profit]],21,0)=0,"-",VLOOKUP(B970,Baza[[№]:[Profit]],21,0)),"")</f>
        <v/>
      </c>
      <c r="X970" s="45" t="str">
        <f>IFERROR(IF(VLOOKUP(B970,Baza[[№]:[Profit]],22,0)=0,"-",VLOOKUP(B970,Baza[[№]:[Profit]],22,0)),"")</f>
        <v/>
      </c>
      <c r="Y970" s="45" t="str">
        <f>IFERROR(VLOOKUP(B970,Baza[[№]:[Profit]],23,0),"")</f>
        <v/>
      </c>
      <c r="Z970" s="44" t="str">
        <f>IFERROR(VLOOKUP(B970,Baza[[№]:[AFS]],24,0),"")</f>
        <v/>
      </c>
      <c r="AA970" s="45" t="str">
        <f>IF(Таблица2[[#This Row],[Profit]]="","#Н/Д",SUM($Y$40:Y970))</f>
        <v>#Н/Д</v>
      </c>
      <c r="AB970" s="45" t="b">
        <f>IF(Таблица2[[#This Row],[Grafik]]="#Н/Д",FALSE,TRUE)</f>
        <v>0</v>
      </c>
    </row>
    <row r="971" spans="3:28" ht="11.1" hidden="1" customHeight="1" x14ac:dyDescent="0.25">
      <c r="C971" s="41" t="str">
        <f>IFERROR(VLOOKUP(B971,Baza[[№]:[Profit]],2,0),"")</f>
        <v/>
      </c>
      <c r="D97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7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71" s="43" t="str">
        <f>IFERROR(VLOOKUP(B971,Baza[[№]:[Profit]],3,0),"")</f>
        <v/>
      </c>
      <c r="G971" s="43" t="str">
        <f>IFERROR(VLOOKUP(B971,Baza[[№]:[Profit]],4,0),"")</f>
        <v/>
      </c>
      <c r="H971" s="43" t="str">
        <f>IFERROR(VLOOKUP(B971,Baza[[№]:[Profit]],5,0),"")</f>
        <v/>
      </c>
      <c r="I971" s="46" t="str">
        <f>IFERROR(VLOOKUP(B971,Baza[[№]:[Profit]],6,0),"")</f>
        <v/>
      </c>
      <c r="J971" s="49" t="str">
        <f>IFERROR(VLOOKUP(B971,Baza[[№]:[Profit]],7,0),"")</f>
        <v/>
      </c>
      <c r="K971" s="43" t="str">
        <f>IFERROR(VLOOKUP(B971,Baza[[№]:[Profit]],8,0),"")</f>
        <v/>
      </c>
      <c r="L971" s="43" t="str">
        <f>IFERROR(VLOOKUP(B971,Baza[[№]:[Profit]],9,0),"")</f>
        <v/>
      </c>
      <c r="M971" s="43" t="str">
        <f>IFERROR(VLOOKUP(B971,Baza[[№]:[Profit]],10,0),"")</f>
        <v/>
      </c>
      <c r="N971" s="43" t="str">
        <f>IFERROR(IF(VLOOKUP(B971,Baza[[№]:[Profit]],11,0)=0,"-",VLOOKUP(B971,Baza[[№]:[Profit]],11,0)),"")</f>
        <v/>
      </c>
      <c r="O971" s="43" t="str">
        <f>IFERROR(IF(VLOOKUP(B971,Baza[[№]:[Profit]],12,0)=0,"-",VLOOKUP(B971,Baza[[№]:[Profit]],12,0)),"")</f>
        <v/>
      </c>
      <c r="P971" s="43" t="str">
        <f>IFERROR(IF(VLOOKUP(B971,Baza[[№]:[Profit]],13,0)=0,"-",VLOOKUP(B971,Baza[[№]:[Profit]],13,0)),"")</f>
        <v/>
      </c>
      <c r="Q971" s="43" t="str">
        <f>IFERROR(IF(VLOOKUP(B971,Baza[[№]:[Profit]],15,0)=0,"-",VLOOKUP(B971,Baza[[№]:[Profit]],15,0)),"")</f>
        <v/>
      </c>
      <c r="R971" s="43" t="str">
        <f>IFERROR(IF(VLOOKUP(B971,Baza[[№]:[Profit]],16,0)=0,"-",VLOOKUP(B971,Baza[[№]:[Profit]],16,0)),"")</f>
        <v/>
      </c>
      <c r="S971" s="43" t="str">
        <f>IFERROR(IF(VLOOKUP(B971,Baza[[№]:[Profit]],17,0)=0,"-",VLOOKUP(B971,Baza[[№]:[Profit]],17,0)),"")</f>
        <v/>
      </c>
      <c r="T971" s="43" t="str">
        <f>IFERROR(IF(VLOOKUP(B971,Baza[[№]:[Profit]],18,0)=0,"-",VLOOKUP(B971,Baza[[№]:[Profit]],18,0)),"")</f>
        <v/>
      </c>
      <c r="U971" s="41" t="str">
        <f>IFERROR(IF(VLOOKUP(B971,Baza[[№]:[Profit]],19,0)=0,"-",VLOOKUP(B971,Baza[[№]:[Profit]],19,0)),"")</f>
        <v/>
      </c>
      <c r="V971" s="41" t="str">
        <f>IFERROR(VLOOKUP(B971,Baza[[№]:[Profit]],20,0),"")</f>
        <v/>
      </c>
      <c r="W971" s="41" t="str">
        <f>IFERROR(IF(VLOOKUP(B971,Baza[[№]:[Profit]],21,0)=0,"-",VLOOKUP(B971,Baza[[№]:[Profit]],21,0)),"")</f>
        <v/>
      </c>
      <c r="X971" s="45" t="str">
        <f>IFERROR(IF(VLOOKUP(B971,Baza[[№]:[Profit]],22,0)=0,"-",VLOOKUP(B971,Baza[[№]:[Profit]],22,0)),"")</f>
        <v/>
      </c>
      <c r="Y971" s="45" t="str">
        <f>IFERROR(VLOOKUP(B971,Baza[[№]:[Profit]],23,0),"")</f>
        <v/>
      </c>
      <c r="Z971" s="44" t="str">
        <f>IFERROR(VLOOKUP(B971,Baza[[№]:[AFS]],24,0),"")</f>
        <v/>
      </c>
      <c r="AA971" s="45" t="str">
        <f>IF(Таблица2[[#This Row],[Profit]]="","#Н/Д",SUM($Y$40:Y971))</f>
        <v>#Н/Д</v>
      </c>
      <c r="AB971" s="45" t="b">
        <f>IF(Таблица2[[#This Row],[Grafik]]="#Н/Д",FALSE,TRUE)</f>
        <v>0</v>
      </c>
    </row>
    <row r="972" spans="3:28" ht="11.1" hidden="1" customHeight="1" x14ac:dyDescent="0.25">
      <c r="C972" s="41" t="str">
        <f>IFERROR(VLOOKUP(B972,Baza[[№]:[Profit]],2,0),"")</f>
        <v/>
      </c>
      <c r="D97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7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72" s="43" t="str">
        <f>IFERROR(VLOOKUP(B972,Baza[[№]:[Profit]],3,0),"")</f>
        <v/>
      </c>
      <c r="G972" s="43" t="str">
        <f>IFERROR(VLOOKUP(B972,Baza[[№]:[Profit]],4,0),"")</f>
        <v/>
      </c>
      <c r="H972" s="43" t="str">
        <f>IFERROR(VLOOKUP(B972,Baza[[№]:[Profit]],5,0),"")</f>
        <v/>
      </c>
      <c r="I972" s="46" t="str">
        <f>IFERROR(VLOOKUP(B972,Baza[[№]:[Profit]],6,0),"")</f>
        <v/>
      </c>
      <c r="J972" s="49" t="str">
        <f>IFERROR(VLOOKUP(B972,Baza[[№]:[Profit]],7,0),"")</f>
        <v/>
      </c>
      <c r="K972" s="43" t="str">
        <f>IFERROR(VLOOKUP(B972,Baza[[№]:[Profit]],8,0),"")</f>
        <v/>
      </c>
      <c r="L972" s="43" t="str">
        <f>IFERROR(VLOOKUP(B972,Baza[[№]:[Profit]],9,0),"")</f>
        <v/>
      </c>
      <c r="M972" s="43" t="str">
        <f>IFERROR(VLOOKUP(B972,Baza[[№]:[Profit]],10,0),"")</f>
        <v/>
      </c>
      <c r="N972" s="43" t="str">
        <f>IFERROR(IF(VLOOKUP(B972,Baza[[№]:[Profit]],11,0)=0,"-",VLOOKUP(B972,Baza[[№]:[Profit]],11,0)),"")</f>
        <v/>
      </c>
      <c r="O972" s="43" t="str">
        <f>IFERROR(IF(VLOOKUP(B972,Baza[[№]:[Profit]],12,0)=0,"-",VLOOKUP(B972,Baza[[№]:[Profit]],12,0)),"")</f>
        <v/>
      </c>
      <c r="P972" s="43" t="str">
        <f>IFERROR(IF(VLOOKUP(B972,Baza[[№]:[Profit]],13,0)=0,"-",VLOOKUP(B972,Baza[[№]:[Profit]],13,0)),"")</f>
        <v/>
      </c>
      <c r="Q972" s="43" t="str">
        <f>IFERROR(IF(VLOOKUP(B972,Baza[[№]:[Profit]],15,0)=0,"-",VLOOKUP(B972,Baza[[№]:[Profit]],15,0)),"")</f>
        <v/>
      </c>
      <c r="R972" s="43" t="str">
        <f>IFERROR(IF(VLOOKUP(B972,Baza[[№]:[Profit]],16,0)=0,"-",VLOOKUP(B972,Baza[[№]:[Profit]],16,0)),"")</f>
        <v/>
      </c>
      <c r="S972" s="43" t="str">
        <f>IFERROR(IF(VLOOKUP(B972,Baza[[№]:[Profit]],17,0)=0,"-",VLOOKUP(B972,Baza[[№]:[Profit]],17,0)),"")</f>
        <v/>
      </c>
      <c r="T972" s="43" t="str">
        <f>IFERROR(IF(VLOOKUP(B972,Baza[[№]:[Profit]],18,0)=0,"-",VLOOKUP(B972,Baza[[№]:[Profit]],18,0)),"")</f>
        <v/>
      </c>
      <c r="U972" s="41" t="str">
        <f>IFERROR(IF(VLOOKUP(B972,Baza[[№]:[Profit]],19,0)=0,"-",VLOOKUP(B972,Baza[[№]:[Profit]],19,0)),"")</f>
        <v/>
      </c>
      <c r="V972" s="41" t="str">
        <f>IFERROR(VLOOKUP(B972,Baza[[№]:[Profit]],20,0),"")</f>
        <v/>
      </c>
      <c r="W972" s="41" t="str">
        <f>IFERROR(IF(VLOOKUP(B972,Baza[[№]:[Profit]],21,0)=0,"-",VLOOKUP(B972,Baza[[№]:[Profit]],21,0)),"")</f>
        <v/>
      </c>
      <c r="X972" s="45" t="str">
        <f>IFERROR(IF(VLOOKUP(B972,Baza[[№]:[Profit]],22,0)=0,"-",VLOOKUP(B972,Baza[[№]:[Profit]],22,0)),"")</f>
        <v/>
      </c>
      <c r="Y972" s="45" t="str">
        <f>IFERROR(VLOOKUP(B972,Baza[[№]:[Profit]],23,0),"")</f>
        <v/>
      </c>
      <c r="Z972" s="44" t="str">
        <f>IFERROR(VLOOKUP(B972,Baza[[№]:[AFS]],24,0),"")</f>
        <v/>
      </c>
      <c r="AA972" s="45" t="str">
        <f>IF(Таблица2[[#This Row],[Profit]]="","#Н/Д",SUM($Y$40:Y972))</f>
        <v>#Н/Д</v>
      </c>
      <c r="AB972" s="45" t="b">
        <f>IF(Таблица2[[#This Row],[Grafik]]="#Н/Д",FALSE,TRUE)</f>
        <v>0</v>
      </c>
    </row>
    <row r="973" spans="3:28" ht="11.1" hidden="1" customHeight="1" x14ac:dyDescent="0.25">
      <c r="C973" s="41" t="str">
        <f>IFERROR(VLOOKUP(B973,Baza[[№]:[Profit]],2,0),"")</f>
        <v/>
      </c>
      <c r="D97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7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73" s="43" t="str">
        <f>IFERROR(VLOOKUP(B973,Baza[[№]:[Profit]],3,0),"")</f>
        <v/>
      </c>
      <c r="G973" s="43" t="str">
        <f>IFERROR(VLOOKUP(B973,Baza[[№]:[Profit]],4,0),"")</f>
        <v/>
      </c>
      <c r="H973" s="43" t="str">
        <f>IFERROR(VLOOKUP(B973,Baza[[№]:[Profit]],5,0),"")</f>
        <v/>
      </c>
      <c r="I973" s="46" t="str">
        <f>IFERROR(VLOOKUP(B973,Baza[[№]:[Profit]],6,0),"")</f>
        <v/>
      </c>
      <c r="J973" s="49" t="str">
        <f>IFERROR(VLOOKUP(B973,Baza[[№]:[Profit]],7,0),"")</f>
        <v/>
      </c>
      <c r="K973" s="43" t="str">
        <f>IFERROR(VLOOKUP(B973,Baza[[№]:[Profit]],8,0),"")</f>
        <v/>
      </c>
      <c r="L973" s="43" t="str">
        <f>IFERROR(VLOOKUP(B973,Baza[[№]:[Profit]],9,0),"")</f>
        <v/>
      </c>
      <c r="M973" s="43" t="str">
        <f>IFERROR(VLOOKUP(B973,Baza[[№]:[Profit]],10,0),"")</f>
        <v/>
      </c>
      <c r="N973" s="43" t="str">
        <f>IFERROR(IF(VLOOKUP(B973,Baza[[№]:[Profit]],11,0)=0,"-",VLOOKUP(B973,Baza[[№]:[Profit]],11,0)),"")</f>
        <v/>
      </c>
      <c r="O973" s="43" t="str">
        <f>IFERROR(IF(VLOOKUP(B973,Baza[[№]:[Profit]],12,0)=0,"-",VLOOKUP(B973,Baza[[№]:[Profit]],12,0)),"")</f>
        <v/>
      </c>
      <c r="P973" s="43" t="str">
        <f>IFERROR(IF(VLOOKUP(B973,Baza[[№]:[Profit]],13,0)=0,"-",VLOOKUP(B973,Baza[[№]:[Profit]],13,0)),"")</f>
        <v/>
      </c>
      <c r="Q973" s="43" t="str">
        <f>IFERROR(IF(VLOOKUP(B973,Baza[[№]:[Profit]],15,0)=0,"-",VLOOKUP(B973,Baza[[№]:[Profit]],15,0)),"")</f>
        <v/>
      </c>
      <c r="R973" s="43" t="str">
        <f>IFERROR(IF(VLOOKUP(B973,Baza[[№]:[Profit]],16,0)=0,"-",VLOOKUP(B973,Baza[[№]:[Profit]],16,0)),"")</f>
        <v/>
      </c>
      <c r="S973" s="43" t="str">
        <f>IFERROR(IF(VLOOKUP(B973,Baza[[№]:[Profit]],17,0)=0,"-",VLOOKUP(B973,Baza[[№]:[Profit]],17,0)),"")</f>
        <v/>
      </c>
      <c r="T973" s="43" t="str">
        <f>IFERROR(IF(VLOOKUP(B973,Baza[[№]:[Profit]],18,0)=0,"-",VLOOKUP(B973,Baza[[№]:[Profit]],18,0)),"")</f>
        <v/>
      </c>
      <c r="U973" s="41" t="str">
        <f>IFERROR(IF(VLOOKUP(B973,Baza[[№]:[Profit]],19,0)=0,"-",VLOOKUP(B973,Baza[[№]:[Profit]],19,0)),"")</f>
        <v/>
      </c>
      <c r="V973" s="41" t="str">
        <f>IFERROR(VLOOKUP(B973,Baza[[№]:[Profit]],20,0),"")</f>
        <v/>
      </c>
      <c r="W973" s="41" t="str">
        <f>IFERROR(IF(VLOOKUP(B973,Baza[[№]:[Profit]],21,0)=0,"-",VLOOKUP(B973,Baza[[№]:[Profit]],21,0)),"")</f>
        <v/>
      </c>
      <c r="X973" s="45" t="str">
        <f>IFERROR(IF(VLOOKUP(B973,Baza[[№]:[Profit]],22,0)=0,"-",VLOOKUP(B973,Baza[[№]:[Profit]],22,0)),"")</f>
        <v/>
      </c>
      <c r="Y973" s="45" t="str">
        <f>IFERROR(VLOOKUP(B973,Baza[[№]:[Profit]],23,0),"")</f>
        <v/>
      </c>
      <c r="Z973" s="44" t="str">
        <f>IFERROR(VLOOKUP(B973,Baza[[№]:[AFS]],24,0),"")</f>
        <v/>
      </c>
      <c r="AA973" s="45" t="str">
        <f>IF(Таблица2[[#This Row],[Profit]]="","#Н/Д",SUM($Y$40:Y973))</f>
        <v>#Н/Д</v>
      </c>
      <c r="AB973" s="45" t="b">
        <f>IF(Таблица2[[#This Row],[Grafik]]="#Н/Д",FALSE,TRUE)</f>
        <v>0</v>
      </c>
    </row>
    <row r="974" spans="3:28" ht="11.1" hidden="1" customHeight="1" x14ac:dyDescent="0.25">
      <c r="C974" s="41" t="str">
        <f>IFERROR(VLOOKUP(B974,Baza[[№]:[Profit]],2,0),"")</f>
        <v/>
      </c>
      <c r="D97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7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74" s="43" t="str">
        <f>IFERROR(VLOOKUP(B974,Baza[[№]:[Profit]],3,0),"")</f>
        <v/>
      </c>
      <c r="G974" s="43" t="str">
        <f>IFERROR(VLOOKUP(B974,Baza[[№]:[Profit]],4,0),"")</f>
        <v/>
      </c>
      <c r="H974" s="43" t="str">
        <f>IFERROR(VLOOKUP(B974,Baza[[№]:[Profit]],5,0),"")</f>
        <v/>
      </c>
      <c r="I974" s="46" t="str">
        <f>IFERROR(VLOOKUP(B974,Baza[[№]:[Profit]],6,0),"")</f>
        <v/>
      </c>
      <c r="J974" s="49" t="str">
        <f>IFERROR(VLOOKUP(B974,Baza[[№]:[Profit]],7,0),"")</f>
        <v/>
      </c>
      <c r="K974" s="43" t="str">
        <f>IFERROR(VLOOKUP(B974,Baza[[№]:[Profit]],8,0),"")</f>
        <v/>
      </c>
      <c r="L974" s="43" t="str">
        <f>IFERROR(VLOOKUP(B974,Baza[[№]:[Profit]],9,0),"")</f>
        <v/>
      </c>
      <c r="M974" s="43" t="str">
        <f>IFERROR(VLOOKUP(B974,Baza[[№]:[Profit]],10,0),"")</f>
        <v/>
      </c>
      <c r="N974" s="43" t="str">
        <f>IFERROR(IF(VLOOKUP(B974,Baza[[№]:[Profit]],11,0)=0,"-",VLOOKUP(B974,Baza[[№]:[Profit]],11,0)),"")</f>
        <v/>
      </c>
      <c r="O974" s="43" t="str">
        <f>IFERROR(IF(VLOOKUP(B974,Baza[[№]:[Profit]],12,0)=0,"-",VLOOKUP(B974,Baza[[№]:[Profit]],12,0)),"")</f>
        <v/>
      </c>
      <c r="P974" s="43" t="str">
        <f>IFERROR(IF(VLOOKUP(B974,Baza[[№]:[Profit]],13,0)=0,"-",VLOOKUP(B974,Baza[[№]:[Profit]],13,0)),"")</f>
        <v/>
      </c>
      <c r="Q974" s="43" t="str">
        <f>IFERROR(IF(VLOOKUP(B974,Baza[[№]:[Profit]],15,0)=0,"-",VLOOKUP(B974,Baza[[№]:[Profit]],15,0)),"")</f>
        <v/>
      </c>
      <c r="R974" s="43" t="str">
        <f>IFERROR(IF(VLOOKUP(B974,Baza[[№]:[Profit]],16,0)=0,"-",VLOOKUP(B974,Baza[[№]:[Profit]],16,0)),"")</f>
        <v/>
      </c>
      <c r="S974" s="43" t="str">
        <f>IFERROR(IF(VLOOKUP(B974,Baza[[№]:[Profit]],17,0)=0,"-",VLOOKUP(B974,Baza[[№]:[Profit]],17,0)),"")</f>
        <v/>
      </c>
      <c r="T974" s="43" t="str">
        <f>IFERROR(IF(VLOOKUP(B974,Baza[[№]:[Profit]],18,0)=0,"-",VLOOKUP(B974,Baza[[№]:[Profit]],18,0)),"")</f>
        <v/>
      </c>
      <c r="U974" s="41" t="str">
        <f>IFERROR(IF(VLOOKUP(B974,Baza[[№]:[Profit]],19,0)=0,"-",VLOOKUP(B974,Baza[[№]:[Profit]],19,0)),"")</f>
        <v/>
      </c>
      <c r="V974" s="41" t="str">
        <f>IFERROR(VLOOKUP(B974,Baza[[№]:[Profit]],20,0),"")</f>
        <v/>
      </c>
      <c r="W974" s="41" t="str">
        <f>IFERROR(IF(VLOOKUP(B974,Baza[[№]:[Profit]],21,0)=0,"-",VLOOKUP(B974,Baza[[№]:[Profit]],21,0)),"")</f>
        <v/>
      </c>
      <c r="X974" s="45" t="str">
        <f>IFERROR(IF(VLOOKUP(B974,Baza[[№]:[Profit]],22,0)=0,"-",VLOOKUP(B974,Baza[[№]:[Profit]],22,0)),"")</f>
        <v/>
      </c>
      <c r="Y974" s="45" t="str">
        <f>IFERROR(VLOOKUP(B974,Baza[[№]:[Profit]],23,0),"")</f>
        <v/>
      </c>
      <c r="Z974" s="44" t="str">
        <f>IFERROR(VLOOKUP(B974,Baza[[№]:[AFS]],24,0),"")</f>
        <v/>
      </c>
      <c r="AA974" s="45" t="str">
        <f>IF(Таблица2[[#This Row],[Profit]]="","#Н/Д",SUM($Y$40:Y974))</f>
        <v>#Н/Д</v>
      </c>
      <c r="AB974" s="45" t="b">
        <f>IF(Таблица2[[#This Row],[Grafik]]="#Н/Д",FALSE,TRUE)</f>
        <v>0</v>
      </c>
    </row>
    <row r="975" spans="3:28" ht="11.1" hidden="1" customHeight="1" x14ac:dyDescent="0.25">
      <c r="C975" s="41" t="str">
        <f>IFERROR(VLOOKUP(B975,Baza[[№]:[Profit]],2,0),"")</f>
        <v/>
      </c>
      <c r="D97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7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75" s="43" t="str">
        <f>IFERROR(VLOOKUP(B975,Baza[[№]:[Profit]],3,0),"")</f>
        <v/>
      </c>
      <c r="G975" s="43" t="str">
        <f>IFERROR(VLOOKUP(B975,Baza[[№]:[Profit]],4,0),"")</f>
        <v/>
      </c>
      <c r="H975" s="43" t="str">
        <f>IFERROR(VLOOKUP(B975,Baza[[№]:[Profit]],5,0),"")</f>
        <v/>
      </c>
      <c r="I975" s="46" t="str">
        <f>IFERROR(VLOOKUP(B975,Baza[[№]:[Profit]],6,0),"")</f>
        <v/>
      </c>
      <c r="J975" s="49" t="str">
        <f>IFERROR(VLOOKUP(B975,Baza[[№]:[Profit]],7,0),"")</f>
        <v/>
      </c>
      <c r="K975" s="43" t="str">
        <f>IFERROR(VLOOKUP(B975,Baza[[№]:[Profit]],8,0),"")</f>
        <v/>
      </c>
      <c r="L975" s="43" t="str">
        <f>IFERROR(VLOOKUP(B975,Baza[[№]:[Profit]],9,0),"")</f>
        <v/>
      </c>
      <c r="M975" s="43" t="str">
        <f>IFERROR(VLOOKUP(B975,Baza[[№]:[Profit]],10,0),"")</f>
        <v/>
      </c>
      <c r="N975" s="43" t="str">
        <f>IFERROR(IF(VLOOKUP(B975,Baza[[№]:[Profit]],11,0)=0,"-",VLOOKUP(B975,Baza[[№]:[Profit]],11,0)),"")</f>
        <v/>
      </c>
      <c r="O975" s="43" t="str">
        <f>IFERROR(IF(VLOOKUP(B975,Baza[[№]:[Profit]],12,0)=0,"-",VLOOKUP(B975,Baza[[№]:[Profit]],12,0)),"")</f>
        <v/>
      </c>
      <c r="P975" s="43" t="str">
        <f>IFERROR(IF(VLOOKUP(B975,Baza[[№]:[Profit]],13,0)=0,"-",VLOOKUP(B975,Baza[[№]:[Profit]],13,0)),"")</f>
        <v/>
      </c>
      <c r="Q975" s="43" t="str">
        <f>IFERROR(IF(VLOOKUP(B975,Baza[[№]:[Profit]],15,0)=0,"-",VLOOKUP(B975,Baza[[№]:[Profit]],15,0)),"")</f>
        <v/>
      </c>
      <c r="R975" s="43" t="str">
        <f>IFERROR(IF(VLOOKUP(B975,Baza[[№]:[Profit]],16,0)=0,"-",VLOOKUP(B975,Baza[[№]:[Profit]],16,0)),"")</f>
        <v/>
      </c>
      <c r="S975" s="43" t="str">
        <f>IFERROR(IF(VLOOKUP(B975,Baza[[№]:[Profit]],17,0)=0,"-",VLOOKUP(B975,Baza[[№]:[Profit]],17,0)),"")</f>
        <v/>
      </c>
      <c r="T975" s="43" t="str">
        <f>IFERROR(IF(VLOOKUP(B975,Baza[[№]:[Profit]],18,0)=0,"-",VLOOKUP(B975,Baza[[№]:[Profit]],18,0)),"")</f>
        <v/>
      </c>
      <c r="U975" s="41" t="str">
        <f>IFERROR(IF(VLOOKUP(B975,Baza[[№]:[Profit]],19,0)=0,"-",VLOOKUP(B975,Baza[[№]:[Profit]],19,0)),"")</f>
        <v/>
      </c>
      <c r="V975" s="41" t="str">
        <f>IFERROR(VLOOKUP(B975,Baza[[№]:[Profit]],20,0),"")</f>
        <v/>
      </c>
      <c r="W975" s="41" t="str">
        <f>IFERROR(IF(VLOOKUP(B975,Baza[[№]:[Profit]],21,0)=0,"-",VLOOKUP(B975,Baza[[№]:[Profit]],21,0)),"")</f>
        <v/>
      </c>
      <c r="X975" s="45" t="str">
        <f>IFERROR(IF(VLOOKUP(B975,Baza[[№]:[Profit]],22,0)=0,"-",VLOOKUP(B975,Baza[[№]:[Profit]],22,0)),"")</f>
        <v/>
      </c>
      <c r="Y975" s="45" t="str">
        <f>IFERROR(VLOOKUP(B975,Baza[[№]:[Profit]],23,0),"")</f>
        <v/>
      </c>
      <c r="Z975" s="44" t="str">
        <f>IFERROR(VLOOKUP(B975,Baza[[№]:[AFS]],24,0),"")</f>
        <v/>
      </c>
      <c r="AA975" s="45" t="str">
        <f>IF(Таблица2[[#This Row],[Profit]]="","#Н/Д",SUM($Y$40:Y975))</f>
        <v>#Н/Д</v>
      </c>
      <c r="AB975" s="45" t="b">
        <f>IF(Таблица2[[#This Row],[Grafik]]="#Н/Д",FALSE,TRUE)</f>
        <v>0</v>
      </c>
    </row>
    <row r="976" spans="3:28" ht="11.1" hidden="1" customHeight="1" x14ac:dyDescent="0.25">
      <c r="C976" s="41" t="str">
        <f>IFERROR(VLOOKUP(B976,Baza[[№]:[Profit]],2,0),"")</f>
        <v/>
      </c>
      <c r="D97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7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76" s="43" t="str">
        <f>IFERROR(VLOOKUP(B976,Baza[[№]:[Profit]],3,0),"")</f>
        <v/>
      </c>
      <c r="G976" s="43" t="str">
        <f>IFERROR(VLOOKUP(B976,Baza[[№]:[Profit]],4,0),"")</f>
        <v/>
      </c>
      <c r="H976" s="43" t="str">
        <f>IFERROR(VLOOKUP(B976,Baza[[№]:[Profit]],5,0),"")</f>
        <v/>
      </c>
      <c r="I976" s="46" t="str">
        <f>IFERROR(VLOOKUP(B976,Baza[[№]:[Profit]],6,0),"")</f>
        <v/>
      </c>
      <c r="J976" s="49" t="str">
        <f>IFERROR(VLOOKUP(B976,Baza[[№]:[Profit]],7,0),"")</f>
        <v/>
      </c>
      <c r="K976" s="43" t="str">
        <f>IFERROR(VLOOKUP(B976,Baza[[№]:[Profit]],8,0),"")</f>
        <v/>
      </c>
      <c r="L976" s="43" t="str">
        <f>IFERROR(VLOOKUP(B976,Baza[[№]:[Profit]],9,0),"")</f>
        <v/>
      </c>
      <c r="M976" s="43" t="str">
        <f>IFERROR(VLOOKUP(B976,Baza[[№]:[Profit]],10,0),"")</f>
        <v/>
      </c>
      <c r="N976" s="43" t="str">
        <f>IFERROR(IF(VLOOKUP(B976,Baza[[№]:[Profit]],11,0)=0,"-",VLOOKUP(B976,Baza[[№]:[Profit]],11,0)),"")</f>
        <v/>
      </c>
      <c r="O976" s="43" t="str">
        <f>IFERROR(IF(VLOOKUP(B976,Baza[[№]:[Profit]],12,0)=0,"-",VLOOKUP(B976,Baza[[№]:[Profit]],12,0)),"")</f>
        <v/>
      </c>
      <c r="P976" s="43" t="str">
        <f>IFERROR(IF(VLOOKUP(B976,Baza[[№]:[Profit]],13,0)=0,"-",VLOOKUP(B976,Baza[[№]:[Profit]],13,0)),"")</f>
        <v/>
      </c>
      <c r="Q976" s="43" t="str">
        <f>IFERROR(IF(VLOOKUP(B976,Baza[[№]:[Profit]],15,0)=0,"-",VLOOKUP(B976,Baza[[№]:[Profit]],15,0)),"")</f>
        <v/>
      </c>
      <c r="R976" s="43" t="str">
        <f>IFERROR(IF(VLOOKUP(B976,Baza[[№]:[Profit]],16,0)=0,"-",VLOOKUP(B976,Baza[[№]:[Profit]],16,0)),"")</f>
        <v/>
      </c>
      <c r="S976" s="43" t="str">
        <f>IFERROR(IF(VLOOKUP(B976,Baza[[№]:[Profit]],17,0)=0,"-",VLOOKUP(B976,Baza[[№]:[Profit]],17,0)),"")</f>
        <v/>
      </c>
      <c r="T976" s="43" t="str">
        <f>IFERROR(IF(VLOOKUP(B976,Baza[[№]:[Profit]],18,0)=0,"-",VLOOKUP(B976,Baza[[№]:[Profit]],18,0)),"")</f>
        <v/>
      </c>
      <c r="U976" s="41" t="str">
        <f>IFERROR(IF(VLOOKUP(B976,Baza[[№]:[Profit]],19,0)=0,"-",VLOOKUP(B976,Baza[[№]:[Profit]],19,0)),"")</f>
        <v/>
      </c>
      <c r="V976" s="41" t="str">
        <f>IFERROR(VLOOKUP(B976,Baza[[№]:[Profit]],20,0),"")</f>
        <v/>
      </c>
      <c r="W976" s="41" t="str">
        <f>IFERROR(IF(VLOOKUP(B976,Baza[[№]:[Profit]],21,0)=0,"-",VLOOKUP(B976,Baza[[№]:[Profit]],21,0)),"")</f>
        <v/>
      </c>
      <c r="X976" s="45" t="str">
        <f>IFERROR(IF(VLOOKUP(B976,Baza[[№]:[Profit]],22,0)=0,"-",VLOOKUP(B976,Baza[[№]:[Profit]],22,0)),"")</f>
        <v/>
      </c>
      <c r="Y976" s="45" t="str">
        <f>IFERROR(VLOOKUP(B976,Baza[[№]:[Profit]],23,0),"")</f>
        <v/>
      </c>
      <c r="Z976" s="44" t="str">
        <f>IFERROR(VLOOKUP(B976,Baza[[№]:[AFS]],24,0),"")</f>
        <v/>
      </c>
      <c r="AA976" s="45" t="str">
        <f>IF(Таблица2[[#This Row],[Profit]]="","#Н/Д",SUM($Y$40:Y976))</f>
        <v>#Н/Д</v>
      </c>
      <c r="AB976" s="45" t="b">
        <f>IF(Таблица2[[#This Row],[Grafik]]="#Н/Д",FALSE,TRUE)</f>
        <v>0</v>
      </c>
    </row>
    <row r="977" spans="3:28" ht="11.1" hidden="1" customHeight="1" x14ac:dyDescent="0.25">
      <c r="C977" s="41" t="str">
        <f>IFERROR(VLOOKUP(B977,Baza[[№]:[Profit]],2,0),"")</f>
        <v/>
      </c>
      <c r="D97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7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77" s="43" t="str">
        <f>IFERROR(VLOOKUP(B977,Baza[[№]:[Profit]],3,0),"")</f>
        <v/>
      </c>
      <c r="G977" s="43" t="str">
        <f>IFERROR(VLOOKUP(B977,Baza[[№]:[Profit]],4,0),"")</f>
        <v/>
      </c>
      <c r="H977" s="43" t="str">
        <f>IFERROR(VLOOKUP(B977,Baza[[№]:[Profit]],5,0),"")</f>
        <v/>
      </c>
      <c r="I977" s="46" t="str">
        <f>IFERROR(VLOOKUP(B977,Baza[[№]:[Profit]],6,0),"")</f>
        <v/>
      </c>
      <c r="J977" s="49" t="str">
        <f>IFERROR(VLOOKUP(B977,Baza[[№]:[Profit]],7,0),"")</f>
        <v/>
      </c>
      <c r="K977" s="43" t="str">
        <f>IFERROR(VLOOKUP(B977,Baza[[№]:[Profit]],8,0),"")</f>
        <v/>
      </c>
      <c r="L977" s="43" t="str">
        <f>IFERROR(VLOOKUP(B977,Baza[[№]:[Profit]],9,0),"")</f>
        <v/>
      </c>
      <c r="M977" s="43" t="str">
        <f>IFERROR(VLOOKUP(B977,Baza[[№]:[Profit]],10,0),"")</f>
        <v/>
      </c>
      <c r="N977" s="43" t="str">
        <f>IFERROR(IF(VLOOKUP(B977,Baza[[№]:[Profit]],11,0)=0,"-",VLOOKUP(B977,Baza[[№]:[Profit]],11,0)),"")</f>
        <v/>
      </c>
      <c r="O977" s="43" t="str">
        <f>IFERROR(IF(VLOOKUP(B977,Baza[[№]:[Profit]],12,0)=0,"-",VLOOKUP(B977,Baza[[№]:[Profit]],12,0)),"")</f>
        <v/>
      </c>
      <c r="P977" s="43" t="str">
        <f>IFERROR(IF(VLOOKUP(B977,Baza[[№]:[Profit]],13,0)=0,"-",VLOOKUP(B977,Baza[[№]:[Profit]],13,0)),"")</f>
        <v/>
      </c>
      <c r="Q977" s="43" t="str">
        <f>IFERROR(IF(VLOOKUP(B977,Baza[[№]:[Profit]],15,0)=0,"-",VLOOKUP(B977,Baza[[№]:[Profit]],15,0)),"")</f>
        <v/>
      </c>
      <c r="R977" s="43" t="str">
        <f>IFERROR(IF(VLOOKUP(B977,Baza[[№]:[Profit]],16,0)=0,"-",VLOOKUP(B977,Baza[[№]:[Profit]],16,0)),"")</f>
        <v/>
      </c>
      <c r="S977" s="43" t="str">
        <f>IFERROR(IF(VLOOKUP(B977,Baza[[№]:[Profit]],17,0)=0,"-",VLOOKUP(B977,Baza[[№]:[Profit]],17,0)),"")</f>
        <v/>
      </c>
      <c r="T977" s="43" t="str">
        <f>IFERROR(IF(VLOOKUP(B977,Baza[[№]:[Profit]],18,0)=0,"-",VLOOKUP(B977,Baza[[№]:[Profit]],18,0)),"")</f>
        <v/>
      </c>
      <c r="U977" s="41" t="str">
        <f>IFERROR(IF(VLOOKUP(B977,Baza[[№]:[Profit]],19,0)=0,"-",VLOOKUP(B977,Baza[[№]:[Profit]],19,0)),"")</f>
        <v/>
      </c>
      <c r="V977" s="41" t="str">
        <f>IFERROR(VLOOKUP(B977,Baza[[№]:[Profit]],20,0),"")</f>
        <v/>
      </c>
      <c r="W977" s="41" t="str">
        <f>IFERROR(IF(VLOOKUP(B977,Baza[[№]:[Profit]],21,0)=0,"-",VLOOKUP(B977,Baza[[№]:[Profit]],21,0)),"")</f>
        <v/>
      </c>
      <c r="X977" s="45" t="str">
        <f>IFERROR(IF(VLOOKUP(B977,Baza[[№]:[Profit]],22,0)=0,"-",VLOOKUP(B977,Baza[[№]:[Profit]],22,0)),"")</f>
        <v/>
      </c>
      <c r="Y977" s="45" t="str">
        <f>IFERROR(VLOOKUP(B977,Baza[[№]:[Profit]],23,0),"")</f>
        <v/>
      </c>
      <c r="Z977" s="44" t="str">
        <f>IFERROR(VLOOKUP(B977,Baza[[№]:[AFS]],24,0),"")</f>
        <v/>
      </c>
      <c r="AA977" s="45" t="str">
        <f>IF(Таблица2[[#This Row],[Profit]]="","#Н/Д",SUM($Y$40:Y977))</f>
        <v>#Н/Д</v>
      </c>
      <c r="AB977" s="45" t="b">
        <f>IF(Таблица2[[#This Row],[Grafik]]="#Н/Д",FALSE,TRUE)</f>
        <v>0</v>
      </c>
    </row>
    <row r="978" spans="3:28" ht="11.1" hidden="1" customHeight="1" x14ac:dyDescent="0.25">
      <c r="C978" s="41" t="str">
        <f>IFERROR(VLOOKUP(B978,Baza[[№]:[Profit]],2,0),"")</f>
        <v/>
      </c>
      <c r="D97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7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78" s="43" t="str">
        <f>IFERROR(VLOOKUP(B978,Baza[[№]:[Profit]],3,0),"")</f>
        <v/>
      </c>
      <c r="G978" s="43" t="str">
        <f>IFERROR(VLOOKUP(B978,Baza[[№]:[Profit]],4,0),"")</f>
        <v/>
      </c>
      <c r="H978" s="43" t="str">
        <f>IFERROR(VLOOKUP(B978,Baza[[№]:[Profit]],5,0),"")</f>
        <v/>
      </c>
      <c r="I978" s="46" t="str">
        <f>IFERROR(VLOOKUP(B978,Baza[[№]:[Profit]],6,0),"")</f>
        <v/>
      </c>
      <c r="J978" s="49" t="str">
        <f>IFERROR(VLOOKUP(B978,Baza[[№]:[Profit]],7,0),"")</f>
        <v/>
      </c>
      <c r="K978" s="43" t="str">
        <f>IFERROR(VLOOKUP(B978,Baza[[№]:[Profit]],8,0),"")</f>
        <v/>
      </c>
      <c r="L978" s="43" t="str">
        <f>IFERROR(VLOOKUP(B978,Baza[[№]:[Profit]],9,0),"")</f>
        <v/>
      </c>
      <c r="M978" s="43" t="str">
        <f>IFERROR(VLOOKUP(B978,Baza[[№]:[Profit]],10,0),"")</f>
        <v/>
      </c>
      <c r="N978" s="43" t="str">
        <f>IFERROR(IF(VLOOKUP(B978,Baza[[№]:[Profit]],11,0)=0,"-",VLOOKUP(B978,Baza[[№]:[Profit]],11,0)),"")</f>
        <v/>
      </c>
      <c r="O978" s="43" t="str">
        <f>IFERROR(IF(VLOOKUP(B978,Baza[[№]:[Profit]],12,0)=0,"-",VLOOKUP(B978,Baza[[№]:[Profit]],12,0)),"")</f>
        <v/>
      </c>
      <c r="P978" s="43" t="str">
        <f>IFERROR(IF(VLOOKUP(B978,Baza[[№]:[Profit]],13,0)=0,"-",VLOOKUP(B978,Baza[[№]:[Profit]],13,0)),"")</f>
        <v/>
      </c>
      <c r="Q978" s="43" t="str">
        <f>IFERROR(IF(VLOOKUP(B978,Baza[[№]:[Profit]],15,0)=0,"-",VLOOKUP(B978,Baza[[№]:[Profit]],15,0)),"")</f>
        <v/>
      </c>
      <c r="R978" s="43" t="str">
        <f>IFERROR(IF(VLOOKUP(B978,Baza[[№]:[Profit]],16,0)=0,"-",VLOOKUP(B978,Baza[[№]:[Profit]],16,0)),"")</f>
        <v/>
      </c>
      <c r="S978" s="43" t="str">
        <f>IFERROR(IF(VLOOKUP(B978,Baza[[№]:[Profit]],17,0)=0,"-",VLOOKUP(B978,Baza[[№]:[Profit]],17,0)),"")</f>
        <v/>
      </c>
      <c r="T978" s="43" t="str">
        <f>IFERROR(IF(VLOOKUP(B978,Baza[[№]:[Profit]],18,0)=0,"-",VLOOKUP(B978,Baza[[№]:[Profit]],18,0)),"")</f>
        <v/>
      </c>
      <c r="U978" s="41" t="str">
        <f>IFERROR(IF(VLOOKUP(B978,Baza[[№]:[Profit]],19,0)=0,"-",VLOOKUP(B978,Baza[[№]:[Profit]],19,0)),"")</f>
        <v/>
      </c>
      <c r="V978" s="41" t="str">
        <f>IFERROR(VLOOKUP(B978,Baza[[№]:[Profit]],20,0),"")</f>
        <v/>
      </c>
      <c r="W978" s="41" t="str">
        <f>IFERROR(IF(VLOOKUP(B978,Baza[[№]:[Profit]],21,0)=0,"-",VLOOKUP(B978,Baza[[№]:[Profit]],21,0)),"")</f>
        <v/>
      </c>
      <c r="X978" s="45" t="str">
        <f>IFERROR(IF(VLOOKUP(B978,Baza[[№]:[Profit]],22,0)=0,"-",VLOOKUP(B978,Baza[[№]:[Profit]],22,0)),"")</f>
        <v/>
      </c>
      <c r="Y978" s="45" t="str">
        <f>IFERROR(VLOOKUP(B978,Baza[[№]:[Profit]],23,0),"")</f>
        <v/>
      </c>
      <c r="Z978" s="44" t="str">
        <f>IFERROR(VLOOKUP(B978,Baza[[№]:[AFS]],24,0),"")</f>
        <v/>
      </c>
      <c r="AA978" s="45" t="str">
        <f>IF(Таблица2[[#This Row],[Profit]]="","#Н/Д",SUM($Y$40:Y978))</f>
        <v>#Н/Д</v>
      </c>
      <c r="AB978" s="45" t="b">
        <f>IF(Таблица2[[#This Row],[Grafik]]="#Н/Д",FALSE,TRUE)</f>
        <v>0</v>
      </c>
    </row>
    <row r="979" spans="3:28" ht="11.1" hidden="1" customHeight="1" x14ac:dyDescent="0.25">
      <c r="C979" s="41" t="str">
        <f>IFERROR(VLOOKUP(B979,Baza[[№]:[Profit]],2,0),"")</f>
        <v/>
      </c>
      <c r="D97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7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79" s="43" t="str">
        <f>IFERROR(VLOOKUP(B979,Baza[[№]:[Profit]],3,0),"")</f>
        <v/>
      </c>
      <c r="G979" s="43" t="str">
        <f>IFERROR(VLOOKUP(B979,Baza[[№]:[Profit]],4,0),"")</f>
        <v/>
      </c>
      <c r="H979" s="43" t="str">
        <f>IFERROR(VLOOKUP(B979,Baza[[№]:[Profit]],5,0),"")</f>
        <v/>
      </c>
      <c r="I979" s="46" t="str">
        <f>IFERROR(VLOOKUP(B979,Baza[[№]:[Profit]],6,0),"")</f>
        <v/>
      </c>
      <c r="J979" s="49" t="str">
        <f>IFERROR(VLOOKUP(B979,Baza[[№]:[Profit]],7,0),"")</f>
        <v/>
      </c>
      <c r="K979" s="43" t="str">
        <f>IFERROR(VLOOKUP(B979,Baza[[№]:[Profit]],8,0),"")</f>
        <v/>
      </c>
      <c r="L979" s="43" t="str">
        <f>IFERROR(VLOOKUP(B979,Baza[[№]:[Profit]],9,0),"")</f>
        <v/>
      </c>
      <c r="M979" s="43" t="str">
        <f>IFERROR(VLOOKUP(B979,Baza[[№]:[Profit]],10,0),"")</f>
        <v/>
      </c>
      <c r="N979" s="43" t="str">
        <f>IFERROR(IF(VLOOKUP(B979,Baza[[№]:[Profit]],11,0)=0,"-",VLOOKUP(B979,Baza[[№]:[Profit]],11,0)),"")</f>
        <v/>
      </c>
      <c r="O979" s="43" t="str">
        <f>IFERROR(IF(VLOOKUP(B979,Baza[[№]:[Profit]],12,0)=0,"-",VLOOKUP(B979,Baza[[№]:[Profit]],12,0)),"")</f>
        <v/>
      </c>
      <c r="P979" s="43" t="str">
        <f>IFERROR(IF(VLOOKUP(B979,Baza[[№]:[Profit]],13,0)=0,"-",VLOOKUP(B979,Baza[[№]:[Profit]],13,0)),"")</f>
        <v/>
      </c>
      <c r="Q979" s="43" t="str">
        <f>IFERROR(IF(VLOOKUP(B979,Baza[[№]:[Profit]],15,0)=0,"-",VLOOKUP(B979,Baza[[№]:[Profit]],15,0)),"")</f>
        <v/>
      </c>
      <c r="R979" s="43" t="str">
        <f>IFERROR(IF(VLOOKUP(B979,Baza[[№]:[Profit]],16,0)=0,"-",VLOOKUP(B979,Baza[[№]:[Profit]],16,0)),"")</f>
        <v/>
      </c>
      <c r="S979" s="43" t="str">
        <f>IFERROR(IF(VLOOKUP(B979,Baza[[№]:[Profit]],17,0)=0,"-",VLOOKUP(B979,Baza[[№]:[Profit]],17,0)),"")</f>
        <v/>
      </c>
      <c r="T979" s="43" t="str">
        <f>IFERROR(IF(VLOOKUP(B979,Baza[[№]:[Profit]],18,0)=0,"-",VLOOKUP(B979,Baza[[№]:[Profit]],18,0)),"")</f>
        <v/>
      </c>
      <c r="U979" s="41" t="str">
        <f>IFERROR(IF(VLOOKUP(B979,Baza[[№]:[Profit]],19,0)=0,"-",VLOOKUP(B979,Baza[[№]:[Profit]],19,0)),"")</f>
        <v/>
      </c>
      <c r="V979" s="41" t="str">
        <f>IFERROR(VLOOKUP(B979,Baza[[№]:[Profit]],20,0),"")</f>
        <v/>
      </c>
      <c r="W979" s="41" t="str">
        <f>IFERROR(IF(VLOOKUP(B979,Baza[[№]:[Profit]],21,0)=0,"-",VLOOKUP(B979,Baza[[№]:[Profit]],21,0)),"")</f>
        <v/>
      </c>
      <c r="X979" s="45" t="str">
        <f>IFERROR(IF(VLOOKUP(B979,Baza[[№]:[Profit]],22,0)=0,"-",VLOOKUP(B979,Baza[[№]:[Profit]],22,0)),"")</f>
        <v/>
      </c>
      <c r="Y979" s="45" t="str">
        <f>IFERROR(VLOOKUP(B979,Baza[[№]:[Profit]],23,0),"")</f>
        <v/>
      </c>
      <c r="Z979" s="44" t="str">
        <f>IFERROR(VLOOKUP(B979,Baza[[№]:[AFS]],24,0),"")</f>
        <v/>
      </c>
      <c r="AA979" s="45" t="str">
        <f>IF(Таблица2[[#This Row],[Profit]]="","#Н/Д",SUM($Y$40:Y979))</f>
        <v>#Н/Д</v>
      </c>
      <c r="AB979" s="45" t="b">
        <f>IF(Таблица2[[#This Row],[Grafik]]="#Н/Д",FALSE,TRUE)</f>
        <v>0</v>
      </c>
    </row>
    <row r="980" spans="3:28" ht="11.1" hidden="1" customHeight="1" x14ac:dyDescent="0.25">
      <c r="C980" s="41" t="str">
        <f>IFERROR(VLOOKUP(B980,Baza[[№]:[Profit]],2,0),"")</f>
        <v/>
      </c>
      <c r="D98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8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80" s="43" t="str">
        <f>IFERROR(VLOOKUP(B980,Baza[[№]:[Profit]],3,0),"")</f>
        <v/>
      </c>
      <c r="G980" s="43" t="str">
        <f>IFERROR(VLOOKUP(B980,Baza[[№]:[Profit]],4,0),"")</f>
        <v/>
      </c>
      <c r="H980" s="43" t="str">
        <f>IFERROR(VLOOKUP(B980,Baza[[№]:[Profit]],5,0),"")</f>
        <v/>
      </c>
      <c r="I980" s="46" t="str">
        <f>IFERROR(VLOOKUP(B980,Baza[[№]:[Profit]],6,0),"")</f>
        <v/>
      </c>
      <c r="J980" s="49" t="str">
        <f>IFERROR(VLOOKUP(B980,Baza[[№]:[Profit]],7,0),"")</f>
        <v/>
      </c>
      <c r="K980" s="43" t="str">
        <f>IFERROR(VLOOKUP(B980,Baza[[№]:[Profit]],8,0),"")</f>
        <v/>
      </c>
      <c r="L980" s="43" t="str">
        <f>IFERROR(VLOOKUP(B980,Baza[[№]:[Profit]],9,0),"")</f>
        <v/>
      </c>
      <c r="M980" s="43" t="str">
        <f>IFERROR(VLOOKUP(B980,Baza[[№]:[Profit]],10,0),"")</f>
        <v/>
      </c>
      <c r="N980" s="43" t="str">
        <f>IFERROR(IF(VLOOKUP(B980,Baza[[№]:[Profit]],11,0)=0,"-",VLOOKUP(B980,Baza[[№]:[Profit]],11,0)),"")</f>
        <v/>
      </c>
      <c r="O980" s="43" t="str">
        <f>IFERROR(IF(VLOOKUP(B980,Baza[[№]:[Profit]],12,0)=0,"-",VLOOKUP(B980,Baza[[№]:[Profit]],12,0)),"")</f>
        <v/>
      </c>
      <c r="P980" s="43" t="str">
        <f>IFERROR(IF(VLOOKUP(B980,Baza[[№]:[Profit]],13,0)=0,"-",VLOOKUP(B980,Baza[[№]:[Profit]],13,0)),"")</f>
        <v/>
      </c>
      <c r="Q980" s="43" t="str">
        <f>IFERROR(IF(VLOOKUP(B980,Baza[[№]:[Profit]],15,0)=0,"-",VLOOKUP(B980,Baza[[№]:[Profit]],15,0)),"")</f>
        <v/>
      </c>
      <c r="R980" s="43" t="str">
        <f>IFERROR(IF(VLOOKUP(B980,Baza[[№]:[Profit]],16,0)=0,"-",VLOOKUP(B980,Baza[[№]:[Profit]],16,0)),"")</f>
        <v/>
      </c>
      <c r="S980" s="43" t="str">
        <f>IFERROR(IF(VLOOKUP(B980,Baza[[№]:[Profit]],17,0)=0,"-",VLOOKUP(B980,Baza[[№]:[Profit]],17,0)),"")</f>
        <v/>
      </c>
      <c r="T980" s="43" t="str">
        <f>IFERROR(IF(VLOOKUP(B980,Baza[[№]:[Profit]],18,0)=0,"-",VLOOKUP(B980,Baza[[№]:[Profit]],18,0)),"")</f>
        <v/>
      </c>
      <c r="U980" s="41" t="str">
        <f>IFERROR(IF(VLOOKUP(B980,Baza[[№]:[Profit]],19,0)=0,"-",VLOOKUP(B980,Baza[[№]:[Profit]],19,0)),"")</f>
        <v/>
      </c>
      <c r="V980" s="41" t="str">
        <f>IFERROR(VLOOKUP(B980,Baza[[№]:[Profit]],20,0),"")</f>
        <v/>
      </c>
      <c r="W980" s="41" t="str">
        <f>IFERROR(IF(VLOOKUP(B980,Baza[[№]:[Profit]],21,0)=0,"-",VLOOKUP(B980,Baza[[№]:[Profit]],21,0)),"")</f>
        <v/>
      </c>
      <c r="X980" s="45" t="str">
        <f>IFERROR(IF(VLOOKUP(B980,Baza[[№]:[Profit]],22,0)=0,"-",VLOOKUP(B980,Baza[[№]:[Profit]],22,0)),"")</f>
        <v/>
      </c>
      <c r="Y980" s="45" t="str">
        <f>IFERROR(VLOOKUP(B980,Baza[[№]:[Profit]],23,0),"")</f>
        <v/>
      </c>
      <c r="Z980" s="44" t="str">
        <f>IFERROR(VLOOKUP(B980,Baza[[№]:[AFS]],24,0),"")</f>
        <v/>
      </c>
      <c r="AA980" s="45" t="str">
        <f>IF(Таблица2[[#This Row],[Profit]]="","#Н/Д",SUM($Y$40:Y980))</f>
        <v>#Н/Д</v>
      </c>
      <c r="AB980" s="45" t="b">
        <f>IF(Таблица2[[#This Row],[Grafik]]="#Н/Д",FALSE,TRUE)</f>
        <v>0</v>
      </c>
    </row>
    <row r="981" spans="3:28" ht="11.1" hidden="1" customHeight="1" x14ac:dyDescent="0.25">
      <c r="C981" s="41" t="str">
        <f>IFERROR(VLOOKUP(B981,Baza[[№]:[Profit]],2,0),"")</f>
        <v/>
      </c>
      <c r="D98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8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81" s="43" t="str">
        <f>IFERROR(VLOOKUP(B981,Baza[[№]:[Profit]],3,0),"")</f>
        <v/>
      </c>
      <c r="G981" s="43" t="str">
        <f>IFERROR(VLOOKUP(B981,Baza[[№]:[Profit]],4,0),"")</f>
        <v/>
      </c>
      <c r="H981" s="43" t="str">
        <f>IFERROR(VLOOKUP(B981,Baza[[№]:[Profit]],5,0),"")</f>
        <v/>
      </c>
      <c r="I981" s="46" t="str">
        <f>IFERROR(VLOOKUP(B981,Baza[[№]:[Profit]],6,0),"")</f>
        <v/>
      </c>
      <c r="J981" s="49" t="str">
        <f>IFERROR(VLOOKUP(B981,Baza[[№]:[Profit]],7,0),"")</f>
        <v/>
      </c>
      <c r="K981" s="43" t="str">
        <f>IFERROR(VLOOKUP(B981,Baza[[№]:[Profit]],8,0),"")</f>
        <v/>
      </c>
      <c r="L981" s="43" t="str">
        <f>IFERROR(VLOOKUP(B981,Baza[[№]:[Profit]],9,0),"")</f>
        <v/>
      </c>
      <c r="M981" s="43" t="str">
        <f>IFERROR(VLOOKUP(B981,Baza[[№]:[Profit]],10,0),"")</f>
        <v/>
      </c>
      <c r="N981" s="43" t="str">
        <f>IFERROR(IF(VLOOKUP(B981,Baza[[№]:[Profit]],11,0)=0,"-",VLOOKUP(B981,Baza[[№]:[Profit]],11,0)),"")</f>
        <v/>
      </c>
      <c r="O981" s="43" t="str">
        <f>IFERROR(IF(VLOOKUP(B981,Baza[[№]:[Profit]],12,0)=0,"-",VLOOKUP(B981,Baza[[№]:[Profit]],12,0)),"")</f>
        <v/>
      </c>
      <c r="P981" s="43" t="str">
        <f>IFERROR(IF(VLOOKUP(B981,Baza[[№]:[Profit]],13,0)=0,"-",VLOOKUP(B981,Baza[[№]:[Profit]],13,0)),"")</f>
        <v/>
      </c>
      <c r="Q981" s="43" t="str">
        <f>IFERROR(IF(VLOOKUP(B981,Baza[[№]:[Profit]],15,0)=0,"-",VLOOKUP(B981,Baza[[№]:[Profit]],15,0)),"")</f>
        <v/>
      </c>
      <c r="R981" s="43" t="str">
        <f>IFERROR(IF(VLOOKUP(B981,Baza[[№]:[Profit]],16,0)=0,"-",VLOOKUP(B981,Baza[[№]:[Profit]],16,0)),"")</f>
        <v/>
      </c>
      <c r="S981" s="43" t="str">
        <f>IFERROR(IF(VLOOKUP(B981,Baza[[№]:[Profit]],17,0)=0,"-",VLOOKUP(B981,Baza[[№]:[Profit]],17,0)),"")</f>
        <v/>
      </c>
      <c r="T981" s="43" t="str">
        <f>IFERROR(IF(VLOOKUP(B981,Baza[[№]:[Profit]],18,0)=0,"-",VLOOKUP(B981,Baza[[№]:[Profit]],18,0)),"")</f>
        <v/>
      </c>
      <c r="U981" s="41" t="str">
        <f>IFERROR(IF(VLOOKUP(B981,Baza[[№]:[Profit]],19,0)=0,"-",VLOOKUP(B981,Baza[[№]:[Profit]],19,0)),"")</f>
        <v/>
      </c>
      <c r="V981" s="41" t="str">
        <f>IFERROR(VLOOKUP(B981,Baza[[№]:[Profit]],20,0),"")</f>
        <v/>
      </c>
      <c r="W981" s="41" t="str">
        <f>IFERROR(IF(VLOOKUP(B981,Baza[[№]:[Profit]],21,0)=0,"-",VLOOKUP(B981,Baza[[№]:[Profit]],21,0)),"")</f>
        <v/>
      </c>
      <c r="X981" s="45" t="str">
        <f>IFERROR(IF(VLOOKUP(B981,Baza[[№]:[Profit]],22,0)=0,"-",VLOOKUP(B981,Baza[[№]:[Profit]],22,0)),"")</f>
        <v/>
      </c>
      <c r="Y981" s="45" t="str">
        <f>IFERROR(VLOOKUP(B981,Baza[[№]:[Profit]],23,0),"")</f>
        <v/>
      </c>
      <c r="Z981" s="44" t="str">
        <f>IFERROR(VLOOKUP(B981,Baza[[№]:[AFS]],24,0),"")</f>
        <v/>
      </c>
      <c r="AA981" s="45" t="str">
        <f>IF(Таблица2[[#This Row],[Profit]]="","#Н/Д",SUM($Y$40:Y981))</f>
        <v>#Н/Д</v>
      </c>
      <c r="AB981" s="45" t="b">
        <f>IF(Таблица2[[#This Row],[Grafik]]="#Н/Д",FALSE,TRUE)</f>
        <v>0</v>
      </c>
    </row>
    <row r="982" spans="3:28" ht="11.1" hidden="1" customHeight="1" x14ac:dyDescent="0.25">
      <c r="C982" s="41" t="str">
        <f>IFERROR(VLOOKUP(B982,Baza[[№]:[Profit]],2,0),"")</f>
        <v/>
      </c>
      <c r="D98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8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82" s="43" t="str">
        <f>IFERROR(VLOOKUP(B982,Baza[[№]:[Profit]],3,0),"")</f>
        <v/>
      </c>
      <c r="G982" s="43" t="str">
        <f>IFERROR(VLOOKUP(B982,Baza[[№]:[Profit]],4,0),"")</f>
        <v/>
      </c>
      <c r="H982" s="43" t="str">
        <f>IFERROR(VLOOKUP(B982,Baza[[№]:[Profit]],5,0),"")</f>
        <v/>
      </c>
      <c r="I982" s="46" t="str">
        <f>IFERROR(VLOOKUP(B982,Baza[[№]:[Profit]],6,0),"")</f>
        <v/>
      </c>
      <c r="J982" s="49" t="str">
        <f>IFERROR(VLOOKUP(B982,Baza[[№]:[Profit]],7,0),"")</f>
        <v/>
      </c>
      <c r="K982" s="43" t="str">
        <f>IFERROR(VLOOKUP(B982,Baza[[№]:[Profit]],8,0),"")</f>
        <v/>
      </c>
      <c r="L982" s="43" t="str">
        <f>IFERROR(VLOOKUP(B982,Baza[[№]:[Profit]],9,0),"")</f>
        <v/>
      </c>
      <c r="M982" s="43" t="str">
        <f>IFERROR(VLOOKUP(B982,Baza[[№]:[Profit]],10,0),"")</f>
        <v/>
      </c>
      <c r="N982" s="43" t="str">
        <f>IFERROR(IF(VLOOKUP(B982,Baza[[№]:[Profit]],11,0)=0,"-",VLOOKUP(B982,Baza[[№]:[Profit]],11,0)),"")</f>
        <v/>
      </c>
      <c r="O982" s="43" t="str">
        <f>IFERROR(IF(VLOOKUP(B982,Baza[[№]:[Profit]],12,0)=0,"-",VLOOKUP(B982,Baza[[№]:[Profit]],12,0)),"")</f>
        <v/>
      </c>
      <c r="P982" s="43" t="str">
        <f>IFERROR(IF(VLOOKUP(B982,Baza[[№]:[Profit]],13,0)=0,"-",VLOOKUP(B982,Baza[[№]:[Profit]],13,0)),"")</f>
        <v/>
      </c>
      <c r="Q982" s="43" t="str">
        <f>IFERROR(IF(VLOOKUP(B982,Baza[[№]:[Profit]],15,0)=0,"-",VLOOKUP(B982,Baza[[№]:[Profit]],15,0)),"")</f>
        <v/>
      </c>
      <c r="R982" s="43" t="str">
        <f>IFERROR(IF(VLOOKUP(B982,Baza[[№]:[Profit]],16,0)=0,"-",VLOOKUP(B982,Baza[[№]:[Profit]],16,0)),"")</f>
        <v/>
      </c>
      <c r="S982" s="43" t="str">
        <f>IFERROR(IF(VLOOKUP(B982,Baza[[№]:[Profit]],17,0)=0,"-",VLOOKUP(B982,Baza[[№]:[Profit]],17,0)),"")</f>
        <v/>
      </c>
      <c r="T982" s="43" t="str">
        <f>IFERROR(IF(VLOOKUP(B982,Baza[[№]:[Profit]],18,0)=0,"-",VLOOKUP(B982,Baza[[№]:[Profit]],18,0)),"")</f>
        <v/>
      </c>
      <c r="U982" s="41" t="str">
        <f>IFERROR(IF(VLOOKUP(B982,Baza[[№]:[Profit]],19,0)=0,"-",VLOOKUP(B982,Baza[[№]:[Profit]],19,0)),"")</f>
        <v/>
      </c>
      <c r="V982" s="41" t="str">
        <f>IFERROR(VLOOKUP(B982,Baza[[№]:[Profit]],20,0),"")</f>
        <v/>
      </c>
      <c r="W982" s="41" t="str">
        <f>IFERROR(IF(VLOOKUP(B982,Baza[[№]:[Profit]],21,0)=0,"-",VLOOKUP(B982,Baza[[№]:[Profit]],21,0)),"")</f>
        <v/>
      </c>
      <c r="X982" s="45" t="str">
        <f>IFERROR(IF(VLOOKUP(B982,Baza[[№]:[Profit]],22,0)=0,"-",VLOOKUP(B982,Baza[[№]:[Profit]],22,0)),"")</f>
        <v/>
      </c>
      <c r="Y982" s="45" t="str">
        <f>IFERROR(VLOOKUP(B982,Baza[[№]:[Profit]],23,0),"")</f>
        <v/>
      </c>
      <c r="Z982" s="44" t="str">
        <f>IFERROR(VLOOKUP(B982,Baza[[№]:[AFS]],24,0),"")</f>
        <v/>
      </c>
      <c r="AA982" s="45" t="str">
        <f>IF(Таблица2[[#This Row],[Profit]]="","#Н/Д",SUM($Y$40:Y982))</f>
        <v>#Н/Д</v>
      </c>
      <c r="AB982" s="45" t="b">
        <f>IF(Таблица2[[#This Row],[Grafik]]="#Н/Д",FALSE,TRUE)</f>
        <v>0</v>
      </c>
    </row>
    <row r="983" spans="3:28" ht="11.1" hidden="1" customHeight="1" x14ac:dyDescent="0.25">
      <c r="C983" s="41" t="str">
        <f>IFERROR(VLOOKUP(B983,Baza[[№]:[Profit]],2,0),"")</f>
        <v/>
      </c>
      <c r="D98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8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83" s="43" t="str">
        <f>IFERROR(VLOOKUP(B983,Baza[[№]:[Profit]],3,0),"")</f>
        <v/>
      </c>
      <c r="G983" s="43" t="str">
        <f>IFERROR(VLOOKUP(B983,Baza[[№]:[Profit]],4,0),"")</f>
        <v/>
      </c>
      <c r="H983" s="43" t="str">
        <f>IFERROR(VLOOKUP(B983,Baza[[№]:[Profit]],5,0),"")</f>
        <v/>
      </c>
      <c r="I983" s="46" t="str">
        <f>IFERROR(VLOOKUP(B983,Baza[[№]:[Profit]],6,0),"")</f>
        <v/>
      </c>
      <c r="J983" s="49" t="str">
        <f>IFERROR(VLOOKUP(B983,Baza[[№]:[Profit]],7,0),"")</f>
        <v/>
      </c>
      <c r="K983" s="43" t="str">
        <f>IFERROR(VLOOKUP(B983,Baza[[№]:[Profit]],8,0),"")</f>
        <v/>
      </c>
      <c r="L983" s="43" t="str">
        <f>IFERROR(VLOOKUP(B983,Baza[[№]:[Profit]],9,0),"")</f>
        <v/>
      </c>
      <c r="M983" s="43" t="str">
        <f>IFERROR(VLOOKUP(B983,Baza[[№]:[Profit]],10,0),"")</f>
        <v/>
      </c>
      <c r="N983" s="43" t="str">
        <f>IFERROR(IF(VLOOKUP(B983,Baza[[№]:[Profit]],11,0)=0,"-",VLOOKUP(B983,Baza[[№]:[Profit]],11,0)),"")</f>
        <v/>
      </c>
      <c r="O983" s="43" t="str">
        <f>IFERROR(IF(VLOOKUP(B983,Baza[[№]:[Profit]],12,0)=0,"-",VLOOKUP(B983,Baza[[№]:[Profit]],12,0)),"")</f>
        <v/>
      </c>
      <c r="P983" s="43" t="str">
        <f>IFERROR(IF(VLOOKUP(B983,Baza[[№]:[Profit]],13,0)=0,"-",VLOOKUP(B983,Baza[[№]:[Profit]],13,0)),"")</f>
        <v/>
      </c>
      <c r="Q983" s="43" t="str">
        <f>IFERROR(IF(VLOOKUP(B983,Baza[[№]:[Profit]],15,0)=0,"-",VLOOKUP(B983,Baza[[№]:[Profit]],15,0)),"")</f>
        <v/>
      </c>
      <c r="R983" s="43" t="str">
        <f>IFERROR(IF(VLOOKUP(B983,Baza[[№]:[Profit]],16,0)=0,"-",VLOOKUP(B983,Baza[[№]:[Profit]],16,0)),"")</f>
        <v/>
      </c>
      <c r="S983" s="43" t="str">
        <f>IFERROR(IF(VLOOKUP(B983,Baza[[№]:[Profit]],17,0)=0,"-",VLOOKUP(B983,Baza[[№]:[Profit]],17,0)),"")</f>
        <v/>
      </c>
      <c r="T983" s="43" t="str">
        <f>IFERROR(IF(VLOOKUP(B983,Baza[[№]:[Profit]],18,0)=0,"-",VLOOKUP(B983,Baza[[№]:[Profit]],18,0)),"")</f>
        <v/>
      </c>
      <c r="U983" s="41" t="str">
        <f>IFERROR(IF(VLOOKUP(B983,Baza[[№]:[Profit]],19,0)=0,"-",VLOOKUP(B983,Baza[[№]:[Profit]],19,0)),"")</f>
        <v/>
      </c>
      <c r="V983" s="41" t="str">
        <f>IFERROR(VLOOKUP(B983,Baza[[№]:[Profit]],20,0),"")</f>
        <v/>
      </c>
      <c r="W983" s="41" t="str">
        <f>IFERROR(IF(VLOOKUP(B983,Baza[[№]:[Profit]],21,0)=0,"-",VLOOKUP(B983,Baza[[№]:[Profit]],21,0)),"")</f>
        <v/>
      </c>
      <c r="X983" s="45" t="str">
        <f>IFERROR(IF(VLOOKUP(B983,Baza[[№]:[Profit]],22,0)=0,"-",VLOOKUP(B983,Baza[[№]:[Profit]],22,0)),"")</f>
        <v/>
      </c>
      <c r="Y983" s="45" t="str">
        <f>IFERROR(VLOOKUP(B983,Baza[[№]:[Profit]],23,0),"")</f>
        <v/>
      </c>
      <c r="Z983" s="44" t="str">
        <f>IFERROR(VLOOKUP(B983,Baza[[№]:[AFS]],24,0),"")</f>
        <v/>
      </c>
      <c r="AA983" s="45" t="str">
        <f>IF(Таблица2[[#This Row],[Profit]]="","#Н/Д",SUM($Y$40:Y983))</f>
        <v>#Н/Д</v>
      </c>
      <c r="AB983" s="45" t="b">
        <f>IF(Таблица2[[#This Row],[Grafik]]="#Н/Д",FALSE,TRUE)</f>
        <v>0</v>
      </c>
    </row>
    <row r="984" spans="3:28" ht="11.1" hidden="1" customHeight="1" x14ac:dyDescent="0.25">
      <c r="C984" s="41" t="str">
        <f>IFERROR(VLOOKUP(B984,Baza[[№]:[Profit]],2,0),"")</f>
        <v/>
      </c>
      <c r="D98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8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84" s="43" t="str">
        <f>IFERROR(VLOOKUP(B984,Baza[[№]:[Profit]],3,0),"")</f>
        <v/>
      </c>
      <c r="G984" s="43" t="str">
        <f>IFERROR(VLOOKUP(B984,Baza[[№]:[Profit]],4,0),"")</f>
        <v/>
      </c>
      <c r="H984" s="43" t="str">
        <f>IFERROR(VLOOKUP(B984,Baza[[№]:[Profit]],5,0),"")</f>
        <v/>
      </c>
      <c r="I984" s="46" t="str">
        <f>IFERROR(VLOOKUP(B984,Baza[[№]:[Profit]],6,0),"")</f>
        <v/>
      </c>
      <c r="J984" s="49" t="str">
        <f>IFERROR(VLOOKUP(B984,Baza[[№]:[Profit]],7,0),"")</f>
        <v/>
      </c>
      <c r="K984" s="43" t="str">
        <f>IFERROR(VLOOKUP(B984,Baza[[№]:[Profit]],8,0),"")</f>
        <v/>
      </c>
      <c r="L984" s="43" t="str">
        <f>IFERROR(VLOOKUP(B984,Baza[[№]:[Profit]],9,0),"")</f>
        <v/>
      </c>
      <c r="M984" s="43" t="str">
        <f>IFERROR(VLOOKUP(B984,Baza[[№]:[Profit]],10,0),"")</f>
        <v/>
      </c>
      <c r="N984" s="43" t="str">
        <f>IFERROR(IF(VLOOKUP(B984,Baza[[№]:[Profit]],11,0)=0,"-",VLOOKUP(B984,Baza[[№]:[Profit]],11,0)),"")</f>
        <v/>
      </c>
      <c r="O984" s="43" t="str">
        <f>IFERROR(IF(VLOOKUP(B984,Baza[[№]:[Profit]],12,0)=0,"-",VLOOKUP(B984,Baza[[№]:[Profit]],12,0)),"")</f>
        <v/>
      </c>
      <c r="P984" s="43" t="str">
        <f>IFERROR(IF(VLOOKUP(B984,Baza[[№]:[Profit]],13,0)=0,"-",VLOOKUP(B984,Baza[[№]:[Profit]],13,0)),"")</f>
        <v/>
      </c>
      <c r="Q984" s="43" t="str">
        <f>IFERROR(IF(VLOOKUP(B984,Baza[[№]:[Profit]],15,0)=0,"-",VLOOKUP(B984,Baza[[№]:[Profit]],15,0)),"")</f>
        <v/>
      </c>
      <c r="R984" s="43" t="str">
        <f>IFERROR(IF(VLOOKUP(B984,Baza[[№]:[Profit]],16,0)=0,"-",VLOOKUP(B984,Baza[[№]:[Profit]],16,0)),"")</f>
        <v/>
      </c>
      <c r="S984" s="43" t="str">
        <f>IFERROR(IF(VLOOKUP(B984,Baza[[№]:[Profit]],17,0)=0,"-",VLOOKUP(B984,Baza[[№]:[Profit]],17,0)),"")</f>
        <v/>
      </c>
      <c r="T984" s="43" t="str">
        <f>IFERROR(IF(VLOOKUP(B984,Baza[[№]:[Profit]],18,0)=0,"-",VLOOKUP(B984,Baza[[№]:[Profit]],18,0)),"")</f>
        <v/>
      </c>
      <c r="U984" s="41" t="str">
        <f>IFERROR(IF(VLOOKUP(B984,Baza[[№]:[Profit]],19,0)=0,"-",VLOOKUP(B984,Baza[[№]:[Profit]],19,0)),"")</f>
        <v/>
      </c>
      <c r="V984" s="41" t="str">
        <f>IFERROR(VLOOKUP(B984,Baza[[№]:[Profit]],20,0),"")</f>
        <v/>
      </c>
      <c r="W984" s="41" t="str">
        <f>IFERROR(IF(VLOOKUP(B984,Baza[[№]:[Profit]],21,0)=0,"-",VLOOKUP(B984,Baza[[№]:[Profit]],21,0)),"")</f>
        <v/>
      </c>
      <c r="X984" s="45" t="str">
        <f>IFERROR(IF(VLOOKUP(B984,Baza[[№]:[Profit]],22,0)=0,"-",VLOOKUP(B984,Baza[[№]:[Profit]],22,0)),"")</f>
        <v/>
      </c>
      <c r="Y984" s="45" t="str">
        <f>IFERROR(VLOOKUP(B984,Baza[[№]:[Profit]],23,0),"")</f>
        <v/>
      </c>
      <c r="Z984" s="44" t="str">
        <f>IFERROR(VLOOKUP(B984,Baza[[№]:[AFS]],24,0),"")</f>
        <v/>
      </c>
      <c r="AA984" s="45" t="str">
        <f>IF(Таблица2[[#This Row],[Profit]]="","#Н/Д",SUM($Y$40:Y984))</f>
        <v>#Н/Д</v>
      </c>
      <c r="AB984" s="45" t="b">
        <f>IF(Таблица2[[#This Row],[Grafik]]="#Н/Д",FALSE,TRUE)</f>
        <v>0</v>
      </c>
    </row>
    <row r="985" spans="3:28" ht="11.1" hidden="1" customHeight="1" x14ac:dyDescent="0.25">
      <c r="C985" s="41" t="str">
        <f>IFERROR(VLOOKUP(B985,Baza[[№]:[Profit]],2,0),"")</f>
        <v/>
      </c>
      <c r="D98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8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85" s="43" t="str">
        <f>IFERROR(VLOOKUP(B985,Baza[[№]:[Profit]],3,0),"")</f>
        <v/>
      </c>
      <c r="G985" s="43" t="str">
        <f>IFERROR(VLOOKUP(B985,Baza[[№]:[Profit]],4,0),"")</f>
        <v/>
      </c>
      <c r="H985" s="43" t="str">
        <f>IFERROR(VLOOKUP(B985,Baza[[№]:[Profit]],5,0),"")</f>
        <v/>
      </c>
      <c r="I985" s="46" t="str">
        <f>IFERROR(VLOOKUP(B985,Baza[[№]:[Profit]],6,0),"")</f>
        <v/>
      </c>
      <c r="J985" s="49" t="str">
        <f>IFERROR(VLOOKUP(B985,Baza[[№]:[Profit]],7,0),"")</f>
        <v/>
      </c>
      <c r="K985" s="43" t="str">
        <f>IFERROR(VLOOKUP(B985,Baza[[№]:[Profit]],8,0),"")</f>
        <v/>
      </c>
      <c r="L985" s="43" t="str">
        <f>IFERROR(VLOOKUP(B985,Baza[[№]:[Profit]],9,0),"")</f>
        <v/>
      </c>
      <c r="M985" s="43" t="str">
        <f>IFERROR(VLOOKUP(B985,Baza[[№]:[Profit]],10,0),"")</f>
        <v/>
      </c>
      <c r="N985" s="43" t="str">
        <f>IFERROR(IF(VLOOKUP(B985,Baza[[№]:[Profit]],11,0)=0,"-",VLOOKUP(B985,Baza[[№]:[Profit]],11,0)),"")</f>
        <v/>
      </c>
      <c r="O985" s="43" t="str">
        <f>IFERROR(IF(VLOOKUP(B985,Baza[[№]:[Profit]],12,0)=0,"-",VLOOKUP(B985,Baza[[№]:[Profit]],12,0)),"")</f>
        <v/>
      </c>
      <c r="P985" s="43" t="str">
        <f>IFERROR(IF(VLOOKUP(B985,Baza[[№]:[Profit]],13,0)=0,"-",VLOOKUP(B985,Baza[[№]:[Profit]],13,0)),"")</f>
        <v/>
      </c>
      <c r="Q985" s="43" t="str">
        <f>IFERROR(IF(VLOOKUP(B985,Baza[[№]:[Profit]],15,0)=0,"-",VLOOKUP(B985,Baza[[№]:[Profit]],15,0)),"")</f>
        <v/>
      </c>
      <c r="R985" s="43" t="str">
        <f>IFERROR(IF(VLOOKUP(B985,Baza[[№]:[Profit]],16,0)=0,"-",VLOOKUP(B985,Baza[[№]:[Profit]],16,0)),"")</f>
        <v/>
      </c>
      <c r="S985" s="43" t="str">
        <f>IFERROR(IF(VLOOKUP(B985,Baza[[№]:[Profit]],17,0)=0,"-",VLOOKUP(B985,Baza[[№]:[Profit]],17,0)),"")</f>
        <v/>
      </c>
      <c r="T985" s="43" t="str">
        <f>IFERROR(IF(VLOOKUP(B985,Baza[[№]:[Profit]],18,0)=0,"-",VLOOKUP(B985,Baza[[№]:[Profit]],18,0)),"")</f>
        <v/>
      </c>
      <c r="U985" s="41" t="str">
        <f>IFERROR(IF(VLOOKUP(B985,Baza[[№]:[Profit]],19,0)=0,"-",VLOOKUP(B985,Baza[[№]:[Profit]],19,0)),"")</f>
        <v/>
      </c>
      <c r="V985" s="41" t="str">
        <f>IFERROR(VLOOKUP(B985,Baza[[№]:[Profit]],20,0),"")</f>
        <v/>
      </c>
      <c r="W985" s="41" t="str">
        <f>IFERROR(IF(VLOOKUP(B985,Baza[[№]:[Profit]],21,0)=0,"-",VLOOKUP(B985,Baza[[№]:[Profit]],21,0)),"")</f>
        <v/>
      </c>
      <c r="X985" s="45" t="str">
        <f>IFERROR(IF(VLOOKUP(B985,Baza[[№]:[Profit]],22,0)=0,"-",VLOOKUP(B985,Baza[[№]:[Profit]],22,0)),"")</f>
        <v/>
      </c>
      <c r="Y985" s="45" t="str">
        <f>IFERROR(VLOOKUP(B985,Baza[[№]:[Profit]],23,0),"")</f>
        <v/>
      </c>
      <c r="Z985" s="44" t="str">
        <f>IFERROR(VLOOKUP(B985,Baza[[№]:[AFS]],24,0),"")</f>
        <v/>
      </c>
      <c r="AA985" s="45" t="str">
        <f>IF(Таблица2[[#This Row],[Profit]]="","#Н/Д",SUM($Y$40:Y985))</f>
        <v>#Н/Д</v>
      </c>
      <c r="AB985" s="45" t="b">
        <f>IF(Таблица2[[#This Row],[Grafik]]="#Н/Д",FALSE,TRUE)</f>
        <v>0</v>
      </c>
    </row>
    <row r="986" spans="3:28" ht="11.1" hidden="1" customHeight="1" x14ac:dyDescent="0.25">
      <c r="C986" s="41" t="str">
        <f>IFERROR(VLOOKUP(B986,Baza[[№]:[Profit]],2,0),"")</f>
        <v/>
      </c>
      <c r="D98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8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86" s="43" t="str">
        <f>IFERROR(VLOOKUP(B986,Baza[[№]:[Profit]],3,0),"")</f>
        <v/>
      </c>
      <c r="G986" s="43" t="str">
        <f>IFERROR(VLOOKUP(B986,Baza[[№]:[Profit]],4,0),"")</f>
        <v/>
      </c>
      <c r="H986" s="43" t="str">
        <f>IFERROR(VLOOKUP(B986,Baza[[№]:[Profit]],5,0),"")</f>
        <v/>
      </c>
      <c r="I986" s="46" t="str">
        <f>IFERROR(VLOOKUP(B986,Baza[[№]:[Profit]],6,0),"")</f>
        <v/>
      </c>
      <c r="J986" s="49" t="str">
        <f>IFERROR(VLOOKUP(B986,Baza[[№]:[Profit]],7,0),"")</f>
        <v/>
      </c>
      <c r="K986" s="43" t="str">
        <f>IFERROR(VLOOKUP(B986,Baza[[№]:[Profit]],8,0),"")</f>
        <v/>
      </c>
      <c r="L986" s="43" t="str">
        <f>IFERROR(VLOOKUP(B986,Baza[[№]:[Profit]],9,0),"")</f>
        <v/>
      </c>
      <c r="M986" s="43" t="str">
        <f>IFERROR(VLOOKUP(B986,Baza[[№]:[Profit]],10,0),"")</f>
        <v/>
      </c>
      <c r="N986" s="43" t="str">
        <f>IFERROR(IF(VLOOKUP(B986,Baza[[№]:[Profit]],11,0)=0,"-",VLOOKUP(B986,Baza[[№]:[Profit]],11,0)),"")</f>
        <v/>
      </c>
      <c r="O986" s="43" t="str">
        <f>IFERROR(IF(VLOOKUP(B986,Baza[[№]:[Profit]],12,0)=0,"-",VLOOKUP(B986,Baza[[№]:[Profit]],12,0)),"")</f>
        <v/>
      </c>
      <c r="P986" s="43" t="str">
        <f>IFERROR(IF(VLOOKUP(B986,Baza[[№]:[Profit]],13,0)=0,"-",VLOOKUP(B986,Baza[[№]:[Profit]],13,0)),"")</f>
        <v/>
      </c>
      <c r="Q986" s="43" t="str">
        <f>IFERROR(IF(VLOOKUP(B986,Baza[[№]:[Profit]],15,0)=0,"-",VLOOKUP(B986,Baza[[№]:[Profit]],15,0)),"")</f>
        <v/>
      </c>
      <c r="R986" s="43" t="str">
        <f>IFERROR(IF(VLOOKUP(B986,Baza[[№]:[Profit]],16,0)=0,"-",VLOOKUP(B986,Baza[[№]:[Profit]],16,0)),"")</f>
        <v/>
      </c>
      <c r="S986" s="43" t="str">
        <f>IFERROR(IF(VLOOKUP(B986,Baza[[№]:[Profit]],17,0)=0,"-",VLOOKUP(B986,Baza[[№]:[Profit]],17,0)),"")</f>
        <v/>
      </c>
      <c r="T986" s="43" t="str">
        <f>IFERROR(IF(VLOOKUP(B986,Baza[[№]:[Profit]],18,0)=0,"-",VLOOKUP(B986,Baza[[№]:[Profit]],18,0)),"")</f>
        <v/>
      </c>
      <c r="U986" s="41" t="str">
        <f>IFERROR(IF(VLOOKUP(B986,Baza[[№]:[Profit]],19,0)=0,"-",VLOOKUP(B986,Baza[[№]:[Profit]],19,0)),"")</f>
        <v/>
      </c>
      <c r="V986" s="41" t="str">
        <f>IFERROR(VLOOKUP(B986,Baza[[№]:[Profit]],20,0),"")</f>
        <v/>
      </c>
      <c r="W986" s="41" t="str">
        <f>IFERROR(IF(VLOOKUP(B986,Baza[[№]:[Profit]],21,0)=0,"-",VLOOKUP(B986,Baza[[№]:[Profit]],21,0)),"")</f>
        <v/>
      </c>
      <c r="X986" s="45" t="str">
        <f>IFERROR(IF(VLOOKUP(B986,Baza[[№]:[Profit]],22,0)=0,"-",VLOOKUP(B986,Baza[[№]:[Profit]],22,0)),"")</f>
        <v/>
      </c>
      <c r="Y986" s="45" t="str">
        <f>IFERROR(VLOOKUP(B986,Baza[[№]:[Profit]],23,0),"")</f>
        <v/>
      </c>
      <c r="Z986" s="44" t="str">
        <f>IFERROR(VLOOKUP(B986,Baza[[№]:[AFS]],24,0),"")</f>
        <v/>
      </c>
      <c r="AA986" s="45" t="str">
        <f>IF(Таблица2[[#This Row],[Profit]]="","#Н/Д",SUM($Y$40:Y986))</f>
        <v>#Н/Д</v>
      </c>
      <c r="AB986" s="45" t="b">
        <f>IF(Таблица2[[#This Row],[Grafik]]="#Н/Д",FALSE,TRUE)</f>
        <v>0</v>
      </c>
    </row>
    <row r="987" spans="3:28" ht="11.1" hidden="1" customHeight="1" x14ac:dyDescent="0.25">
      <c r="C987" s="41" t="str">
        <f>IFERROR(VLOOKUP(B987,Baza[[№]:[Profit]],2,0),"")</f>
        <v/>
      </c>
      <c r="D98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8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87" s="43" t="str">
        <f>IFERROR(VLOOKUP(B987,Baza[[№]:[Profit]],3,0),"")</f>
        <v/>
      </c>
      <c r="G987" s="43" t="str">
        <f>IFERROR(VLOOKUP(B987,Baza[[№]:[Profit]],4,0),"")</f>
        <v/>
      </c>
      <c r="H987" s="43" t="str">
        <f>IFERROR(VLOOKUP(B987,Baza[[№]:[Profit]],5,0),"")</f>
        <v/>
      </c>
      <c r="I987" s="46" t="str">
        <f>IFERROR(VLOOKUP(B987,Baza[[№]:[Profit]],6,0),"")</f>
        <v/>
      </c>
      <c r="J987" s="49" t="str">
        <f>IFERROR(VLOOKUP(B987,Baza[[№]:[Profit]],7,0),"")</f>
        <v/>
      </c>
      <c r="K987" s="43" t="str">
        <f>IFERROR(VLOOKUP(B987,Baza[[№]:[Profit]],8,0),"")</f>
        <v/>
      </c>
      <c r="L987" s="43" t="str">
        <f>IFERROR(VLOOKUP(B987,Baza[[№]:[Profit]],9,0),"")</f>
        <v/>
      </c>
      <c r="M987" s="43" t="str">
        <f>IFERROR(VLOOKUP(B987,Baza[[№]:[Profit]],10,0),"")</f>
        <v/>
      </c>
      <c r="N987" s="43" t="str">
        <f>IFERROR(IF(VLOOKUP(B987,Baza[[№]:[Profit]],11,0)=0,"-",VLOOKUP(B987,Baza[[№]:[Profit]],11,0)),"")</f>
        <v/>
      </c>
      <c r="O987" s="43" t="str">
        <f>IFERROR(IF(VLOOKUP(B987,Baza[[№]:[Profit]],12,0)=0,"-",VLOOKUP(B987,Baza[[№]:[Profit]],12,0)),"")</f>
        <v/>
      </c>
      <c r="P987" s="43" t="str">
        <f>IFERROR(IF(VLOOKUP(B987,Baza[[№]:[Profit]],13,0)=0,"-",VLOOKUP(B987,Baza[[№]:[Profit]],13,0)),"")</f>
        <v/>
      </c>
      <c r="Q987" s="43" t="str">
        <f>IFERROR(IF(VLOOKUP(B987,Baza[[№]:[Profit]],15,0)=0,"-",VLOOKUP(B987,Baza[[№]:[Profit]],15,0)),"")</f>
        <v/>
      </c>
      <c r="R987" s="43" t="str">
        <f>IFERROR(IF(VLOOKUP(B987,Baza[[№]:[Profit]],16,0)=0,"-",VLOOKUP(B987,Baza[[№]:[Profit]],16,0)),"")</f>
        <v/>
      </c>
      <c r="S987" s="43" t="str">
        <f>IFERROR(IF(VLOOKUP(B987,Baza[[№]:[Profit]],17,0)=0,"-",VLOOKUP(B987,Baza[[№]:[Profit]],17,0)),"")</f>
        <v/>
      </c>
      <c r="T987" s="43" t="str">
        <f>IFERROR(IF(VLOOKUP(B987,Baza[[№]:[Profit]],18,0)=0,"-",VLOOKUP(B987,Baza[[№]:[Profit]],18,0)),"")</f>
        <v/>
      </c>
      <c r="U987" s="41" t="str">
        <f>IFERROR(IF(VLOOKUP(B987,Baza[[№]:[Profit]],19,0)=0,"-",VLOOKUP(B987,Baza[[№]:[Profit]],19,0)),"")</f>
        <v/>
      </c>
      <c r="V987" s="41" t="str">
        <f>IFERROR(VLOOKUP(B987,Baza[[№]:[Profit]],20,0),"")</f>
        <v/>
      </c>
      <c r="W987" s="41" t="str">
        <f>IFERROR(IF(VLOOKUP(B987,Baza[[№]:[Profit]],21,0)=0,"-",VLOOKUP(B987,Baza[[№]:[Profit]],21,0)),"")</f>
        <v/>
      </c>
      <c r="X987" s="45" t="str">
        <f>IFERROR(IF(VLOOKUP(B987,Baza[[№]:[Profit]],22,0)=0,"-",VLOOKUP(B987,Baza[[№]:[Profit]],22,0)),"")</f>
        <v/>
      </c>
      <c r="Y987" s="45" t="str">
        <f>IFERROR(VLOOKUP(B987,Baza[[№]:[Profit]],23,0),"")</f>
        <v/>
      </c>
      <c r="Z987" s="44" t="str">
        <f>IFERROR(VLOOKUP(B987,Baza[[№]:[AFS]],24,0),"")</f>
        <v/>
      </c>
      <c r="AA987" s="45" t="str">
        <f>IF(Таблица2[[#This Row],[Profit]]="","#Н/Д",SUM($Y$40:Y987))</f>
        <v>#Н/Д</v>
      </c>
      <c r="AB987" s="45" t="b">
        <f>IF(Таблица2[[#This Row],[Grafik]]="#Н/Д",FALSE,TRUE)</f>
        <v>0</v>
      </c>
    </row>
    <row r="988" spans="3:28" ht="11.1" hidden="1" customHeight="1" x14ac:dyDescent="0.25">
      <c r="C988" s="41" t="str">
        <f>IFERROR(VLOOKUP(B988,Baza[[№]:[Profit]],2,0),"")</f>
        <v/>
      </c>
      <c r="D98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8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88" s="43" t="str">
        <f>IFERROR(VLOOKUP(B988,Baza[[№]:[Profit]],3,0),"")</f>
        <v/>
      </c>
      <c r="G988" s="43" t="str">
        <f>IFERROR(VLOOKUP(B988,Baza[[№]:[Profit]],4,0),"")</f>
        <v/>
      </c>
      <c r="H988" s="43" t="str">
        <f>IFERROR(VLOOKUP(B988,Baza[[№]:[Profit]],5,0),"")</f>
        <v/>
      </c>
      <c r="I988" s="46" t="str">
        <f>IFERROR(VLOOKUP(B988,Baza[[№]:[Profit]],6,0),"")</f>
        <v/>
      </c>
      <c r="J988" s="49" t="str">
        <f>IFERROR(VLOOKUP(B988,Baza[[№]:[Profit]],7,0),"")</f>
        <v/>
      </c>
      <c r="K988" s="43" t="str">
        <f>IFERROR(VLOOKUP(B988,Baza[[№]:[Profit]],8,0),"")</f>
        <v/>
      </c>
      <c r="L988" s="43" t="str">
        <f>IFERROR(VLOOKUP(B988,Baza[[№]:[Profit]],9,0),"")</f>
        <v/>
      </c>
      <c r="M988" s="43" t="str">
        <f>IFERROR(VLOOKUP(B988,Baza[[№]:[Profit]],10,0),"")</f>
        <v/>
      </c>
      <c r="N988" s="43" t="str">
        <f>IFERROR(IF(VLOOKUP(B988,Baza[[№]:[Profit]],11,0)=0,"-",VLOOKUP(B988,Baza[[№]:[Profit]],11,0)),"")</f>
        <v/>
      </c>
      <c r="O988" s="43" t="str">
        <f>IFERROR(IF(VLOOKUP(B988,Baza[[№]:[Profit]],12,0)=0,"-",VLOOKUP(B988,Baza[[№]:[Profit]],12,0)),"")</f>
        <v/>
      </c>
      <c r="P988" s="43" t="str">
        <f>IFERROR(IF(VLOOKUP(B988,Baza[[№]:[Profit]],13,0)=0,"-",VLOOKUP(B988,Baza[[№]:[Profit]],13,0)),"")</f>
        <v/>
      </c>
      <c r="Q988" s="43" t="str">
        <f>IFERROR(IF(VLOOKUP(B988,Baza[[№]:[Profit]],15,0)=0,"-",VLOOKUP(B988,Baza[[№]:[Profit]],15,0)),"")</f>
        <v/>
      </c>
      <c r="R988" s="43" t="str">
        <f>IFERROR(IF(VLOOKUP(B988,Baza[[№]:[Profit]],16,0)=0,"-",VLOOKUP(B988,Baza[[№]:[Profit]],16,0)),"")</f>
        <v/>
      </c>
      <c r="S988" s="43" t="str">
        <f>IFERROR(IF(VLOOKUP(B988,Baza[[№]:[Profit]],17,0)=0,"-",VLOOKUP(B988,Baza[[№]:[Profit]],17,0)),"")</f>
        <v/>
      </c>
      <c r="T988" s="43" t="str">
        <f>IFERROR(IF(VLOOKUP(B988,Baza[[№]:[Profit]],18,0)=0,"-",VLOOKUP(B988,Baza[[№]:[Profit]],18,0)),"")</f>
        <v/>
      </c>
      <c r="U988" s="41" t="str">
        <f>IFERROR(IF(VLOOKUP(B988,Baza[[№]:[Profit]],19,0)=0,"-",VLOOKUP(B988,Baza[[№]:[Profit]],19,0)),"")</f>
        <v/>
      </c>
      <c r="V988" s="41" t="str">
        <f>IFERROR(VLOOKUP(B988,Baza[[№]:[Profit]],20,0),"")</f>
        <v/>
      </c>
      <c r="W988" s="41" t="str">
        <f>IFERROR(IF(VLOOKUP(B988,Baza[[№]:[Profit]],21,0)=0,"-",VLOOKUP(B988,Baza[[№]:[Profit]],21,0)),"")</f>
        <v/>
      </c>
      <c r="X988" s="45" t="str">
        <f>IFERROR(IF(VLOOKUP(B988,Baza[[№]:[Profit]],22,0)=0,"-",VLOOKUP(B988,Baza[[№]:[Profit]],22,0)),"")</f>
        <v/>
      </c>
      <c r="Y988" s="45" t="str">
        <f>IFERROR(VLOOKUP(B988,Baza[[№]:[Profit]],23,0),"")</f>
        <v/>
      </c>
      <c r="Z988" s="44" t="str">
        <f>IFERROR(VLOOKUP(B988,Baza[[№]:[AFS]],24,0),"")</f>
        <v/>
      </c>
      <c r="AA988" s="45" t="str">
        <f>IF(Таблица2[[#This Row],[Profit]]="","#Н/Д",SUM($Y$40:Y988))</f>
        <v>#Н/Д</v>
      </c>
      <c r="AB988" s="45" t="b">
        <f>IF(Таблица2[[#This Row],[Grafik]]="#Н/Д",FALSE,TRUE)</f>
        <v>0</v>
      </c>
    </row>
    <row r="989" spans="3:28" ht="11.1" hidden="1" customHeight="1" x14ac:dyDescent="0.25">
      <c r="C989" s="41" t="str">
        <f>IFERROR(VLOOKUP(B989,Baza[[№]:[Profit]],2,0),"")</f>
        <v/>
      </c>
      <c r="D98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8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89" s="43" t="str">
        <f>IFERROR(VLOOKUP(B989,Baza[[№]:[Profit]],3,0),"")</f>
        <v/>
      </c>
      <c r="G989" s="43" t="str">
        <f>IFERROR(VLOOKUP(B989,Baza[[№]:[Profit]],4,0),"")</f>
        <v/>
      </c>
      <c r="H989" s="43" t="str">
        <f>IFERROR(VLOOKUP(B989,Baza[[№]:[Profit]],5,0),"")</f>
        <v/>
      </c>
      <c r="I989" s="46" t="str">
        <f>IFERROR(VLOOKUP(B989,Baza[[№]:[Profit]],6,0),"")</f>
        <v/>
      </c>
      <c r="J989" s="49" t="str">
        <f>IFERROR(VLOOKUP(B989,Baza[[№]:[Profit]],7,0),"")</f>
        <v/>
      </c>
      <c r="K989" s="43" t="str">
        <f>IFERROR(VLOOKUP(B989,Baza[[№]:[Profit]],8,0),"")</f>
        <v/>
      </c>
      <c r="L989" s="43" t="str">
        <f>IFERROR(VLOOKUP(B989,Baza[[№]:[Profit]],9,0),"")</f>
        <v/>
      </c>
      <c r="M989" s="43" t="str">
        <f>IFERROR(VLOOKUP(B989,Baza[[№]:[Profit]],10,0),"")</f>
        <v/>
      </c>
      <c r="N989" s="43" t="str">
        <f>IFERROR(IF(VLOOKUP(B989,Baza[[№]:[Profit]],11,0)=0,"-",VLOOKUP(B989,Baza[[№]:[Profit]],11,0)),"")</f>
        <v/>
      </c>
      <c r="O989" s="43" t="str">
        <f>IFERROR(IF(VLOOKUP(B989,Baza[[№]:[Profit]],12,0)=0,"-",VLOOKUP(B989,Baza[[№]:[Profit]],12,0)),"")</f>
        <v/>
      </c>
      <c r="P989" s="43" t="str">
        <f>IFERROR(IF(VLOOKUP(B989,Baza[[№]:[Profit]],13,0)=0,"-",VLOOKUP(B989,Baza[[№]:[Profit]],13,0)),"")</f>
        <v/>
      </c>
      <c r="Q989" s="43" t="str">
        <f>IFERROR(IF(VLOOKUP(B989,Baza[[№]:[Profit]],15,0)=0,"-",VLOOKUP(B989,Baza[[№]:[Profit]],15,0)),"")</f>
        <v/>
      </c>
      <c r="R989" s="43" t="str">
        <f>IFERROR(IF(VLOOKUP(B989,Baza[[№]:[Profit]],16,0)=0,"-",VLOOKUP(B989,Baza[[№]:[Profit]],16,0)),"")</f>
        <v/>
      </c>
      <c r="S989" s="43" t="str">
        <f>IFERROR(IF(VLOOKUP(B989,Baza[[№]:[Profit]],17,0)=0,"-",VLOOKUP(B989,Baza[[№]:[Profit]],17,0)),"")</f>
        <v/>
      </c>
      <c r="T989" s="43" t="str">
        <f>IFERROR(IF(VLOOKUP(B989,Baza[[№]:[Profit]],18,0)=0,"-",VLOOKUP(B989,Baza[[№]:[Profit]],18,0)),"")</f>
        <v/>
      </c>
      <c r="U989" s="41" t="str">
        <f>IFERROR(IF(VLOOKUP(B989,Baza[[№]:[Profit]],19,0)=0,"-",VLOOKUP(B989,Baza[[№]:[Profit]],19,0)),"")</f>
        <v/>
      </c>
      <c r="V989" s="41" t="str">
        <f>IFERROR(VLOOKUP(B989,Baza[[№]:[Profit]],20,0),"")</f>
        <v/>
      </c>
      <c r="W989" s="41" t="str">
        <f>IFERROR(IF(VLOOKUP(B989,Baza[[№]:[Profit]],21,0)=0,"-",VLOOKUP(B989,Baza[[№]:[Profit]],21,0)),"")</f>
        <v/>
      </c>
      <c r="X989" s="45" t="str">
        <f>IFERROR(IF(VLOOKUP(B989,Baza[[№]:[Profit]],22,0)=0,"-",VLOOKUP(B989,Baza[[№]:[Profit]],22,0)),"")</f>
        <v/>
      </c>
      <c r="Y989" s="45" t="str">
        <f>IFERROR(VLOOKUP(B989,Baza[[№]:[Profit]],23,0),"")</f>
        <v/>
      </c>
      <c r="Z989" s="44" t="str">
        <f>IFERROR(VLOOKUP(B989,Baza[[№]:[AFS]],24,0),"")</f>
        <v/>
      </c>
      <c r="AA989" s="45" t="str">
        <f>IF(Таблица2[[#This Row],[Profit]]="","#Н/Д",SUM($Y$40:Y989))</f>
        <v>#Н/Д</v>
      </c>
      <c r="AB989" s="45" t="b">
        <f>IF(Таблица2[[#This Row],[Grafik]]="#Н/Д",FALSE,TRUE)</f>
        <v>0</v>
      </c>
    </row>
    <row r="990" spans="3:28" ht="11.1" hidden="1" customHeight="1" x14ac:dyDescent="0.25">
      <c r="C990" s="41" t="str">
        <f>IFERROR(VLOOKUP(B990,Baza[[№]:[Profit]],2,0),"")</f>
        <v/>
      </c>
      <c r="D99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9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90" s="43" t="str">
        <f>IFERROR(VLOOKUP(B990,Baza[[№]:[Profit]],3,0),"")</f>
        <v/>
      </c>
      <c r="G990" s="43" t="str">
        <f>IFERROR(VLOOKUP(B990,Baza[[№]:[Profit]],4,0),"")</f>
        <v/>
      </c>
      <c r="H990" s="43" t="str">
        <f>IFERROR(VLOOKUP(B990,Baza[[№]:[Profit]],5,0),"")</f>
        <v/>
      </c>
      <c r="I990" s="46" t="str">
        <f>IFERROR(VLOOKUP(B990,Baza[[№]:[Profit]],6,0),"")</f>
        <v/>
      </c>
      <c r="J990" s="49" t="str">
        <f>IFERROR(VLOOKUP(B990,Baza[[№]:[Profit]],7,0),"")</f>
        <v/>
      </c>
      <c r="K990" s="43" t="str">
        <f>IFERROR(VLOOKUP(B990,Baza[[№]:[Profit]],8,0),"")</f>
        <v/>
      </c>
      <c r="L990" s="43" t="str">
        <f>IFERROR(VLOOKUP(B990,Baza[[№]:[Profit]],9,0),"")</f>
        <v/>
      </c>
      <c r="M990" s="43" t="str">
        <f>IFERROR(VLOOKUP(B990,Baza[[№]:[Profit]],10,0),"")</f>
        <v/>
      </c>
      <c r="N990" s="43" t="str">
        <f>IFERROR(IF(VLOOKUP(B990,Baza[[№]:[Profit]],11,0)=0,"-",VLOOKUP(B990,Baza[[№]:[Profit]],11,0)),"")</f>
        <v/>
      </c>
      <c r="O990" s="43" t="str">
        <f>IFERROR(IF(VLOOKUP(B990,Baza[[№]:[Profit]],12,0)=0,"-",VLOOKUP(B990,Baza[[№]:[Profit]],12,0)),"")</f>
        <v/>
      </c>
      <c r="P990" s="43" t="str">
        <f>IFERROR(IF(VLOOKUP(B990,Baza[[№]:[Profit]],13,0)=0,"-",VLOOKUP(B990,Baza[[№]:[Profit]],13,0)),"")</f>
        <v/>
      </c>
      <c r="Q990" s="43" t="str">
        <f>IFERROR(IF(VLOOKUP(B990,Baza[[№]:[Profit]],15,0)=0,"-",VLOOKUP(B990,Baza[[№]:[Profit]],15,0)),"")</f>
        <v/>
      </c>
      <c r="R990" s="43" t="str">
        <f>IFERROR(IF(VLOOKUP(B990,Baza[[№]:[Profit]],16,0)=0,"-",VLOOKUP(B990,Baza[[№]:[Profit]],16,0)),"")</f>
        <v/>
      </c>
      <c r="S990" s="43" t="str">
        <f>IFERROR(IF(VLOOKUP(B990,Baza[[№]:[Profit]],17,0)=0,"-",VLOOKUP(B990,Baza[[№]:[Profit]],17,0)),"")</f>
        <v/>
      </c>
      <c r="T990" s="43" t="str">
        <f>IFERROR(IF(VLOOKUP(B990,Baza[[№]:[Profit]],18,0)=0,"-",VLOOKUP(B990,Baza[[№]:[Profit]],18,0)),"")</f>
        <v/>
      </c>
      <c r="U990" s="41" t="str">
        <f>IFERROR(IF(VLOOKUP(B990,Baza[[№]:[Profit]],19,0)=0,"-",VLOOKUP(B990,Baza[[№]:[Profit]],19,0)),"")</f>
        <v/>
      </c>
      <c r="V990" s="41" t="str">
        <f>IFERROR(VLOOKUP(B990,Baza[[№]:[Profit]],20,0),"")</f>
        <v/>
      </c>
      <c r="W990" s="41" t="str">
        <f>IFERROR(IF(VLOOKUP(B990,Baza[[№]:[Profit]],21,0)=0,"-",VLOOKUP(B990,Baza[[№]:[Profit]],21,0)),"")</f>
        <v/>
      </c>
      <c r="X990" s="45" t="str">
        <f>IFERROR(IF(VLOOKUP(B990,Baza[[№]:[Profit]],22,0)=0,"-",VLOOKUP(B990,Baza[[№]:[Profit]],22,0)),"")</f>
        <v/>
      </c>
      <c r="Y990" s="45" t="str">
        <f>IFERROR(VLOOKUP(B990,Baza[[№]:[Profit]],23,0),"")</f>
        <v/>
      </c>
      <c r="Z990" s="44" t="str">
        <f>IFERROR(VLOOKUP(B990,Baza[[№]:[AFS]],24,0),"")</f>
        <v/>
      </c>
      <c r="AA990" s="45" t="str">
        <f>IF(Таблица2[[#This Row],[Profit]]="","#Н/Д",SUM($Y$40:Y990))</f>
        <v>#Н/Д</v>
      </c>
      <c r="AB990" s="45" t="b">
        <f>IF(Таблица2[[#This Row],[Grafik]]="#Н/Д",FALSE,TRUE)</f>
        <v>0</v>
      </c>
    </row>
    <row r="991" spans="3:28" ht="11.1" hidden="1" customHeight="1" x14ac:dyDescent="0.25">
      <c r="C991" s="41" t="str">
        <f>IFERROR(VLOOKUP(B991,Baza[[№]:[Profit]],2,0),"")</f>
        <v/>
      </c>
      <c r="D99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9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91" s="43" t="str">
        <f>IFERROR(VLOOKUP(B991,Baza[[№]:[Profit]],3,0),"")</f>
        <v/>
      </c>
      <c r="G991" s="43" t="str">
        <f>IFERROR(VLOOKUP(B991,Baza[[№]:[Profit]],4,0),"")</f>
        <v/>
      </c>
      <c r="H991" s="43" t="str">
        <f>IFERROR(VLOOKUP(B991,Baza[[№]:[Profit]],5,0),"")</f>
        <v/>
      </c>
      <c r="I991" s="46" t="str">
        <f>IFERROR(VLOOKUP(B991,Baza[[№]:[Profit]],6,0),"")</f>
        <v/>
      </c>
      <c r="J991" s="49" t="str">
        <f>IFERROR(VLOOKUP(B991,Baza[[№]:[Profit]],7,0),"")</f>
        <v/>
      </c>
      <c r="K991" s="43" t="str">
        <f>IFERROR(VLOOKUP(B991,Baza[[№]:[Profit]],8,0),"")</f>
        <v/>
      </c>
      <c r="L991" s="43" t="str">
        <f>IFERROR(VLOOKUP(B991,Baza[[№]:[Profit]],9,0),"")</f>
        <v/>
      </c>
      <c r="M991" s="43" t="str">
        <f>IFERROR(VLOOKUP(B991,Baza[[№]:[Profit]],10,0),"")</f>
        <v/>
      </c>
      <c r="N991" s="43" t="str">
        <f>IFERROR(IF(VLOOKUP(B991,Baza[[№]:[Profit]],11,0)=0,"-",VLOOKUP(B991,Baza[[№]:[Profit]],11,0)),"")</f>
        <v/>
      </c>
      <c r="O991" s="43" t="str">
        <f>IFERROR(IF(VLOOKUP(B991,Baza[[№]:[Profit]],12,0)=0,"-",VLOOKUP(B991,Baza[[№]:[Profit]],12,0)),"")</f>
        <v/>
      </c>
      <c r="P991" s="43" t="str">
        <f>IFERROR(IF(VLOOKUP(B991,Baza[[№]:[Profit]],13,0)=0,"-",VLOOKUP(B991,Baza[[№]:[Profit]],13,0)),"")</f>
        <v/>
      </c>
      <c r="Q991" s="43" t="str">
        <f>IFERROR(IF(VLOOKUP(B991,Baza[[№]:[Profit]],15,0)=0,"-",VLOOKUP(B991,Baza[[№]:[Profit]],15,0)),"")</f>
        <v/>
      </c>
      <c r="R991" s="43" t="str">
        <f>IFERROR(IF(VLOOKUP(B991,Baza[[№]:[Profit]],16,0)=0,"-",VLOOKUP(B991,Baza[[№]:[Profit]],16,0)),"")</f>
        <v/>
      </c>
      <c r="S991" s="43" t="str">
        <f>IFERROR(IF(VLOOKUP(B991,Baza[[№]:[Profit]],17,0)=0,"-",VLOOKUP(B991,Baza[[№]:[Profit]],17,0)),"")</f>
        <v/>
      </c>
      <c r="T991" s="43" t="str">
        <f>IFERROR(IF(VLOOKUP(B991,Baza[[№]:[Profit]],18,0)=0,"-",VLOOKUP(B991,Baza[[№]:[Profit]],18,0)),"")</f>
        <v/>
      </c>
      <c r="U991" s="41" t="str">
        <f>IFERROR(IF(VLOOKUP(B991,Baza[[№]:[Profit]],19,0)=0,"-",VLOOKUP(B991,Baza[[№]:[Profit]],19,0)),"")</f>
        <v/>
      </c>
      <c r="V991" s="41" t="str">
        <f>IFERROR(VLOOKUP(B991,Baza[[№]:[Profit]],20,0),"")</f>
        <v/>
      </c>
      <c r="W991" s="41" t="str">
        <f>IFERROR(IF(VLOOKUP(B991,Baza[[№]:[Profit]],21,0)=0,"-",VLOOKUP(B991,Baza[[№]:[Profit]],21,0)),"")</f>
        <v/>
      </c>
      <c r="X991" s="45" t="str">
        <f>IFERROR(IF(VLOOKUP(B991,Baza[[№]:[Profit]],22,0)=0,"-",VLOOKUP(B991,Baza[[№]:[Profit]],22,0)),"")</f>
        <v/>
      </c>
      <c r="Y991" s="45" t="str">
        <f>IFERROR(VLOOKUP(B991,Baza[[№]:[Profit]],23,0),"")</f>
        <v/>
      </c>
      <c r="Z991" s="44" t="str">
        <f>IFERROR(VLOOKUP(B991,Baza[[№]:[AFS]],24,0),"")</f>
        <v/>
      </c>
      <c r="AA991" s="45" t="str">
        <f>IF(Таблица2[[#This Row],[Profit]]="","#Н/Д",SUM($Y$40:Y991))</f>
        <v>#Н/Д</v>
      </c>
      <c r="AB991" s="45" t="b">
        <f>IF(Таблица2[[#This Row],[Grafik]]="#Н/Д",FALSE,TRUE)</f>
        <v>0</v>
      </c>
    </row>
    <row r="992" spans="3:28" ht="11.1" hidden="1" customHeight="1" x14ac:dyDescent="0.25">
      <c r="C992" s="41" t="str">
        <f>IFERROR(VLOOKUP(B992,Baza[[№]:[Profit]],2,0),"")</f>
        <v/>
      </c>
      <c r="D99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9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92" s="43" t="str">
        <f>IFERROR(VLOOKUP(B992,Baza[[№]:[Profit]],3,0),"")</f>
        <v/>
      </c>
      <c r="G992" s="43" t="str">
        <f>IFERROR(VLOOKUP(B992,Baza[[№]:[Profit]],4,0),"")</f>
        <v/>
      </c>
      <c r="H992" s="43" t="str">
        <f>IFERROR(VLOOKUP(B992,Baza[[№]:[Profit]],5,0),"")</f>
        <v/>
      </c>
      <c r="I992" s="46" t="str">
        <f>IFERROR(VLOOKUP(B992,Baza[[№]:[Profit]],6,0),"")</f>
        <v/>
      </c>
      <c r="J992" s="49" t="str">
        <f>IFERROR(VLOOKUP(B992,Baza[[№]:[Profit]],7,0),"")</f>
        <v/>
      </c>
      <c r="K992" s="43" t="str">
        <f>IFERROR(VLOOKUP(B992,Baza[[№]:[Profit]],8,0),"")</f>
        <v/>
      </c>
      <c r="L992" s="43" t="str">
        <f>IFERROR(VLOOKUP(B992,Baza[[№]:[Profit]],9,0),"")</f>
        <v/>
      </c>
      <c r="M992" s="43" t="str">
        <f>IFERROR(VLOOKUP(B992,Baza[[№]:[Profit]],10,0),"")</f>
        <v/>
      </c>
      <c r="N992" s="43" t="str">
        <f>IFERROR(IF(VLOOKUP(B992,Baza[[№]:[Profit]],11,0)=0,"-",VLOOKUP(B992,Baza[[№]:[Profit]],11,0)),"")</f>
        <v/>
      </c>
      <c r="O992" s="43" t="str">
        <f>IFERROR(IF(VLOOKUP(B992,Baza[[№]:[Profit]],12,0)=0,"-",VLOOKUP(B992,Baza[[№]:[Profit]],12,0)),"")</f>
        <v/>
      </c>
      <c r="P992" s="43" t="str">
        <f>IFERROR(IF(VLOOKUP(B992,Baza[[№]:[Profit]],13,0)=0,"-",VLOOKUP(B992,Baza[[№]:[Profit]],13,0)),"")</f>
        <v/>
      </c>
      <c r="Q992" s="43" t="str">
        <f>IFERROR(IF(VLOOKUP(B992,Baza[[№]:[Profit]],15,0)=0,"-",VLOOKUP(B992,Baza[[№]:[Profit]],15,0)),"")</f>
        <v/>
      </c>
      <c r="R992" s="43" t="str">
        <f>IFERROR(IF(VLOOKUP(B992,Baza[[№]:[Profit]],16,0)=0,"-",VLOOKUP(B992,Baza[[№]:[Profit]],16,0)),"")</f>
        <v/>
      </c>
      <c r="S992" s="43" t="str">
        <f>IFERROR(IF(VLOOKUP(B992,Baza[[№]:[Profit]],17,0)=0,"-",VLOOKUP(B992,Baza[[№]:[Profit]],17,0)),"")</f>
        <v/>
      </c>
      <c r="T992" s="43" t="str">
        <f>IFERROR(IF(VLOOKUP(B992,Baza[[№]:[Profit]],18,0)=0,"-",VLOOKUP(B992,Baza[[№]:[Profit]],18,0)),"")</f>
        <v/>
      </c>
      <c r="U992" s="41" t="str">
        <f>IFERROR(IF(VLOOKUP(B992,Baza[[№]:[Profit]],19,0)=0,"-",VLOOKUP(B992,Baza[[№]:[Profit]],19,0)),"")</f>
        <v/>
      </c>
      <c r="V992" s="41" t="str">
        <f>IFERROR(VLOOKUP(B992,Baza[[№]:[Profit]],20,0),"")</f>
        <v/>
      </c>
      <c r="W992" s="41" t="str">
        <f>IFERROR(IF(VLOOKUP(B992,Baza[[№]:[Profit]],21,0)=0,"-",VLOOKUP(B992,Baza[[№]:[Profit]],21,0)),"")</f>
        <v/>
      </c>
      <c r="X992" s="45" t="str">
        <f>IFERROR(IF(VLOOKUP(B992,Baza[[№]:[Profit]],22,0)=0,"-",VLOOKUP(B992,Baza[[№]:[Profit]],22,0)),"")</f>
        <v/>
      </c>
      <c r="Y992" s="45" t="str">
        <f>IFERROR(VLOOKUP(B992,Baza[[№]:[Profit]],23,0),"")</f>
        <v/>
      </c>
      <c r="Z992" s="44" t="str">
        <f>IFERROR(VLOOKUP(B992,Baza[[№]:[AFS]],24,0),"")</f>
        <v/>
      </c>
      <c r="AA992" s="45" t="str">
        <f>IF(Таблица2[[#This Row],[Profit]]="","#Н/Д",SUM($Y$40:Y992))</f>
        <v>#Н/Д</v>
      </c>
      <c r="AB992" s="45" t="b">
        <f>IF(Таблица2[[#This Row],[Grafik]]="#Н/Д",FALSE,TRUE)</f>
        <v>0</v>
      </c>
    </row>
    <row r="993" spans="3:28" ht="11.1" hidden="1" customHeight="1" x14ac:dyDescent="0.25">
      <c r="C993" s="41" t="str">
        <f>IFERROR(VLOOKUP(B993,Baza[[№]:[Profit]],2,0),"")</f>
        <v/>
      </c>
      <c r="D99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9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93" s="43" t="str">
        <f>IFERROR(VLOOKUP(B993,Baza[[№]:[Profit]],3,0),"")</f>
        <v/>
      </c>
      <c r="G993" s="43" t="str">
        <f>IFERROR(VLOOKUP(B993,Baza[[№]:[Profit]],4,0),"")</f>
        <v/>
      </c>
      <c r="H993" s="43" t="str">
        <f>IFERROR(VLOOKUP(B993,Baza[[№]:[Profit]],5,0),"")</f>
        <v/>
      </c>
      <c r="I993" s="46" t="str">
        <f>IFERROR(VLOOKUP(B993,Baza[[№]:[Profit]],6,0),"")</f>
        <v/>
      </c>
      <c r="J993" s="49" t="str">
        <f>IFERROR(VLOOKUP(B993,Baza[[№]:[Profit]],7,0),"")</f>
        <v/>
      </c>
      <c r="K993" s="43" t="str">
        <f>IFERROR(VLOOKUP(B993,Baza[[№]:[Profit]],8,0),"")</f>
        <v/>
      </c>
      <c r="L993" s="43" t="str">
        <f>IFERROR(VLOOKUP(B993,Baza[[№]:[Profit]],9,0),"")</f>
        <v/>
      </c>
      <c r="M993" s="43" t="str">
        <f>IFERROR(VLOOKUP(B993,Baza[[№]:[Profit]],10,0),"")</f>
        <v/>
      </c>
      <c r="N993" s="43" t="str">
        <f>IFERROR(IF(VLOOKUP(B993,Baza[[№]:[Profit]],11,0)=0,"-",VLOOKUP(B993,Baza[[№]:[Profit]],11,0)),"")</f>
        <v/>
      </c>
      <c r="O993" s="43" t="str">
        <f>IFERROR(IF(VLOOKUP(B993,Baza[[№]:[Profit]],12,0)=0,"-",VLOOKUP(B993,Baza[[№]:[Profit]],12,0)),"")</f>
        <v/>
      </c>
      <c r="P993" s="43" t="str">
        <f>IFERROR(IF(VLOOKUP(B993,Baza[[№]:[Profit]],13,0)=0,"-",VLOOKUP(B993,Baza[[№]:[Profit]],13,0)),"")</f>
        <v/>
      </c>
      <c r="Q993" s="43" t="str">
        <f>IFERROR(IF(VLOOKUP(B993,Baza[[№]:[Profit]],15,0)=0,"-",VLOOKUP(B993,Baza[[№]:[Profit]],15,0)),"")</f>
        <v/>
      </c>
      <c r="R993" s="43" t="str">
        <f>IFERROR(IF(VLOOKUP(B993,Baza[[№]:[Profit]],16,0)=0,"-",VLOOKUP(B993,Baza[[№]:[Profit]],16,0)),"")</f>
        <v/>
      </c>
      <c r="S993" s="43" t="str">
        <f>IFERROR(IF(VLOOKUP(B993,Baza[[№]:[Profit]],17,0)=0,"-",VLOOKUP(B993,Baza[[№]:[Profit]],17,0)),"")</f>
        <v/>
      </c>
      <c r="T993" s="43" t="str">
        <f>IFERROR(IF(VLOOKUP(B993,Baza[[№]:[Profit]],18,0)=0,"-",VLOOKUP(B993,Baza[[№]:[Profit]],18,0)),"")</f>
        <v/>
      </c>
      <c r="U993" s="41" t="str">
        <f>IFERROR(IF(VLOOKUP(B993,Baza[[№]:[Profit]],19,0)=0,"-",VLOOKUP(B993,Baza[[№]:[Profit]],19,0)),"")</f>
        <v/>
      </c>
      <c r="V993" s="41" t="str">
        <f>IFERROR(VLOOKUP(B993,Baza[[№]:[Profit]],20,0),"")</f>
        <v/>
      </c>
      <c r="W993" s="41" t="str">
        <f>IFERROR(IF(VLOOKUP(B993,Baza[[№]:[Profit]],21,0)=0,"-",VLOOKUP(B993,Baza[[№]:[Profit]],21,0)),"")</f>
        <v/>
      </c>
      <c r="X993" s="45" t="str">
        <f>IFERROR(IF(VLOOKUP(B993,Baza[[№]:[Profit]],22,0)=0,"-",VLOOKUP(B993,Baza[[№]:[Profit]],22,0)),"")</f>
        <v/>
      </c>
      <c r="Y993" s="45" t="str">
        <f>IFERROR(VLOOKUP(B993,Baza[[№]:[Profit]],23,0),"")</f>
        <v/>
      </c>
      <c r="Z993" s="44" t="str">
        <f>IFERROR(VLOOKUP(B993,Baza[[№]:[AFS]],24,0),"")</f>
        <v/>
      </c>
      <c r="AA993" s="45" t="str">
        <f>IF(Таблица2[[#This Row],[Profit]]="","#Н/Д",SUM($Y$40:Y993))</f>
        <v>#Н/Д</v>
      </c>
      <c r="AB993" s="45" t="b">
        <f>IF(Таблица2[[#This Row],[Grafik]]="#Н/Д",FALSE,TRUE)</f>
        <v>0</v>
      </c>
    </row>
    <row r="994" spans="3:28" ht="11.1" hidden="1" customHeight="1" x14ac:dyDescent="0.25">
      <c r="C994" s="41" t="str">
        <f>IFERROR(VLOOKUP(B994,Baza[[№]:[Profit]],2,0),"")</f>
        <v/>
      </c>
      <c r="D99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9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94" s="43" t="str">
        <f>IFERROR(VLOOKUP(B994,Baza[[№]:[Profit]],3,0),"")</f>
        <v/>
      </c>
      <c r="G994" s="43" t="str">
        <f>IFERROR(VLOOKUP(B994,Baza[[№]:[Profit]],4,0),"")</f>
        <v/>
      </c>
      <c r="H994" s="43" t="str">
        <f>IFERROR(VLOOKUP(B994,Baza[[№]:[Profit]],5,0),"")</f>
        <v/>
      </c>
      <c r="I994" s="46" t="str">
        <f>IFERROR(VLOOKUP(B994,Baza[[№]:[Profit]],6,0),"")</f>
        <v/>
      </c>
      <c r="J994" s="49" t="str">
        <f>IFERROR(VLOOKUP(B994,Baza[[№]:[Profit]],7,0),"")</f>
        <v/>
      </c>
      <c r="K994" s="43" t="str">
        <f>IFERROR(VLOOKUP(B994,Baza[[№]:[Profit]],8,0),"")</f>
        <v/>
      </c>
      <c r="L994" s="43" t="str">
        <f>IFERROR(VLOOKUP(B994,Baza[[№]:[Profit]],9,0),"")</f>
        <v/>
      </c>
      <c r="M994" s="43" t="str">
        <f>IFERROR(VLOOKUP(B994,Baza[[№]:[Profit]],10,0),"")</f>
        <v/>
      </c>
      <c r="N994" s="43" t="str">
        <f>IFERROR(IF(VLOOKUP(B994,Baza[[№]:[Profit]],11,0)=0,"-",VLOOKUP(B994,Baza[[№]:[Profit]],11,0)),"")</f>
        <v/>
      </c>
      <c r="O994" s="43" t="str">
        <f>IFERROR(IF(VLOOKUP(B994,Baza[[№]:[Profit]],12,0)=0,"-",VLOOKUP(B994,Baza[[№]:[Profit]],12,0)),"")</f>
        <v/>
      </c>
      <c r="P994" s="43" t="str">
        <f>IFERROR(IF(VLOOKUP(B994,Baza[[№]:[Profit]],13,0)=0,"-",VLOOKUP(B994,Baza[[№]:[Profit]],13,0)),"")</f>
        <v/>
      </c>
      <c r="Q994" s="43" t="str">
        <f>IFERROR(IF(VLOOKUP(B994,Baza[[№]:[Profit]],15,0)=0,"-",VLOOKUP(B994,Baza[[№]:[Profit]],15,0)),"")</f>
        <v/>
      </c>
      <c r="R994" s="43" t="str">
        <f>IFERROR(IF(VLOOKUP(B994,Baza[[№]:[Profit]],16,0)=0,"-",VLOOKUP(B994,Baza[[№]:[Profit]],16,0)),"")</f>
        <v/>
      </c>
      <c r="S994" s="43" t="str">
        <f>IFERROR(IF(VLOOKUP(B994,Baza[[№]:[Profit]],17,0)=0,"-",VLOOKUP(B994,Baza[[№]:[Profit]],17,0)),"")</f>
        <v/>
      </c>
      <c r="T994" s="43" t="str">
        <f>IFERROR(IF(VLOOKUP(B994,Baza[[№]:[Profit]],18,0)=0,"-",VLOOKUP(B994,Baza[[№]:[Profit]],18,0)),"")</f>
        <v/>
      </c>
      <c r="U994" s="41" t="str">
        <f>IFERROR(IF(VLOOKUP(B994,Baza[[№]:[Profit]],19,0)=0,"-",VLOOKUP(B994,Baza[[№]:[Profit]],19,0)),"")</f>
        <v/>
      </c>
      <c r="V994" s="41" t="str">
        <f>IFERROR(VLOOKUP(B994,Baza[[№]:[Profit]],20,0),"")</f>
        <v/>
      </c>
      <c r="W994" s="41" t="str">
        <f>IFERROR(IF(VLOOKUP(B994,Baza[[№]:[Profit]],21,0)=0,"-",VLOOKUP(B994,Baza[[№]:[Profit]],21,0)),"")</f>
        <v/>
      </c>
      <c r="X994" s="45" t="str">
        <f>IFERROR(IF(VLOOKUP(B994,Baza[[№]:[Profit]],22,0)=0,"-",VLOOKUP(B994,Baza[[№]:[Profit]],22,0)),"")</f>
        <v/>
      </c>
      <c r="Y994" s="45" t="str">
        <f>IFERROR(VLOOKUP(B994,Baza[[№]:[Profit]],23,0),"")</f>
        <v/>
      </c>
      <c r="Z994" s="44" t="str">
        <f>IFERROR(VLOOKUP(B994,Baza[[№]:[AFS]],24,0),"")</f>
        <v/>
      </c>
      <c r="AA994" s="45" t="str">
        <f>IF(Таблица2[[#This Row],[Profit]]="","#Н/Д",SUM($Y$40:Y994))</f>
        <v>#Н/Д</v>
      </c>
      <c r="AB994" s="45" t="b">
        <f>IF(Таблица2[[#This Row],[Grafik]]="#Н/Д",FALSE,TRUE)</f>
        <v>0</v>
      </c>
    </row>
    <row r="995" spans="3:28" ht="11.1" hidden="1" customHeight="1" x14ac:dyDescent="0.25">
      <c r="C995" s="41" t="str">
        <f>IFERROR(VLOOKUP(B995,Baza[[№]:[Profit]],2,0),"")</f>
        <v/>
      </c>
      <c r="D99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9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95" s="43" t="str">
        <f>IFERROR(VLOOKUP(B995,Baza[[№]:[Profit]],3,0),"")</f>
        <v/>
      </c>
      <c r="G995" s="43" t="str">
        <f>IFERROR(VLOOKUP(B995,Baza[[№]:[Profit]],4,0),"")</f>
        <v/>
      </c>
      <c r="H995" s="43" t="str">
        <f>IFERROR(VLOOKUP(B995,Baza[[№]:[Profit]],5,0),"")</f>
        <v/>
      </c>
      <c r="I995" s="46" t="str">
        <f>IFERROR(VLOOKUP(B995,Baza[[№]:[Profit]],6,0),"")</f>
        <v/>
      </c>
      <c r="J995" s="49" t="str">
        <f>IFERROR(VLOOKUP(B995,Baza[[№]:[Profit]],7,0),"")</f>
        <v/>
      </c>
      <c r="K995" s="43" t="str">
        <f>IFERROR(VLOOKUP(B995,Baza[[№]:[Profit]],8,0),"")</f>
        <v/>
      </c>
      <c r="L995" s="43" t="str">
        <f>IFERROR(VLOOKUP(B995,Baza[[№]:[Profit]],9,0),"")</f>
        <v/>
      </c>
      <c r="M995" s="43" t="str">
        <f>IFERROR(VLOOKUP(B995,Baza[[№]:[Profit]],10,0),"")</f>
        <v/>
      </c>
      <c r="N995" s="43" t="str">
        <f>IFERROR(IF(VLOOKUP(B995,Baza[[№]:[Profit]],11,0)=0,"-",VLOOKUP(B995,Baza[[№]:[Profit]],11,0)),"")</f>
        <v/>
      </c>
      <c r="O995" s="43" t="str">
        <f>IFERROR(IF(VLOOKUP(B995,Baza[[№]:[Profit]],12,0)=0,"-",VLOOKUP(B995,Baza[[№]:[Profit]],12,0)),"")</f>
        <v/>
      </c>
      <c r="P995" s="43" t="str">
        <f>IFERROR(IF(VLOOKUP(B995,Baza[[№]:[Profit]],13,0)=0,"-",VLOOKUP(B995,Baza[[№]:[Profit]],13,0)),"")</f>
        <v/>
      </c>
      <c r="Q995" s="43" t="str">
        <f>IFERROR(IF(VLOOKUP(B995,Baza[[№]:[Profit]],15,0)=0,"-",VLOOKUP(B995,Baza[[№]:[Profit]],15,0)),"")</f>
        <v/>
      </c>
      <c r="R995" s="43" t="str">
        <f>IFERROR(IF(VLOOKUP(B995,Baza[[№]:[Profit]],16,0)=0,"-",VLOOKUP(B995,Baza[[№]:[Profit]],16,0)),"")</f>
        <v/>
      </c>
      <c r="S995" s="43" t="str">
        <f>IFERROR(IF(VLOOKUP(B995,Baza[[№]:[Profit]],17,0)=0,"-",VLOOKUP(B995,Baza[[№]:[Profit]],17,0)),"")</f>
        <v/>
      </c>
      <c r="T995" s="43" t="str">
        <f>IFERROR(IF(VLOOKUP(B995,Baza[[№]:[Profit]],18,0)=0,"-",VLOOKUP(B995,Baza[[№]:[Profit]],18,0)),"")</f>
        <v/>
      </c>
      <c r="U995" s="41" t="str">
        <f>IFERROR(IF(VLOOKUP(B995,Baza[[№]:[Profit]],19,0)=0,"-",VLOOKUP(B995,Baza[[№]:[Profit]],19,0)),"")</f>
        <v/>
      </c>
      <c r="V995" s="41" t="str">
        <f>IFERROR(VLOOKUP(B995,Baza[[№]:[Profit]],20,0),"")</f>
        <v/>
      </c>
      <c r="W995" s="41" t="str">
        <f>IFERROR(IF(VLOOKUP(B995,Baza[[№]:[Profit]],21,0)=0,"-",VLOOKUP(B995,Baza[[№]:[Profit]],21,0)),"")</f>
        <v/>
      </c>
      <c r="X995" s="45" t="str">
        <f>IFERROR(IF(VLOOKUP(B995,Baza[[№]:[Profit]],22,0)=0,"-",VLOOKUP(B995,Baza[[№]:[Profit]],22,0)),"")</f>
        <v/>
      </c>
      <c r="Y995" s="45" t="str">
        <f>IFERROR(VLOOKUP(B995,Baza[[№]:[Profit]],23,0),"")</f>
        <v/>
      </c>
      <c r="Z995" s="44" t="str">
        <f>IFERROR(VLOOKUP(B995,Baza[[№]:[AFS]],24,0),"")</f>
        <v/>
      </c>
      <c r="AA995" s="45" t="str">
        <f>IF(Таблица2[[#This Row],[Profit]]="","#Н/Д",SUM($Y$40:Y995))</f>
        <v>#Н/Д</v>
      </c>
      <c r="AB995" s="45" t="b">
        <f>IF(Таблица2[[#This Row],[Grafik]]="#Н/Д",FALSE,TRUE)</f>
        <v>0</v>
      </c>
    </row>
    <row r="996" spans="3:28" ht="11.1" hidden="1" customHeight="1" x14ac:dyDescent="0.25">
      <c r="C996" s="41" t="str">
        <f>IFERROR(VLOOKUP(B996,Baza[[№]:[Profit]],2,0),"")</f>
        <v/>
      </c>
      <c r="D99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9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96" s="43" t="str">
        <f>IFERROR(VLOOKUP(B996,Baza[[№]:[Profit]],3,0),"")</f>
        <v/>
      </c>
      <c r="G996" s="43" t="str">
        <f>IFERROR(VLOOKUP(B996,Baza[[№]:[Profit]],4,0),"")</f>
        <v/>
      </c>
      <c r="H996" s="43" t="str">
        <f>IFERROR(VLOOKUP(B996,Baza[[№]:[Profit]],5,0),"")</f>
        <v/>
      </c>
      <c r="I996" s="46" t="str">
        <f>IFERROR(VLOOKUP(B996,Baza[[№]:[Profit]],6,0),"")</f>
        <v/>
      </c>
      <c r="J996" s="49" t="str">
        <f>IFERROR(VLOOKUP(B996,Baza[[№]:[Profit]],7,0),"")</f>
        <v/>
      </c>
      <c r="K996" s="43" t="str">
        <f>IFERROR(VLOOKUP(B996,Baza[[№]:[Profit]],8,0),"")</f>
        <v/>
      </c>
      <c r="L996" s="43" t="str">
        <f>IFERROR(VLOOKUP(B996,Baza[[№]:[Profit]],9,0),"")</f>
        <v/>
      </c>
      <c r="M996" s="43" t="str">
        <f>IFERROR(VLOOKUP(B996,Baza[[№]:[Profit]],10,0),"")</f>
        <v/>
      </c>
      <c r="N996" s="43" t="str">
        <f>IFERROR(IF(VLOOKUP(B996,Baza[[№]:[Profit]],11,0)=0,"-",VLOOKUP(B996,Baza[[№]:[Profit]],11,0)),"")</f>
        <v/>
      </c>
      <c r="O996" s="43" t="str">
        <f>IFERROR(IF(VLOOKUP(B996,Baza[[№]:[Profit]],12,0)=0,"-",VLOOKUP(B996,Baza[[№]:[Profit]],12,0)),"")</f>
        <v/>
      </c>
      <c r="P996" s="43" t="str">
        <f>IFERROR(IF(VLOOKUP(B996,Baza[[№]:[Profit]],13,0)=0,"-",VLOOKUP(B996,Baza[[№]:[Profit]],13,0)),"")</f>
        <v/>
      </c>
      <c r="Q996" s="43" t="str">
        <f>IFERROR(IF(VLOOKUP(B996,Baza[[№]:[Profit]],15,0)=0,"-",VLOOKUP(B996,Baza[[№]:[Profit]],15,0)),"")</f>
        <v/>
      </c>
      <c r="R996" s="43" t="str">
        <f>IFERROR(IF(VLOOKUP(B996,Baza[[№]:[Profit]],16,0)=0,"-",VLOOKUP(B996,Baza[[№]:[Profit]],16,0)),"")</f>
        <v/>
      </c>
      <c r="S996" s="43" t="str">
        <f>IFERROR(IF(VLOOKUP(B996,Baza[[№]:[Profit]],17,0)=0,"-",VLOOKUP(B996,Baza[[№]:[Profit]],17,0)),"")</f>
        <v/>
      </c>
      <c r="T996" s="43" t="str">
        <f>IFERROR(IF(VLOOKUP(B996,Baza[[№]:[Profit]],18,0)=0,"-",VLOOKUP(B996,Baza[[№]:[Profit]],18,0)),"")</f>
        <v/>
      </c>
      <c r="U996" s="41" t="str">
        <f>IFERROR(IF(VLOOKUP(B996,Baza[[№]:[Profit]],19,0)=0,"-",VLOOKUP(B996,Baza[[№]:[Profit]],19,0)),"")</f>
        <v/>
      </c>
      <c r="V996" s="41" t="str">
        <f>IFERROR(VLOOKUP(B996,Baza[[№]:[Profit]],20,0),"")</f>
        <v/>
      </c>
      <c r="W996" s="41" t="str">
        <f>IFERROR(IF(VLOOKUP(B996,Baza[[№]:[Profit]],21,0)=0,"-",VLOOKUP(B996,Baza[[№]:[Profit]],21,0)),"")</f>
        <v/>
      </c>
      <c r="X996" s="45" t="str">
        <f>IFERROR(IF(VLOOKUP(B996,Baza[[№]:[Profit]],22,0)=0,"-",VLOOKUP(B996,Baza[[№]:[Profit]],22,0)),"")</f>
        <v/>
      </c>
      <c r="Y996" s="45" t="str">
        <f>IFERROR(VLOOKUP(B996,Baza[[№]:[Profit]],23,0),"")</f>
        <v/>
      </c>
      <c r="Z996" s="44" t="str">
        <f>IFERROR(VLOOKUP(B996,Baza[[№]:[AFS]],24,0),"")</f>
        <v/>
      </c>
      <c r="AA996" s="45" t="str">
        <f>IF(Таблица2[[#This Row],[Profit]]="","#Н/Д",SUM($Y$40:Y996))</f>
        <v>#Н/Д</v>
      </c>
      <c r="AB996" s="45" t="b">
        <f>IF(Таблица2[[#This Row],[Grafik]]="#Н/Д",FALSE,TRUE)</f>
        <v>0</v>
      </c>
    </row>
    <row r="997" spans="3:28" ht="11.1" hidden="1" customHeight="1" x14ac:dyDescent="0.25">
      <c r="C997" s="41" t="str">
        <f>IFERROR(VLOOKUP(B997,Baza[[№]:[Profit]],2,0),"")</f>
        <v/>
      </c>
      <c r="D99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9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97" s="43" t="str">
        <f>IFERROR(VLOOKUP(B997,Baza[[№]:[Profit]],3,0),"")</f>
        <v/>
      </c>
      <c r="G997" s="43" t="str">
        <f>IFERROR(VLOOKUP(B997,Baza[[№]:[Profit]],4,0),"")</f>
        <v/>
      </c>
      <c r="H997" s="43" t="str">
        <f>IFERROR(VLOOKUP(B997,Baza[[№]:[Profit]],5,0),"")</f>
        <v/>
      </c>
      <c r="I997" s="46" t="str">
        <f>IFERROR(VLOOKUP(B997,Baza[[№]:[Profit]],6,0),"")</f>
        <v/>
      </c>
      <c r="J997" s="49" t="str">
        <f>IFERROR(VLOOKUP(B997,Baza[[№]:[Profit]],7,0),"")</f>
        <v/>
      </c>
      <c r="K997" s="43" t="str">
        <f>IFERROR(VLOOKUP(B997,Baza[[№]:[Profit]],8,0),"")</f>
        <v/>
      </c>
      <c r="L997" s="43" t="str">
        <f>IFERROR(VLOOKUP(B997,Baza[[№]:[Profit]],9,0),"")</f>
        <v/>
      </c>
      <c r="M997" s="43" t="str">
        <f>IFERROR(VLOOKUP(B997,Baza[[№]:[Profit]],10,0),"")</f>
        <v/>
      </c>
      <c r="N997" s="43" t="str">
        <f>IFERROR(IF(VLOOKUP(B997,Baza[[№]:[Profit]],11,0)=0,"-",VLOOKUP(B997,Baza[[№]:[Profit]],11,0)),"")</f>
        <v/>
      </c>
      <c r="O997" s="43" t="str">
        <f>IFERROR(IF(VLOOKUP(B997,Baza[[№]:[Profit]],12,0)=0,"-",VLOOKUP(B997,Baza[[№]:[Profit]],12,0)),"")</f>
        <v/>
      </c>
      <c r="P997" s="43" t="str">
        <f>IFERROR(IF(VLOOKUP(B997,Baza[[№]:[Profit]],13,0)=0,"-",VLOOKUP(B997,Baza[[№]:[Profit]],13,0)),"")</f>
        <v/>
      </c>
      <c r="Q997" s="43" t="str">
        <f>IFERROR(IF(VLOOKUP(B997,Baza[[№]:[Profit]],15,0)=0,"-",VLOOKUP(B997,Baza[[№]:[Profit]],15,0)),"")</f>
        <v/>
      </c>
      <c r="R997" s="43" t="str">
        <f>IFERROR(IF(VLOOKUP(B997,Baza[[№]:[Profit]],16,0)=0,"-",VLOOKUP(B997,Baza[[№]:[Profit]],16,0)),"")</f>
        <v/>
      </c>
      <c r="S997" s="43" t="str">
        <f>IFERROR(IF(VLOOKUP(B997,Baza[[№]:[Profit]],17,0)=0,"-",VLOOKUP(B997,Baza[[№]:[Profit]],17,0)),"")</f>
        <v/>
      </c>
      <c r="T997" s="43" t="str">
        <f>IFERROR(IF(VLOOKUP(B997,Baza[[№]:[Profit]],18,0)=0,"-",VLOOKUP(B997,Baza[[№]:[Profit]],18,0)),"")</f>
        <v/>
      </c>
      <c r="U997" s="41" t="str">
        <f>IFERROR(IF(VLOOKUP(B997,Baza[[№]:[Profit]],19,0)=0,"-",VLOOKUP(B997,Baza[[№]:[Profit]],19,0)),"")</f>
        <v/>
      </c>
      <c r="V997" s="41" t="str">
        <f>IFERROR(VLOOKUP(B997,Baza[[№]:[Profit]],20,0),"")</f>
        <v/>
      </c>
      <c r="W997" s="41" t="str">
        <f>IFERROR(IF(VLOOKUP(B997,Baza[[№]:[Profit]],21,0)=0,"-",VLOOKUP(B997,Baza[[№]:[Profit]],21,0)),"")</f>
        <v/>
      </c>
      <c r="X997" s="45" t="str">
        <f>IFERROR(IF(VLOOKUP(B997,Baza[[№]:[Profit]],22,0)=0,"-",VLOOKUP(B997,Baza[[№]:[Profit]],22,0)),"")</f>
        <v/>
      </c>
      <c r="Y997" s="45" t="str">
        <f>IFERROR(VLOOKUP(B997,Baza[[№]:[Profit]],23,0),"")</f>
        <v/>
      </c>
      <c r="Z997" s="44" t="str">
        <f>IFERROR(VLOOKUP(B997,Baza[[№]:[AFS]],24,0),"")</f>
        <v/>
      </c>
      <c r="AA997" s="45" t="str">
        <f>IF(Таблица2[[#This Row],[Profit]]="","#Н/Д",SUM($Y$40:Y997))</f>
        <v>#Н/Д</v>
      </c>
      <c r="AB997" s="45" t="b">
        <f>IF(Таблица2[[#This Row],[Grafik]]="#Н/Д",FALSE,TRUE)</f>
        <v>0</v>
      </c>
    </row>
    <row r="998" spans="3:28" ht="11.1" hidden="1" customHeight="1" x14ac:dyDescent="0.25">
      <c r="C998" s="41" t="str">
        <f>IFERROR(VLOOKUP(B998,Baza[[№]:[Profit]],2,0),"")</f>
        <v/>
      </c>
      <c r="D99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9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98" s="43" t="str">
        <f>IFERROR(VLOOKUP(B998,Baza[[№]:[Profit]],3,0),"")</f>
        <v/>
      </c>
      <c r="G998" s="43" t="str">
        <f>IFERROR(VLOOKUP(B998,Baza[[№]:[Profit]],4,0),"")</f>
        <v/>
      </c>
      <c r="H998" s="43" t="str">
        <f>IFERROR(VLOOKUP(B998,Baza[[№]:[Profit]],5,0),"")</f>
        <v/>
      </c>
      <c r="I998" s="46" t="str">
        <f>IFERROR(VLOOKUP(B998,Baza[[№]:[Profit]],6,0),"")</f>
        <v/>
      </c>
      <c r="J998" s="49" t="str">
        <f>IFERROR(VLOOKUP(B998,Baza[[№]:[Profit]],7,0),"")</f>
        <v/>
      </c>
      <c r="K998" s="43" t="str">
        <f>IFERROR(VLOOKUP(B998,Baza[[№]:[Profit]],8,0),"")</f>
        <v/>
      </c>
      <c r="L998" s="43" t="str">
        <f>IFERROR(VLOOKUP(B998,Baza[[№]:[Profit]],9,0),"")</f>
        <v/>
      </c>
      <c r="M998" s="43" t="str">
        <f>IFERROR(VLOOKUP(B998,Baza[[№]:[Profit]],10,0),"")</f>
        <v/>
      </c>
      <c r="N998" s="43" t="str">
        <f>IFERROR(IF(VLOOKUP(B998,Baza[[№]:[Profit]],11,0)=0,"-",VLOOKUP(B998,Baza[[№]:[Profit]],11,0)),"")</f>
        <v/>
      </c>
      <c r="O998" s="43" t="str">
        <f>IFERROR(IF(VLOOKUP(B998,Baza[[№]:[Profit]],12,0)=0,"-",VLOOKUP(B998,Baza[[№]:[Profit]],12,0)),"")</f>
        <v/>
      </c>
      <c r="P998" s="43" t="str">
        <f>IFERROR(IF(VLOOKUP(B998,Baza[[№]:[Profit]],13,0)=0,"-",VLOOKUP(B998,Baza[[№]:[Profit]],13,0)),"")</f>
        <v/>
      </c>
      <c r="Q998" s="43" t="str">
        <f>IFERROR(IF(VLOOKUP(B998,Baza[[№]:[Profit]],15,0)=0,"-",VLOOKUP(B998,Baza[[№]:[Profit]],15,0)),"")</f>
        <v/>
      </c>
      <c r="R998" s="43" t="str">
        <f>IFERROR(IF(VLOOKUP(B998,Baza[[№]:[Profit]],16,0)=0,"-",VLOOKUP(B998,Baza[[№]:[Profit]],16,0)),"")</f>
        <v/>
      </c>
      <c r="S998" s="43" t="str">
        <f>IFERROR(IF(VLOOKUP(B998,Baza[[№]:[Profit]],17,0)=0,"-",VLOOKUP(B998,Baza[[№]:[Profit]],17,0)),"")</f>
        <v/>
      </c>
      <c r="T998" s="43" t="str">
        <f>IFERROR(IF(VLOOKUP(B998,Baza[[№]:[Profit]],18,0)=0,"-",VLOOKUP(B998,Baza[[№]:[Profit]],18,0)),"")</f>
        <v/>
      </c>
      <c r="U998" s="41" t="str">
        <f>IFERROR(IF(VLOOKUP(B998,Baza[[№]:[Profit]],19,0)=0,"-",VLOOKUP(B998,Baza[[№]:[Profit]],19,0)),"")</f>
        <v/>
      </c>
      <c r="V998" s="41" t="str">
        <f>IFERROR(VLOOKUP(B998,Baza[[№]:[Profit]],20,0),"")</f>
        <v/>
      </c>
      <c r="W998" s="41" t="str">
        <f>IFERROR(IF(VLOOKUP(B998,Baza[[№]:[Profit]],21,0)=0,"-",VLOOKUP(B998,Baza[[№]:[Profit]],21,0)),"")</f>
        <v/>
      </c>
      <c r="X998" s="45" t="str">
        <f>IFERROR(IF(VLOOKUP(B998,Baza[[№]:[Profit]],22,0)=0,"-",VLOOKUP(B998,Baza[[№]:[Profit]],22,0)),"")</f>
        <v/>
      </c>
      <c r="Y998" s="45" t="str">
        <f>IFERROR(VLOOKUP(B998,Baza[[№]:[Profit]],23,0),"")</f>
        <v/>
      </c>
      <c r="Z998" s="44" t="str">
        <f>IFERROR(VLOOKUP(B998,Baza[[№]:[AFS]],24,0),"")</f>
        <v/>
      </c>
      <c r="AA998" s="45" t="str">
        <f>IF(Таблица2[[#This Row],[Profit]]="","#Н/Д",SUM($Y$40:Y998))</f>
        <v>#Н/Д</v>
      </c>
      <c r="AB998" s="45" t="b">
        <f>IF(Таблица2[[#This Row],[Grafik]]="#Н/Д",FALSE,TRUE)</f>
        <v>0</v>
      </c>
    </row>
    <row r="999" spans="3:28" ht="11.1" hidden="1" customHeight="1" x14ac:dyDescent="0.25">
      <c r="C999" s="41" t="str">
        <f>IFERROR(VLOOKUP(B999,Baza[[№]:[Profit]],2,0),"")</f>
        <v/>
      </c>
      <c r="D99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9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99" s="43" t="str">
        <f>IFERROR(VLOOKUP(B999,Baza[[№]:[Profit]],3,0),"")</f>
        <v/>
      </c>
      <c r="G999" s="43" t="str">
        <f>IFERROR(VLOOKUP(B999,Baza[[№]:[Profit]],4,0),"")</f>
        <v/>
      </c>
      <c r="H999" s="43" t="str">
        <f>IFERROR(VLOOKUP(B999,Baza[[№]:[Profit]],5,0),"")</f>
        <v/>
      </c>
      <c r="I999" s="46" t="str">
        <f>IFERROR(VLOOKUP(B999,Baza[[№]:[Profit]],6,0),"")</f>
        <v/>
      </c>
      <c r="J999" s="49" t="str">
        <f>IFERROR(VLOOKUP(B999,Baza[[№]:[Profit]],7,0),"")</f>
        <v/>
      </c>
      <c r="K999" s="43" t="str">
        <f>IFERROR(VLOOKUP(B999,Baza[[№]:[Profit]],8,0),"")</f>
        <v/>
      </c>
      <c r="L999" s="43" t="str">
        <f>IFERROR(VLOOKUP(B999,Baza[[№]:[Profit]],9,0),"")</f>
        <v/>
      </c>
      <c r="M999" s="43" t="str">
        <f>IFERROR(VLOOKUP(B999,Baza[[№]:[Profit]],10,0),"")</f>
        <v/>
      </c>
      <c r="N999" s="43" t="str">
        <f>IFERROR(IF(VLOOKUP(B999,Baza[[№]:[Profit]],11,0)=0,"-",VLOOKUP(B999,Baza[[№]:[Profit]],11,0)),"")</f>
        <v/>
      </c>
      <c r="O999" s="43" t="str">
        <f>IFERROR(IF(VLOOKUP(B999,Baza[[№]:[Profit]],12,0)=0,"-",VLOOKUP(B999,Baza[[№]:[Profit]],12,0)),"")</f>
        <v/>
      </c>
      <c r="P999" s="43" t="str">
        <f>IFERROR(IF(VLOOKUP(B999,Baza[[№]:[Profit]],13,0)=0,"-",VLOOKUP(B999,Baza[[№]:[Profit]],13,0)),"")</f>
        <v/>
      </c>
      <c r="Q999" s="43" t="str">
        <f>IFERROR(IF(VLOOKUP(B999,Baza[[№]:[Profit]],15,0)=0,"-",VLOOKUP(B999,Baza[[№]:[Profit]],15,0)),"")</f>
        <v/>
      </c>
      <c r="R999" s="43" t="str">
        <f>IFERROR(IF(VLOOKUP(B999,Baza[[№]:[Profit]],16,0)=0,"-",VLOOKUP(B999,Baza[[№]:[Profit]],16,0)),"")</f>
        <v/>
      </c>
      <c r="S999" s="43" t="str">
        <f>IFERROR(IF(VLOOKUP(B999,Baza[[№]:[Profit]],17,0)=0,"-",VLOOKUP(B999,Baza[[№]:[Profit]],17,0)),"")</f>
        <v/>
      </c>
      <c r="T999" s="43" t="str">
        <f>IFERROR(IF(VLOOKUP(B999,Baza[[№]:[Profit]],18,0)=0,"-",VLOOKUP(B999,Baza[[№]:[Profit]],18,0)),"")</f>
        <v/>
      </c>
      <c r="U999" s="41" t="str">
        <f>IFERROR(IF(VLOOKUP(B999,Baza[[№]:[Profit]],19,0)=0,"-",VLOOKUP(B999,Baza[[№]:[Profit]],19,0)),"")</f>
        <v/>
      </c>
      <c r="V999" s="41" t="str">
        <f>IFERROR(VLOOKUP(B999,Baza[[№]:[Profit]],20,0),"")</f>
        <v/>
      </c>
      <c r="W999" s="41" t="str">
        <f>IFERROR(IF(VLOOKUP(B999,Baza[[№]:[Profit]],21,0)=0,"-",VLOOKUP(B999,Baza[[№]:[Profit]],21,0)),"")</f>
        <v/>
      </c>
      <c r="X999" s="45" t="str">
        <f>IFERROR(IF(VLOOKUP(B999,Baza[[№]:[Profit]],22,0)=0,"-",VLOOKUP(B999,Baza[[№]:[Profit]],22,0)),"")</f>
        <v/>
      </c>
      <c r="Y999" s="45" t="str">
        <f>IFERROR(VLOOKUP(B999,Baza[[№]:[Profit]],23,0),"")</f>
        <v/>
      </c>
      <c r="Z999" s="44" t="str">
        <f>IFERROR(VLOOKUP(B999,Baza[[№]:[AFS]],24,0),"")</f>
        <v/>
      </c>
      <c r="AA999" s="45" t="str">
        <f>IF(Таблица2[[#This Row],[Profit]]="","#Н/Д",SUM($Y$40:Y999))</f>
        <v>#Н/Д</v>
      </c>
      <c r="AB999" s="45" t="b">
        <f>IF(Таблица2[[#This Row],[Grafik]]="#Н/Д",FALSE,TRUE)</f>
        <v>0</v>
      </c>
    </row>
    <row r="1000" spans="3:28" ht="11.1" hidden="1" customHeight="1" x14ac:dyDescent="0.25">
      <c r="C1000" s="41" t="str">
        <f>IFERROR(VLOOKUP(B1000,Baza[[№]:[Profit]],2,0),"")</f>
        <v/>
      </c>
      <c r="D100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0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00" s="43" t="str">
        <f>IFERROR(VLOOKUP(B1000,Baza[[№]:[Profit]],3,0),"")</f>
        <v/>
      </c>
      <c r="G1000" s="43" t="str">
        <f>IFERROR(VLOOKUP(B1000,Baza[[№]:[Profit]],4,0),"")</f>
        <v/>
      </c>
      <c r="H1000" s="43" t="str">
        <f>IFERROR(VLOOKUP(B1000,Baza[[№]:[Profit]],5,0),"")</f>
        <v/>
      </c>
      <c r="I1000" s="46" t="str">
        <f>IFERROR(VLOOKUP(B1000,Baza[[№]:[Profit]],6,0),"")</f>
        <v/>
      </c>
      <c r="J1000" s="49" t="str">
        <f>IFERROR(VLOOKUP(B1000,Baza[[№]:[Profit]],7,0),"")</f>
        <v/>
      </c>
      <c r="K1000" s="43" t="str">
        <f>IFERROR(VLOOKUP(B1000,Baza[[№]:[Profit]],8,0),"")</f>
        <v/>
      </c>
      <c r="L1000" s="43" t="str">
        <f>IFERROR(VLOOKUP(B1000,Baza[[№]:[Profit]],9,0),"")</f>
        <v/>
      </c>
      <c r="M1000" s="43" t="str">
        <f>IFERROR(VLOOKUP(B1000,Baza[[№]:[Profit]],10,0),"")</f>
        <v/>
      </c>
      <c r="N1000" s="43" t="str">
        <f>IFERROR(IF(VLOOKUP(B1000,Baza[[№]:[Profit]],11,0)=0,"-",VLOOKUP(B1000,Baza[[№]:[Profit]],11,0)),"")</f>
        <v/>
      </c>
      <c r="O1000" s="43" t="str">
        <f>IFERROR(IF(VLOOKUP(B1000,Baza[[№]:[Profit]],12,0)=0,"-",VLOOKUP(B1000,Baza[[№]:[Profit]],12,0)),"")</f>
        <v/>
      </c>
      <c r="P1000" s="43" t="str">
        <f>IFERROR(IF(VLOOKUP(B1000,Baza[[№]:[Profit]],13,0)=0,"-",VLOOKUP(B1000,Baza[[№]:[Profit]],13,0)),"")</f>
        <v/>
      </c>
      <c r="Q1000" s="43" t="str">
        <f>IFERROR(IF(VLOOKUP(B1000,Baza[[№]:[Profit]],15,0)=0,"-",VLOOKUP(B1000,Baza[[№]:[Profit]],15,0)),"")</f>
        <v/>
      </c>
      <c r="R1000" s="43" t="str">
        <f>IFERROR(IF(VLOOKUP(B1000,Baza[[№]:[Profit]],16,0)=0,"-",VLOOKUP(B1000,Baza[[№]:[Profit]],16,0)),"")</f>
        <v/>
      </c>
      <c r="S1000" s="43" t="str">
        <f>IFERROR(IF(VLOOKUP(B1000,Baza[[№]:[Profit]],17,0)=0,"-",VLOOKUP(B1000,Baza[[№]:[Profit]],17,0)),"")</f>
        <v/>
      </c>
      <c r="T1000" s="43" t="str">
        <f>IFERROR(IF(VLOOKUP(B1000,Baza[[№]:[Profit]],18,0)=0,"-",VLOOKUP(B1000,Baza[[№]:[Profit]],18,0)),"")</f>
        <v/>
      </c>
      <c r="U1000" s="41" t="str">
        <f>IFERROR(IF(VLOOKUP(B1000,Baza[[№]:[Profit]],19,0)=0,"-",VLOOKUP(B1000,Baza[[№]:[Profit]],19,0)),"")</f>
        <v/>
      </c>
      <c r="V1000" s="41" t="str">
        <f>IFERROR(VLOOKUP(B1000,Baza[[№]:[Profit]],20,0),"")</f>
        <v/>
      </c>
      <c r="W1000" s="41" t="str">
        <f>IFERROR(IF(VLOOKUP(B1000,Baza[[№]:[Profit]],21,0)=0,"-",VLOOKUP(B1000,Baza[[№]:[Profit]],21,0)),"")</f>
        <v/>
      </c>
      <c r="X1000" s="45" t="str">
        <f>IFERROR(IF(VLOOKUP(B1000,Baza[[№]:[Profit]],22,0)=0,"-",VLOOKUP(B1000,Baza[[№]:[Profit]],22,0)),"")</f>
        <v/>
      </c>
      <c r="Y1000" s="45" t="str">
        <f>IFERROR(VLOOKUP(B1000,Baza[[№]:[Profit]],23,0),"")</f>
        <v/>
      </c>
      <c r="Z1000" s="44" t="str">
        <f>IFERROR(VLOOKUP(B1000,Baza[[№]:[AFS]],24,0),"")</f>
        <v/>
      </c>
      <c r="AA1000" s="45" t="str">
        <f>IF(Таблица2[[#This Row],[Profit]]="","#Н/Д",SUM($Y$40:Y1000))</f>
        <v>#Н/Д</v>
      </c>
      <c r="AB1000" s="45" t="b">
        <f>IF(Таблица2[[#This Row],[Grafik]]="#Н/Д",FALSE,TRUE)</f>
        <v>0</v>
      </c>
    </row>
    <row r="1001" spans="3:28" ht="11.1" hidden="1" customHeight="1" x14ac:dyDescent="0.25">
      <c r="C1001" s="41" t="str">
        <f>IFERROR(VLOOKUP(B1001,Baza[[№]:[Profit]],2,0),"")</f>
        <v/>
      </c>
      <c r="D100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0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01" s="43" t="str">
        <f>IFERROR(VLOOKUP(B1001,Baza[[№]:[Profit]],3,0),"")</f>
        <v/>
      </c>
      <c r="G1001" s="43" t="str">
        <f>IFERROR(VLOOKUP(B1001,Baza[[№]:[Profit]],4,0),"")</f>
        <v/>
      </c>
      <c r="H1001" s="43" t="str">
        <f>IFERROR(VLOOKUP(B1001,Baza[[№]:[Profit]],5,0),"")</f>
        <v/>
      </c>
      <c r="I1001" s="46" t="str">
        <f>IFERROR(VLOOKUP(B1001,Baza[[№]:[Profit]],6,0),"")</f>
        <v/>
      </c>
      <c r="J1001" s="49" t="str">
        <f>IFERROR(VLOOKUP(B1001,Baza[[№]:[Profit]],7,0),"")</f>
        <v/>
      </c>
      <c r="K1001" s="43" t="str">
        <f>IFERROR(VLOOKUP(B1001,Baza[[№]:[Profit]],8,0),"")</f>
        <v/>
      </c>
      <c r="L1001" s="43" t="str">
        <f>IFERROR(VLOOKUP(B1001,Baza[[№]:[Profit]],9,0),"")</f>
        <v/>
      </c>
      <c r="M1001" s="43" t="str">
        <f>IFERROR(VLOOKUP(B1001,Baza[[№]:[Profit]],10,0),"")</f>
        <v/>
      </c>
      <c r="N1001" s="43" t="str">
        <f>IFERROR(IF(VLOOKUP(B1001,Baza[[№]:[Profit]],11,0)=0,"-",VLOOKUP(B1001,Baza[[№]:[Profit]],11,0)),"")</f>
        <v/>
      </c>
      <c r="O1001" s="43" t="str">
        <f>IFERROR(IF(VLOOKUP(B1001,Baza[[№]:[Profit]],12,0)=0,"-",VLOOKUP(B1001,Baza[[№]:[Profit]],12,0)),"")</f>
        <v/>
      </c>
      <c r="P1001" s="43" t="str">
        <f>IFERROR(IF(VLOOKUP(B1001,Baza[[№]:[Profit]],13,0)=0,"-",VLOOKUP(B1001,Baza[[№]:[Profit]],13,0)),"")</f>
        <v/>
      </c>
      <c r="Q1001" s="43" t="str">
        <f>IFERROR(IF(VLOOKUP(B1001,Baza[[№]:[Profit]],15,0)=0,"-",VLOOKUP(B1001,Baza[[№]:[Profit]],15,0)),"")</f>
        <v/>
      </c>
      <c r="R1001" s="43" t="str">
        <f>IFERROR(IF(VLOOKUP(B1001,Baza[[№]:[Profit]],16,0)=0,"-",VLOOKUP(B1001,Baza[[№]:[Profit]],16,0)),"")</f>
        <v/>
      </c>
      <c r="S1001" s="43" t="str">
        <f>IFERROR(IF(VLOOKUP(B1001,Baza[[№]:[Profit]],17,0)=0,"-",VLOOKUP(B1001,Baza[[№]:[Profit]],17,0)),"")</f>
        <v/>
      </c>
      <c r="T1001" s="43" t="str">
        <f>IFERROR(IF(VLOOKUP(B1001,Baza[[№]:[Profit]],18,0)=0,"-",VLOOKUP(B1001,Baza[[№]:[Profit]],18,0)),"")</f>
        <v/>
      </c>
      <c r="U1001" s="41" t="str">
        <f>IFERROR(IF(VLOOKUP(B1001,Baza[[№]:[Profit]],19,0)=0,"-",VLOOKUP(B1001,Baza[[№]:[Profit]],19,0)),"")</f>
        <v/>
      </c>
      <c r="V1001" s="41" t="str">
        <f>IFERROR(VLOOKUP(B1001,Baza[[№]:[Profit]],20,0),"")</f>
        <v/>
      </c>
      <c r="W1001" s="41" t="str">
        <f>IFERROR(IF(VLOOKUP(B1001,Baza[[№]:[Profit]],21,0)=0,"-",VLOOKUP(B1001,Baza[[№]:[Profit]],21,0)),"")</f>
        <v/>
      </c>
      <c r="X1001" s="45" t="str">
        <f>IFERROR(IF(VLOOKUP(B1001,Baza[[№]:[Profit]],22,0)=0,"-",VLOOKUP(B1001,Baza[[№]:[Profit]],22,0)),"")</f>
        <v/>
      </c>
      <c r="Y1001" s="45" t="str">
        <f>IFERROR(VLOOKUP(B1001,Baza[[№]:[Profit]],23,0),"")</f>
        <v/>
      </c>
      <c r="Z1001" s="44" t="str">
        <f>IFERROR(VLOOKUP(B1001,Baza[[№]:[AFS]],24,0),"")</f>
        <v/>
      </c>
      <c r="AA1001" s="45" t="str">
        <f>IF(Таблица2[[#This Row],[Profit]]="","#Н/Д",SUM($Y$40:Y1001))</f>
        <v>#Н/Д</v>
      </c>
      <c r="AB1001" s="45" t="b">
        <f>IF(Таблица2[[#This Row],[Grafik]]="#Н/Д",FALSE,TRUE)</f>
        <v>0</v>
      </c>
    </row>
    <row r="1002" spans="3:28" ht="11.1" hidden="1" customHeight="1" x14ac:dyDescent="0.25">
      <c r="C1002" s="41" t="str">
        <f>IFERROR(VLOOKUP(B1002,Baza[[№]:[Profit]],2,0),"")</f>
        <v/>
      </c>
      <c r="D100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0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02" s="43" t="str">
        <f>IFERROR(VLOOKUP(B1002,Baza[[№]:[Profit]],3,0),"")</f>
        <v/>
      </c>
      <c r="G1002" s="43" t="str">
        <f>IFERROR(VLOOKUP(B1002,Baza[[№]:[Profit]],4,0),"")</f>
        <v/>
      </c>
      <c r="H1002" s="43" t="str">
        <f>IFERROR(VLOOKUP(B1002,Baza[[№]:[Profit]],5,0),"")</f>
        <v/>
      </c>
      <c r="I1002" s="46" t="str">
        <f>IFERROR(VLOOKUP(B1002,Baza[[№]:[Profit]],6,0),"")</f>
        <v/>
      </c>
      <c r="J1002" s="49" t="str">
        <f>IFERROR(VLOOKUP(B1002,Baza[[№]:[Profit]],7,0),"")</f>
        <v/>
      </c>
      <c r="K1002" s="43" t="str">
        <f>IFERROR(VLOOKUP(B1002,Baza[[№]:[Profit]],8,0),"")</f>
        <v/>
      </c>
      <c r="L1002" s="43" t="str">
        <f>IFERROR(VLOOKUP(B1002,Baza[[№]:[Profit]],9,0),"")</f>
        <v/>
      </c>
      <c r="M1002" s="43" t="str">
        <f>IFERROR(VLOOKUP(B1002,Baza[[№]:[Profit]],10,0),"")</f>
        <v/>
      </c>
      <c r="N1002" s="43" t="str">
        <f>IFERROR(IF(VLOOKUP(B1002,Baza[[№]:[Profit]],11,0)=0,"-",VLOOKUP(B1002,Baza[[№]:[Profit]],11,0)),"")</f>
        <v/>
      </c>
      <c r="O1002" s="43" t="str">
        <f>IFERROR(IF(VLOOKUP(B1002,Baza[[№]:[Profit]],12,0)=0,"-",VLOOKUP(B1002,Baza[[№]:[Profit]],12,0)),"")</f>
        <v/>
      </c>
      <c r="P1002" s="43" t="str">
        <f>IFERROR(IF(VLOOKUP(B1002,Baza[[№]:[Profit]],13,0)=0,"-",VLOOKUP(B1002,Baza[[№]:[Profit]],13,0)),"")</f>
        <v/>
      </c>
      <c r="Q1002" s="43" t="str">
        <f>IFERROR(IF(VLOOKUP(B1002,Baza[[№]:[Profit]],15,0)=0,"-",VLOOKUP(B1002,Baza[[№]:[Profit]],15,0)),"")</f>
        <v/>
      </c>
      <c r="R1002" s="43" t="str">
        <f>IFERROR(IF(VLOOKUP(B1002,Baza[[№]:[Profit]],16,0)=0,"-",VLOOKUP(B1002,Baza[[№]:[Profit]],16,0)),"")</f>
        <v/>
      </c>
      <c r="S1002" s="43" t="str">
        <f>IFERROR(IF(VLOOKUP(B1002,Baza[[№]:[Profit]],17,0)=0,"-",VLOOKUP(B1002,Baza[[№]:[Profit]],17,0)),"")</f>
        <v/>
      </c>
      <c r="T1002" s="43" t="str">
        <f>IFERROR(IF(VLOOKUP(B1002,Baza[[№]:[Profit]],18,0)=0,"-",VLOOKUP(B1002,Baza[[№]:[Profit]],18,0)),"")</f>
        <v/>
      </c>
      <c r="U1002" s="41" t="str">
        <f>IFERROR(IF(VLOOKUP(B1002,Baza[[№]:[Profit]],19,0)=0,"-",VLOOKUP(B1002,Baza[[№]:[Profit]],19,0)),"")</f>
        <v/>
      </c>
      <c r="V1002" s="41" t="str">
        <f>IFERROR(VLOOKUP(B1002,Baza[[№]:[Profit]],20,0),"")</f>
        <v/>
      </c>
      <c r="W1002" s="41" t="str">
        <f>IFERROR(IF(VLOOKUP(B1002,Baza[[№]:[Profit]],21,0)=0,"-",VLOOKUP(B1002,Baza[[№]:[Profit]],21,0)),"")</f>
        <v/>
      </c>
      <c r="X1002" s="45" t="str">
        <f>IFERROR(IF(VLOOKUP(B1002,Baza[[№]:[Profit]],22,0)=0,"-",VLOOKUP(B1002,Baza[[№]:[Profit]],22,0)),"")</f>
        <v/>
      </c>
      <c r="Y1002" s="45" t="str">
        <f>IFERROR(VLOOKUP(B1002,Baza[[№]:[Profit]],23,0),"")</f>
        <v/>
      </c>
      <c r="Z1002" s="44" t="str">
        <f>IFERROR(VLOOKUP(B1002,Baza[[№]:[AFS]],24,0),"")</f>
        <v/>
      </c>
      <c r="AA1002" s="45" t="str">
        <f>IF(Таблица2[[#This Row],[Profit]]="","#Н/Д",SUM($Y$40:Y1002))</f>
        <v>#Н/Д</v>
      </c>
      <c r="AB1002" s="45" t="b">
        <f>IF(Таблица2[[#This Row],[Grafik]]="#Н/Д",FALSE,TRUE)</f>
        <v>0</v>
      </c>
    </row>
    <row r="1003" spans="3:28" ht="11.1" hidden="1" customHeight="1" x14ac:dyDescent="0.25">
      <c r="C1003" s="41" t="str">
        <f>IFERROR(VLOOKUP(B1003,Baza[[№]:[Profit]],2,0),"")</f>
        <v/>
      </c>
      <c r="D100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0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03" s="43" t="str">
        <f>IFERROR(VLOOKUP(B1003,Baza[[№]:[Profit]],3,0),"")</f>
        <v/>
      </c>
      <c r="G1003" s="43" t="str">
        <f>IFERROR(VLOOKUP(B1003,Baza[[№]:[Profit]],4,0),"")</f>
        <v/>
      </c>
      <c r="H1003" s="43" t="str">
        <f>IFERROR(VLOOKUP(B1003,Baza[[№]:[Profit]],5,0),"")</f>
        <v/>
      </c>
      <c r="I1003" s="46" t="str">
        <f>IFERROR(VLOOKUP(B1003,Baza[[№]:[Profit]],6,0),"")</f>
        <v/>
      </c>
      <c r="J1003" s="49" t="str">
        <f>IFERROR(VLOOKUP(B1003,Baza[[№]:[Profit]],7,0),"")</f>
        <v/>
      </c>
      <c r="K1003" s="43" t="str">
        <f>IFERROR(VLOOKUP(B1003,Baza[[№]:[Profit]],8,0),"")</f>
        <v/>
      </c>
      <c r="L1003" s="43" t="str">
        <f>IFERROR(VLOOKUP(B1003,Baza[[№]:[Profit]],9,0),"")</f>
        <v/>
      </c>
      <c r="M1003" s="43" t="str">
        <f>IFERROR(VLOOKUP(B1003,Baza[[№]:[Profit]],10,0),"")</f>
        <v/>
      </c>
      <c r="N1003" s="43" t="str">
        <f>IFERROR(IF(VLOOKUP(B1003,Baza[[№]:[Profit]],11,0)=0,"-",VLOOKUP(B1003,Baza[[№]:[Profit]],11,0)),"")</f>
        <v/>
      </c>
      <c r="O1003" s="43" t="str">
        <f>IFERROR(IF(VLOOKUP(B1003,Baza[[№]:[Profit]],12,0)=0,"-",VLOOKUP(B1003,Baza[[№]:[Profit]],12,0)),"")</f>
        <v/>
      </c>
      <c r="P1003" s="43" t="str">
        <f>IFERROR(IF(VLOOKUP(B1003,Baza[[№]:[Profit]],13,0)=0,"-",VLOOKUP(B1003,Baza[[№]:[Profit]],13,0)),"")</f>
        <v/>
      </c>
      <c r="Q1003" s="43" t="str">
        <f>IFERROR(IF(VLOOKUP(B1003,Baza[[№]:[Profit]],15,0)=0,"-",VLOOKUP(B1003,Baza[[№]:[Profit]],15,0)),"")</f>
        <v/>
      </c>
      <c r="R1003" s="43" t="str">
        <f>IFERROR(IF(VLOOKUP(B1003,Baza[[№]:[Profit]],16,0)=0,"-",VLOOKUP(B1003,Baza[[№]:[Profit]],16,0)),"")</f>
        <v/>
      </c>
      <c r="S1003" s="43" t="str">
        <f>IFERROR(IF(VLOOKUP(B1003,Baza[[№]:[Profit]],17,0)=0,"-",VLOOKUP(B1003,Baza[[№]:[Profit]],17,0)),"")</f>
        <v/>
      </c>
      <c r="T1003" s="43" t="str">
        <f>IFERROR(IF(VLOOKUP(B1003,Baza[[№]:[Profit]],18,0)=0,"-",VLOOKUP(B1003,Baza[[№]:[Profit]],18,0)),"")</f>
        <v/>
      </c>
      <c r="U1003" s="41" t="str">
        <f>IFERROR(IF(VLOOKUP(B1003,Baza[[№]:[Profit]],19,0)=0,"-",VLOOKUP(B1003,Baza[[№]:[Profit]],19,0)),"")</f>
        <v/>
      </c>
      <c r="V1003" s="41" t="str">
        <f>IFERROR(VLOOKUP(B1003,Baza[[№]:[Profit]],20,0),"")</f>
        <v/>
      </c>
      <c r="W1003" s="41" t="str">
        <f>IFERROR(IF(VLOOKUP(B1003,Baza[[№]:[Profit]],21,0)=0,"-",VLOOKUP(B1003,Baza[[№]:[Profit]],21,0)),"")</f>
        <v/>
      </c>
      <c r="X1003" s="45" t="str">
        <f>IFERROR(IF(VLOOKUP(B1003,Baza[[№]:[Profit]],22,0)=0,"-",VLOOKUP(B1003,Baza[[№]:[Profit]],22,0)),"")</f>
        <v/>
      </c>
      <c r="Y1003" s="45" t="str">
        <f>IFERROR(VLOOKUP(B1003,Baza[[№]:[Profit]],23,0),"")</f>
        <v/>
      </c>
      <c r="Z1003" s="44" t="str">
        <f>IFERROR(VLOOKUP(B1003,Baza[[№]:[AFS]],24,0),"")</f>
        <v/>
      </c>
      <c r="AA1003" s="45" t="str">
        <f>IF(Таблица2[[#This Row],[Profit]]="","#Н/Д",SUM($Y$40:Y1003))</f>
        <v>#Н/Д</v>
      </c>
      <c r="AB1003" s="45" t="b">
        <f>IF(Таблица2[[#This Row],[Grafik]]="#Н/Д",FALSE,TRUE)</f>
        <v>0</v>
      </c>
    </row>
    <row r="1004" spans="3:28" ht="11.1" hidden="1" customHeight="1" x14ac:dyDescent="0.25">
      <c r="C1004" s="41" t="str">
        <f>IFERROR(VLOOKUP(B1004,Baza[[№]:[Profit]],2,0),"")</f>
        <v/>
      </c>
      <c r="D100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0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04" s="43" t="str">
        <f>IFERROR(VLOOKUP(B1004,Baza[[№]:[Profit]],3,0),"")</f>
        <v/>
      </c>
      <c r="G1004" s="43" t="str">
        <f>IFERROR(VLOOKUP(B1004,Baza[[№]:[Profit]],4,0),"")</f>
        <v/>
      </c>
      <c r="H1004" s="43" t="str">
        <f>IFERROR(VLOOKUP(B1004,Baza[[№]:[Profit]],5,0),"")</f>
        <v/>
      </c>
      <c r="I1004" s="46" t="str">
        <f>IFERROR(VLOOKUP(B1004,Baza[[№]:[Profit]],6,0),"")</f>
        <v/>
      </c>
      <c r="J1004" s="49" t="str">
        <f>IFERROR(VLOOKUP(B1004,Baza[[№]:[Profit]],7,0),"")</f>
        <v/>
      </c>
      <c r="K1004" s="43" t="str">
        <f>IFERROR(VLOOKUP(B1004,Baza[[№]:[Profit]],8,0),"")</f>
        <v/>
      </c>
      <c r="L1004" s="43" t="str">
        <f>IFERROR(VLOOKUP(B1004,Baza[[№]:[Profit]],9,0),"")</f>
        <v/>
      </c>
      <c r="M1004" s="43" t="str">
        <f>IFERROR(VLOOKUP(B1004,Baza[[№]:[Profit]],10,0),"")</f>
        <v/>
      </c>
      <c r="N1004" s="43" t="str">
        <f>IFERROR(IF(VLOOKUP(B1004,Baza[[№]:[Profit]],11,0)=0,"-",VLOOKUP(B1004,Baza[[№]:[Profit]],11,0)),"")</f>
        <v/>
      </c>
      <c r="O1004" s="43" t="str">
        <f>IFERROR(IF(VLOOKUP(B1004,Baza[[№]:[Profit]],12,0)=0,"-",VLOOKUP(B1004,Baza[[№]:[Profit]],12,0)),"")</f>
        <v/>
      </c>
      <c r="P1004" s="43" t="str">
        <f>IFERROR(IF(VLOOKUP(B1004,Baza[[№]:[Profit]],13,0)=0,"-",VLOOKUP(B1004,Baza[[№]:[Profit]],13,0)),"")</f>
        <v/>
      </c>
      <c r="Q1004" s="43" t="str">
        <f>IFERROR(IF(VLOOKUP(B1004,Baza[[№]:[Profit]],15,0)=0,"-",VLOOKUP(B1004,Baza[[№]:[Profit]],15,0)),"")</f>
        <v/>
      </c>
      <c r="R1004" s="43" t="str">
        <f>IFERROR(IF(VLOOKUP(B1004,Baza[[№]:[Profit]],16,0)=0,"-",VLOOKUP(B1004,Baza[[№]:[Profit]],16,0)),"")</f>
        <v/>
      </c>
      <c r="S1004" s="43" t="str">
        <f>IFERROR(IF(VLOOKUP(B1004,Baza[[№]:[Profit]],17,0)=0,"-",VLOOKUP(B1004,Baza[[№]:[Profit]],17,0)),"")</f>
        <v/>
      </c>
      <c r="T1004" s="43" t="str">
        <f>IFERROR(IF(VLOOKUP(B1004,Baza[[№]:[Profit]],18,0)=0,"-",VLOOKUP(B1004,Baza[[№]:[Profit]],18,0)),"")</f>
        <v/>
      </c>
      <c r="U1004" s="41" t="str">
        <f>IFERROR(IF(VLOOKUP(B1004,Baza[[№]:[Profit]],19,0)=0,"-",VLOOKUP(B1004,Baza[[№]:[Profit]],19,0)),"")</f>
        <v/>
      </c>
      <c r="V1004" s="41" t="str">
        <f>IFERROR(VLOOKUP(B1004,Baza[[№]:[Profit]],20,0),"")</f>
        <v/>
      </c>
      <c r="W1004" s="41" t="str">
        <f>IFERROR(IF(VLOOKUP(B1004,Baza[[№]:[Profit]],21,0)=0,"-",VLOOKUP(B1004,Baza[[№]:[Profit]],21,0)),"")</f>
        <v/>
      </c>
      <c r="X1004" s="45" t="str">
        <f>IFERROR(IF(VLOOKUP(B1004,Baza[[№]:[Profit]],22,0)=0,"-",VLOOKUP(B1004,Baza[[№]:[Profit]],22,0)),"")</f>
        <v/>
      </c>
      <c r="Y1004" s="45" t="str">
        <f>IFERROR(VLOOKUP(B1004,Baza[[№]:[Profit]],23,0),"")</f>
        <v/>
      </c>
      <c r="Z1004" s="44" t="str">
        <f>IFERROR(VLOOKUP(B1004,Baza[[№]:[AFS]],24,0),"")</f>
        <v/>
      </c>
      <c r="AA1004" s="45" t="str">
        <f>IF(Таблица2[[#This Row],[Profit]]="","#Н/Д",SUM($Y$40:Y1004))</f>
        <v>#Н/Д</v>
      </c>
      <c r="AB1004" s="45" t="b">
        <f>IF(Таблица2[[#This Row],[Grafik]]="#Н/Д",FALSE,TRUE)</f>
        <v>0</v>
      </c>
    </row>
    <row r="1005" spans="3:28" ht="11.1" hidden="1" customHeight="1" x14ac:dyDescent="0.25">
      <c r="C1005" s="41" t="str">
        <f>IFERROR(VLOOKUP(B1005,Baza[[№]:[Profit]],2,0),"")</f>
        <v/>
      </c>
      <c r="D100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0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05" s="43" t="str">
        <f>IFERROR(VLOOKUP(B1005,Baza[[№]:[Profit]],3,0),"")</f>
        <v/>
      </c>
      <c r="G1005" s="43" t="str">
        <f>IFERROR(VLOOKUP(B1005,Baza[[№]:[Profit]],4,0),"")</f>
        <v/>
      </c>
      <c r="H1005" s="43" t="str">
        <f>IFERROR(VLOOKUP(B1005,Baza[[№]:[Profit]],5,0),"")</f>
        <v/>
      </c>
      <c r="I1005" s="46" t="str">
        <f>IFERROR(VLOOKUP(B1005,Baza[[№]:[Profit]],6,0),"")</f>
        <v/>
      </c>
      <c r="J1005" s="49" t="str">
        <f>IFERROR(VLOOKUP(B1005,Baza[[№]:[Profit]],7,0),"")</f>
        <v/>
      </c>
      <c r="K1005" s="43" t="str">
        <f>IFERROR(VLOOKUP(B1005,Baza[[№]:[Profit]],8,0),"")</f>
        <v/>
      </c>
      <c r="L1005" s="43" t="str">
        <f>IFERROR(VLOOKUP(B1005,Baza[[№]:[Profit]],9,0),"")</f>
        <v/>
      </c>
      <c r="M1005" s="43" t="str">
        <f>IFERROR(VLOOKUP(B1005,Baza[[№]:[Profit]],10,0),"")</f>
        <v/>
      </c>
      <c r="N1005" s="43" t="str">
        <f>IFERROR(IF(VLOOKUP(B1005,Baza[[№]:[Profit]],11,0)=0,"-",VLOOKUP(B1005,Baza[[№]:[Profit]],11,0)),"")</f>
        <v/>
      </c>
      <c r="O1005" s="43" t="str">
        <f>IFERROR(IF(VLOOKUP(B1005,Baza[[№]:[Profit]],12,0)=0,"-",VLOOKUP(B1005,Baza[[№]:[Profit]],12,0)),"")</f>
        <v/>
      </c>
      <c r="P1005" s="43" t="str">
        <f>IFERROR(IF(VLOOKUP(B1005,Baza[[№]:[Profit]],13,0)=0,"-",VLOOKUP(B1005,Baza[[№]:[Profit]],13,0)),"")</f>
        <v/>
      </c>
      <c r="Q1005" s="43" t="str">
        <f>IFERROR(IF(VLOOKUP(B1005,Baza[[№]:[Profit]],15,0)=0,"-",VLOOKUP(B1005,Baza[[№]:[Profit]],15,0)),"")</f>
        <v/>
      </c>
      <c r="R1005" s="43" t="str">
        <f>IFERROR(IF(VLOOKUP(B1005,Baza[[№]:[Profit]],16,0)=0,"-",VLOOKUP(B1005,Baza[[№]:[Profit]],16,0)),"")</f>
        <v/>
      </c>
      <c r="S1005" s="43" t="str">
        <f>IFERROR(IF(VLOOKUP(B1005,Baza[[№]:[Profit]],17,0)=0,"-",VLOOKUP(B1005,Baza[[№]:[Profit]],17,0)),"")</f>
        <v/>
      </c>
      <c r="T1005" s="43" t="str">
        <f>IFERROR(IF(VLOOKUP(B1005,Baza[[№]:[Profit]],18,0)=0,"-",VLOOKUP(B1005,Baza[[№]:[Profit]],18,0)),"")</f>
        <v/>
      </c>
      <c r="U1005" s="41" t="str">
        <f>IFERROR(IF(VLOOKUP(B1005,Baza[[№]:[Profit]],19,0)=0,"-",VLOOKUP(B1005,Baza[[№]:[Profit]],19,0)),"")</f>
        <v/>
      </c>
      <c r="V1005" s="41" t="str">
        <f>IFERROR(VLOOKUP(B1005,Baza[[№]:[Profit]],20,0),"")</f>
        <v/>
      </c>
      <c r="W1005" s="41" t="str">
        <f>IFERROR(IF(VLOOKUP(B1005,Baza[[№]:[Profit]],21,0)=0,"-",VLOOKUP(B1005,Baza[[№]:[Profit]],21,0)),"")</f>
        <v/>
      </c>
      <c r="X1005" s="45" t="str">
        <f>IFERROR(IF(VLOOKUP(B1005,Baza[[№]:[Profit]],22,0)=0,"-",VLOOKUP(B1005,Baza[[№]:[Profit]],22,0)),"")</f>
        <v/>
      </c>
      <c r="Y1005" s="45" t="str">
        <f>IFERROR(VLOOKUP(B1005,Baza[[№]:[Profit]],23,0),"")</f>
        <v/>
      </c>
      <c r="Z1005" s="44" t="str">
        <f>IFERROR(VLOOKUP(B1005,Baza[[№]:[AFS]],24,0),"")</f>
        <v/>
      </c>
      <c r="AA1005" s="45" t="str">
        <f>IF(Таблица2[[#This Row],[Profit]]="","#Н/Д",SUM($Y$40:Y1005))</f>
        <v>#Н/Д</v>
      </c>
      <c r="AB1005" s="45" t="b">
        <f>IF(Таблица2[[#This Row],[Grafik]]="#Н/Д",FALSE,TRUE)</f>
        <v>0</v>
      </c>
    </row>
    <row r="1006" spans="3:28" ht="11.1" hidden="1" customHeight="1" x14ac:dyDescent="0.25">
      <c r="C1006" s="41" t="str">
        <f>IFERROR(VLOOKUP(B1006,Baza[[№]:[Profit]],2,0),"")</f>
        <v/>
      </c>
      <c r="D100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0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06" s="43" t="str">
        <f>IFERROR(VLOOKUP(B1006,Baza[[№]:[Profit]],3,0),"")</f>
        <v/>
      </c>
      <c r="G1006" s="43" t="str">
        <f>IFERROR(VLOOKUP(B1006,Baza[[№]:[Profit]],4,0),"")</f>
        <v/>
      </c>
      <c r="H1006" s="43" t="str">
        <f>IFERROR(VLOOKUP(B1006,Baza[[№]:[Profit]],5,0),"")</f>
        <v/>
      </c>
      <c r="I1006" s="46" t="str">
        <f>IFERROR(VLOOKUP(B1006,Baza[[№]:[Profit]],6,0),"")</f>
        <v/>
      </c>
      <c r="J1006" s="49" t="str">
        <f>IFERROR(VLOOKUP(B1006,Baza[[№]:[Profit]],7,0),"")</f>
        <v/>
      </c>
      <c r="K1006" s="43" t="str">
        <f>IFERROR(VLOOKUP(B1006,Baza[[№]:[Profit]],8,0),"")</f>
        <v/>
      </c>
      <c r="L1006" s="43" t="str">
        <f>IFERROR(VLOOKUP(B1006,Baza[[№]:[Profit]],9,0),"")</f>
        <v/>
      </c>
      <c r="M1006" s="43" t="str">
        <f>IFERROR(VLOOKUP(B1006,Baza[[№]:[Profit]],10,0),"")</f>
        <v/>
      </c>
      <c r="N1006" s="43" t="str">
        <f>IFERROR(IF(VLOOKUP(B1006,Baza[[№]:[Profit]],11,0)=0,"-",VLOOKUP(B1006,Baza[[№]:[Profit]],11,0)),"")</f>
        <v/>
      </c>
      <c r="O1006" s="43" t="str">
        <f>IFERROR(IF(VLOOKUP(B1006,Baza[[№]:[Profit]],12,0)=0,"-",VLOOKUP(B1006,Baza[[№]:[Profit]],12,0)),"")</f>
        <v/>
      </c>
      <c r="P1006" s="43" t="str">
        <f>IFERROR(IF(VLOOKUP(B1006,Baza[[№]:[Profit]],13,0)=0,"-",VLOOKUP(B1006,Baza[[№]:[Profit]],13,0)),"")</f>
        <v/>
      </c>
      <c r="Q1006" s="43" t="str">
        <f>IFERROR(IF(VLOOKUP(B1006,Baza[[№]:[Profit]],15,0)=0,"-",VLOOKUP(B1006,Baza[[№]:[Profit]],15,0)),"")</f>
        <v/>
      </c>
      <c r="R1006" s="43" t="str">
        <f>IFERROR(IF(VLOOKUP(B1006,Baza[[№]:[Profit]],16,0)=0,"-",VLOOKUP(B1006,Baza[[№]:[Profit]],16,0)),"")</f>
        <v/>
      </c>
      <c r="S1006" s="43" t="str">
        <f>IFERROR(IF(VLOOKUP(B1006,Baza[[№]:[Profit]],17,0)=0,"-",VLOOKUP(B1006,Baza[[№]:[Profit]],17,0)),"")</f>
        <v/>
      </c>
      <c r="T1006" s="43" t="str">
        <f>IFERROR(IF(VLOOKUP(B1006,Baza[[№]:[Profit]],18,0)=0,"-",VLOOKUP(B1006,Baza[[№]:[Profit]],18,0)),"")</f>
        <v/>
      </c>
      <c r="U1006" s="41" t="str">
        <f>IFERROR(IF(VLOOKUP(B1006,Baza[[№]:[Profit]],19,0)=0,"-",VLOOKUP(B1006,Baza[[№]:[Profit]],19,0)),"")</f>
        <v/>
      </c>
      <c r="V1006" s="41" t="str">
        <f>IFERROR(VLOOKUP(B1006,Baza[[№]:[Profit]],20,0),"")</f>
        <v/>
      </c>
      <c r="W1006" s="41" t="str">
        <f>IFERROR(IF(VLOOKUP(B1006,Baza[[№]:[Profit]],21,0)=0,"-",VLOOKUP(B1006,Baza[[№]:[Profit]],21,0)),"")</f>
        <v/>
      </c>
      <c r="X1006" s="45" t="str">
        <f>IFERROR(IF(VLOOKUP(B1006,Baza[[№]:[Profit]],22,0)=0,"-",VLOOKUP(B1006,Baza[[№]:[Profit]],22,0)),"")</f>
        <v/>
      </c>
      <c r="Y1006" s="45" t="str">
        <f>IFERROR(VLOOKUP(B1006,Baza[[№]:[Profit]],23,0),"")</f>
        <v/>
      </c>
      <c r="Z1006" s="44" t="str">
        <f>IFERROR(VLOOKUP(B1006,Baza[[№]:[AFS]],24,0),"")</f>
        <v/>
      </c>
      <c r="AA1006" s="45" t="str">
        <f>IF(Таблица2[[#This Row],[Profit]]="","#Н/Д",SUM($Y$40:Y1006))</f>
        <v>#Н/Д</v>
      </c>
      <c r="AB1006" s="45" t="b">
        <f>IF(Таблица2[[#This Row],[Grafik]]="#Н/Д",FALSE,TRUE)</f>
        <v>0</v>
      </c>
    </row>
    <row r="1007" spans="3:28" ht="11.1" hidden="1" customHeight="1" x14ac:dyDescent="0.25">
      <c r="C1007" s="41" t="str">
        <f>IFERROR(VLOOKUP(B1007,Baza[[№]:[Profit]],2,0),"")</f>
        <v/>
      </c>
      <c r="D100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0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07" s="43" t="str">
        <f>IFERROR(VLOOKUP(B1007,Baza[[№]:[Profit]],3,0),"")</f>
        <v/>
      </c>
      <c r="G1007" s="43" t="str">
        <f>IFERROR(VLOOKUP(B1007,Baza[[№]:[Profit]],4,0),"")</f>
        <v/>
      </c>
      <c r="H1007" s="43" t="str">
        <f>IFERROR(VLOOKUP(B1007,Baza[[№]:[Profit]],5,0),"")</f>
        <v/>
      </c>
      <c r="I1007" s="46" t="str">
        <f>IFERROR(VLOOKUP(B1007,Baza[[№]:[Profit]],6,0),"")</f>
        <v/>
      </c>
      <c r="J1007" s="49" t="str">
        <f>IFERROR(VLOOKUP(B1007,Baza[[№]:[Profit]],7,0),"")</f>
        <v/>
      </c>
      <c r="K1007" s="43" t="str">
        <f>IFERROR(VLOOKUP(B1007,Baza[[№]:[Profit]],8,0),"")</f>
        <v/>
      </c>
      <c r="L1007" s="43" t="str">
        <f>IFERROR(VLOOKUP(B1007,Baza[[№]:[Profit]],9,0),"")</f>
        <v/>
      </c>
      <c r="M1007" s="43" t="str">
        <f>IFERROR(VLOOKUP(B1007,Baza[[№]:[Profit]],10,0),"")</f>
        <v/>
      </c>
      <c r="N1007" s="43" t="str">
        <f>IFERROR(IF(VLOOKUP(B1007,Baza[[№]:[Profit]],11,0)=0,"-",VLOOKUP(B1007,Baza[[№]:[Profit]],11,0)),"")</f>
        <v/>
      </c>
      <c r="O1007" s="43" t="str">
        <f>IFERROR(IF(VLOOKUP(B1007,Baza[[№]:[Profit]],12,0)=0,"-",VLOOKUP(B1007,Baza[[№]:[Profit]],12,0)),"")</f>
        <v/>
      </c>
      <c r="P1007" s="43" t="str">
        <f>IFERROR(IF(VLOOKUP(B1007,Baza[[№]:[Profit]],13,0)=0,"-",VLOOKUP(B1007,Baza[[№]:[Profit]],13,0)),"")</f>
        <v/>
      </c>
      <c r="Q1007" s="43" t="str">
        <f>IFERROR(IF(VLOOKUP(B1007,Baza[[№]:[Profit]],15,0)=0,"-",VLOOKUP(B1007,Baza[[№]:[Profit]],15,0)),"")</f>
        <v/>
      </c>
      <c r="R1007" s="43" t="str">
        <f>IFERROR(IF(VLOOKUP(B1007,Baza[[№]:[Profit]],16,0)=0,"-",VLOOKUP(B1007,Baza[[№]:[Profit]],16,0)),"")</f>
        <v/>
      </c>
      <c r="S1007" s="43" t="str">
        <f>IFERROR(IF(VLOOKUP(B1007,Baza[[№]:[Profit]],17,0)=0,"-",VLOOKUP(B1007,Baza[[№]:[Profit]],17,0)),"")</f>
        <v/>
      </c>
      <c r="T1007" s="43" t="str">
        <f>IFERROR(IF(VLOOKUP(B1007,Baza[[№]:[Profit]],18,0)=0,"-",VLOOKUP(B1007,Baza[[№]:[Profit]],18,0)),"")</f>
        <v/>
      </c>
      <c r="U1007" s="41" t="str">
        <f>IFERROR(IF(VLOOKUP(B1007,Baza[[№]:[Profit]],19,0)=0,"-",VLOOKUP(B1007,Baza[[№]:[Profit]],19,0)),"")</f>
        <v/>
      </c>
      <c r="V1007" s="41" t="str">
        <f>IFERROR(VLOOKUP(B1007,Baza[[№]:[Profit]],20,0),"")</f>
        <v/>
      </c>
      <c r="W1007" s="41" t="str">
        <f>IFERROR(IF(VLOOKUP(B1007,Baza[[№]:[Profit]],21,0)=0,"-",VLOOKUP(B1007,Baza[[№]:[Profit]],21,0)),"")</f>
        <v/>
      </c>
      <c r="X1007" s="45" t="str">
        <f>IFERROR(IF(VLOOKUP(B1007,Baza[[№]:[Profit]],22,0)=0,"-",VLOOKUP(B1007,Baza[[№]:[Profit]],22,0)),"")</f>
        <v/>
      </c>
      <c r="Y1007" s="45" t="str">
        <f>IFERROR(VLOOKUP(B1007,Baza[[№]:[Profit]],23,0),"")</f>
        <v/>
      </c>
      <c r="Z1007" s="44" t="str">
        <f>IFERROR(VLOOKUP(B1007,Baza[[№]:[AFS]],24,0),"")</f>
        <v/>
      </c>
      <c r="AA1007" s="45" t="str">
        <f>IF(Таблица2[[#This Row],[Profit]]="","#Н/Д",SUM($Y$40:Y1007))</f>
        <v>#Н/Д</v>
      </c>
      <c r="AB1007" s="45" t="b">
        <f>IF(Таблица2[[#This Row],[Grafik]]="#Н/Д",FALSE,TRUE)</f>
        <v>0</v>
      </c>
    </row>
    <row r="1008" spans="3:28" ht="11.1" hidden="1" customHeight="1" x14ac:dyDescent="0.25">
      <c r="C1008" s="41" t="str">
        <f>IFERROR(VLOOKUP(B1008,Baza[[№]:[Profit]],2,0),"")</f>
        <v/>
      </c>
      <c r="D100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0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08" s="43" t="str">
        <f>IFERROR(VLOOKUP(B1008,Baza[[№]:[Profit]],3,0),"")</f>
        <v/>
      </c>
      <c r="G1008" s="43" t="str">
        <f>IFERROR(VLOOKUP(B1008,Baza[[№]:[Profit]],4,0),"")</f>
        <v/>
      </c>
      <c r="H1008" s="43" t="str">
        <f>IFERROR(VLOOKUP(B1008,Baza[[№]:[Profit]],5,0),"")</f>
        <v/>
      </c>
      <c r="I1008" s="46" t="str">
        <f>IFERROR(VLOOKUP(B1008,Baza[[№]:[Profit]],6,0),"")</f>
        <v/>
      </c>
      <c r="J1008" s="49" t="str">
        <f>IFERROR(VLOOKUP(B1008,Baza[[№]:[Profit]],7,0),"")</f>
        <v/>
      </c>
      <c r="K1008" s="43" t="str">
        <f>IFERROR(VLOOKUP(B1008,Baza[[№]:[Profit]],8,0),"")</f>
        <v/>
      </c>
      <c r="L1008" s="43" t="str">
        <f>IFERROR(VLOOKUP(B1008,Baza[[№]:[Profit]],9,0),"")</f>
        <v/>
      </c>
      <c r="M1008" s="43" t="str">
        <f>IFERROR(VLOOKUP(B1008,Baza[[№]:[Profit]],10,0),"")</f>
        <v/>
      </c>
      <c r="N1008" s="43" t="str">
        <f>IFERROR(IF(VLOOKUP(B1008,Baza[[№]:[Profit]],11,0)=0,"-",VLOOKUP(B1008,Baza[[№]:[Profit]],11,0)),"")</f>
        <v/>
      </c>
      <c r="O1008" s="43" t="str">
        <f>IFERROR(IF(VLOOKUP(B1008,Baza[[№]:[Profit]],12,0)=0,"-",VLOOKUP(B1008,Baza[[№]:[Profit]],12,0)),"")</f>
        <v/>
      </c>
      <c r="P1008" s="43" t="str">
        <f>IFERROR(IF(VLOOKUP(B1008,Baza[[№]:[Profit]],13,0)=0,"-",VLOOKUP(B1008,Baza[[№]:[Profit]],13,0)),"")</f>
        <v/>
      </c>
      <c r="Q1008" s="43" t="str">
        <f>IFERROR(IF(VLOOKUP(B1008,Baza[[№]:[Profit]],15,0)=0,"-",VLOOKUP(B1008,Baza[[№]:[Profit]],15,0)),"")</f>
        <v/>
      </c>
      <c r="R1008" s="43" t="str">
        <f>IFERROR(IF(VLOOKUP(B1008,Baza[[№]:[Profit]],16,0)=0,"-",VLOOKUP(B1008,Baza[[№]:[Profit]],16,0)),"")</f>
        <v/>
      </c>
      <c r="S1008" s="43" t="str">
        <f>IFERROR(IF(VLOOKUP(B1008,Baza[[№]:[Profit]],17,0)=0,"-",VLOOKUP(B1008,Baza[[№]:[Profit]],17,0)),"")</f>
        <v/>
      </c>
      <c r="T1008" s="43" t="str">
        <f>IFERROR(IF(VLOOKUP(B1008,Baza[[№]:[Profit]],18,0)=0,"-",VLOOKUP(B1008,Baza[[№]:[Profit]],18,0)),"")</f>
        <v/>
      </c>
      <c r="U1008" s="41" t="str">
        <f>IFERROR(IF(VLOOKUP(B1008,Baza[[№]:[Profit]],19,0)=0,"-",VLOOKUP(B1008,Baza[[№]:[Profit]],19,0)),"")</f>
        <v/>
      </c>
      <c r="V1008" s="41" t="str">
        <f>IFERROR(VLOOKUP(B1008,Baza[[№]:[Profit]],20,0),"")</f>
        <v/>
      </c>
      <c r="W1008" s="41" t="str">
        <f>IFERROR(IF(VLOOKUP(B1008,Baza[[№]:[Profit]],21,0)=0,"-",VLOOKUP(B1008,Baza[[№]:[Profit]],21,0)),"")</f>
        <v/>
      </c>
      <c r="X1008" s="45" t="str">
        <f>IFERROR(IF(VLOOKUP(B1008,Baza[[№]:[Profit]],22,0)=0,"-",VLOOKUP(B1008,Baza[[№]:[Profit]],22,0)),"")</f>
        <v/>
      </c>
      <c r="Y1008" s="45" t="str">
        <f>IFERROR(VLOOKUP(B1008,Baza[[№]:[Profit]],23,0),"")</f>
        <v/>
      </c>
      <c r="Z1008" s="44" t="str">
        <f>IFERROR(VLOOKUP(B1008,Baza[[№]:[AFS]],24,0),"")</f>
        <v/>
      </c>
      <c r="AA1008" s="45" t="str">
        <f>IF(Таблица2[[#This Row],[Profit]]="","#Н/Д",SUM($Y$40:Y1008))</f>
        <v>#Н/Д</v>
      </c>
      <c r="AB1008" s="45" t="b">
        <f>IF(Таблица2[[#This Row],[Grafik]]="#Н/Д",FALSE,TRUE)</f>
        <v>0</v>
      </c>
    </row>
    <row r="1009" spans="3:28" ht="11.1" hidden="1" customHeight="1" x14ac:dyDescent="0.25">
      <c r="C1009" s="41" t="str">
        <f>IFERROR(VLOOKUP(B1009,Baza[[№]:[Profit]],2,0),"")</f>
        <v/>
      </c>
      <c r="D100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0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09" s="43" t="str">
        <f>IFERROR(VLOOKUP(B1009,Baza[[№]:[Profit]],3,0),"")</f>
        <v/>
      </c>
      <c r="G1009" s="43" t="str">
        <f>IFERROR(VLOOKUP(B1009,Baza[[№]:[Profit]],4,0),"")</f>
        <v/>
      </c>
      <c r="H1009" s="43" t="str">
        <f>IFERROR(VLOOKUP(B1009,Baza[[№]:[Profit]],5,0),"")</f>
        <v/>
      </c>
      <c r="I1009" s="46" t="str">
        <f>IFERROR(VLOOKUP(B1009,Baza[[№]:[Profit]],6,0),"")</f>
        <v/>
      </c>
      <c r="J1009" s="49" t="str">
        <f>IFERROR(VLOOKUP(B1009,Baza[[№]:[Profit]],7,0),"")</f>
        <v/>
      </c>
      <c r="K1009" s="43" t="str">
        <f>IFERROR(VLOOKUP(B1009,Baza[[№]:[Profit]],8,0),"")</f>
        <v/>
      </c>
      <c r="L1009" s="43" t="str">
        <f>IFERROR(VLOOKUP(B1009,Baza[[№]:[Profit]],9,0),"")</f>
        <v/>
      </c>
      <c r="M1009" s="43" t="str">
        <f>IFERROR(VLOOKUP(B1009,Baza[[№]:[Profit]],10,0),"")</f>
        <v/>
      </c>
      <c r="N1009" s="43" t="str">
        <f>IFERROR(IF(VLOOKUP(B1009,Baza[[№]:[Profit]],11,0)=0,"-",VLOOKUP(B1009,Baza[[№]:[Profit]],11,0)),"")</f>
        <v/>
      </c>
      <c r="O1009" s="43" t="str">
        <f>IFERROR(IF(VLOOKUP(B1009,Baza[[№]:[Profit]],12,0)=0,"-",VLOOKUP(B1009,Baza[[№]:[Profit]],12,0)),"")</f>
        <v/>
      </c>
      <c r="P1009" s="43" t="str">
        <f>IFERROR(IF(VLOOKUP(B1009,Baza[[№]:[Profit]],13,0)=0,"-",VLOOKUP(B1009,Baza[[№]:[Profit]],13,0)),"")</f>
        <v/>
      </c>
      <c r="Q1009" s="43" t="str">
        <f>IFERROR(IF(VLOOKUP(B1009,Baza[[№]:[Profit]],15,0)=0,"-",VLOOKUP(B1009,Baza[[№]:[Profit]],15,0)),"")</f>
        <v/>
      </c>
      <c r="R1009" s="43" t="str">
        <f>IFERROR(IF(VLOOKUP(B1009,Baza[[№]:[Profit]],16,0)=0,"-",VLOOKUP(B1009,Baza[[№]:[Profit]],16,0)),"")</f>
        <v/>
      </c>
      <c r="S1009" s="43" t="str">
        <f>IFERROR(IF(VLOOKUP(B1009,Baza[[№]:[Profit]],17,0)=0,"-",VLOOKUP(B1009,Baza[[№]:[Profit]],17,0)),"")</f>
        <v/>
      </c>
      <c r="T1009" s="43" t="str">
        <f>IFERROR(IF(VLOOKUP(B1009,Baza[[№]:[Profit]],18,0)=0,"-",VLOOKUP(B1009,Baza[[№]:[Profit]],18,0)),"")</f>
        <v/>
      </c>
      <c r="U1009" s="41" t="str">
        <f>IFERROR(IF(VLOOKUP(B1009,Baza[[№]:[Profit]],19,0)=0,"-",VLOOKUP(B1009,Baza[[№]:[Profit]],19,0)),"")</f>
        <v/>
      </c>
      <c r="V1009" s="41" t="str">
        <f>IFERROR(VLOOKUP(B1009,Baza[[№]:[Profit]],20,0),"")</f>
        <v/>
      </c>
      <c r="W1009" s="41" t="str">
        <f>IFERROR(IF(VLOOKUP(B1009,Baza[[№]:[Profit]],21,0)=0,"-",VLOOKUP(B1009,Baza[[№]:[Profit]],21,0)),"")</f>
        <v/>
      </c>
      <c r="X1009" s="45" t="str">
        <f>IFERROR(IF(VLOOKUP(B1009,Baza[[№]:[Profit]],22,0)=0,"-",VLOOKUP(B1009,Baza[[№]:[Profit]],22,0)),"")</f>
        <v/>
      </c>
      <c r="Y1009" s="45" t="str">
        <f>IFERROR(VLOOKUP(B1009,Baza[[№]:[Profit]],23,0),"")</f>
        <v/>
      </c>
      <c r="Z1009" s="44" t="str">
        <f>IFERROR(VLOOKUP(B1009,Baza[[№]:[AFS]],24,0),"")</f>
        <v/>
      </c>
      <c r="AA1009" s="45" t="str">
        <f>IF(Таблица2[[#This Row],[Profit]]="","#Н/Д",SUM($Y$40:Y1009))</f>
        <v>#Н/Д</v>
      </c>
      <c r="AB1009" s="45" t="b">
        <f>IF(Таблица2[[#This Row],[Grafik]]="#Н/Д",FALSE,TRUE)</f>
        <v>0</v>
      </c>
    </row>
    <row r="1010" spans="3:28" ht="11.1" hidden="1" customHeight="1" x14ac:dyDescent="0.25">
      <c r="C1010" s="41" t="str">
        <f>IFERROR(VLOOKUP(B1010,Baza[[№]:[Profit]],2,0),"")</f>
        <v/>
      </c>
      <c r="D101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1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10" s="43" t="str">
        <f>IFERROR(VLOOKUP(B1010,Baza[[№]:[Profit]],3,0),"")</f>
        <v/>
      </c>
      <c r="G1010" s="43" t="str">
        <f>IFERROR(VLOOKUP(B1010,Baza[[№]:[Profit]],4,0),"")</f>
        <v/>
      </c>
      <c r="H1010" s="43" t="str">
        <f>IFERROR(VLOOKUP(B1010,Baza[[№]:[Profit]],5,0),"")</f>
        <v/>
      </c>
      <c r="I1010" s="46" t="str">
        <f>IFERROR(VLOOKUP(B1010,Baza[[№]:[Profit]],6,0),"")</f>
        <v/>
      </c>
      <c r="J1010" s="49" t="str">
        <f>IFERROR(VLOOKUP(B1010,Baza[[№]:[Profit]],7,0),"")</f>
        <v/>
      </c>
      <c r="K1010" s="43" t="str">
        <f>IFERROR(VLOOKUP(B1010,Baza[[№]:[Profit]],8,0),"")</f>
        <v/>
      </c>
      <c r="L1010" s="43" t="str">
        <f>IFERROR(VLOOKUP(B1010,Baza[[№]:[Profit]],9,0),"")</f>
        <v/>
      </c>
      <c r="M1010" s="43" t="str">
        <f>IFERROR(VLOOKUP(B1010,Baza[[№]:[Profit]],10,0),"")</f>
        <v/>
      </c>
      <c r="N1010" s="43" t="str">
        <f>IFERROR(IF(VLOOKUP(B1010,Baza[[№]:[Profit]],11,0)=0,"-",VLOOKUP(B1010,Baza[[№]:[Profit]],11,0)),"")</f>
        <v/>
      </c>
      <c r="O1010" s="43" t="str">
        <f>IFERROR(IF(VLOOKUP(B1010,Baza[[№]:[Profit]],12,0)=0,"-",VLOOKUP(B1010,Baza[[№]:[Profit]],12,0)),"")</f>
        <v/>
      </c>
      <c r="P1010" s="43" t="str">
        <f>IFERROR(IF(VLOOKUP(B1010,Baza[[№]:[Profit]],13,0)=0,"-",VLOOKUP(B1010,Baza[[№]:[Profit]],13,0)),"")</f>
        <v/>
      </c>
      <c r="Q1010" s="43" t="str">
        <f>IFERROR(IF(VLOOKUP(B1010,Baza[[№]:[Profit]],15,0)=0,"-",VLOOKUP(B1010,Baza[[№]:[Profit]],15,0)),"")</f>
        <v/>
      </c>
      <c r="R1010" s="43" t="str">
        <f>IFERROR(IF(VLOOKUP(B1010,Baza[[№]:[Profit]],16,0)=0,"-",VLOOKUP(B1010,Baza[[№]:[Profit]],16,0)),"")</f>
        <v/>
      </c>
      <c r="S1010" s="43" t="str">
        <f>IFERROR(IF(VLOOKUP(B1010,Baza[[№]:[Profit]],17,0)=0,"-",VLOOKUP(B1010,Baza[[№]:[Profit]],17,0)),"")</f>
        <v/>
      </c>
      <c r="T1010" s="43" t="str">
        <f>IFERROR(IF(VLOOKUP(B1010,Baza[[№]:[Profit]],18,0)=0,"-",VLOOKUP(B1010,Baza[[№]:[Profit]],18,0)),"")</f>
        <v/>
      </c>
      <c r="U1010" s="41" t="str">
        <f>IFERROR(IF(VLOOKUP(B1010,Baza[[№]:[Profit]],19,0)=0,"-",VLOOKUP(B1010,Baza[[№]:[Profit]],19,0)),"")</f>
        <v/>
      </c>
      <c r="V1010" s="41" t="str">
        <f>IFERROR(VLOOKUP(B1010,Baza[[№]:[Profit]],20,0),"")</f>
        <v/>
      </c>
      <c r="W1010" s="41" t="str">
        <f>IFERROR(IF(VLOOKUP(B1010,Baza[[№]:[Profit]],21,0)=0,"-",VLOOKUP(B1010,Baza[[№]:[Profit]],21,0)),"")</f>
        <v/>
      </c>
      <c r="X1010" s="45" t="str">
        <f>IFERROR(IF(VLOOKUP(B1010,Baza[[№]:[Profit]],22,0)=0,"-",VLOOKUP(B1010,Baza[[№]:[Profit]],22,0)),"")</f>
        <v/>
      </c>
      <c r="Y1010" s="45" t="str">
        <f>IFERROR(VLOOKUP(B1010,Baza[[№]:[Profit]],23,0),"")</f>
        <v/>
      </c>
      <c r="Z1010" s="44" t="str">
        <f>IFERROR(VLOOKUP(B1010,Baza[[№]:[AFS]],24,0),"")</f>
        <v/>
      </c>
      <c r="AA1010" s="45" t="str">
        <f>IF(Таблица2[[#This Row],[Profit]]="","#Н/Д",SUM($Y$40:Y1010))</f>
        <v>#Н/Д</v>
      </c>
      <c r="AB1010" s="45" t="b">
        <f>IF(Таблица2[[#This Row],[Grafik]]="#Н/Д",FALSE,TRUE)</f>
        <v>0</v>
      </c>
    </row>
    <row r="1011" spans="3:28" ht="11.1" hidden="1" customHeight="1" x14ac:dyDescent="0.25">
      <c r="C1011" s="41" t="str">
        <f>IFERROR(VLOOKUP(B1011,Baza[[№]:[Profit]],2,0),"")</f>
        <v/>
      </c>
      <c r="D101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1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11" s="43" t="str">
        <f>IFERROR(VLOOKUP(B1011,Baza[[№]:[Profit]],3,0),"")</f>
        <v/>
      </c>
      <c r="G1011" s="43" t="str">
        <f>IFERROR(VLOOKUP(B1011,Baza[[№]:[Profit]],4,0),"")</f>
        <v/>
      </c>
      <c r="H1011" s="43" t="str">
        <f>IFERROR(VLOOKUP(B1011,Baza[[№]:[Profit]],5,0),"")</f>
        <v/>
      </c>
      <c r="I1011" s="46" t="str">
        <f>IFERROR(VLOOKUP(B1011,Baza[[№]:[Profit]],6,0),"")</f>
        <v/>
      </c>
      <c r="J1011" s="49" t="str">
        <f>IFERROR(VLOOKUP(B1011,Baza[[№]:[Profit]],7,0),"")</f>
        <v/>
      </c>
      <c r="K1011" s="43" t="str">
        <f>IFERROR(VLOOKUP(B1011,Baza[[№]:[Profit]],8,0),"")</f>
        <v/>
      </c>
      <c r="L1011" s="43" t="str">
        <f>IFERROR(VLOOKUP(B1011,Baza[[№]:[Profit]],9,0),"")</f>
        <v/>
      </c>
      <c r="M1011" s="43" t="str">
        <f>IFERROR(VLOOKUP(B1011,Baza[[№]:[Profit]],10,0),"")</f>
        <v/>
      </c>
      <c r="N1011" s="43" t="str">
        <f>IFERROR(IF(VLOOKUP(B1011,Baza[[№]:[Profit]],11,0)=0,"-",VLOOKUP(B1011,Baza[[№]:[Profit]],11,0)),"")</f>
        <v/>
      </c>
      <c r="O1011" s="43" t="str">
        <f>IFERROR(IF(VLOOKUP(B1011,Baza[[№]:[Profit]],12,0)=0,"-",VLOOKUP(B1011,Baza[[№]:[Profit]],12,0)),"")</f>
        <v/>
      </c>
      <c r="P1011" s="43" t="str">
        <f>IFERROR(IF(VLOOKUP(B1011,Baza[[№]:[Profit]],13,0)=0,"-",VLOOKUP(B1011,Baza[[№]:[Profit]],13,0)),"")</f>
        <v/>
      </c>
      <c r="Q1011" s="43" t="str">
        <f>IFERROR(IF(VLOOKUP(B1011,Baza[[№]:[Profit]],15,0)=0,"-",VLOOKUP(B1011,Baza[[№]:[Profit]],15,0)),"")</f>
        <v/>
      </c>
      <c r="R1011" s="43" t="str">
        <f>IFERROR(IF(VLOOKUP(B1011,Baza[[№]:[Profit]],16,0)=0,"-",VLOOKUP(B1011,Baza[[№]:[Profit]],16,0)),"")</f>
        <v/>
      </c>
      <c r="S1011" s="43" t="str">
        <f>IFERROR(IF(VLOOKUP(B1011,Baza[[№]:[Profit]],17,0)=0,"-",VLOOKUP(B1011,Baza[[№]:[Profit]],17,0)),"")</f>
        <v/>
      </c>
      <c r="T1011" s="43" t="str">
        <f>IFERROR(IF(VLOOKUP(B1011,Baza[[№]:[Profit]],18,0)=0,"-",VLOOKUP(B1011,Baza[[№]:[Profit]],18,0)),"")</f>
        <v/>
      </c>
      <c r="U1011" s="41" t="str">
        <f>IFERROR(IF(VLOOKUP(B1011,Baza[[№]:[Profit]],19,0)=0,"-",VLOOKUP(B1011,Baza[[№]:[Profit]],19,0)),"")</f>
        <v/>
      </c>
      <c r="V1011" s="41" t="str">
        <f>IFERROR(VLOOKUP(B1011,Baza[[№]:[Profit]],20,0),"")</f>
        <v/>
      </c>
      <c r="W1011" s="41" t="str">
        <f>IFERROR(IF(VLOOKUP(B1011,Baza[[№]:[Profit]],21,0)=0,"-",VLOOKUP(B1011,Baza[[№]:[Profit]],21,0)),"")</f>
        <v/>
      </c>
      <c r="X1011" s="45" t="str">
        <f>IFERROR(IF(VLOOKUP(B1011,Baza[[№]:[Profit]],22,0)=0,"-",VLOOKUP(B1011,Baza[[№]:[Profit]],22,0)),"")</f>
        <v/>
      </c>
      <c r="Y1011" s="45" t="str">
        <f>IFERROR(VLOOKUP(B1011,Baza[[№]:[Profit]],23,0),"")</f>
        <v/>
      </c>
      <c r="Z1011" s="44" t="str">
        <f>IFERROR(VLOOKUP(B1011,Baza[[№]:[AFS]],24,0),"")</f>
        <v/>
      </c>
      <c r="AA1011" s="45" t="str">
        <f>IF(Таблица2[[#This Row],[Profit]]="","#Н/Д",SUM($Y$40:Y1011))</f>
        <v>#Н/Д</v>
      </c>
      <c r="AB1011" s="45" t="b">
        <f>IF(Таблица2[[#This Row],[Grafik]]="#Н/Д",FALSE,TRUE)</f>
        <v>0</v>
      </c>
    </row>
    <row r="1012" spans="3:28" ht="11.1" hidden="1" customHeight="1" x14ac:dyDescent="0.25">
      <c r="C1012" s="41" t="str">
        <f>IFERROR(VLOOKUP(B1012,Baza[[№]:[Profit]],2,0),"")</f>
        <v/>
      </c>
      <c r="D101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1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12" s="43" t="str">
        <f>IFERROR(VLOOKUP(B1012,Baza[[№]:[Profit]],3,0),"")</f>
        <v/>
      </c>
      <c r="G1012" s="43" t="str">
        <f>IFERROR(VLOOKUP(B1012,Baza[[№]:[Profit]],4,0),"")</f>
        <v/>
      </c>
      <c r="H1012" s="43" t="str">
        <f>IFERROR(VLOOKUP(B1012,Baza[[№]:[Profit]],5,0),"")</f>
        <v/>
      </c>
      <c r="I1012" s="46" t="str">
        <f>IFERROR(VLOOKUP(B1012,Baza[[№]:[Profit]],6,0),"")</f>
        <v/>
      </c>
      <c r="J1012" s="49" t="str">
        <f>IFERROR(VLOOKUP(B1012,Baza[[№]:[Profit]],7,0),"")</f>
        <v/>
      </c>
      <c r="K1012" s="43" t="str">
        <f>IFERROR(VLOOKUP(B1012,Baza[[№]:[Profit]],8,0),"")</f>
        <v/>
      </c>
      <c r="L1012" s="43" t="str">
        <f>IFERROR(VLOOKUP(B1012,Baza[[№]:[Profit]],9,0),"")</f>
        <v/>
      </c>
      <c r="M1012" s="43" t="str">
        <f>IFERROR(VLOOKUP(B1012,Baza[[№]:[Profit]],10,0),"")</f>
        <v/>
      </c>
      <c r="N1012" s="43" t="str">
        <f>IFERROR(IF(VLOOKUP(B1012,Baza[[№]:[Profit]],11,0)=0,"-",VLOOKUP(B1012,Baza[[№]:[Profit]],11,0)),"")</f>
        <v/>
      </c>
      <c r="O1012" s="43" t="str">
        <f>IFERROR(IF(VLOOKUP(B1012,Baza[[№]:[Profit]],12,0)=0,"-",VLOOKUP(B1012,Baza[[№]:[Profit]],12,0)),"")</f>
        <v/>
      </c>
      <c r="P1012" s="43" t="str">
        <f>IFERROR(IF(VLOOKUP(B1012,Baza[[№]:[Profit]],13,0)=0,"-",VLOOKUP(B1012,Baza[[№]:[Profit]],13,0)),"")</f>
        <v/>
      </c>
      <c r="Q1012" s="43" t="str">
        <f>IFERROR(IF(VLOOKUP(B1012,Baza[[№]:[Profit]],15,0)=0,"-",VLOOKUP(B1012,Baza[[№]:[Profit]],15,0)),"")</f>
        <v/>
      </c>
      <c r="R1012" s="43" t="str">
        <f>IFERROR(IF(VLOOKUP(B1012,Baza[[№]:[Profit]],16,0)=0,"-",VLOOKUP(B1012,Baza[[№]:[Profit]],16,0)),"")</f>
        <v/>
      </c>
      <c r="S1012" s="43" t="str">
        <f>IFERROR(IF(VLOOKUP(B1012,Baza[[№]:[Profit]],17,0)=0,"-",VLOOKUP(B1012,Baza[[№]:[Profit]],17,0)),"")</f>
        <v/>
      </c>
      <c r="T1012" s="43" t="str">
        <f>IFERROR(IF(VLOOKUP(B1012,Baza[[№]:[Profit]],18,0)=0,"-",VLOOKUP(B1012,Baza[[№]:[Profit]],18,0)),"")</f>
        <v/>
      </c>
      <c r="U1012" s="41" t="str">
        <f>IFERROR(IF(VLOOKUP(B1012,Baza[[№]:[Profit]],19,0)=0,"-",VLOOKUP(B1012,Baza[[№]:[Profit]],19,0)),"")</f>
        <v/>
      </c>
      <c r="V1012" s="41" t="str">
        <f>IFERROR(VLOOKUP(B1012,Baza[[№]:[Profit]],20,0),"")</f>
        <v/>
      </c>
      <c r="W1012" s="41" t="str">
        <f>IFERROR(IF(VLOOKUP(B1012,Baza[[№]:[Profit]],21,0)=0,"-",VLOOKUP(B1012,Baza[[№]:[Profit]],21,0)),"")</f>
        <v/>
      </c>
      <c r="X1012" s="45" t="str">
        <f>IFERROR(IF(VLOOKUP(B1012,Baza[[№]:[Profit]],22,0)=0,"-",VLOOKUP(B1012,Baza[[№]:[Profit]],22,0)),"")</f>
        <v/>
      </c>
      <c r="Y1012" s="45" t="str">
        <f>IFERROR(VLOOKUP(B1012,Baza[[№]:[Profit]],23,0),"")</f>
        <v/>
      </c>
      <c r="Z1012" s="44" t="str">
        <f>IFERROR(VLOOKUP(B1012,Baza[[№]:[AFS]],24,0),"")</f>
        <v/>
      </c>
      <c r="AA1012" s="45" t="str">
        <f>IF(Таблица2[[#This Row],[Profit]]="","#Н/Д",SUM($Y$40:Y1012))</f>
        <v>#Н/Д</v>
      </c>
      <c r="AB1012" s="45" t="b">
        <f>IF(Таблица2[[#This Row],[Grafik]]="#Н/Д",FALSE,TRUE)</f>
        <v>0</v>
      </c>
    </row>
    <row r="1013" spans="3:28" ht="11.1" hidden="1" customHeight="1" x14ac:dyDescent="0.25">
      <c r="C1013" s="41" t="str">
        <f>IFERROR(VLOOKUP(B1013,Baza[[№]:[Profit]],2,0),"")</f>
        <v/>
      </c>
      <c r="D101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1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13" s="43" t="str">
        <f>IFERROR(VLOOKUP(B1013,Baza[[№]:[Profit]],3,0),"")</f>
        <v/>
      </c>
      <c r="G1013" s="43" t="str">
        <f>IFERROR(VLOOKUP(B1013,Baza[[№]:[Profit]],4,0),"")</f>
        <v/>
      </c>
      <c r="H1013" s="43" t="str">
        <f>IFERROR(VLOOKUP(B1013,Baza[[№]:[Profit]],5,0),"")</f>
        <v/>
      </c>
      <c r="I1013" s="46" t="str">
        <f>IFERROR(VLOOKUP(B1013,Baza[[№]:[Profit]],6,0),"")</f>
        <v/>
      </c>
      <c r="J1013" s="49" t="str">
        <f>IFERROR(VLOOKUP(B1013,Baza[[№]:[Profit]],7,0),"")</f>
        <v/>
      </c>
      <c r="K1013" s="43" t="str">
        <f>IFERROR(VLOOKUP(B1013,Baza[[№]:[Profit]],8,0),"")</f>
        <v/>
      </c>
      <c r="L1013" s="43" t="str">
        <f>IFERROR(VLOOKUP(B1013,Baza[[№]:[Profit]],9,0),"")</f>
        <v/>
      </c>
      <c r="M1013" s="43" t="str">
        <f>IFERROR(VLOOKUP(B1013,Baza[[№]:[Profit]],10,0),"")</f>
        <v/>
      </c>
      <c r="N1013" s="43" t="str">
        <f>IFERROR(IF(VLOOKUP(B1013,Baza[[№]:[Profit]],11,0)=0,"-",VLOOKUP(B1013,Baza[[№]:[Profit]],11,0)),"")</f>
        <v/>
      </c>
      <c r="O1013" s="43" t="str">
        <f>IFERROR(IF(VLOOKUP(B1013,Baza[[№]:[Profit]],12,0)=0,"-",VLOOKUP(B1013,Baza[[№]:[Profit]],12,0)),"")</f>
        <v/>
      </c>
      <c r="P1013" s="43" t="str">
        <f>IFERROR(IF(VLOOKUP(B1013,Baza[[№]:[Profit]],13,0)=0,"-",VLOOKUP(B1013,Baza[[№]:[Profit]],13,0)),"")</f>
        <v/>
      </c>
      <c r="Q1013" s="43" t="str">
        <f>IFERROR(IF(VLOOKUP(B1013,Baza[[№]:[Profit]],15,0)=0,"-",VLOOKUP(B1013,Baza[[№]:[Profit]],15,0)),"")</f>
        <v/>
      </c>
      <c r="R1013" s="43" t="str">
        <f>IFERROR(IF(VLOOKUP(B1013,Baza[[№]:[Profit]],16,0)=0,"-",VLOOKUP(B1013,Baza[[№]:[Profit]],16,0)),"")</f>
        <v/>
      </c>
      <c r="S1013" s="43" t="str">
        <f>IFERROR(IF(VLOOKUP(B1013,Baza[[№]:[Profit]],17,0)=0,"-",VLOOKUP(B1013,Baza[[№]:[Profit]],17,0)),"")</f>
        <v/>
      </c>
      <c r="T1013" s="43" t="str">
        <f>IFERROR(IF(VLOOKUP(B1013,Baza[[№]:[Profit]],18,0)=0,"-",VLOOKUP(B1013,Baza[[№]:[Profit]],18,0)),"")</f>
        <v/>
      </c>
      <c r="U1013" s="41" t="str">
        <f>IFERROR(IF(VLOOKUP(B1013,Baza[[№]:[Profit]],19,0)=0,"-",VLOOKUP(B1013,Baza[[№]:[Profit]],19,0)),"")</f>
        <v/>
      </c>
      <c r="V1013" s="41" t="str">
        <f>IFERROR(VLOOKUP(B1013,Baza[[№]:[Profit]],20,0),"")</f>
        <v/>
      </c>
      <c r="W1013" s="41" t="str">
        <f>IFERROR(IF(VLOOKUP(B1013,Baza[[№]:[Profit]],21,0)=0,"-",VLOOKUP(B1013,Baza[[№]:[Profit]],21,0)),"")</f>
        <v/>
      </c>
      <c r="X1013" s="45" t="str">
        <f>IFERROR(IF(VLOOKUP(B1013,Baza[[№]:[Profit]],22,0)=0,"-",VLOOKUP(B1013,Baza[[№]:[Profit]],22,0)),"")</f>
        <v/>
      </c>
      <c r="Y1013" s="45" t="str">
        <f>IFERROR(VLOOKUP(B1013,Baza[[№]:[Profit]],23,0),"")</f>
        <v/>
      </c>
      <c r="Z1013" s="44" t="str">
        <f>IFERROR(VLOOKUP(B1013,Baza[[№]:[AFS]],24,0),"")</f>
        <v/>
      </c>
      <c r="AA1013" s="45" t="str">
        <f>IF(Таблица2[[#This Row],[Profit]]="","#Н/Д",SUM($Y$40:Y1013))</f>
        <v>#Н/Д</v>
      </c>
      <c r="AB1013" s="45" t="b">
        <f>IF(Таблица2[[#This Row],[Grafik]]="#Н/Д",FALSE,TRUE)</f>
        <v>0</v>
      </c>
    </row>
    <row r="1014" spans="3:28" ht="11.1" hidden="1" customHeight="1" x14ac:dyDescent="0.25">
      <c r="C1014" s="41" t="str">
        <f>IFERROR(VLOOKUP(B1014,Baza[[№]:[Profit]],2,0),"")</f>
        <v/>
      </c>
      <c r="D101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1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14" s="43" t="str">
        <f>IFERROR(VLOOKUP(B1014,Baza[[№]:[Profit]],3,0),"")</f>
        <v/>
      </c>
      <c r="G1014" s="43" t="str">
        <f>IFERROR(VLOOKUP(B1014,Baza[[№]:[Profit]],4,0),"")</f>
        <v/>
      </c>
      <c r="H1014" s="43" t="str">
        <f>IFERROR(VLOOKUP(B1014,Baza[[№]:[Profit]],5,0),"")</f>
        <v/>
      </c>
      <c r="I1014" s="46" t="str">
        <f>IFERROR(VLOOKUP(B1014,Baza[[№]:[Profit]],6,0),"")</f>
        <v/>
      </c>
      <c r="J1014" s="49" t="str">
        <f>IFERROR(VLOOKUP(B1014,Baza[[№]:[Profit]],7,0),"")</f>
        <v/>
      </c>
      <c r="K1014" s="43" t="str">
        <f>IFERROR(VLOOKUP(B1014,Baza[[№]:[Profit]],8,0),"")</f>
        <v/>
      </c>
      <c r="L1014" s="43" t="str">
        <f>IFERROR(VLOOKUP(B1014,Baza[[№]:[Profit]],9,0),"")</f>
        <v/>
      </c>
      <c r="M1014" s="43" t="str">
        <f>IFERROR(VLOOKUP(B1014,Baza[[№]:[Profit]],10,0),"")</f>
        <v/>
      </c>
      <c r="N1014" s="43" t="str">
        <f>IFERROR(IF(VLOOKUP(B1014,Baza[[№]:[Profit]],11,0)=0,"-",VLOOKUP(B1014,Baza[[№]:[Profit]],11,0)),"")</f>
        <v/>
      </c>
      <c r="O1014" s="43" t="str">
        <f>IFERROR(IF(VLOOKUP(B1014,Baza[[№]:[Profit]],12,0)=0,"-",VLOOKUP(B1014,Baza[[№]:[Profit]],12,0)),"")</f>
        <v/>
      </c>
      <c r="P1014" s="43" t="str">
        <f>IFERROR(IF(VLOOKUP(B1014,Baza[[№]:[Profit]],13,0)=0,"-",VLOOKUP(B1014,Baza[[№]:[Profit]],13,0)),"")</f>
        <v/>
      </c>
      <c r="Q1014" s="43" t="str">
        <f>IFERROR(IF(VLOOKUP(B1014,Baza[[№]:[Profit]],15,0)=0,"-",VLOOKUP(B1014,Baza[[№]:[Profit]],15,0)),"")</f>
        <v/>
      </c>
      <c r="R1014" s="43" t="str">
        <f>IFERROR(IF(VLOOKUP(B1014,Baza[[№]:[Profit]],16,0)=0,"-",VLOOKUP(B1014,Baza[[№]:[Profit]],16,0)),"")</f>
        <v/>
      </c>
      <c r="S1014" s="43" t="str">
        <f>IFERROR(IF(VLOOKUP(B1014,Baza[[№]:[Profit]],17,0)=0,"-",VLOOKUP(B1014,Baza[[№]:[Profit]],17,0)),"")</f>
        <v/>
      </c>
      <c r="T1014" s="43" t="str">
        <f>IFERROR(IF(VLOOKUP(B1014,Baza[[№]:[Profit]],18,0)=0,"-",VLOOKUP(B1014,Baza[[№]:[Profit]],18,0)),"")</f>
        <v/>
      </c>
      <c r="U1014" s="41" t="str">
        <f>IFERROR(IF(VLOOKUP(B1014,Baza[[№]:[Profit]],19,0)=0,"-",VLOOKUP(B1014,Baza[[№]:[Profit]],19,0)),"")</f>
        <v/>
      </c>
      <c r="V1014" s="41" t="str">
        <f>IFERROR(VLOOKUP(B1014,Baza[[№]:[Profit]],20,0),"")</f>
        <v/>
      </c>
      <c r="W1014" s="41" t="str">
        <f>IFERROR(IF(VLOOKUP(B1014,Baza[[№]:[Profit]],21,0)=0,"-",VLOOKUP(B1014,Baza[[№]:[Profit]],21,0)),"")</f>
        <v/>
      </c>
      <c r="X1014" s="45" t="str">
        <f>IFERROR(IF(VLOOKUP(B1014,Baza[[№]:[Profit]],22,0)=0,"-",VLOOKUP(B1014,Baza[[№]:[Profit]],22,0)),"")</f>
        <v/>
      </c>
      <c r="Y1014" s="45" t="str">
        <f>IFERROR(VLOOKUP(B1014,Baza[[№]:[Profit]],23,0),"")</f>
        <v/>
      </c>
      <c r="Z1014" s="44" t="str">
        <f>IFERROR(VLOOKUP(B1014,Baza[[№]:[AFS]],24,0),"")</f>
        <v/>
      </c>
      <c r="AA1014" s="45" t="str">
        <f>IF(Таблица2[[#This Row],[Profit]]="","#Н/Д",SUM($Y$40:Y1014))</f>
        <v>#Н/Д</v>
      </c>
      <c r="AB1014" s="45" t="b">
        <f>IF(Таблица2[[#This Row],[Grafik]]="#Н/Д",FALSE,TRUE)</f>
        <v>0</v>
      </c>
    </row>
    <row r="1015" spans="3:28" ht="11.1" hidden="1" customHeight="1" x14ac:dyDescent="0.25">
      <c r="C1015" s="41" t="str">
        <f>IFERROR(VLOOKUP(B1015,Baza[[№]:[Profit]],2,0),"")</f>
        <v/>
      </c>
      <c r="D101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1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15" s="43" t="str">
        <f>IFERROR(VLOOKUP(B1015,Baza[[№]:[Profit]],3,0),"")</f>
        <v/>
      </c>
      <c r="G1015" s="43" t="str">
        <f>IFERROR(VLOOKUP(B1015,Baza[[№]:[Profit]],4,0),"")</f>
        <v/>
      </c>
      <c r="H1015" s="43" t="str">
        <f>IFERROR(VLOOKUP(B1015,Baza[[№]:[Profit]],5,0),"")</f>
        <v/>
      </c>
      <c r="I1015" s="46" t="str">
        <f>IFERROR(VLOOKUP(B1015,Baza[[№]:[Profit]],6,0),"")</f>
        <v/>
      </c>
      <c r="J1015" s="49" t="str">
        <f>IFERROR(VLOOKUP(B1015,Baza[[№]:[Profit]],7,0),"")</f>
        <v/>
      </c>
      <c r="K1015" s="43" t="str">
        <f>IFERROR(VLOOKUP(B1015,Baza[[№]:[Profit]],8,0),"")</f>
        <v/>
      </c>
      <c r="L1015" s="43" t="str">
        <f>IFERROR(VLOOKUP(B1015,Baza[[№]:[Profit]],9,0),"")</f>
        <v/>
      </c>
      <c r="M1015" s="43" t="str">
        <f>IFERROR(VLOOKUP(B1015,Baza[[№]:[Profit]],10,0),"")</f>
        <v/>
      </c>
      <c r="N1015" s="43" t="str">
        <f>IFERROR(IF(VLOOKUP(B1015,Baza[[№]:[Profit]],11,0)=0,"-",VLOOKUP(B1015,Baza[[№]:[Profit]],11,0)),"")</f>
        <v/>
      </c>
      <c r="O1015" s="43" t="str">
        <f>IFERROR(IF(VLOOKUP(B1015,Baza[[№]:[Profit]],12,0)=0,"-",VLOOKUP(B1015,Baza[[№]:[Profit]],12,0)),"")</f>
        <v/>
      </c>
      <c r="P1015" s="43" t="str">
        <f>IFERROR(IF(VLOOKUP(B1015,Baza[[№]:[Profit]],13,0)=0,"-",VLOOKUP(B1015,Baza[[№]:[Profit]],13,0)),"")</f>
        <v/>
      </c>
      <c r="Q1015" s="43" t="str">
        <f>IFERROR(IF(VLOOKUP(B1015,Baza[[№]:[Profit]],15,0)=0,"-",VLOOKUP(B1015,Baza[[№]:[Profit]],15,0)),"")</f>
        <v/>
      </c>
      <c r="R1015" s="43" t="str">
        <f>IFERROR(IF(VLOOKUP(B1015,Baza[[№]:[Profit]],16,0)=0,"-",VLOOKUP(B1015,Baza[[№]:[Profit]],16,0)),"")</f>
        <v/>
      </c>
      <c r="S1015" s="43" t="str">
        <f>IFERROR(IF(VLOOKUP(B1015,Baza[[№]:[Profit]],17,0)=0,"-",VLOOKUP(B1015,Baza[[№]:[Profit]],17,0)),"")</f>
        <v/>
      </c>
      <c r="T1015" s="43" t="str">
        <f>IFERROR(IF(VLOOKUP(B1015,Baza[[№]:[Profit]],18,0)=0,"-",VLOOKUP(B1015,Baza[[№]:[Profit]],18,0)),"")</f>
        <v/>
      </c>
      <c r="U1015" s="41" t="str">
        <f>IFERROR(IF(VLOOKUP(B1015,Baza[[№]:[Profit]],19,0)=0,"-",VLOOKUP(B1015,Baza[[№]:[Profit]],19,0)),"")</f>
        <v/>
      </c>
      <c r="V1015" s="41" t="str">
        <f>IFERROR(VLOOKUP(B1015,Baza[[№]:[Profit]],20,0),"")</f>
        <v/>
      </c>
      <c r="W1015" s="41" t="str">
        <f>IFERROR(IF(VLOOKUP(B1015,Baza[[№]:[Profit]],21,0)=0,"-",VLOOKUP(B1015,Baza[[№]:[Profit]],21,0)),"")</f>
        <v/>
      </c>
      <c r="X1015" s="45" t="str">
        <f>IFERROR(IF(VLOOKUP(B1015,Baza[[№]:[Profit]],22,0)=0,"-",VLOOKUP(B1015,Baza[[№]:[Profit]],22,0)),"")</f>
        <v/>
      </c>
      <c r="Y1015" s="45" t="str">
        <f>IFERROR(VLOOKUP(B1015,Baza[[№]:[Profit]],23,0),"")</f>
        <v/>
      </c>
      <c r="Z1015" s="44" t="str">
        <f>IFERROR(VLOOKUP(B1015,Baza[[№]:[AFS]],24,0),"")</f>
        <v/>
      </c>
      <c r="AA1015" s="45" t="str">
        <f>IF(Таблица2[[#This Row],[Profit]]="","#Н/Д",SUM($Y$40:Y1015))</f>
        <v>#Н/Д</v>
      </c>
      <c r="AB1015" s="45" t="b">
        <f>IF(Таблица2[[#This Row],[Grafik]]="#Н/Д",FALSE,TRUE)</f>
        <v>0</v>
      </c>
    </row>
    <row r="1016" spans="3:28" ht="11.1" hidden="1" customHeight="1" x14ac:dyDescent="0.25">
      <c r="C1016" s="41" t="str">
        <f>IFERROR(VLOOKUP(B1016,Baza[[№]:[Profit]],2,0),"")</f>
        <v/>
      </c>
      <c r="D101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1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16" s="43" t="str">
        <f>IFERROR(VLOOKUP(B1016,Baza[[№]:[Profit]],3,0),"")</f>
        <v/>
      </c>
      <c r="G1016" s="43" t="str">
        <f>IFERROR(VLOOKUP(B1016,Baza[[№]:[Profit]],4,0),"")</f>
        <v/>
      </c>
      <c r="H1016" s="43" t="str">
        <f>IFERROR(VLOOKUP(B1016,Baza[[№]:[Profit]],5,0),"")</f>
        <v/>
      </c>
      <c r="I1016" s="46" t="str">
        <f>IFERROR(VLOOKUP(B1016,Baza[[№]:[Profit]],6,0),"")</f>
        <v/>
      </c>
      <c r="J1016" s="49" t="str">
        <f>IFERROR(VLOOKUP(B1016,Baza[[№]:[Profit]],7,0),"")</f>
        <v/>
      </c>
      <c r="K1016" s="43" t="str">
        <f>IFERROR(VLOOKUP(B1016,Baza[[№]:[Profit]],8,0),"")</f>
        <v/>
      </c>
      <c r="L1016" s="43" t="str">
        <f>IFERROR(VLOOKUP(B1016,Baza[[№]:[Profit]],9,0),"")</f>
        <v/>
      </c>
      <c r="M1016" s="43" t="str">
        <f>IFERROR(VLOOKUP(B1016,Baza[[№]:[Profit]],10,0),"")</f>
        <v/>
      </c>
      <c r="N1016" s="43" t="str">
        <f>IFERROR(IF(VLOOKUP(B1016,Baza[[№]:[Profit]],11,0)=0,"-",VLOOKUP(B1016,Baza[[№]:[Profit]],11,0)),"")</f>
        <v/>
      </c>
      <c r="O1016" s="43" t="str">
        <f>IFERROR(IF(VLOOKUP(B1016,Baza[[№]:[Profit]],12,0)=0,"-",VLOOKUP(B1016,Baza[[№]:[Profit]],12,0)),"")</f>
        <v/>
      </c>
      <c r="P1016" s="43" t="str">
        <f>IFERROR(IF(VLOOKUP(B1016,Baza[[№]:[Profit]],13,0)=0,"-",VLOOKUP(B1016,Baza[[№]:[Profit]],13,0)),"")</f>
        <v/>
      </c>
      <c r="Q1016" s="43" t="str">
        <f>IFERROR(IF(VLOOKUP(B1016,Baza[[№]:[Profit]],15,0)=0,"-",VLOOKUP(B1016,Baza[[№]:[Profit]],15,0)),"")</f>
        <v/>
      </c>
      <c r="R1016" s="43" t="str">
        <f>IFERROR(IF(VLOOKUP(B1016,Baza[[№]:[Profit]],16,0)=0,"-",VLOOKUP(B1016,Baza[[№]:[Profit]],16,0)),"")</f>
        <v/>
      </c>
      <c r="S1016" s="43" t="str">
        <f>IFERROR(IF(VLOOKUP(B1016,Baza[[№]:[Profit]],17,0)=0,"-",VLOOKUP(B1016,Baza[[№]:[Profit]],17,0)),"")</f>
        <v/>
      </c>
      <c r="T1016" s="43" t="str">
        <f>IFERROR(IF(VLOOKUP(B1016,Baza[[№]:[Profit]],18,0)=0,"-",VLOOKUP(B1016,Baza[[№]:[Profit]],18,0)),"")</f>
        <v/>
      </c>
      <c r="U1016" s="41" t="str">
        <f>IFERROR(IF(VLOOKUP(B1016,Baza[[№]:[Profit]],19,0)=0,"-",VLOOKUP(B1016,Baza[[№]:[Profit]],19,0)),"")</f>
        <v/>
      </c>
      <c r="V1016" s="41" t="str">
        <f>IFERROR(VLOOKUP(B1016,Baza[[№]:[Profit]],20,0),"")</f>
        <v/>
      </c>
      <c r="W1016" s="41" t="str">
        <f>IFERROR(IF(VLOOKUP(B1016,Baza[[№]:[Profit]],21,0)=0,"-",VLOOKUP(B1016,Baza[[№]:[Profit]],21,0)),"")</f>
        <v/>
      </c>
      <c r="X1016" s="45" t="str">
        <f>IFERROR(IF(VLOOKUP(B1016,Baza[[№]:[Profit]],22,0)=0,"-",VLOOKUP(B1016,Baza[[№]:[Profit]],22,0)),"")</f>
        <v/>
      </c>
      <c r="Y1016" s="45" t="str">
        <f>IFERROR(VLOOKUP(B1016,Baza[[№]:[Profit]],23,0),"")</f>
        <v/>
      </c>
      <c r="Z1016" s="44" t="str">
        <f>IFERROR(VLOOKUP(B1016,Baza[[№]:[AFS]],24,0),"")</f>
        <v/>
      </c>
      <c r="AA1016" s="45" t="str">
        <f>IF(Таблица2[[#This Row],[Profit]]="","#Н/Д",SUM($Y$40:Y1016))</f>
        <v>#Н/Д</v>
      </c>
      <c r="AB1016" s="45" t="b">
        <f>IF(Таблица2[[#This Row],[Grafik]]="#Н/Д",FALSE,TRUE)</f>
        <v>0</v>
      </c>
    </row>
    <row r="1017" spans="3:28" ht="11.1" hidden="1" customHeight="1" x14ac:dyDescent="0.25">
      <c r="C1017" s="41" t="str">
        <f>IFERROR(VLOOKUP(B1017,Baza[[№]:[Profit]],2,0),"")</f>
        <v/>
      </c>
      <c r="D101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1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17" s="43" t="str">
        <f>IFERROR(VLOOKUP(B1017,Baza[[№]:[Profit]],3,0),"")</f>
        <v/>
      </c>
      <c r="G1017" s="43" t="str">
        <f>IFERROR(VLOOKUP(B1017,Baza[[№]:[Profit]],4,0),"")</f>
        <v/>
      </c>
      <c r="H1017" s="43" t="str">
        <f>IFERROR(VLOOKUP(B1017,Baza[[№]:[Profit]],5,0),"")</f>
        <v/>
      </c>
      <c r="I1017" s="46" t="str">
        <f>IFERROR(VLOOKUP(B1017,Baza[[№]:[Profit]],6,0),"")</f>
        <v/>
      </c>
      <c r="J1017" s="49" t="str">
        <f>IFERROR(VLOOKUP(B1017,Baza[[№]:[Profit]],7,0),"")</f>
        <v/>
      </c>
      <c r="K1017" s="43" t="str">
        <f>IFERROR(VLOOKUP(B1017,Baza[[№]:[Profit]],8,0),"")</f>
        <v/>
      </c>
      <c r="L1017" s="43" t="str">
        <f>IFERROR(VLOOKUP(B1017,Baza[[№]:[Profit]],9,0),"")</f>
        <v/>
      </c>
      <c r="M1017" s="43" t="str">
        <f>IFERROR(VLOOKUP(B1017,Baza[[№]:[Profit]],10,0),"")</f>
        <v/>
      </c>
      <c r="N1017" s="43" t="str">
        <f>IFERROR(IF(VLOOKUP(B1017,Baza[[№]:[Profit]],11,0)=0,"-",VLOOKUP(B1017,Baza[[№]:[Profit]],11,0)),"")</f>
        <v/>
      </c>
      <c r="O1017" s="43" t="str">
        <f>IFERROR(IF(VLOOKUP(B1017,Baza[[№]:[Profit]],12,0)=0,"-",VLOOKUP(B1017,Baza[[№]:[Profit]],12,0)),"")</f>
        <v/>
      </c>
      <c r="P1017" s="43" t="str">
        <f>IFERROR(IF(VLOOKUP(B1017,Baza[[№]:[Profit]],13,0)=0,"-",VLOOKUP(B1017,Baza[[№]:[Profit]],13,0)),"")</f>
        <v/>
      </c>
      <c r="Q1017" s="43" t="str">
        <f>IFERROR(IF(VLOOKUP(B1017,Baza[[№]:[Profit]],15,0)=0,"-",VLOOKUP(B1017,Baza[[№]:[Profit]],15,0)),"")</f>
        <v/>
      </c>
      <c r="R1017" s="43" t="str">
        <f>IFERROR(IF(VLOOKUP(B1017,Baza[[№]:[Profit]],16,0)=0,"-",VLOOKUP(B1017,Baza[[№]:[Profit]],16,0)),"")</f>
        <v/>
      </c>
      <c r="S1017" s="43" t="str">
        <f>IFERROR(IF(VLOOKUP(B1017,Baza[[№]:[Profit]],17,0)=0,"-",VLOOKUP(B1017,Baza[[№]:[Profit]],17,0)),"")</f>
        <v/>
      </c>
      <c r="T1017" s="43" t="str">
        <f>IFERROR(IF(VLOOKUP(B1017,Baza[[№]:[Profit]],18,0)=0,"-",VLOOKUP(B1017,Baza[[№]:[Profit]],18,0)),"")</f>
        <v/>
      </c>
      <c r="U1017" s="41" t="str">
        <f>IFERROR(IF(VLOOKUP(B1017,Baza[[№]:[Profit]],19,0)=0,"-",VLOOKUP(B1017,Baza[[№]:[Profit]],19,0)),"")</f>
        <v/>
      </c>
      <c r="V1017" s="41" t="str">
        <f>IFERROR(VLOOKUP(B1017,Baza[[№]:[Profit]],20,0),"")</f>
        <v/>
      </c>
      <c r="W1017" s="41" t="str">
        <f>IFERROR(IF(VLOOKUP(B1017,Baza[[№]:[Profit]],21,0)=0,"-",VLOOKUP(B1017,Baza[[№]:[Profit]],21,0)),"")</f>
        <v/>
      </c>
      <c r="X1017" s="45" t="str">
        <f>IFERROR(IF(VLOOKUP(B1017,Baza[[№]:[Profit]],22,0)=0,"-",VLOOKUP(B1017,Baza[[№]:[Profit]],22,0)),"")</f>
        <v/>
      </c>
      <c r="Y1017" s="45" t="str">
        <f>IFERROR(VLOOKUP(B1017,Baza[[№]:[Profit]],23,0),"")</f>
        <v/>
      </c>
      <c r="Z1017" s="44" t="str">
        <f>IFERROR(VLOOKUP(B1017,Baza[[№]:[AFS]],24,0),"")</f>
        <v/>
      </c>
      <c r="AA1017" s="45" t="str">
        <f>IF(Таблица2[[#This Row],[Profit]]="","#Н/Д",SUM($Y$40:Y1017))</f>
        <v>#Н/Д</v>
      </c>
      <c r="AB1017" s="45" t="b">
        <f>IF(Таблица2[[#This Row],[Grafik]]="#Н/Д",FALSE,TRUE)</f>
        <v>0</v>
      </c>
    </row>
    <row r="1018" spans="3:28" ht="11.1" hidden="1" customHeight="1" x14ac:dyDescent="0.25">
      <c r="C1018" s="41" t="str">
        <f>IFERROR(VLOOKUP(B1018,Baza[[№]:[Profit]],2,0),"")</f>
        <v/>
      </c>
      <c r="D101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1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18" s="43" t="str">
        <f>IFERROR(VLOOKUP(B1018,Baza[[№]:[Profit]],3,0),"")</f>
        <v/>
      </c>
      <c r="G1018" s="43" t="str">
        <f>IFERROR(VLOOKUP(B1018,Baza[[№]:[Profit]],4,0),"")</f>
        <v/>
      </c>
      <c r="H1018" s="43" t="str">
        <f>IFERROR(VLOOKUP(B1018,Baza[[№]:[Profit]],5,0),"")</f>
        <v/>
      </c>
      <c r="I1018" s="46" t="str">
        <f>IFERROR(VLOOKUP(B1018,Baza[[№]:[Profit]],6,0),"")</f>
        <v/>
      </c>
      <c r="J1018" s="49" t="str">
        <f>IFERROR(VLOOKUP(B1018,Baza[[№]:[Profit]],7,0),"")</f>
        <v/>
      </c>
      <c r="K1018" s="43" t="str">
        <f>IFERROR(VLOOKUP(B1018,Baza[[№]:[Profit]],8,0),"")</f>
        <v/>
      </c>
      <c r="L1018" s="43" t="str">
        <f>IFERROR(VLOOKUP(B1018,Baza[[№]:[Profit]],9,0),"")</f>
        <v/>
      </c>
      <c r="M1018" s="43" t="str">
        <f>IFERROR(VLOOKUP(B1018,Baza[[№]:[Profit]],10,0),"")</f>
        <v/>
      </c>
      <c r="N1018" s="43" t="str">
        <f>IFERROR(IF(VLOOKUP(B1018,Baza[[№]:[Profit]],11,0)=0,"-",VLOOKUP(B1018,Baza[[№]:[Profit]],11,0)),"")</f>
        <v/>
      </c>
      <c r="O1018" s="43" t="str">
        <f>IFERROR(IF(VLOOKUP(B1018,Baza[[№]:[Profit]],12,0)=0,"-",VLOOKUP(B1018,Baza[[№]:[Profit]],12,0)),"")</f>
        <v/>
      </c>
      <c r="P1018" s="43" t="str">
        <f>IFERROR(IF(VLOOKUP(B1018,Baza[[№]:[Profit]],13,0)=0,"-",VLOOKUP(B1018,Baza[[№]:[Profit]],13,0)),"")</f>
        <v/>
      </c>
      <c r="Q1018" s="43" t="str">
        <f>IFERROR(IF(VLOOKUP(B1018,Baza[[№]:[Profit]],15,0)=0,"-",VLOOKUP(B1018,Baza[[№]:[Profit]],15,0)),"")</f>
        <v/>
      </c>
      <c r="R1018" s="43" t="str">
        <f>IFERROR(IF(VLOOKUP(B1018,Baza[[№]:[Profit]],16,0)=0,"-",VLOOKUP(B1018,Baza[[№]:[Profit]],16,0)),"")</f>
        <v/>
      </c>
      <c r="S1018" s="43" t="str">
        <f>IFERROR(IF(VLOOKUP(B1018,Baza[[№]:[Profit]],17,0)=0,"-",VLOOKUP(B1018,Baza[[№]:[Profit]],17,0)),"")</f>
        <v/>
      </c>
      <c r="T1018" s="43" t="str">
        <f>IFERROR(IF(VLOOKUP(B1018,Baza[[№]:[Profit]],18,0)=0,"-",VLOOKUP(B1018,Baza[[№]:[Profit]],18,0)),"")</f>
        <v/>
      </c>
      <c r="U1018" s="41" t="str">
        <f>IFERROR(IF(VLOOKUP(B1018,Baza[[№]:[Profit]],19,0)=0,"-",VLOOKUP(B1018,Baza[[№]:[Profit]],19,0)),"")</f>
        <v/>
      </c>
      <c r="V1018" s="41" t="str">
        <f>IFERROR(VLOOKUP(B1018,Baza[[№]:[Profit]],20,0),"")</f>
        <v/>
      </c>
      <c r="W1018" s="41" t="str">
        <f>IFERROR(IF(VLOOKUP(B1018,Baza[[№]:[Profit]],21,0)=0,"-",VLOOKUP(B1018,Baza[[№]:[Profit]],21,0)),"")</f>
        <v/>
      </c>
      <c r="X1018" s="45" t="str">
        <f>IFERROR(IF(VLOOKUP(B1018,Baza[[№]:[Profit]],22,0)=0,"-",VLOOKUP(B1018,Baza[[№]:[Profit]],22,0)),"")</f>
        <v/>
      </c>
      <c r="Y1018" s="45" t="str">
        <f>IFERROR(VLOOKUP(B1018,Baza[[№]:[Profit]],23,0),"")</f>
        <v/>
      </c>
      <c r="Z1018" s="44" t="str">
        <f>IFERROR(VLOOKUP(B1018,Baza[[№]:[AFS]],24,0),"")</f>
        <v/>
      </c>
      <c r="AA1018" s="45" t="str">
        <f>IF(Таблица2[[#This Row],[Profit]]="","#Н/Д",SUM($Y$40:Y1018))</f>
        <v>#Н/Д</v>
      </c>
      <c r="AB1018" s="45" t="b">
        <f>IF(Таблица2[[#This Row],[Grafik]]="#Н/Д",FALSE,TRUE)</f>
        <v>0</v>
      </c>
    </row>
    <row r="1019" spans="3:28" ht="11.1" hidden="1" customHeight="1" x14ac:dyDescent="0.25">
      <c r="C1019" s="41" t="str">
        <f>IFERROR(VLOOKUP(B1019,Baza[[№]:[Profit]],2,0),"")</f>
        <v/>
      </c>
      <c r="D101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1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19" s="43" t="str">
        <f>IFERROR(VLOOKUP(B1019,Baza[[№]:[Profit]],3,0),"")</f>
        <v/>
      </c>
      <c r="G1019" s="43" t="str">
        <f>IFERROR(VLOOKUP(B1019,Baza[[№]:[Profit]],4,0),"")</f>
        <v/>
      </c>
      <c r="H1019" s="43" t="str">
        <f>IFERROR(VLOOKUP(B1019,Baza[[№]:[Profit]],5,0),"")</f>
        <v/>
      </c>
      <c r="I1019" s="46" t="str">
        <f>IFERROR(VLOOKUP(B1019,Baza[[№]:[Profit]],6,0),"")</f>
        <v/>
      </c>
      <c r="J1019" s="49" t="str">
        <f>IFERROR(VLOOKUP(B1019,Baza[[№]:[Profit]],7,0),"")</f>
        <v/>
      </c>
      <c r="K1019" s="43" t="str">
        <f>IFERROR(VLOOKUP(B1019,Baza[[№]:[Profit]],8,0),"")</f>
        <v/>
      </c>
      <c r="L1019" s="43" t="str">
        <f>IFERROR(VLOOKUP(B1019,Baza[[№]:[Profit]],9,0),"")</f>
        <v/>
      </c>
      <c r="M1019" s="43" t="str">
        <f>IFERROR(VLOOKUP(B1019,Baza[[№]:[Profit]],10,0),"")</f>
        <v/>
      </c>
      <c r="N1019" s="43" t="str">
        <f>IFERROR(IF(VLOOKUP(B1019,Baza[[№]:[Profit]],11,0)=0,"-",VLOOKUP(B1019,Baza[[№]:[Profit]],11,0)),"")</f>
        <v/>
      </c>
      <c r="O1019" s="43" t="str">
        <f>IFERROR(IF(VLOOKUP(B1019,Baza[[№]:[Profit]],12,0)=0,"-",VLOOKUP(B1019,Baza[[№]:[Profit]],12,0)),"")</f>
        <v/>
      </c>
      <c r="P1019" s="43" t="str">
        <f>IFERROR(IF(VLOOKUP(B1019,Baza[[№]:[Profit]],13,0)=0,"-",VLOOKUP(B1019,Baza[[№]:[Profit]],13,0)),"")</f>
        <v/>
      </c>
      <c r="Q1019" s="43" t="str">
        <f>IFERROR(IF(VLOOKUP(B1019,Baza[[№]:[Profit]],15,0)=0,"-",VLOOKUP(B1019,Baza[[№]:[Profit]],15,0)),"")</f>
        <v/>
      </c>
      <c r="R1019" s="43" t="str">
        <f>IFERROR(IF(VLOOKUP(B1019,Baza[[№]:[Profit]],16,0)=0,"-",VLOOKUP(B1019,Baza[[№]:[Profit]],16,0)),"")</f>
        <v/>
      </c>
      <c r="S1019" s="43" t="str">
        <f>IFERROR(IF(VLOOKUP(B1019,Baza[[№]:[Profit]],17,0)=0,"-",VLOOKUP(B1019,Baza[[№]:[Profit]],17,0)),"")</f>
        <v/>
      </c>
      <c r="T1019" s="43" t="str">
        <f>IFERROR(IF(VLOOKUP(B1019,Baza[[№]:[Profit]],18,0)=0,"-",VLOOKUP(B1019,Baza[[№]:[Profit]],18,0)),"")</f>
        <v/>
      </c>
      <c r="U1019" s="41" t="str">
        <f>IFERROR(IF(VLOOKUP(B1019,Baza[[№]:[Profit]],19,0)=0,"-",VLOOKUP(B1019,Baza[[№]:[Profit]],19,0)),"")</f>
        <v/>
      </c>
      <c r="V1019" s="41" t="str">
        <f>IFERROR(VLOOKUP(B1019,Baza[[№]:[Profit]],20,0),"")</f>
        <v/>
      </c>
      <c r="W1019" s="41" t="str">
        <f>IFERROR(IF(VLOOKUP(B1019,Baza[[№]:[Profit]],21,0)=0,"-",VLOOKUP(B1019,Baza[[№]:[Profit]],21,0)),"")</f>
        <v/>
      </c>
      <c r="X1019" s="45" t="str">
        <f>IFERROR(IF(VLOOKUP(B1019,Baza[[№]:[Profit]],22,0)=0,"-",VLOOKUP(B1019,Baza[[№]:[Profit]],22,0)),"")</f>
        <v/>
      </c>
      <c r="Y1019" s="45" t="str">
        <f>IFERROR(VLOOKUP(B1019,Baza[[№]:[Profit]],23,0),"")</f>
        <v/>
      </c>
      <c r="Z1019" s="44" t="str">
        <f>IFERROR(VLOOKUP(B1019,Baza[[№]:[AFS]],24,0),"")</f>
        <v/>
      </c>
      <c r="AA1019" s="45" t="str">
        <f>IF(Таблица2[[#This Row],[Profit]]="","#Н/Д",SUM($Y$40:Y1019))</f>
        <v>#Н/Д</v>
      </c>
      <c r="AB1019" s="45" t="b">
        <f>IF(Таблица2[[#This Row],[Grafik]]="#Н/Д",FALSE,TRUE)</f>
        <v>0</v>
      </c>
    </row>
    <row r="1020" spans="3:28" ht="11.1" hidden="1" customHeight="1" x14ac:dyDescent="0.25">
      <c r="C1020" s="41" t="str">
        <f>IFERROR(VLOOKUP(B1020,Baza[[№]:[Profit]],2,0),"")</f>
        <v/>
      </c>
      <c r="D102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2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20" s="43" t="str">
        <f>IFERROR(VLOOKUP(B1020,Baza[[№]:[Profit]],3,0),"")</f>
        <v/>
      </c>
      <c r="G1020" s="43" t="str">
        <f>IFERROR(VLOOKUP(B1020,Baza[[№]:[Profit]],4,0),"")</f>
        <v/>
      </c>
      <c r="H1020" s="43" t="str">
        <f>IFERROR(VLOOKUP(B1020,Baza[[№]:[Profit]],5,0),"")</f>
        <v/>
      </c>
      <c r="I1020" s="46" t="str">
        <f>IFERROR(VLOOKUP(B1020,Baza[[№]:[Profit]],6,0),"")</f>
        <v/>
      </c>
      <c r="J1020" s="49" t="str">
        <f>IFERROR(VLOOKUP(B1020,Baza[[№]:[Profit]],7,0),"")</f>
        <v/>
      </c>
      <c r="K1020" s="43" t="str">
        <f>IFERROR(VLOOKUP(B1020,Baza[[№]:[Profit]],8,0),"")</f>
        <v/>
      </c>
      <c r="L1020" s="43" t="str">
        <f>IFERROR(VLOOKUP(B1020,Baza[[№]:[Profit]],9,0),"")</f>
        <v/>
      </c>
      <c r="M1020" s="43" t="str">
        <f>IFERROR(VLOOKUP(B1020,Baza[[№]:[Profit]],10,0),"")</f>
        <v/>
      </c>
      <c r="N1020" s="43" t="str">
        <f>IFERROR(IF(VLOOKUP(B1020,Baza[[№]:[Profit]],11,0)=0,"-",VLOOKUP(B1020,Baza[[№]:[Profit]],11,0)),"")</f>
        <v/>
      </c>
      <c r="O1020" s="43" t="str">
        <f>IFERROR(IF(VLOOKUP(B1020,Baza[[№]:[Profit]],12,0)=0,"-",VLOOKUP(B1020,Baza[[№]:[Profit]],12,0)),"")</f>
        <v/>
      </c>
      <c r="P1020" s="43" t="str">
        <f>IFERROR(IF(VLOOKUP(B1020,Baza[[№]:[Profit]],13,0)=0,"-",VLOOKUP(B1020,Baza[[№]:[Profit]],13,0)),"")</f>
        <v/>
      </c>
      <c r="Q1020" s="43" t="str">
        <f>IFERROR(IF(VLOOKUP(B1020,Baza[[№]:[Profit]],15,0)=0,"-",VLOOKUP(B1020,Baza[[№]:[Profit]],15,0)),"")</f>
        <v/>
      </c>
      <c r="R1020" s="43" t="str">
        <f>IFERROR(IF(VLOOKUP(B1020,Baza[[№]:[Profit]],16,0)=0,"-",VLOOKUP(B1020,Baza[[№]:[Profit]],16,0)),"")</f>
        <v/>
      </c>
      <c r="S1020" s="43" t="str">
        <f>IFERROR(IF(VLOOKUP(B1020,Baza[[№]:[Profit]],17,0)=0,"-",VLOOKUP(B1020,Baza[[№]:[Profit]],17,0)),"")</f>
        <v/>
      </c>
      <c r="T1020" s="43" t="str">
        <f>IFERROR(IF(VLOOKUP(B1020,Baza[[№]:[Profit]],18,0)=0,"-",VLOOKUP(B1020,Baza[[№]:[Profit]],18,0)),"")</f>
        <v/>
      </c>
      <c r="U1020" s="41" t="str">
        <f>IFERROR(IF(VLOOKUP(B1020,Baza[[№]:[Profit]],19,0)=0,"-",VLOOKUP(B1020,Baza[[№]:[Profit]],19,0)),"")</f>
        <v/>
      </c>
      <c r="V1020" s="41" t="str">
        <f>IFERROR(VLOOKUP(B1020,Baza[[№]:[Profit]],20,0),"")</f>
        <v/>
      </c>
      <c r="W1020" s="41" t="str">
        <f>IFERROR(IF(VLOOKUP(B1020,Baza[[№]:[Profit]],21,0)=0,"-",VLOOKUP(B1020,Baza[[№]:[Profit]],21,0)),"")</f>
        <v/>
      </c>
      <c r="X1020" s="45" t="str">
        <f>IFERROR(IF(VLOOKUP(B1020,Baza[[№]:[Profit]],22,0)=0,"-",VLOOKUP(B1020,Baza[[№]:[Profit]],22,0)),"")</f>
        <v/>
      </c>
      <c r="Y1020" s="45" t="str">
        <f>IFERROR(VLOOKUP(B1020,Baza[[№]:[Profit]],23,0),"")</f>
        <v/>
      </c>
      <c r="Z1020" s="44" t="str">
        <f>IFERROR(VLOOKUP(B1020,Baza[[№]:[AFS]],24,0),"")</f>
        <v/>
      </c>
      <c r="AA1020" s="45" t="str">
        <f>IF(Таблица2[[#This Row],[Profit]]="","#Н/Д",SUM($Y$40:Y1020))</f>
        <v>#Н/Д</v>
      </c>
      <c r="AB1020" s="45" t="b">
        <f>IF(Таблица2[[#This Row],[Grafik]]="#Н/Д",FALSE,TRUE)</f>
        <v>0</v>
      </c>
    </row>
    <row r="1021" spans="3:28" ht="11.1" hidden="1" customHeight="1" x14ac:dyDescent="0.25">
      <c r="C1021" s="41" t="str">
        <f>IFERROR(VLOOKUP(B1021,Baza[[№]:[Profit]],2,0),"")</f>
        <v/>
      </c>
      <c r="D102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2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21" s="43" t="str">
        <f>IFERROR(VLOOKUP(B1021,Baza[[№]:[Profit]],3,0),"")</f>
        <v/>
      </c>
      <c r="G1021" s="43" t="str">
        <f>IFERROR(VLOOKUP(B1021,Baza[[№]:[Profit]],4,0),"")</f>
        <v/>
      </c>
      <c r="H1021" s="43" t="str">
        <f>IFERROR(VLOOKUP(B1021,Baza[[№]:[Profit]],5,0),"")</f>
        <v/>
      </c>
      <c r="I1021" s="46" t="str">
        <f>IFERROR(VLOOKUP(B1021,Baza[[№]:[Profit]],6,0),"")</f>
        <v/>
      </c>
      <c r="J1021" s="49" t="str">
        <f>IFERROR(VLOOKUP(B1021,Baza[[№]:[Profit]],7,0),"")</f>
        <v/>
      </c>
      <c r="K1021" s="43" t="str">
        <f>IFERROR(VLOOKUP(B1021,Baza[[№]:[Profit]],8,0),"")</f>
        <v/>
      </c>
      <c r="L1021" s="43" t="str">
        <f>IFERROR(VLOOKUP(B1021,Baza[[№]:[Profit]],9,0),"")</f>
        <v/>
      </c>
      <c r="M1021" s="43" t="str">
        <f>IFERROR(VLOOKUP(B1021,Baza[[№]:[Profit]],10,0),"")</f>
        <v/>
      </c>
      <c r="N1021" s="43" t="str">
        <f>IFERROR(IF(VLOOKUP(B1021,Baza[[№]:[Profit]],11,0)=0,"-",VLOOKUP(B1021,Baza[[№]:[Profit]],11,0)),"")</f>
        <v/>
      </c>
      <c r="O1021" s="43" t="str">
        <f>IFERROR(IF(VLOOKUP(B1021,Baza[[№]:[Profit]],12,0)=0,"-",VLOOKUP(B1021,Baza[[№]:[Profit]],12,0)),"")</f>
        <v/>
      </c>
      <c r="P1021" s="43" t="str">
        <f>IFERROR(IF(VLOOKUP(B1021,Baza[[№]:[Profit]],13,0)=0,"-",VLOOKUP(B1021,Baza[[№]:[Profit]],13,0)),"")</f>
        <v/>
      </c>
      <c r="Q1021" s="43" t="str">
        <f>IFERROR(IF(VLOOKUP(B1021,Baza[[№]:[Profit]],15,0)=0,"-",VLOOKUP(B1021,Baza[[№]:[Profit]],15,0)),"")</f>
        <v/>
      </c>
      <c r="R1021" s="43" t="str">
        <f>IFERROR(IF(VLOOKUP(B1021,Baza[[№]:[Profit]],16,0)=0,"-",VLOOKUP(B1021,Baza[[№]:[Profit]],16,0)),"")</f>
        <v/>
      </c>
      <c r="S1021" s="43" t="str">
        <f>IFERROR(IF(VLOOKUP(B1021,Baza[[№]:[Profit]],17,0)=0,"-",VLOOKUP(B1021,Baza[[№]:[Profit]],17,0)),"")</f>
        <v/>
      </c>
      <c r="T1021" s="43" t="str">
        <f>IFERROR(IF(VLOOKUP(B1021,Baza[[№]:[Profit]],18,0)=0,"-",VLOOKUP(B1021,Baza[[№]:[Profit]],18,0)),"")</f>
        <v/>
      </c>
      <c r="U1021" s="41" t="str">
        <f>IFERROR(IF(VLOOKUP(B1021,Baza[[№]:[Profit]],19,0)=0,"-",VLOOKUP(B1021,Baza[[№]:[Profit]],19,0)),"")</f>
        <v/>
      </c>
      <c r="V1021" s="41" t="str">
        <f>IFERROR(VLOOKUP(B1021,Baza[[№]:[Profit]],20,0),"")</f>
        <v/>
      </c>
      <c r="W1021" s="41" t="str">
        <f>IFERROR(IF(VLOOKUP(B1021,Baza[[№]:[Profit]],21,0)=0,"-",VLOOKUP(B1021,Baza[[№]:[Profit]],21,0)),"")</f>
        <v/>
      </c>
      <c r="X1021" s="45" t="str">
        <f>IFERROR(IF(VLOOKUP(B1021,Baza[[№]:[Profit]],22,0)=0,"-",VLOOKUP(B1021,Baza[[№]:[Profit]],22,0)),"")</f>
        <v/>
      </c>
      <c r="Y1021" s="45" t="str">
        <f>IFERROR(VLOOKUP(B1021,Baza[[№]:[Profit]],23,0),"")</f>
        <v/>
      </c>
      <c r="Z1021" s="44" t="str">
        <f>IFERROR(VLOOKUP(B1021,Baza[[№]:[AFS]],24,0),"")</f>
        <v/>
      </c>
      <c r="AA1021" s="45" t="str">
        <f>IF(Таблица2[[#This Row],[Profit]]="","#Н/Д",SUM($Y$40:Y1021))</f>
        <v>#Н/Д</v>
      </c>
      <c r="AB1021" s="45" t="b">
        <f>IF(Таблица2[[#This Row],[Grafik]]="#Н/Д",FALSE,TRUE)</f>
        <v>0</v>
      </c>
    </row>
    <row r="1022" spans="3:28" ht="11.1" hidden="1" customHeight="1" x14ac:dyDescent="0.25">
      <c r="C1022" s="41" t="str">
        <f>IFERROR(VLOOKUP(B1022,Baza[[№]:[Profit]],2,0),"")</f>
        <v/>
      </c>
      <c r="D102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2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22" s="43" t="str">
        <f>IFERROR(VLOOKUP(B1022,Baza[[№]:[Profit]],3,0),"")</f>
        <v/>
      </c>
      <c r="G1022" s="43" t="str">
        <f>IFERROR(VLOOKUP(B1022,Baza[[№]:[Profit]],4,0),"")</f>
        <v/>
      </c>
      <c r="H1022" s="43" t="str">
        <f>IFERROR(VLOOKUP(B1022,Baza[[№]:[Profit]],5,0),"")</f>
        <v/>
      </c>
      <c r="I1022" s="46" t="str">
        <f>IFERROR(VLOOKUP(B1022,Baza[[№]:[Profit]],6,0),"")</f>
        <v/>
      </c>
      <c r="J1022" s="49" t="str">
        <f>IFERROR(VLOOKUP(B1022,Baza[[№]:[Profit]],7,0),"")</f>
        <v/>
      </c>
      <c r="K1022" s="43" t="str">
        <f>IFERROR(VLOOKUP(B1022,Baza[[№]:[Profit]],8,0),"")</f>
        <v/>
      </c>
      <c r="L1022" s="43" t="str">
        <f>IFERROR(VLOOKUP(B1022,Baza[[№]:[Profit]],9,0),"")</f>
        <v/>
      </c>
      <c r="M1022" s="43" t="str">
        <f>IFERROR(VLOOKUP(B1022,Baza[[№]:[Profit]],10,0),"")</f>
        <v/>
      </c>
      <c r="N1022" s="43" t="str">
        <f>IFERROR(IF(VLOOKUP(B1022,Baza[[№]:[Profit]],11,0)=0,"-",VLOOKUP(B1022,Baza[[№]:[Profit]],11,0)),"")</f>
        <v/>
      </c>
      <c r="O1022" s="43" t="str">
        <f>IFERROR(IF(VLOOKUP(B1022,Baza[[№]:[Profit]],12,0)=0,"-",VLOOKUP(B1022,Baza[[№]:[Profit]],12,0)),"")</f>
        <v/>
      </c>
      <c r="P1022" s="43" t="str">
        <f>IFERROR(IF(VLOOKUP(B1022,Baza[[№]:[Profit]],13,0)=0,"-",VLOOKUP(B1022,Baza[[№]:[Profit]],13,0)),"")</f>
        <v/>
      </c>
      <c r="Q1022" s="43" t="str">
        <f>IFERROR(IF(VLOOKUP(B1022,Baza[[№]:[Profit]],15,0)=0,"-",VLOOKUP(B1022,Baza[[№]:[Profit]],15,0)),"")</f>
        <v/>
      </c>
      <c r="R1022" s="43" t="str">
        <f>IFERROR(IF(VLOOKUP(B1022,Baza[[№]:[Profit]],16,0)=0,"-",VLOOKUP(B1022,Baza[[№]:[Profit]],16,0)),"")</f>
        <v/>
      </c>
      <c r="S1022" s="43" t="str">
        <f>IFERROR(IF(VLOOKUP(B1022,Baza[[№]:[Profit]],17,0)=0,"-",VLOOKUP(B1022,Baza[[№]:[Profit]],17,0)),"")</f>
        <v/>
      </c>
      <c r="T1022" s="43" t="str">
        <f>IFERROR(IF(VLOOKUP(B1022,Baza[[№]:[Profit]],18,0)=0,"-",VLOOKUP(B1022,Baza[[№]:[Profit]],18,0)),"")</f>
        <v/>
      </c>
      <c r="U1022" s="41" t="str">
        <f>IFERROR(IF(VLOOKUP(B1022,Baza[[№]:[Profit]],19,0)=0,"-",VLOOKUP(B1022,Baza[[№]:[Profit]],19,0)),"")</f>
        <v/>
      </c>
      <c r="V1022" s="41" t="str">
        <f>IFERROR(VLOOKUP(B1022,Baza[[№]:[Profit]],20,0),"")</f>
        <v/>
      </c>
      <c r="W1022" s="41" t="str">
        <f>IFERROR(IF(VLOOKUP(B1022,Baza[[№]:[Profit]],21,0)=0,"-",VLOOKUP(B1022,Baza[[№]:[Profit]],21,0)),"")</f>
        <v/>
      </c>
      <c r="X1022" s="45" t="str">
        <f>IFERROR(IF(VLOOKUP(B1022,Baza[[№]:[Profit]],22,0)=0,"-",VLOOKUP(B1022,Baza[[№]:[Profit]],22,0)),"")</f>
        <v/>
      </c>
      <c r="Y1022" s="45" t="str">
        <f>IFERROR(VLOOKUP(B1022,Baza[[№]:[Profit]],23,0),"")</f>
        <v/>
      </c>
      <c r="Z1022" s="44" t="str">
        <f>IFERROR(VLOOKUP(B1022,Baza[[№]:[AFS]],24,0),"")</f>
        <v/>
      </c>
      <c r="AA1022" s="45" t="str">
        <f>IF(Таблица2[[#This Row],[Profit]]="","#Н/Д",SUM($Y$40:Y1022))</f>
        <v>#Н/Д</v>
      </c>
      <c r="AB1022" s="45" t="b">
        <f>IF(Таблица2[[#This Row],[Grafik]]="#Н/Д",FALSE,TRUE)</f>
        <v>0</v>
      </c>
    </row>
    <row r="1023" spans="3:28" ht="11.1" hidden="1" customHeight="1" x14ac:dyDescent="0.25">
      <c r="C1023" s="41" t="str">
        <f>IFERROR(VLOOKUP(B1023,Baza[[№]:[Profit]],2,0),"")</f>
        <v/>
      </c>
      <c r="D102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2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23" s="43" t="str">
        <f>IFERROR(VLOOKUP(B1023,Baza[[№]:[Profit]],3,0),"")</f>
        <v/>
      </c>
      <c r="G1023" s="43" t="str">
        <f>IFERROR(VLOOKUP(B1023,Baza[[№]:[Profit]],4,0),"")</f>
        <v/>
      </c>
      <c r="H1023" s="43" t="str">
        <f>IFERROR(VLOOKUP(B1023,Baza[[№]:[Profit]],5,0),"")</f>
        <v/>
      </c>
      <c r="I1023" s="46" t="str">
        <f>IFERROR(VLOOKUP(B1023,Baza[[№]:[Profit]],6,0),"")</f>
        <v/>
      </c>
      <c r="J1023" s="49" t="str">
        <f>IFERROR(VLOOKUP(B1023,Baza[[№]:[Profit]],7,0),"")</f>
        <v/>
      </c>
      <c r="K1023" s="43" t="str">
        <f>IFERROR(VLOOKUP(B1023,Baza[[№]:[Profit]],8,0),"")</f>
        <v/>
      </c>
      <c r="L1023" s="43" t="str">
        <f>IFERROR(VLOOKUP(B1023,Baza[[№]:[Profit]],9,0),"")</f>
        <v/>
      </c>
      <c r="M1023" s="43" t="str">
        <f>IFERROR(VLOOKUP(B1023,Baza[[№]:[Profit]],10,0),"")</f>
        <v/>
      </c>
      <c r="N1023" s="43" t="str">
        <f>IFERROR(IF(VLOOKUP(B1023,Baza[[№]:[Profit]],11,0)=0,"-",VLOOKUP(B1023,Baza[[№]:[Profit]],11,0)),"")</f>
        <v/>
      </c>
      <c r="O1023" s="43" t="str">
        <f>IFERROR(IF(VLOOKUP(B1023,Baza[[№]:[Profit]],12,0)=0,"-",VLOOKUP(B1023,Baza[[№]:[Profit]],12,0)),"")</f>
        <v/>
      </c>
      <c r="P1023" s="43" t="str">
        <f>IFERROR(IF(VLOOKUP(B1023,Baza[[№]:[Profit]],13,0)=0,"-",VLOOKUP(B1023,Baza[[№]:[Profit]],13,0)),"")</f>
        <v/>
      </c>
      <c r="Q1023" s="43" t="str">
        <f>IFERROR(IF(VLOOKUP(B1023,Baza[[№]:[Profit]],15,0)=0,"-",VLOOKUP(B1023,Baza[[№]:[Profit]],15,0)),"")</f>
        <v/>
      </c>
      <c r="R1023" s="43" t="str">
        <f>IFERROR(IF(VLOOKUP(B1023,Baza[[№]:[Profit]],16,0)=0,"-",VLOOKUP(B1023,Baza[[№]:[Profit]],16,0)),"")</f>
        <v/>
      </c>
      <c r="S1023" s="43" t="str">
        <f>IFERROR(IF(VLOOKUP(B1023,Baza[[№]:[Profit]],17,0)=0,"-",VLOOKUP(B1023,Baza[[№]:[Profit]],17,0)),"")</f>
        <v/>
      </c>
      <c r="T1023" s="43" t="str">
        <f>IFERROR(IF(VLOOKUP(B1023,Baza[[№]:[Profit]],18,0)=0,"-",VLOOKUP(B1023,Baza[[№]:[Profit]],18,0)),"")</f>
        <v/>
      </c>
      <c r="U1023" s="41" t="str">
        <f>IFERROR(IF(VLOOKUP(B1023,Baza[[№]:[Profit]],19,0)=0,"-",VLOOKUP(B1023,Baza[[№]:[Profit]],19,0)),"")</f>
        <v/>
      </c>
      <c r="V1023" s="41" t="str">
        <f>IFERROR(VLOOKUP(B1023,Baza[[№]:[Profit]],20,0),"")</f>
        <v/>
      </c>
      <c r="W1023" s="41" t="str">
        <f>IFERROR(IF(VLOOKUP(B1023,Baza[[№]:[Profit]],21,0)=0,"-",VLOOKUP(B1023,Baza[[№]:[Profit]],21,0)),"")</f>
        <v/>
      </c>
      <c r="X1023" s="45" t="str">
        <f>IFERROR(IF(VLOOKUP(B1023,Baza[[№]:[Profit]],22,0)=0,"-",VLOOKUP(B1023,Baza[[№]:[Profit]],22,0)),"")</f>
        <v/>
      </c>
      <c r="Y1023" s="45" t="str">
        <f>IFERROR(VLOOKUP(B1023,Baza[[№]:[Profit]],23,0),"")</f>
        <v/>
      </c>
      <c r="Z1023" s="44" t="str">
        <f>IFERROR(VLOOKUP(B1023,Baza[[№]:[AFS]],24,0),"")</f>
        <v/>
      </c>
      <c r="AA1023" s="45" t="str">
        <f>IF(Таблица2[[#This Row],[Profit]]="","#Н/Д",SUM($Y$40:Y1023))</f>
        <v>#Н/Д</v>
      </c>
      <c r="AB1023" s="45" t="b">
        <f>IF(Таблица2[[#This Row],[Grafik]]="#Н/Д",FALSE,TRUE)</f>
        <v>0</v>
      </c>
    </row>
    <row r="1024" spans="3:28" ht="11.1" hidden="1" customHeight="1" x14ac:dyDescent="0.25">
      <c r="C1024" s="41" t="str">
        <f>IFERROR(VLOOKUP(B1024,Baza[[№]:[Profit]],2,0),"")</f>
        <v/>
      </c>
      <c r="D102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2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24" s="43" t="str">
        <f>IFERROR(VLOOKUP(B1024,Baza[[№]:[Profit]],3,0),"")</f>
        <v/>
      </c>
      <c r="G1024" s="43" t="str">
        <f>IFERROR(VLOOKUP(B1024,Baza[[№]:[Profit]],4,0),"")</f>
        <v/>
      </c>
      <c r="H1024" s="43" t="str">
        <f>IFERROR(VLOOKUP(B1024,Baza[[№]:[Profit]],5,0),"")</f>
        <v/>
      </c>
      <c r="I1024" s="46" t="str">
        <f>IFERROR(VLOOKUP(B1024,Baza[[№]:[Profit]],6,0),"")</f>
        <v/>
      </c>
      <c r="J1024" s="49" t="str">
        <f>IFERROR(VLOOKUP(B1024,Baza[[№]:[Profit]],7,0),"")</f>
        <v/>
      </c>
      <c r="K1024" s="43" t="str">
        <f>IFERROR(VLOOKUP(B1024,Baza[[№]:[Profit]],8,0),"")</f>
        <v/>
      </c>
      <c r="L1024" s="43" t="str">
        <f>IFERROR(VLOOKUP(B1024,Baza[[№]:[Profit]],9,0),"")</f>
        <v/>
      </c>
      <c r="M1024" s="43" t="str">
        <f>IFERROR(VLOOKUP(B1024,Baza[[№]:[Profit]],10,0),"")</f>
        <v/>
      </c>
      <c r="N1024" s="43" t="str">
        <f>IFERROR(IF(VLOOKUP(B1024,Baza[[№]:[Profit]],11,0)=0,"-",VLOOKUP(B1024,Baza[[№]:[Profit]],11,0)),"")</f>
        <v/>
      </c>
      <c r="O1024" s="43" t="str">
        <f>IFERROR(IF(VLOOKUP(B1024,Baza[[№]:[Profit]],12,0)=0,"-",VLOOKUP(B1024,Baza[[№]:[Profit]],12,0)),"")</f>
        <v/>
      </c>
      <c r="P1024" s="43" t="str">
        <f>IFERROR(IF(VLOOKUP(B1024,Baza[[№]:[Profit]],13,0)=0,"-",VLOOKUP(B1024,Baza[[№]:[Profit]],13,0)),"")</f>
        <v/>
      </c>
      <c r="Q1024" s="43" t="str">
        <f>IFERROR(IF(VLOOKUP(B1024,Baza[[№]:[Profit]],15,0)=0,"-",VLOOKUP(B1024,Baza[[№]:[Profit]],15,0)),"")</f>
        <v/>
      </c>
      <c r="R1024" s="43" t="str">
        <f>IFERROR(IF(VLOOKUP(B1024,Baza[[№]:[Profit]],16,0)=0,"-",VLOOKUP(B1024,Baza[[№]:[Profit]],16,0)),"")</f>
        <v/>
      </c>
      <c r="S1024" s="43" t="str">
        <f>IFERROR(IF(VLOOKUP(B1024,Baza[[№]:[Profit]],17,0)=0,"-",VLOOKUP(B1024,Baza[[№]:[Profit]],17,0)),"")</f>
        <v/>
      </c>
      <c r="T1024" s="43" t="str">
        <f>IFERROR(IF(VLOOKUP(B1024,Baza[[№]:[Profit]],18,0)=0,"-",VLOOKUP(B1024,Baza[[№]:[Profit]],18,0)),"")</f>
        <v/>
      </c>
      <c r="U1024" s="41" t="str">
        <f>IFERROR(IF(VLOOKUP(B1024,Baza[[№]:[Profit]],19,0)=0,"-",VLOOKUP(B1024,Baza[[№]:[Profit]],19,0)),"")</f>
        <v/>
      </c>
      <c r="V1024" s="41" t="str">
        <f>IFERROR(VLOOKUP(B1024,Baza[[№]:[Profit]],20,0),"")</f>
        <v/>
      </c>
      <c r="W1024" s="41" t="str">
        <f>IFERROR(IF(VLOOKUP(B1024,Baza[[№]:[Profit]],21,0)=0,"-",VLOOKUP(B1024,Baza[[№]:[Profit]],21,0)),"")</f>
        <v/>
      </c>
      <c r="X1024" s="45" t="str">
        <f>IFERROR(IF(VLOOKUP(B1024,Baza[[№]:[Profit]],22,0)=0,"-",VLOOKUP(B1024,Baza[[№]:[Profit]],22,0)),"")</f>
        <v/>
      </c>
      <c r="Y1024" s="45" t="str">
        <f>IFERROR(VLOOKUP(B1024,Baza[[№]:[Profit]],23,0),"")</f>
        <v/>
      </c>
      <c r="Z1024" s="44" t="str">
        <f>IFERROR(VLOOKUP(B1024,Baza[[№]:[AFS]],24,0),"")</f>
        <v/>
      </c>
      <c r="AA1024" s="45" t="str">
        <f>IF(Таблица2[[#This Row],[Profit]]="","#Н/Д",SUM($Y$40:Y1024))</f>
        <v>#Н/Д</v>
      </c>
      <c r="AB1024" s="45" t="b">
        <f>IF(Таблица2[[#This Row],[Grafik]]="#Н/Д",FALSE,TRUE)</f>
        <v>0</v>
      </c>
    </row>
    <row r="1025" spans="3:28" ht="11.1" hidden="1" customHeight="1" x14ac:dyDescent="0.25">
      <c r="C1025" s="41" t="str">
        <f>IFERROR(VLOOKUP(B1025,Baza[[№]:[Profit]],2,0),"")</f>
        <v/>
      </c>
      <c r="D102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2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25" s="43" t="str">
        <f>IFERROR(VLOOKUP(B1025,Baza[[№]:[Profit]],3,0),"")</f>
        <v/>
      </c>
      <c r="G1025" s="43" t="str">
        <f>IFERROR(VLOOKUP(B1025,Baza[[№]:[Profit]],4,0),"")</f>
        <v/>
      </c>
      <c r="H1025" s="43" t="str">
        <f>IFERROR(VLOOKUP(B1025,Baza[[№]:[Profit]],5,0),"")</f>
        <v/>
      </c>
      <c r="I1025" s="46" t="str">
        <f>IFERROR(VLOOKUP(B1025,Baza[[№]:[Profit]],6,0),"")</f>
        <v/>
      </c>
      <c r="J1025" s="49" t="str">
        <f>IFERROR(VLOOKUP(B1025,Baza[[№]:[Profit]],7,0),"")</f>
        <v/>
      </c>
      <c r="K1025" s="43" t="str">
        <f>IFERROR(VLOOKUP(B1025,Baza[[№]:[Profit]],8,0),"")</f>
        <v/>
      </c>
      <c r="L1025" s="43" t="str">
        <f>IFERROR(VLOOKUP(B1025,Baza[[№]:[Profit]],9,0),"")</f>
        <v/>
      </c>
      <c r="M1025" s="43" t="str">
        <f>IFERROR(VLOOKUP(B1025,Baza[[№]:[Profit]],10,0),"")</f>
        <v/>
      </c>
      <c r="N1025" s="43" t="str">
        <f>IFERROR(IF(VLOOKUP(B1025,Baza[[№]:[Profit]],11,0)=0,"-",VLOOKUP(B1025,Baza[[№]:[Profit]],11,0)),"")</f>
        <v/>
      </c>
      <c r="O1025" s="43" t="str">
        <f>IFERROR(IF(VLOOKUP(B1025,Baza[[№]:[Profit]],12,0)=0,"-",VLOOKUP(B1025,Baza[[№]:[Profit]],12,0)),"")</f>
        <v/>
      </c>
      <c r="P1025" s="43" t="str">
        <f>IFERROR(IF(VLOOKUP(B1025,Baza[[№]:[Profit]],13,0)=0,"-",VLOOKUP(B1025,Baza[[№]:[Profit]],13,0)),"")</f>
        <v/>
      </c>
      <c r="Q1025" s="43" t="str">
        <f>IFERROR(IF(VLOOKUP(B1025,Baza[[№]:[Profit]],15,0)=0,"-",VLOOKUP(B1025,Baza[[№]:[Profit]],15,0)),"")</f>
        <v/>
      </c>
      <c r="R1025" s="43" t="str">
        <f>IFERROR(IF(VLOOKUP(B1025,Baza[[№]:[Profit]],16,0)=0,"-",VLOOKUP(B1025,Baza[[№]:[Profit]],16,0)),"")</f>
        <v/>
      </c>
      <c r="S1025" s="43" t="str">
        <f>IFERROR(IF(VLOOKUP(B1025,Baza[[№]:[Profit]],17,0)=0,"-",VLOOKUP(B1025,Baza[[№]:[Profit]],17,0)),"")</f>
        <v/>
      </c>
      <c r="T1025" s="43" t="str">
        <f>IFERROR(IF(VLOOKUP(B1025,Baza[[№]:[Profit]],18,0)=0,"-",VLOOKUP(B1025,Baza[[№]:[Profit]],18,0)),"")</f>
        <v/>
      </c>
      <c r="U1025" s="41" t="str">
        <f>IFERROR(IF(VLOOKUP(B1025,Baza[[№]:[Profit]],19,0)=0,"-",VLOOKUP(B1025,Baza[[№]:[Profit]],19,0)),"")</f>
        <v/>
      </c>
      <c r="V1025" s="41" t="str">
        <f>IFERROR(VLOOKUP(B1025,Baza[[№]:[Profit]],20,0),"")</f>
        <v/>
      </c>
      <c r="W1025" s="41" t="str">
        <f>IFERROR(IF(VLOOKUP(B1025,Baza[[№]:[Profit]],21,0)=0,"-",VLOOKUP(B1025,Baza[[№]:[Profit]],21,0)),"")</f>
        <v/>
      </c>
      <c r="X1025" s="45" t="str">
        <f>IFERROR(IF(VLOOKUP(B1025,Baza[[№]:[Profit]],22,0)=0,"-",VLOOKUP(B1025,Baza[[№]:[Profit]],22,0)),"")</f>
        <v/>
      </c>
      <c r="Y1025" s="45" t="str">
        <f>IFERROR(VLOOKUP(B1025,Baza[[№]:[Profit]],23,0),"")</f>
        <v/>
      </c>
      <c r="Z1025" s="44" t="str">
        <f>IFERROR(VLOOKUP(B1025,Baza[[№]:[AFS]],24,0),"")</f>
        <v/>
      </c>
      <c r="AA1025" s="45" t="str">
        <f>IF(Таблица2[[#This Row],[Profit]]="","#Н/Д",SUM($Y$40:Y1025))</f>
        <v>#Н/Д</v>
      </c>
      <c r="AB1025" s="45" t="b">
        <f>IF(Таблица2[[#This Row],[Grafik]]="#Н/Д",FALSE,TRUE)</f>
        <v>0</v>
      </c>
    </row>
    <row r="1026" spans="3:28" ht="11.1" hidden="1" customHeight="1" x14ac:dyDescent="0.25">
      <c r="C1026" s="41" t="str">
        <f>IFERROR(VLOOKUP(B1026,Baza[[№]:[Profit]],2,0),"")</f>
        <v/>
      </c>
      <c r="D1026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26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26" s="43" t="str">
        <f>IFERROR(VLOOKUP(B1026,Baza[[№]:[Profit]],3,0),"")</f>
        <v/>
      </c>
      <c r="G1026" s="43" t="str">
        <f>IFERROR(VLOOKUP(B1026,Baza[[№]:[Profit]],4,0),"")</f>
        <v/>
      </c>
      <c r="H1026" s="43" t="str">
        <f>IFERROR(VLOOKUP(B1026,Baza[[№]:[Profit]],5,0),"")</f>
        <v/>
      </c>
      <c r="I1026" s="46" t="str">
        <f>IFERROR(VLOOKUP(B1026,Baza[[№]:[Profit]],6,0),"")</f>
        <v/>
      </c>
      <c r="J1026" s="49" t="str">
        <f>IFERROR(VLOOKUP(B1026,Baza[[№]:[Profit]],7,0),"")</f>
        <v/>
      </c>
      <c r="K1026" s="43" t="str">
        <f>IFERROR(VLOOKUP(B1026,Baza[[№]:[Profit]],8,0),"")</f>
        <v/>
      </c>
      <c r="L1026" s="43" t="str">
        <f>IFERROR(VLOOKUP(B1026,Baza[[№]:[Profit]],9,0),"")</f>
        <v/>
      </c>
      <c r="M1026" s="43" t="str">
        <f>IFERROR(VLOOKUP(B1026,Baza[[№]:[Profit]],10,0),"")</f>
        <v/>
      </c>
      <c r="N1026" s="43" t="str">
        <f>IFERROR(IF(VLOOKUP(B1026,Baza[[№]:[Profit]],11,0)=0,"-",VLOOKUP(B1026,Baza[[№]:[Profit]],11,0)),"")</f>
        <v/>
      </c>
      <c r="O1026" s="43" t="str">
        <f>IFERROR(IF(VLOOKUP(B1026,Baza[[№]:[Profit]],12,0)=0,"-",VLOOKUP(B1026,Baza[[№]:[Profit]],12,0)),"")</f>
        <v/>
      </c>
      <c r="P1026" s="43" t="str">
        <f>IFERROR(IF(VLOOKUP(B1026,Baza[[№]:[Profit]],13,0)=0,"-",VLOOKUP(B1026,Baza[[№]:[Profit]],13,0)),"")</f>
        <v/>
      </c>
      <c r="Q1026" s="43" t="str">
        <f>IFERROR(IF(VLOOKUP(B1026,Baza[[№]:[Profit]],15,0)=0,"-",VLOOKUP(B1026,Baza[[№]:[Profit]],15,0)),"")</f>
        <v/>
      </c>
      <c r="R1026" s="43" t="str">
        <f>IFERROR(IF(VLOOKUP(B1026,Baza[[№]:[Profit]],16,0)=0,"-",VLOOKUP(B1026,Baza[[№]:[Profit]],16,0)),"")</f>
        <v/>
      </c>
      <c r="S1026" s="43" t="str">
        <f>IFERROR(IF(VLOOKUP(B1026,Baza[[№]:[Profit]],17,0)=0,"-",VLOOKUP(B1026,Baza[[№]:[Profit]],17,0)),"")</f>
        <v/>
      </c>
      <c r="T1026" s="43" t="str">
        <f>IFERROR(IF(VLOOKUP(B1026,Baza[[№]:[Profit]],18,0)=0,"-",VLOOKUP(B1026,Baza[[№]:[Profit]],18,0)),"")</f>
        <v/>
      </c>
      <c r="U1026" s="41" t="str">
        <f>IFERROR(IF(VLOOKUP(B1026,Baza[[№]:[Profit]],19,0)=0,"-",VLOOKUP(B1026,Baza[[№]:[Profit]],19,0)),"")</f>
        <v/>
      </c>
      <c r="V1026" s="41" t="str">
        <f>IFERROR(VLOOKUP(B1026,Baza[[№]:[Profit]],20,0),"")</f>
        <v/>
      </c>
      <c r="W1026" s="41" t="str">
        <f>IFERROR(IF(VLOOKUP(B1026,Baza[[№]:[Profit]],21,0)=0,"-",VLOOKUP(B1026,Baza[[№]:[Profit]],21,0)),"")</f>
        <v/>
      </c>
      <c r="X1026" s="45" t="str">
        <f>IFERROR(IF(VLOOKUP(B1026,Baza[[№]:[Profit]],22,0)=0,"-",VLOOKUP(B1026,Baza[[№]:[Profit]],22,0)),"")</f>
        <v/>
      </c>
      <c r="Y1026" s="45" t="str">
        <f>IFERROR(VLOOKUP(B1026,Baza[[№]:[Profit]],23,0),"")</f>
        <v/>
      </c>
      <c r="Z1026" s="44" t="str">
        <f>IFERROR(VLOOKUP(B1026,Baza[[№]:[AFS]],24,0),"")</f>
        <v/>
      </c>
      <c r="AA1026" s="45" t="str">
        <f>IF(Таблица2[[#This Row],[Profit]]="","#Н/Д",SUM($Y$40:Y1026))</f>
        <v>#Н/Д</v>
      </c>
      <c r="AB1026" s="45" t="b">
        <f>IF(Таблица2[[#This Row],[Grafik]]="#Н/Д",FALSE,TRUE)</f>
        <v>0</v>
      </c>
    </row>
    <row r="1027" spans="3:28" ht="11.1" hidden="1" customHeight="1" x14ac:dyDescent="0.25">
      <c r="C1027" s="41" t="str">
        <f>IFERROR(VLOOKUP(B1027,Baza[[№]:[Profit]],2,0),"")</f>
        <v/>
      </c>
      <c r="D1027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27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27" s="43" t="str">
        <f>IFERROR(VLOOKUP(B1027,Baza[[№]:[Profit]],3,0),"")</f>
        <v/>
      </c>
      <c r="G1027" s="43" t="str">
        <f>IFERROR(VLOOKUP(B1027,Baza[[№]:[Profit]],4,0),"")</f>
        <v/>
      </c>
      <c r="H1027" s="43" t="str">
        <f>IFERROR(VLOOKUP(B1027,Baza[[№]:[Profit]],5,0),"")</f>
        <v/>
      </c>
      <c r="I1027" s="46" t="str">
        <f>IFERROR(VLOOKUP(B1027,Baza[[№]:[Profit]],6,0),"")</f>
        <v/>
      </c>
      <c r="J1027" s="49" t="str">
        <f>IFERROR(VLOOKUP(B1027,Baza[[№]:[Profit]],7,0),"")</f>
        <v/>
      </c>
      <c r="K1027" s="43" t="str">
        <f>IFERROR(VLOOKUP(B1027,Baza[[№]:[Profit]],8,0),"")</f>
        <v/>
      </c>
      <c r="L1027" s="43" t="str">
        <f>IFERROR(VLOOKUP(B1027,Baza[[№]:[Profit]],9,0),"")</f>
        <v/>
      </c>
      <c r="M1027" s="43" t="str">
        <f>IFERROR(VLOOKUP(B1027,Baza[[№]:[Profit]],10,0),"")</f>
        <v/>
      </c>
      <c r="N1027" s="43" t="str">
        <f>IFERROR(IF(VLOOKUP(B1027,Baza[[№]:[Profit]],11,0)=0,"-",VLOOKUP(B1027,Baza[[№]:[Profit]],11,0)),"")</f>
        <v/>
      </c>
      <c r="O1027" s="43" t="str">
        <f>IFERROR(IF(VLOOKUP(B1027,Baza[[№]:[Profit]],12,0)=0,"-",VLOOKUP(B1027,Baza[[№]:[Profit]],12,0)),"")</f>
        <v/>
      </c>
      <c r="P1027" s="43" t="str">
        <f>IFERROR(IF(VLOOKUP(B1027,Baza[[№]:[Profit]],13,0)=0,"-",VLOOKUP(B1027,Baza[[№]:[Profit]],13,0)),"")</f>
        <v/>
      </c>
      <c r="Q1027" s="43" t="str">
        <f>IFERROR(IF(VLOOKUP(B1027,Baza[[№]:[Profit]],15,0)=0,"-",VLOOKUP(B1027,Baza[[№]:[Profit]],15,0)),"")</f>
        <v/>
      </c>
      <c r="R1027" s="43" t="str">
        <f>IFERROR(IF(VLOOKUP(B1027,Baza[[№]:[Profit]],16,0)=0,"-",VLOOKUP(B1027,Baza[[№]:[Profit]],16,0)),"")</f>
        <v/>
      </c>
      <c r="S1027" s="43" t="str">
        <f>IFERROR(IF(VLOOKUP(B1027,Baza[[№]:[Profit]],17,0)=0,"-",VLOOKUP(B1027,Baza[[№]:[Profit]],17,0)),"")</f>
        <v/>
      </c>
      <c r="T1027" s="43" t="str">
        <f>IFERROR(IF(VLOOKUP(B1027,Baza[[№]:[Profit]],18,0)=0,"-",VLOOKUP(B1027,Baza[[№]:[Profit]],18,0)),"")</f>
        <v/>
      </c>
      <c r="U1027" s="41" t="str">
        <f>IFERROR(IF(VLOOKUP(B1027,Baza[[№]:[Profit]],19,0)=0,"-",VLOOKUP(B1027,Baza[[№]:[Profit]],19,0)),"")</f>
        <v/>
      </c>
      <c r="V1027" s="41" t="str">
        <f>IFERROR(VLOOKUP(B1027,Baza[[№]:[Profit]],20,0),"")</f>
        <v/>
      </c>
      <c r="W1027" s="41" t="str">
        <f>IFERROR(IF(VLOOKUP(B1027,Baza[[№]:[Profit]],21,0)=0,"-",VLOOKUP(B1027,Baza[[№]:[Profit]],21,0)),"")</f>
        <v/>
      </c>
      <c r="X1027" s="45" t="str">
        <f>IFERROR(IF(VLOOKUP(B1027,Baza[[№]:[Profit]],22,0)=0,"-",VLOOKUP(B1027,Baza[[№]:[Profit]],22,0)),"")</f>
        <v/>
      </c>
      <c r="Y1027" s="45" t="str">
        <f>IFERROR(VLOOKUP(B1027,Baza[[№]:[Profit]],23,0),"")</f>
        <v/>
      </c>
      <c r="Z1027" s="44" t="str">
        <f>IFERROR(VLOOKUP(B1027,Baza[[№]:[AFS]],24,0),"")</f>
        <v/>
      </c>
      <c r="AA1027" s="45" t="str">
        <f>IF(Таблица2[[#This Row],[Profit]]="","#Н/Д",SUM($Y$40:Y1027))</f>
        <v>#Н/Д</v>
      </c>
      <c r="AB1027" s="45" t="b">
        <f>IF(Таблица2[[#This Row],[Grafik]]="#Н/Д",FALSE,TRUE)</f>
        <v>0</v>
      </c>
    </row>
    <row r="1028" spans="3:28" ht="11.1" hidden="1" customHeight="1" x14ac:dyDescent="0.25">
      <c r="C1028" s="41" t="str">
        <f>IFERROR(VLOOKUP(B1028,Baza[[№]:[Profit]],2,0),"")</f>
        <v/>
      </c>
      <c r="D1028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28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28" s="43" t="str">
        <f>IFERROR(VLOOKUP(B1028,Baza[[№]:[Profit]],3,0),"")</f>
        <v/>
      </c>
      <c r="G1028" s="43" t="str">
        <f>IFERROR(VLOOKUP(B1028,Baza[[№]:[Profit]],4,0),"")</f>
        <v/>
      </c>
      <c r="H1028" s="43" t="str">
        <f>IFERROR(VLOOKUP(B1028,Baza[[№]:[Profit]],5,0),"")</f>
        <v/>
      </c>
      <c r="I1028" s="46" t="str">
        <f>IFERROR(VLOOKUP(B1028,Baza[[№]:[Profit]],6,0),"")</f>
        <v/>
      </c>
      <c r="J1028" s="49" t="str">
        <f>IFERROR(VLOOKUP(B1028,Baza[[№]:[Profit]],7,0),"")</f>
        <v/>
      </c>
      <c r="K1028" s="43" t="str">
        <f>IFERROR(VLOOKUP(B1028,Baza[[№]:[Profit]],8,0),"")</f>
        <v/>
      </c>
      <c r="L1028" s="43" t="str">
        <f>IFERROR(VLOOKUP(B1028,Baza[[№]:[Profit]],9,0),"")</f>
        <v/>
      </c>
      <c r="M1028" s="43" t="str">
        <f>IFERROR(VLOOKUP(B1028,Baza[[№]:[Profit]],10,0),"")</f>
        <v/>
      </c>
      <c r="N1028" s="43" t="str">
        <f>IFERROR(IF(VLOOKUP(B1028,Baza[[№]:[Profit]],11,0)=0,"-",VLOOKUP(B1028,Baza[[№]:[Profit]],11,0)),"")</f>
        <v/>
      </c>
      <c r="O1028" s="43" t="str">
        <f>IFERROR(IF(VLOOKUP(B1028,Baza[[№]:[Profit]],12,0)=0,"-",VLOOKUP(B1028,Baza[[№]:[Profit]],12,0)),"")</f>
        <v/>
      </c>
      <c r="P1028" s="43" t="str">
        <f>IFERROR(IF(VLOOKUP(B1028,Baza[[№]:[Profit]],13,0)=0,"-",VLOOKUP(B1028,Baza[[№]:[Profit]],13,0)),"")</f>
        <v/>
      </c>
      <c r="Q1028" s="43" t="str">
        <f>IFERROR(IF(VLOOKUP(B1028,Baza[[№]:[Profit]],15,0)=0,"-",VLOOKUP(B1028,Baza[[№]:[Profit]],15,0)),"")</f>
        <v/>
      </c>
      <c r="R1028" s="43" t="str">
        <f>IFERROR(IF(VLOOKUP(B1028,Baza[[№]:[Profit]],16,0)=0,"-",VLOOKUP(B1028,Baza[[№]:[Profit]],16,0)),"")</f>
        <v/>
      </c>
      <c r="S1028" s="43" t="str">
        <f>IFERROR(IF(VLOOKUP(B1028,Baza[[№]:[Profit]],17,0)=0,"-",VLOOKUP(B1028,Baza[[№]:[Profit]],17,0)),"")</f>
        <v/>
      </c>
      <c r="T1028" s="43" t="str">
        <f>IFERROR(IF(VLOOKUP(B1028,Baza[[№]:[Profit]],18,0)=0,"-",VLOOKUP(B1028,Baza[[№]:[Profit]],18,0)),"")</f>
        <v/>
      </c>
      <c r="U1028" s="41" t="str">
        <f>IFERROR(IF(VLOOKUP(B1028,Baza[[№]:[Profit]],19,0)=0,"-",VLOOKUP(B1028,Baza[[№]:[Profit]],19,0)),"")</f>
        <v/>
      </c>
      <c r="V1028" s="41" t="str">
        <f>IFERROR(VLOOKUP(B1028,Baza[[№]:[Profit]],20,0),"")</f>
        <v/>
      </c>
      <c r="W1028" s="41" t="str">
        <f>IFERROR(IF(VLOOKUP(B1028,Baza[[№]:[Profit]],21,0)=0,"-",VLOOKUP(B1028,Baza[[№]:[Profit]],21,0)),"")</f>
        <v/>
      </c>
      <c r="X1028" s="45" t="str">
        <f>IFERROR(IF(VLOOKUP(B1028,Baza[[№]:[Profit]],22,0)=0,"-",VLOOKUP(B1028,Baza[[№]:[Profit]],22,0)),"")</f>
        <v/>
      </c>
      <c r="Y1028" s="45" t="str">
        <f>IFERROR(VLOOKUP(B1028,Baza[[№]:[Profit]],23,0),"")</f>
        <v/>
      </c>
      <c r="Z1028" s="44" t="str">
        <f>IFERROR(VLOOKUP(B1028,Baza[[№]:[AFS]],24,0),"")</f>
        <v/>
      </c>
      <c r="AA1028" s="45" t="str">
        <f>IF(Таблица2[[#This Row],[Profit]]="","#Н/Д",SUM($Y$40:Y1028))</f>
        <v>#Н/Д</v>
      </c>
      <c r="AB1028" s="45" t="b">
        <f>IF(Таблица2[[#This Row],[Grafik]]="#Н/Д",FALSE,TRUE)</f>
        <v>0</v>
      </c>
    </row>
    <row r="1029" spans="3:28" ht="11.1" hidden="1" customHeight="1" x14ac:dyDescent="0.25">
      <c r="C1029" s="41" t="str">
        <f>IFERROR(VLOOKUP(B1029,Baza[[№]:[Profit]],2,0),"")</f>
        <v/>
      </c>
      <c r="D1029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29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29" s="43" t="str">
        <f>IFERROR(VLOOKUP(B1029,Baza[[№]:[Profit]],3,0),"")</f>
        <v/>
      </c>
      <c r="G1029" s="43" t="str">
        <f>IFERROR(VLOOKUP(B1029,Baza[[№]:[Profit]],4,0),"")</f>
        <v/>
      </c>
      <c r="H1029" s="43" t="str">
        <f>IFERROR(VLOOKUP(B1029,Baza[[№]:[Profit]],5,0),"")</f>
        <v/>
      </c>
      <c r="I1029" s="46" t="str">
        <f>IFERROR(VLOOKUP(B1029,Baza[[№]:[Profit]],6,0),"")</f>
        <v/>
      </c>
      <c r="J1029" s="49" t="str">
        <f>IFERROR(VLOOKUP(B1029,Baza[[№]:[Profit]],7,0),"")</f>
        <v/>
      </c>
      <c r="K1029" s="43" t="str">
        <f>IFERROR(VLOOKUP(B1029,Baza[[№]:[Profit]],8,0),"")</f>
        <v/>
      </c>
      <c r="L1029" s="43" t="str">
        <f>IFERROR(VLOOKUP(B1029,Baza[[№]:[Profit]],9,0),"")</f>
        <v/>
      </c>
      <c r="M1029" s="43" t="str">
        <f>IFERROR(VLOOKUP(B1029,Baza[[№]:[Profit]],10,0),"")</f>
        <v/>
      </c>
      <c r="N1029" s="43" t="str">
        <f>IFERROR(IF(VLOOKUP(B1029,Baza[[№]:[Profit]],11,0)=0,"-",VLOOKUP(B1029,Baza[[№]:[Profit]],11,0)),"")</f>
        <v/>
      </c>
      <c r="O1029" s="43" t="str">
        <f>IFERROR(IF(VLOOKUP(B1029,Baza[[№]:[Profit]],12,0)=0,"-",VLOOKUP(B1029,Baza[[№]:[Profit]],12,0)),"")</f>
        <v/>
      </c>
      <c r="P1029" s="43" t="str">
        <f>IFERROR(IF(VLOOKUP(B1029,Baza[[№]:[Profit]],13,0)=0,"-",VLOOKUP(B1029,Baza[[№]:[Profit]],13,0)),"")</f>
        <v/>
      </c>
      <c r="Q1029" s="43" t="str">
        <f>IFERROR(IF(VLOOKUP(B1029,Baza[[№]:[Profit]],15,0)=0,"-",VLOOKUP(B1029,Baza[[№]:[Profit]],15,0)),"")</f>
        <v/>
      </c>
      <c r="R1029" s="43" t="str">
        <f>IFERROR(IF(VLOOKUP(B1029,Baza[[№]:[Profit]],16,0)=0,"-",VLOOKUP(B1029,Baza[[№]:[Profit]],16,0)),"")</f>
        <v/>
      </c>
      <c r="S1029" s="43" t="str">
        <f>IFERROR(IF(VLOOKUP(B1029,Baza[[№]:[Profit]],17,0)=0,"-",VLOOKUP(B1029,Baza[[№]:[Profit]],17,0)),"")</f>
        <v/>
      </c>
      <c r="T1029" s="43" t="str">
        <f>IFERROR(IF(VLOOKUP(B1029,Baza[[№]:[Profit]],18,0)=0,"-",VLOOKUP(B1029,Baza[[№]:[Profit]],18,0)),"")</f>
        <v/>
      </c>
      <c r="U1029" s="41" t="str">
        <f>IFERROR(IF(VLOOKUP(B1029,Baza[[№]:[Profit]],19,0)=0,"-",VLOOKUP(B1029,Baza[[№]:[Profit]],19,0)),"")</f>
        <v/>
      </c>
      <c r="V1029" s="41" t="str">
        <f>IFERROR(VLOOKUP(B1029,Baza[[№]:[Profit]],20,0),"")</f>
        <v/>
      </c>
      <c r="W1029" s="41" t="str">
        <f>IFERROR(IF(VLOOKUP(B1029,Baza[[№]:[Profit]],21,0)=0,"-",VLOOKUP(B1029,Baza[[№]:[Profit]],21,0)),"")</f>
        <v/>
      </c>
      <c r="X1029" s="45" t="str">
        <f>IFERROR(IF(VLOOKUP(B1029,Baza[[№]:[Profit]],22,0)=0,"-",VLOOKUP(B1029,Baza[[№]:[Profit]],22,0)),"")</f>
        <v/>
      </c>
      <c r="Y1029" s="45" t="str">
        <f>IFERROR(VLOOKUP(B1029,Baza[[№]:[Profit]],23,0),"")</f>
        <v/>
      </c>
      <c r="Z1029" s="44" t="str">
        <f>IFERROR(VLOOKUP(B1029,Baza[[№]:[AFS]],24,0),"")</f>
        <v/>
      </c>
      <c r="AA1029" s="45" t="str">
        <f>IF(Таблица2[[#This Row],[Profit]]="","#Н/Д",SUM($Y$40:Y1029))</f>
        <v>#Н/Д</v>
      </c>
      <c r="AB1029" s="45" t="b">
        <f>IF(Таблица2[[#This Row],[Grafik]]="#Н/Д",FALSE,TRUE)</f>
        <v>0</v>
      </c>
    </row>
    <row r="1030" spans="3:28" ht="11.1" hidden="1" customHeight="1" x14ac:dyDescent="0.25">
      <c r="C1030" s="41" t="str">
        <f>IFERROR(VLOOKUP(B1030,Baza[[№]:[Profit]],2,0),"")</f>
        <v/>
      </c>
      <c r="D1030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30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30" s="43" t="str">
        <f>IFERROR(VLOOKUP(B1030,Baza[[№]:[Profit]],3,0),"")</f>
        <v/>
      </c>
      <c r="G1030" s="43" t="str">
        <f>IFERROR(VLOOKUP(B1030,Baza[[№]:[Profit]],4,0),"")</f>
        <v/>
      </c>
      <c r="H1030" s="43" t="str">
        <f>IFERROR(VLOOKUP(B1030,Baza[[№]:[Profit]],5,0),"")</f>
        <v/>
      </c>
      <c r="I1030" s="46" t="str">
        <f>IFERROR(VLOOKUP(B1030,Baza[[№]:[Profit]],6,0),"")</f>
        <v/>
      </c>
      <c r="J1030" s="49" t="str">
        <f>IFERROR(VLOOKUP(B1030,Baza[[№]:[Profit]],7,0),"")</f>
        <v/>
      </c>
      <c r="K1030" s="43" t="str">
        <f>IFERROR(VLOOKUP(B1030,Baza[[№]:[Profit]],8,0),"")</f>
        <v/>
      </c>
      <c r="L1030" s="43" t="str">
        <f>IFERROR(VLOOKUP(B1030,Baza[[№]:[Profit]],9,0),"")</f>
        <v/>
      </c>
      <c r="M1030" s="43" t="str">
        <f>IFERROR(VLOOKUP(B1030,Baza[[№]:[Profit]],10,0),"")</f>
        <v/>
      </c>
      <c r="N1030" s="43" t="str">
        <f>IFERROR(IF(VLOOKUP(B1030,Baza[[№]:[Profit]],11,0)=0,"-",VLOOKUP(B1030,Baza[[№]:[Profit]],11,0)),"")</f>
        <v/>
      </c>
      <c r="O1030" s="43" t="str">
        <f>IFERROR(IF(VLOOKUP(B1030,Baza[[№]:[Profit]],12,0)=0,"-",VLOOKUP(B1030,Baza[[№]:[Profit]],12,0)),"")</f>
        <v/>
      </c>
      <c r="P1030" s="43" t="str">
        <f>IFERROR(IF(VLOOKUP(B1030,Baza[[№]:[Profit]],13,0)=0,"-",VLOOKUP(B1030,Baza[[№]:[Profit]],13,0)),"")</f>
        <v/>
      </c>
      <c r="Q1030" s="43" t="str">
        <f>IFERROR(IF(VLOOKUP(B1030,Baza[[№]:[Profit]],15,0)=0,"-",VLOOKUP(B1030,Baza[[№]:[Profit]],15,0)),"")</f>
        <v/>
      </c>
      <c r="R1030" s="43" t="str">
        <f>IFERROR(IF(VLOOKUP(B1030,Baza[[№]:[Profit]],16,0)=0,"-",VLOOKUP(B1030,Baza[[№]:[Profit]],16,0)),"")</f>
        <v/>
      </c>
      <c r="S1030" s="43" t="str">
        <f>IFERROR(IF(VLOOKUP(B1030,Baza[[№]:[Profit]],17,0)=0,"-",VLOOKUP(B1030,Baza[[№]:[Profit]],17,0)),"")</f>
        <v/>
      </c>
      <c r="T1030" s="43" t="str">
        <f>IFERROR(IF(VLOOKUP(B1030,Baza[[№]:[Profit]],18,0)=0,"-",VLOOKUP(B1030,Baza[[№]:[Profit]],18,0)),"")</f>
        <v/>
      </c>
      <c r="U1030" s="41" t="str">
        <f>IFERROR(IF(VLOOKUP(B1030,Baza[[№]:[Profit]],19,0)=0,"-",VLOOKUP(B1030,Baza[[№]:[Profit]],19,0)),"")</f>
        <v/>
      </c>
      <c r="V1030" s="41" t="str">
        <f>IFERROR(VLOOKUP(B1030,Baza[[№]:[Profit]],20,0),"")</f>
        <v/>
      </c>
      <c r="W1030" s="41" t="str">
        <f>IFERROR(IF(VLOOKUP(B1030,Baza[[№]:[Profit]],21,0)=0,"-",VLOOKUP(B1030,Baza[[№]:[Profit]],21,0)),"")</f>
        <v/>
      </c>
      <c r="X1030" s="45" t="str">
        <f>IFERROR(IF(VLOOKUP(B1030,Baza[[№]:[Profit]],22,0)=0,"-",VLOOKUP(B1030,Baza[[№]:[Profit]],22,0)),"")</f>
        <v/>
      </c>
      <c r="Y1030" s="45" t="str">
        <f>IFERROR(VLOOKUP(B1030,Baza[[№]:[Profit]],23,0),"")</f>
        <v/>
      </c>
      <c r="Z1030" s="44" t="str">
        <f>IFERROR(VLOOKUP(B1030,Baza[[№]:[AFS]],24,0),"")</f>
        <v/>
      </c>
      <c r="AA1030" s="45" t="str">
        <f>IF(Таблица2[[#This Row],[Profit]]="","#Н/Д",SUM($Y$40:Y1030))</f>
        <v>#Н/Д</v>
      </c>
      <c r="AB1030" s="45" t="b">
        <f>IF(Таблица2[[#This Row],[Grafik]]="#Н/Д",FALSE,TRUE)</f>
        <v>0</v>
      </c>
    </row>
    <row r="1031" spans="3:28" ht="11.1" hidden="1" customHeight="1" x14ac:dyDescent="0.25">
      <c r="C1031" s="41" t="str">
        <f>IFERROR(VLOOKUP(B1031,Baza[[№]:[Profit]],2,0),"")</f>
        <v/>
      </c>
      <c r="D1031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31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31" s="43" t="str">
        <f>IFERROR(VLOOKUP(B1031,Baza[[№]:[Profit]],3,0),"")</f>
        <v/>
      </c>
      <c r="G1031" s="43" t="str">
        <f>IFERROR(VLOOKUP(B1031,Baza[[№]:[Profit]],4,0),"")</f>
        <v/>
      </c>
      <c r="H1031" s="43" t="str">
        <f>IFERROR(VLOOKUP(B1031,Baza[[№]:[Profit]],5,0),"")</f>
        <v/>
      </c>
      <c r="I1031" s="46" t="str">
        <f>IFERROR(VLOOKUP(B1031,Baza[[№]:[Profit]],6,0),"")</f>
        <v/>
      </c>
      <c r="J1031" s="49" t="str">
        <f>IFERROR(VLOOKUP(B1031,Baza[[№]:[Profit]],7,0),"")</f>
        <v/>
      </c>
      <c r="K1031" s="43" t="str">
        <f>IFERROR(VLOOKUP(B1031,Baza[[№]:[Profit]],8,0),"")</f>
        <v/>
      </c>
      <c r="L1031" s="43" t="str">
        <f>IFERROR(VLOOKUP(B1031,Baza[[№]:[Profit]],9,0),"")</f>
        <v/>
      </c>
      <c r="M1031" s="43" t="str">
        <f>IFERROR(VLOOKUP(B1031,Baza[[№]:[Profit]],10,0),"")</f>
        <v/>
      </c>
      <c r="N1031" s="43" t="str">
        <f>IFERROR(IF(VLOOKUP(B1031,Baza[[№]:[Profit]],11,0)=0,"-",VLOOKUP(B1031,Baza[[№]:[Profit]],11,0)),"")</f>
        <v/>
      </c>
      <c r="O1031" s="43" t="str">
        <f>IFERROR(IF(VLOOKUP(B1031,Baza[[№]:[Profit]],12,0)=0,"-",VLOOKUP(B1031,Baza[[№]:[Profit]],12,0)),"")</f>
        <v/>
      </c>
      <c r="P1031" s="43" t="str">
        <f>IFERROR(IF(VLOOKUP(B1031,Baza[[№]:[Profit]],13,0)=0,"-",VLOOKUP(B1031,Baza[[№]:[Profit]],13,0)),"")</f>
        <v/>
      </c>
      <c r="Q1031" s="43" t="str">
        <f>IFERROR(IF(VLOOKUP(B1031,Baza[[№]:[Profit]],15,0)=0,"-",VLOOKUP(B1031,Baza[[№]:[Profit]],15,0)),"")</f>
        <v/>
      </c>
      <c r="R1031" s="43" t="str">
        <f>IFERROR(IF(VLOOKUP(B1031,Baza[[№]:[Profit]],16,0)=0,"-",VLOOKUP(B1031,Baza[[№]:[Profit]],16,0)),"")</f>
        <v/>
      </c>
      <c r="S1031" s="43" t="str">
        <f>IFERROR(IF(VLOOKUP(B1031,Baza[[№]:[Profit]],17,0)=0,"-",VLOOKUP(B1031,Baza[[№]:[Profit]],17,0)),"")</f>
        <v/>
      </c>
      <c r="T1031" s="43" t="str">
        <f>IFERROR(IF(VLOOKUP(B1031,Baza[[№]:[Profit]],18,0)=0,"-",VLOOKUP(B1031,Baza[[№]:[Profit]],18,0)),"")</f>
        <v/>
      </c>
      <c r="U1031" s="41" t="str">
        <f>IFERROR(IF(VLOOKUP(B1031,Baza[[№]:[Profit]],19,0)=0,"-",VLOOKUP(B1031,Baza[[№]:[Profit]],19,0)),"")</f>
        <v/>
      </c>
      <c r="V1031" s="41" t="str">
        <f>IFERROR(VLOOKUP(B1031,Baza[[№]:[Profit]],20,0),"")</f>
        <v/>
      </c>
      <c r="W1031" s="41" t="str">
        <f>IFERROR(IF(VLOOKUP(B1031,Baza[[№]:[Profit]],21,0)=0,"-",VLOOKUP(B1031,Baza[[№]:[Profit]],21,0)),"")</f>
        <v/>
      </c>
      <c r="X1031" s="45" t="str">
        <f>IFERROR(IF(VLOOKUP(B1031,Baza[[№]:[Profit]],22,0)=0,"-",VLOOKUP(B1031,Baza[[№]:[Profit]],22,0)),"")</f>
        <v/>
      </c>
      <c r="Y1031" s="45" t="str">
        <f>IFERROR(VLOOKUP(B1031,Baza[[№]:[Profit]],23,0),"")</f>
        <v/>
      </c>
      <c r="Z1031" s="44" t="str">
        <f>IFERROR(VLOOKUP(B1031,Baza[[№]:[AFS]],24,0),"")</f>
        <v/>
      </c>
      <c r="AA1031" s="45" t="str">
        <f>IF(Таблица2[[#This Row],[Profit]]="","#Н/Д",SUM($Y$40:Y1031))</f>
        <v>#Н/Д</v>
      </c>
      <c r="AB1031" s="45" t="b">
        <f>IF(Таблица2[[#This Row],[Grafik]]="#Н/Д",FALSE,TRUE)</f>
        <v>0</v>
      </c>
    </row>
    <row r="1032" spans="3:28" ht="11.1" hidden="1" customHeight="1" x14ac:dyDescent="0.25">
      <c r="C1032" s="41" t="str">
        <f>IFERROR(VLOOKUP(B1032,Baza[[№]:[Profit]],2,0),"")</f>
        <v/>
      </c>
      <c r="D1032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32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32" s="43" t="str">
        <f>IFERROR(VLOOKUP(B1032,Baza[[№]:[Profit]],3,0),"")</f>
        <v/>
      </c>
      <c r="G1032" s="43" t="str">
        <f>IFERROR(VLOOKUP(B1032,Baza[[№]:[Profit]],4,0),"")</f>
        <v/>
      </c>
      <c r="H1032" s="43" t="str">
        <f>IFERROR(VLOOKUP(B1032,Baza[[№]:[Profit]],5,0),"")</f>
        <v/>
      </c>
      <c r="I1032" s="46" t="str">
        <f>IFERROR(VLOOKUP(B1032,Baza[[№]:[Profit]],6,0),"")</f>
        <v/>
      </c>
      <c r="J1032" s="49" t="str">
        <f>IFERROR(VLOOKUP(B1032,Baza[[№]:[Profit]],7,0),"")</f>
        <v/>
      </c>
      <c r="K1032" s="43" t="str">
        <f>IFERROR(VLOOKUP(B1032,Baza[[№]:[Profit]],8,0),"")</f>
        <v/>
      </c>
      <c r="L1032" s="43" t="str">
        <f>IFERROR(VLOOKUP(B1032,Baza[[№]:[Profit]],9,0),"")</f>
        <v/>
      </c>
      <c r="M1032" s="43" t="str">
        <f>IFERROR(VLOOKUP(B1032,Baza[[№]:[Profit]],10,0),"")</f>
        <v/>
      </c>
      <c r="N1032" s="43" t="str">
        <f>IFERROR(IF(VLOOKUP(B1032,Baza[[№]:[Profit]],11,0)=0,"-",VLOOKUP(B1032,Baza[[№]:[Profit]],11,0)),"")</f>
        <v/>
      </c>
      <c r="O1032" s="43" t="str">
        <f>IFERROR(IF(VLOOKUP(B1032,Baza[[№]:[Profit]],12,0)=0,"-",VLOOKUP(B1032,Baza[[№]:[Profit]],12,0)),"")</f>
        <v/>
      </c>
      <c r="P1032" s="43" t="str">
        <f>IFERROR(IF(VLOOKUP(B1032,Baza[[№]:[Profit]],13,0)=0,"-",VLOOKUP(B1032,Baza[[№]:[Profit]],13,0)),"")</f>
        <v/>
      </c>
      <c r="Q1032" s="43" t="str">
        <f>IFERROR(IF(VLOOKUP(B1032,Baza[[№]:[Profit]],15,0)=0,"-",VLOOKUP(B1032,Baza[[№]:[Profit]],15,0)),"")</f>
        <v/>
      </c>
      <c r="R1032" s="43" t="str">
        <f>IFERROR(IF(VLOOKUP(B1032,Baza[[№]:[Profit]],16,0)=0,"-",VLOOKUP(B1032,Baza[[№]:[Profit]],16,0)),"")</f>
        <v/>
      </c>
      <c r="S1032" s="43" t="str">
        <f>IFERROR(IF(VLOOKUP(B1032,Baza[[№]:[Profit]],17,0)=0,"-",VLOOKUP(B1032,Baza[[№]:[Profit]],17,0)),"")</f>
        <v/>
      </c>
      <c r="T1032" s="43" t="str">
        <f>IFERROR(IF(VLOOKUP(B1032,Baza[[№]:[Profit]],18,0)=0,"-",VLOOKUP(B1032,Baza[[№]:[Profit]],18,0)),"")</f>
        <v/>
      </c>
      <c r="U1032" s="41" t="str">
        <f>IFERROR(IF(VLOOKUP(B1032,Baza[[№]:[Profit]],19,0)=0,"-",VLOOKUP(B1032,Baza[[№]:[Profit]],19,0)),"")</f>
        <v/>
      </c>
      <c r="V1032" s="41" t="str">
        <f>IFERROR(VLOOKUP(B1032,Baza[[№]:[Profit]],20,0),"")</f>
        <v/>
      </c>
      <c r="W1032" s="41" t="str">
        <f>IFERROR(IF(VLOOKUP(B1032,Baza[[№]:[Profit]],21,0)=0,"-",VLOOKUP(B1032,Baza[[№]:[Profit]],21,0)),"")</f>
        <v/>
      </c>
      <c r="X1032" s="45" t="str">
        <f>IFERROR(IF(VLOOKUP(B1032,Baza[[№]:[Profit]],22,0)=0,"-",VLOOKUP(B1032,Baza[[№]:[Profit]],22,0)),"")</f>
        <v/>
      </c>
      <c r="Y1032" s="45" t="str">
        <f>IFERROR(VLOOKUP(B1032,Baza[[№]:[Profit]],23,0),"")</f>
        <v/>
      </c>
      <c r="Z1032" s="44" t="str">
        <f>IFERROR(VLOOKUP(B1032,Baza[[№]:[AFS]],24,0),"")</f>
        <v/>
      </c>
      <c r="AA1032" s="45" t="str">
        <f>IF(Таблица2[[#This Row],[Profit]]="","#Н/Д",SUM($Y$40:Y1032))</f>
        <v>#Н/Д</v>
      </c>
      <c r="AB1032" s="45" t="b">
        <f>IF(Таблица2[[#This Row],[Grafik]]="#Н/Д",FALSE,TRUE)</f>
        <v>0</v>
      </c>
    </row>
    <row r="1033" spans="3:28" ht="11.1" hidden="1" customHeight="1" x14ac:dyDescent="0.25">
      <c r="C1033" s="41" t="str">
        <f>IFERROR(VLOOKUP(B1033,Baza[[№]:[Profit]],2,0),"")</f>
        <v/>
      </c>
      <c r="D1033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33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33" s="43" t="str">
        <f>IFERROR(VLOOKUP(B1033,Baza[[№]:[Profit]],3,0),"")</f>
        <v/>
      </c>
      <c r="G1033" s="43" t="str">
        <f>IFERROR(VLOOKUP(B1033,Baza[[№]:[Profit]],4,0),"")</f>
        <v/>
      </c>
      <c r="H1033" s="43" t="str">
        <f>IFERROR(VLOOKUP(B1033,Baza[[№]:[Profit]],5,0),"")</f>
        <v/>
      </c>
      <c r="I1033" s="46" t="str">
        <f>IFERROR(VLOOKUP(B1033,Baza[[№]:[Profit]],6,0),"")</f>
        <v/>
      </c>
      <c r="J1033" s="49" t="str">
        <f>IFERROR(VLOOKUP(B1033,Baza[[№]:[Profit]],7,0),"")</f>
        <v/>
      </c>
      <c r="K1033" s="43" t="str">
        <f>IFERROR(VLOOKUP(B1033,Baza[[№]:[Profit]],8,0),"")</f>
        <v/>
      </c>
      <c r="L1033" s="43" t="str">
        <f>IFERROR(VLOOKUP(B1033,Baza[[№]:[Profit]],9,0),"")</f>
        <v/>
      </c>
      <c r="M1033" s="43" t="str">
        <f>IFERROR(VLOOKUP(B1033,Baza[[№]:[Profit]],10,0),"")</f>
        <v/>
      </c>
      <c r="N1033" s="43" t="str">
        <f>IFERROR(IF(VLOOKUP(B1033,Baza[[№]:[Profit]],11,0)=0,"-",VLOOKUP(B1033,Baza[[№]:[Profit]],11,0)),"")</f>
        <v/>
      </c>
      <c r="O1033" s="43" t="str">
        <f>IFERROR(IF(VLOOKUP(B1033,Baza[[№]:[Profit]],12,0)=0,"-",VLOOKUP(B1033,Baza[[№]:[Profit]],12,0)),"")</f>
        <v/>
      </c>
      <c r="P1033" s="43" t="str">
        <f>IFERROR(IF(VLOOKUP(B1033,Baza[[№]:[Profit]],13,0)=0,"-",VLOOKUP(B1033,Baza[[№]:[Profit]],13,0)),"")</f>
        <v/>
      </c>
      <c r="Q1033" s="43" t="str">
        <f>IFERROR(IF(VLOOKUP(B1033,Baza[[№]:[Profit]],15,0)=0,"-",VLOOKUP(B1033,Baza[[№]:[Profit]],15,0)),"")</f>
        <v/>
      </c>
      <c r="R1033" s="43" t="str">
        <f>IFERROR(IF(VLOOKUP(B1033,Baza[[№]:[Profit]],16,0)=0,"-",VLOOKUP(B1033,Baza[[№]:[Profit]],16,0)),"")</f>
        <v/>
      </c>
      <c r="S1033" s="43" t="str">
        <f>IFERROR(IF(VLOOKUP(B1033,Baza[[№]:[Profit]],17,0)=0,"-",VLOOKUP(B1033,Baza[[№]:[Profit]],17,0)),"")</f>
        <v/>
      </c>
      <c r="T1033" s="43" t="str">
        <f>IFERROR(IF(VLOOKUP(B1033,Baza[[№]:[Profit]],18,0)=0,"-",VLOOKUP(B1033,Baza[[№]:[Profit]],18,0)),"")</f>
        <v/>
      </c>
      <c r="U1033" s="41" t="str">
        <f>IFERROR(IF(VLOOKUP(B1033,Baza[[№]:[Profit]],19,0)=0,"-",VLOOKUP(B1033,Baza[[№]:[Profit]],19,0)),"")</f>
        <v/>
      </c>
      <c r="V1033" s="41" t="str">
        <f>IFERROR(VLOOKUP(B1033,Baza[[№]:[Profit]],20,0),"")</f>
        <v/>
      </c>
      <c r="W1033" s="41" t="str">
        <f>IFERROR(IF(VLOOKUP(B1033,Baza[[№]:[Profit]],21,0)=0,"-",VLOOKUP(B1033,Baza[[№]:[Profit]],21,0)),"")</f>
        <v/>
      </c>
      <c r="X1033" s="45" t="str">
        <f>IFERROR(IF(VLOOKUP(B1033,Baza[[№]:[Profit]],22,0)=0,"-",VLOOKUP(B1033,Baza[[№]:[Profit]],22,0)),"")</f>
        <v/>
      </c>
      <c r="Y1033" s="45" t="str">
        <f>IFERROR(VLOOKUP(B1033,Baza[[№]:[Profit]],23,0),"")</f>
        <v/>
      </c>
      <c r="Z1033" s="44" t="str">
        <f>IFERROR(VLOOKUP(B1033,Baza[[№]:[AFS]],24,0),"")</f>
        <v/>
      </c>
      <c r="AA1033" s="45" t="str">
        <f>IF(Таблица2[[#This Row],[Profit]]="","#Н/Д",SUM($Y$40:Y1033))</f>
        <v>#Н/Д</v>
      </c>
      <c r="AB1033" s="45" t="b">
        <f>IF(Таблица2[[#This Row],[Grafik]]="#Н/Д",FALSE,TRUE)</f>
        <v>0</v>
      </c>
    </row>
    <row r="1034" spans="3:28" ht="11.1" hidden="1" customHeight="1" x14ac:dyDescent="0.25">
      <c r="C1034" s="41" t="str">
        <f>IFERROR(VLOOKUP(B1034,Baza[[№]:[Profit]],2,0),"")</f>
        <v/>
      </c>
      <c r="D1034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34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34" s="43" t="str">
        <f>IFERROR(VLOOKUP(B1034,Baza[[№]:[Profit]],3,0),"")</f>
        <v/>
      </c>
      <c r="G1034" s="43" t="str">
        <f>IFERROR(VLOOKUP(B1034,Baza[[№]:[Profit]],4,0),"")</f>
        <v/>
      </c>
      <c r="H1034" s="43" t="str">
        <f>IFERROR(VLOOKUP(B1034,Baza[[№]:[Profit]],5,0),"")</f>
        <v/>
      </c>
      <c r="I1034" s="46" t="str">
        <f>IFERROR(VLOOKUP(B1034,Baza[[№]:[Profit]],6,0),"")</f>
        <v/>
      </c>
      <c r="J1034" s="49" t="str">
        <f>IFERROR(VLOOKUP(B1034,Baza[[№]:[Profit]],7,0),"")</f>
        <v/>
      </c>
      <c r="K1034" s="43" t="str">
        <f>IFERROR(VLOOKUP(B1034,Baza[[№]:[Profit]],8,0),"")</f>
        <v/>
      </c>
      <c r="L1034" s="43" t="str">
        <f>IFERROR(VLOOKUP(B1034,Baza[[№]:[Profit]],9,0),"")</f>
        <v/>
      </c>
      <c r="M1034" s="43" t="str">
        <f>IFERROR(VLOOKUP(B1034,Baza[[№]:[Profit]],10,0),"")</f>
        <v/>
      </c>
      <c r="N1034" s="43" t="str">
        <f>IFERROR(IF(VLOOKUP(B1034,Baza[[№]:[Profit]],11,0)=0,"-",VLOOKUP(B1034,Baza[[№]:[Profit]],11,0)),"")</f>
        <v/>
      </c>
      <c r="O1034" s="43" t="str">
        <f>IFERROR(IF(VLOOKUP(B1034,Baza[[№]:[Profit]],12,0)=0,"-",VLOOKUP(B1034,Baza[[№]:[Profit]],12,0)),"")</f>
        <v/>
      </c>
      <c r="P1034" s="43" t="str">
        <f>IFERROR(IF(VLOOKUP(B1034,Baza[[№]:[Profit]],13,0)=0,"-",VLOOKUP(B1034,Baza[[№]:[Profit]],13,0)),"")</f>
        <v/>
      </c>
      <c r="Q1034" s="43" t="str">
        <f>IFERROR(IF(VLOOKUP(B1034,Baza[[№]:[Profit]],15,0)=0,"-",VLOOKUP(B1034,Baza[[№]:[Profit]],15,0)),"")</f>
        <v/>
      </c>
      <c r="R1034" s="43" t="str">
        <f>IFERROR(IF(VLOOKUP(B1034,Baza[[№]:[Profit]],16,0)=0,"-",VLOOKUP(B1034,Baza[[№]:[Profit]],16,0)),"")</f>
        <v/>
      </c>
      <c r="S1034" s="43" t="str">
        <f>IFERROR(IF(VLOOKUP(B1034,Baza[[№]:[Profit]],17,0)=0,"-",VLOOKUP(B1034,Baza[[№]:[Profit]],17,0)),"")</f>
        <v/>
      </c>
      <c r="T1034" s="43" t="str">
        <f>IFERROR(IF(VLOOKUP(B1034,Baza[[№]:[Profit]],18,0)=0,"-",VLOOKUP(B1034,Baza[[№]:[Profit]],18,0)),"")</f>
        <v/>
      </c>
      <c r="U1034" s="41" t="str">
        <f>IFERROR(IF(VLOOKUP(B1034,Baza[[№]:[Profit]],19,0)=0,"-",VLOOKUP(B1034,Baza[[№]:[Profit]],19,0)),"")</f>
        <v/>
      </c>
      <c r="V1034" s="41" t="str">
        <f>IFERROR(VLOOKUP(B1034,Baza[[№]:[Profit]],20,0),"")</f>
        <v/>
      </c>
      <c r="W1034" s="41" t="str">
        <f>IFERROR(IF(VLOOKUP(B1034,Baza[[№]:[Profit]],21,0)=0,"-",VLOOKUP(B1034,Baza[[№]:[Profit]],21,0)),"")</f>
        <v/>
      </c>
      <c r="X1034" s="45" t="str">
        <f>IFERROR(IF(VLOOKUP(B1034,Baza[[№]:[Profit]],22,0)=0,"-",VLOOKUP(B1034,Baza[[№]:[Profit]],22,0)),"")</f>
        <v/>
      </c>
      <c r="Y1034" s="45" t="str">
        <f>IFERROR(VLOOKUP(B1034,Baza[[№]:[Profit]],23,0),"")</f>
        <v/>
      </c>
      <c r="Z1034" s="44" t="str">
        <f>IFERROR(VLOOKUP(B1034,Baza[[№]:[AFS]],24,0),"")</f>
        <v/>
      </c>
      <c r="AA1034" s="45" t="str">
        <f>IF(Таблица2[[#This Row],[Profit]]="","#Н/Д",SUM($Y$40:Y1034))</f>
        <v>#Н/Д</v>
      </c>
      <c r="AB1034" s="45" t="b">
        <f>IF(Таблица2[[#This Row],[Grafik]]="#Н/Д",FALSE,TRUE)</f>
        <v>0</v>
      </c>
    </row>
    <row r="1035" spans="3:28" ht="11.1" hidden="1" customHeight="1" x14ac:dyDescent="0.25">
      <c r="C1035" s="41" t="str">
        <f>IFERROR(VLOOKUP(B1035,Baza[[№]:[Profit]],2,0),"")</f>
        <v/>
      </c>
      <c r="D1035" s="4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35" s="4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35" s="43" t="str">
        <f>IFERROR(VLOOKUP(B1035,Baza[[№]:[Profit]],3,0),"")</f>
        <v/>
      </c>
      <c r="G1035" s="43" t="str">
        <f>IFERROR(VLOOKUP(B1035,Baza[[№]:[Profit]],4,0),"")</f>
        <v/>
      </c>
      <c r="H1035" s="43" t="str">
        <f>IFERROR(VLOOKUP(B1035,Baza[[№]:[Profit]],5,0),"")</f>
        <v/>
      </c>
      <c r="I1035" s="46" t="str">
        <f>IFERROR(VLOOKUP(B1035,Baza[[№]:[Profit]],6,0),"")</f>
        <v/>
      </c>
      <c r="J1035" s="49" t="str">
        <f>IFERROR(VLOOKUP(B1035,Baza[[№]:[Profit]],7,0),"")</f>
        <v/>
      </c>
      <c r="K1035" s="43" t="str">
        <f>IFERROR(VLOOKUP(B1035,Baza[[№]:[Profit]],8,0),"")</f>
        <v/>
      </c>
      <c r="L1035" s="43" t="str">
        <f>IFERROR(VLOOKUP(B1035,Baza[[№]:[Profit]],9,0),"")</f>
        <v/>
      </c>
      <c r="M1035" s="43" t="str">
        <f>IFERROR(VLOOKUP(B1035,Baza[[№]:[Profit]],10,0),"")</f>
        <v/>
      </c>
      <c r="N1035" s="43" t="str">
        <f>IFERROR(IF(VLOOKUP(B1035,Baza[[№]:[Profit]],11,0)=0,"-",VLOOKUP(B1035,Baza[[№]:[Profit]],11,0)),"")</f>
        <v/>
      </c>
      <c r="O1035" s="43" t="str">
        <f>IFERROR(IF(VLOOKUP(B1035,Baza[[№]:[Profit]],12,0)=0,"-",VLOOKUP(B1035,Baza[[№]:[Profit]],12,0)),"")</f>
        <v/>
      </c>
      <c r="P1035" s="43" t="str">
        <f>IFERROR(IF(VLOOKUP(B1035,Baza[[№]:[Profit]],13,0)=0,"-",VLOOKUP(B1035,Baza[[№]:[Profit]],13,0)),"")</f>
        <v/>
      </c>
      <c r="Q1035" s="43" t="str">
        <f>IFERROR(IF(VLOOKUP(B1035,Baza[[№]:[Profit]],15,0)=0,"-",VLOOKUP(B1035,Baza[[№]:[Profit]],15,0)),"")</f>
        <v/>
      </c>
      <c r="R1035" s="43" t="str">
        <f>IFERROR(IF(VLOOKUP(B1035,Baza[[№]:[Profit]],16,0)=0,"-",VLOOKUP(B1035,Baza[[№]:[Profit]],16,0)),"")</f>
        <v/>
      </c>
      <c r="S1035" s="43" t="str">
        <f>IFERROR(IF(VLOOKUP(B1035,Baza[[№]:[Profit]],17,0)=0,"-",VLOOKUP(B1035,Baza[[№]:[Profit]],17,0)),"")</f>
        <v/>
      </c>
      <c r="T1035" s="43" t="str">
        <f>IFERROR(IF(VLOOKUP(B1035,Baza[[№]:[Profit]],18,0)=0,"-",VLOOKUP(B1035,Baza[[№]:[Profit]],18,0)),"")</f>
        <v/>
      </c>
      <c r="U1035" s="41" t="str">
        <f>IFERROR(IF(VLOOKUP(B1035,Baza[[№]:[Profit]],19,0)=0,"-",VLOOKUP(B1035,Baza[[№]:[Profit]],19,0)),"")</f>
        <v/>
      </c>
      <c r="V1035" s="41" t="str">
        <f>IFERROR(VLOOKUP(B1035,Baza[[№]:[Profit]],20,0),"")</f>
        <v/>
      </c>
      <c r="W1035" s="41" t="str">
        <f>IFERROR(IF(VLOOKUP(B1035,Baza[[№]:[Profit]],21,0)=0,"-",VLOOKUP(B1035,Baza[[№]:[Profit]],21,0)),"")</f>
        <v/>
      </c>
      <c r="X1035" s="45" t="str">
        <f>IFERROR(IF(VLOOKUP(B1035,Baza[[№]:[Profit]],22,0)=0,"-",VLOOKUP(B1035,Baza[[№]:[Profit]],22,0)),"")</f>
        <v/>
      </c>
      <c r="Y1035" s="45" t="str">
        <f>IFERROR(VLOOKUP(B1035,Baza[[№]:[Profit]],23,0),"")</f>
        <v/>
      </c>
      <c r="Z1035" s="44" t="str">
        <f>IFERROR(VLOOKUP(B1035,Baza[[№]:[AFS]],24,0),"")</f>
        <v/>
      </c>
      <c r="AA1035" s="45" t="str">
        <f>IF(Таблица2[[#This Row],[Profit]]="","#Н/Д",SUM($Y$40:Y1035))</f>
        <v>#Н/Д</v>
      </c>
      <c r="AB1035" s="45" t="b">
        <f>IF(Таблица2[[#This Row],[Grafik]]="#Н/Д",FALSE,TRUE)</f>
        <v>0</v>
      </c>
    </row>
    <row r="1036" spans="3:28" ht="11.1" hidden="1" customHeight="1" x14ac:dyDescent="0.25">
      <c r="C1036" s="35" t="str">
        <f>IFERROR(VLOOKUP(B1036,Baza[[№]:[Profit]],2,0),"")</f>
        <v/>
      </c>
      <c r="D1036" s="36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36" s="36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36" s="38" t="str">
        <f>IFERROR(VLOOKUP(B1036,Baza[[№]:[Profit]],3,0),"")</f>
        <v/>
      </c>
      <c r="G1036" s="38" t="str">
        <f>IFERROR(VLOOKUP(B1036,Baza[[№]:[Profit]],4,0),"")</f>
        <v/>
      </c>
      <c r="H1036" s="38" t="str">
        <f>IFERROR(VLOOKUP(B1036,Baza[[№]:[Profit]],5,0),"")</f>
        <v/>
      </c>
      <c r="I1036" s="36" t="str">
        <f>IFERROR(VLOOKUP(B1036,Baza[[№]:[Profit]],6,0),"")</f>
        <v/>
      </c>
      <c r="J1036" s="91" t="str">
        <f>IFERROR(VLOOKUP(B1036,Baza[[№]:[Profit]],7,0),"")</f>
        <v/>
      </c>
      <c r="K1036" s="38" t="str">
        <f>IFERROR(VLOOKUP(B1036,Baza[[№]:[Profit]],8,0),"")</f>
        <v/>
      </c>
      <c r="L1036" s="38" t="str">
        <f>IFERROR(VLOOKUP(B1036,Baza[[№]:[Profit]],9,0),"")</f>
        <v/>
      </c>
      <c r="M1036" s="38" t="str">
        <f>IFERROR(VLOOKUP(B1036,Baza[[№]:[Profit]],10,0),"")</f>
        <v/>
      </c>
      <c r="N1036" s="38" t="str">
        <f>IFERROR(IF(VLOOKUP(B1036,Baza[[№]:[Profit]],11,0)=0,"-",VLOOKUP(B1036,Baza[[№]:[Profit]],11,0)),"")</f>
        <v/>
      </c>
      <c r="O1036" s="38" t="str">
        <f>IFERROR(IF(VLOOKUP(B1036,Baza[[№]:[Profit]],12,0)=0,"-",VLOOKUP(B1036,Baza[[№]:[Profit]],12,0)),"")</f>
        <v/>
      </c>
      <c r="P1036" s="38" t="str">
        <f>IFERROR(IF(VLOOKUP(B1036,Baza[[№]:[Profit]],13,0)=0,"-",VLOOKUP(B1036,Baza[[№]:[Profit]],13,0)),"")</f>
        <v/>
      </c>
      <c r="Q1036" s="38" t="str">
        <f>IFERROR(IF(VLOOKUP(B1036,Baza[[№]:[Profit]],15,0)=0,"-",VLOOKUP(B1036,Baza[[№]:[Profit]],15,0)),"")</f>
        <v/>
      </c>
      <c r="R1036" s="38" t="str">
        <f>IFERROR(IF(VLOOKUP(B1036,Baza[[№]:[Profit]],16,0)=0,"-",VLOOKUP(B1036,Baza[[№]:[Profit]],16,0)),"")</f>
        <v/>
      </c>
      <c r="S1036" s="38" t="str">
        <f>IFERROR(IF(VLOOKUP(B1036,Baza[[№]:[Profit]],17,0)=0,"-",VLOOKUP(B1036,Baza[[№]:[Profit]],17,0)),"")</f>
        <v/>
      </c>
      <c r="T1036" s="38" t="str">
        <f>IFERROR(IF(VLOOKUP(B1036,Baza[[№]:[Profit]],18,0)=0,"-",VLOOKUP(B1036,Baza[[№]:[Profit]],18,0)),"")</f>
        <v/>
      </c>
      <c r="U1036" s="35" t="str">
        <f>IFERROR(IF(VLOOKUP(B1036,Baza[[№]:[Profit]],19,0)=0,"-",VLOOKUP(B1036,Baza[[№]:[Profit]],19,0)),"")</f>
        <v/>
      </c>
      <c r="V1036" s="35" t="str">
        <f>IFERROR(VLOOKUP(B1036,Baza[[№]:[Profit]],20,0),"")</f>
        <v/>
      </c>
      <c r="W1036" s="35" t="str">
        <f>IFERROR(IF(VLOOKUP(B1036,Baza[[№]:[Profit]],21,0)=0,"-",VLOOKUP(B1036,Baza[[№]:[Profit]],21,0)),"")</f>
        <v/>
      </c>
      <c r="X1036" s="40" t="str">
        <f>IFERROR(IF(VLOOKUP(B1036,Baza[[№]:[Profit]],22,0)=0,"-",VLOOKUP(B1036,Baza[[№]:[Profit]],22,0)),"")</f>
        <v/>
      </c>
      <c r="Y1036" s="40" t="str">
        <f>IFERROR(VLOOKUP(B1036,Baza[[№]:[Profit]],23,0),"")</f>
        <v/>
      </c>
      <c r="Z1036" s="39" t="str">
        <f>IFERROR(VLOOKUP(B1036,Baza[[№]:[AFS]],24,0),"")</f>
        <v/>
      </c>
      <c r="AA1036" s="40" t="str">
        <f>IF(Таблица2[[#This Row],[Profit]]="","#Н/Д",SUM($Y$40:Y1036))</f>
        <v>#Н/Д</v>
      </c>
      <c r="AB1036" s="40" t="b">
        <f>IF(Таблица2[[#This Row],[Grafik]]="#Н/Д",FALSE,TRUE)</f>
        <v>0</v>
      </c>
    </row>
  </sheetData>
  <conditionalFormatting sqref="B40:B99999">
    <cfRule type="expression" dxfId="62" priority="1">
      <formula>MOD($A40,2)=1</formula>
    </cfRule>
    <cfRule type="expression" dxfId="61" priority="2">
      <formula>$B40=""</formula>
    </cfRule>
    <cfRule type="expression" dxfId="60" priority="3">
      <formula>MOD($A40,2)=0</formula>
    </cfRule>
  </conditionalFormatting>
  <pageMargins left="0.7" right="0.7" top="0.75" bottom="0.75" header="0.3" footer="0.3"/>
  <pageSetup paperSize="9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890" r:id="rId5" name="Button 2">
              <controlPr defaultSize="0" print="0" autoFill="0" autoPict="0" macro="[0]!obnoviti">
                <anchor>
                  <from>
                    <xdr:col>1</xdr:col>
                    <xdr:colOff>104775</xdr:colOff>
                    <xdr:row>35</xdr:row>
                    <xdr:rowOff>38100</xdr:rowOff>
                  </from>
                  <to>
                    <xdr:col>3</xdr:col>
                    <xdr:colOff>114300</xdr:colOff>
                    <xdr:row>36</xdr:row>
                    <xdr:rowOff>123825</xdr:rowOff>
                  </to>
                </anchor>
              </controlPr>
            </control>
          </mc:Choice>
        </mc:AlternateContent>
      </controls>
    </mc:Choice>
  </mc:AlternateContent>
  <tableParts count="1">
    <tablePart r:id="rId6"/>
  </tableParts>
  <extLst>
    <ext xmlns:x14="http://schemas.microsoft.com/office/spreadsheetml/2009/9/main" uri="{A8765BA9-456A-4dab-B4F3-ACF838C121DE}">
      <x14:slicerList>
        <x14:slicer r:id="rId7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DFFAB-DAC7-4A36-8709-38C567336639}">
  <sheetPr codeName="Лист7"/>
  <dimension ref="A1:N384"/>
  <sheetViews>
    <sheetView topLeftCell="A28" zoomScaleNormal="100" workbookViewId="0">
      <selection activeCell="B28" sqref="B1:B1048576"/>
    </sheetView>
  </sheetViews>
  <sheetFormatPr defaultRowHeight="11.1" customHeight="1" x14ac:dyDescent="0.25"/>
  <cols>
    <col min="1" max="1" width="2.7109375" style="93" customWidth="1"/>
    <col min="2" max="2" width="41" style="6" customWidth="1"/>
    <col min="3" max="3" width="1.42578125" style="16" hidden="1" customWidth="1"/>
    <col min="4" max="14" width="9.28515625" style="16" customWidth="1"/>
    <col min="15" max="15" width="4" style="16" customWidth="1"/>
    <col min="16" max="16" width="9.140625" style="16"/>
    <col min="17" max="17" width="9.42578125" style="16" customWidth="1"/>
    <col min="18" max="18" width="9.140625" style="16"/>
    <col min="19" max="19" width="5.140625" style="16" customWidth="1"/>
    <col min="20" max="20" width="7.7109375" style="16" customWidth="1"/>
    <col min="21" max="16384" width="9.140625" style="16"/>
  </cols>
  <sheetData>
    <row r="1" spans="1:1" ht="11.1" customHeight="1" x14ac:dyDescent="0.25">
      <c r="A1" s="96">
        <f>COUNTA(B87:B100044)</f>
        <v>22</v>
      </c>
    </row>
    <row r="2" spans="1:1" ht="11.1" customHeight="1" x14ac:dyDescent="0.25">
      <c r="A2" s="96">
        <f>COUNT(D87:D100044)</f>
        <v>22</v>
      </c>
    </row>
    <row r="83" spans="1:14" ht="3.95" customHeight="1" x14ac:dyDescent="0.25"/>
    <row r="84" spans="1:14" ht="15" customHeight="1" x14ac:dyDescent="0.25">
      <c r="D84" s="119">
        <f>SUM(Таблица46[Games])</f>
        <v>22</v>
      </c>
      <c r="E84" s="122">
        <f>SUM(Таблица46[Buy-in])</f>
        <v>31.38000000000001</v>
      </c>
      <c r="F84" s="121">
        <f>AVERAGE(Таблица2[AFS])+(AVERAGE(Таблица2[AFS])*0.2)</f>
        <v>494.00826446280996</v>
      </c>
      <c r="G84" s="121">
        <f>M84/E84*100</f>
        <v>-8.8910133843212247</v>
      </c>
      <c r="H84" s="121">
        <f>COUNTIFS(Таблица2[WIN$],"&gt;0")/D84*100</f>
        <v>22.727272727272727</v>
      </c>
      <c r="I84" s="121">
        <f>IF((COUNTIFS(Таблица2[K],"k")+SUMIFS(Таблица2[R],Таблица2[K],"K"))/D84*100=0,"-",(COUNTIFS(Таблица2[K],"K")+SUMIFS(Таблица2[R],Таблица2[K],"k"))/D84*100)</f>
        <v>40.909090909090914</v>
      </c>
      <c r="J84" s="121" t="str">
        <f>IF((COUNTIFS(Таблица2[T],"t")+SUMIFS(Таблица2[R],Таблица2[T],"t"))/D84*100=0,"-",(COUNTIFS(Таблица2[T],"t")+SUMIFS(Таблица2[R],Таблица2[T],"t"))/D84*100)</f>
        <v>-</v>
      </c>
      <c r="K84" s="122">
        <f>SUM(Таблица46[Bounty])</f>
        <v>6.66</v>
      </c>
      <c r="L84" s="122">
        <f>SUM(Таблица46[WIN])</f>
        <v>21.93</v>
      </c>
      <c r="M84" s="122">
        <f>SUM(Таблица46[PROF])</f>
        <v>-2.7900000000000009</v>
      </c>
      <c r="N84" s="122">
        <f>M84/D84</f>
        <v>-0.12681818181818186</v>
      </c>
    </row>
    <row r="85" spans="1:14" ht="3.95" customHeight="1" x14ac:dyDescent="0.25"/>
    <row r="86" spans="1:14" ht="15" x14ac:dyDescent="0.25">
      <c r="B86" s="112" t="s">
        <v>56</v>
      </c>
      <c r="C86" s="57" t="s">
        <v>75</v>
      </c>
      <c r="D86" s="58" t="s">
        <v>28</v>
      </c>
      <c r="E86" s="59" t="s">
        <v>2</v>
      </c>
      <c r="F86" s="60" t="s">
        <v>62</v>
      </c>
      <c r="G86" s="60" t="s">
        <v>21</v>
      </c>
      <c r="H86" s="60" t="s">
        <v>22</v>
      </c>
      <c r="I86" s="60" t="s">
        <v>68</v>
      </c>
      <c r="J86" s="61" t="s">
        <v>66</v>
      </c>
      <c r="K86" s="59" t="s">
        <v>6</v>
      </c>
      <c r="L86" s="59" t="s">
        <v>23</v>
      </c>
      <c r="M86" s="59" t="s">
        <v>27</v>
      </c>
      <c r="N86" s="62" t="s">
        <v>104</v>
      </c>
    </row>
    <row r="87" spans="1:14" ht="11.1" customHeight="1" x14ac:dyDescent="0.25">
      <c r="A87" s="93">
        <f>A86+1</f>
        <v>1</v>
      </c>
      <c r="B87" s="50" t="s">
        <v>151</v>
      </c>
      <c r="C87" s="51">
        <v>0.45833333333333331</v>
      </c>
      <c r="D87" s="75">
        <f>IF(COUNTIFS(Таблица2[1],B87)+SUMIFS(Таблица2[R],Таблица2[1],B87)=0,"",COUNTIFS(Таблица2[1],B87)+SUMIFS(Таблица2[R],Таблица2[1],B87))</f>
        <v>1</v>
      </c>
      <c r="E87" s="76">
        <f>IF(SUMIFS(Таблица2[B$],Таблица2[1],B87)=0,"-",SUMIFS(Таблица2[B$],Таблица2[1],B87))</f>
        <v>1.1000000000000001</v>
      </c>
      <c r="F87" s="77">
        <f>IFERROR(AVERAGEIFS(Таблица2[AFS],Таблица2[1],B87)+(AVERAGEIFS(Таблица2[AFS],Таблица2[1],B87)*0.2),"-")</f>
        <v>54.545454545454547</v>
      </c>
      <c r="G87" s="77">
        <f t="shared" ref="G87:G118" si="0">IFERROR(M87/E87*100,"-")</f>
        <v>-100</v>
      </c>
      <c r="H87" s="77">
        <f>IFERROR(COUNTIFS(Таблица2[1],B87,Таблица2[WIN$],"&gt;0")/D87*100,"-")</f>
        <v>0</v>
      </c>
      <c r="I87" s="77">
        <f>IF(IFERROR((COUNTIFS(Таблица2[1],B87,Таблица2[K],"K")+SUMIFS(Таблица2[R],Таблица2[1],B87,Таблица2[K],"K"))/D87*100,"-")=0,"-",IFERROR((COUNTIFS(Таблица2[1],B87,Таблица2[K],"K")+SUMIFS(Таблица2[R],Таблица2[1],B87,Таблица2[K],"K"))/D87*100,"-"))</f>
        <v>100</v>
      </c>
      <c r="J87" s="77" t="str">
        <f>IF(IFERROR((COUNTIFS(Таблица2[1],B87,Таблица2[T],"t")+SUMIFS(Таблица2[R],Таблица2[1],B87,Таблица2[T],"t"))/D87*100,"-")=0,"-",IFERROR((COUNTIFS(Таблица2[1],B87,Таблица2[T],"t")+SUMIFS(Таблица2[R],Таблица2[1],B87,Таблица2[T],"t"))/D87*100,"-"))</f>
        <v>-</v>
      </c>
      <c r="K87" s="76" t="str">
        <f>IF(SUMIFS(Таблица2[KO$],Таблица2[1],B87)=0,"-",SUMIFS(Таблица2[KO$],Таблица2[1],B87))</f>
        <v>-</v>
      </c>
      <c r="L87" s="76" t="str">
        <f>IF(SUMIFS(Таблица2[WIN$],Таблица2[1],B87)=0,"-",SUMIFS(Таблица2[WIN$],Таблица2[1],B87))</f>
        <v>-</v>
      </c>
      <c r="M87" s="76">
        <f t="shared" ref="M87:M118" si="1">IFERROR(IF(L87="-",0,L87)+IF(K87="-",0,K87)-E87,"-")</f>
        <v>-1.1000000000000001</v>
      </c>
      <c r="N87" s="78">
        <f>IFERROR(Таблица46[[#This Row],[PROF]]/Таблица46[[#This Row],[Games]],"-")</f>
        <v>-1.1000000000000001</v>
      </c>
    </row>
    <row r="88" spans="1:14" ht="11.1" customHeight="1" x14ac:dyDescent="0.25">
      <c r="A88" s="93">
        <f t="shared" ref="A88:A151" si="2">A87+1</f>
        <v>2</v>
      </c>
      <c r="B88" s="50" t="s">
        <v>152</v>
      </c>
      <c r="C88" s="51">
        <v>0.45833333333333331</v>
      </c>
      <c r="D88" s="75">
        <f>IF(COUNTIFS(Таблица2[1],B88)+SUMIFS(Таблица2[R],Таблица2[1],B88)=0,"",COUNTIFS(Таблица2[1],B88)+SUMIFS(Таблица2[R],Таблица2[1],B88))</f>
        <v>1</v>
      </c>
      <c r="E88" s="76">
        <f>IF(SUMIFS(Таблица2[B$],Таблица2[1],B88)=0,"-",SUMIFS(Таблица2[B$],Таблица2[1],B88))</f>
        <v>1.1200000000000001</v>
      </c>
      <c r="F88" s="77">
        <f>IFERROR(AVERAGEIFS(Таблица2[AFS],Таблица2[1],B88)+(AVERAGEIFS(Таблица2[AFS],Таблица2[1],B88)*0.2),"-")</f>
        <v>180</v>
      </c>
      <c r="G88" s="77">
        <f t="shared" si="0"/>
        <v>-100</v>
      </c>
      <c r="H88" s="77">
        <f>IFERROR(COUNTIFS(Таблица2[1],B88,Таблица2[WIN$],"&gt;0")/D88*100,"-")</f>
        <v>0</v>
      </c>
      <c r="I88" s="77" t="str">
        <f>IF(IFERROR((COUNTIFS(Таблица2[1],B88,Таблица2[K],"K")+SUMIFS(Таблица2[R],Таблица2[1],B88,Таблица2[K],"K"))/D88*100,"-")=0,"-",IFERROR((COUNTIFS(Таблица2[1],B88,Таблица2[K],"K")+SUMIFS(Таблица2[R],Таблица2[1],B88,Таблица2[K],"K"))/D88*100,"-"))</f>
        <v>-</v>
      </c>
      <c r="J88" s="77" t="str">
        <f>IF(IFERROR((COUNTIFS(Таблица2[1],B88,Таблица2[T],"t")+SUMIFS(Таблица2[R],Таблица2[1],B88,Таблица2[T],"t"))/D88*100,"-")=0,"-",IFERROR((COUNTIFS(Таблица2[1],B88,Таблица2[T],"t")+SUMIFS(Таблица2[R],Таблица2[1],B88,Таблица2[T],"t"))/D88*100,"-"))</f>
        <v>-</v>
      </c>
      <c r="K88" s="76" t="str">
        <f>IF(SUMIFS(Таблица2[KO$],Таблица2[1],B88)=0,"-",SUMIFS(Таблица2[KO$],Таблица2[1],B88))</f>
        <v>-</v>
      </c>
      <c r="L88" s="76" t="str">
        <f>IF(SUMIFS(Таблица2[WIN$],Таблица2[1],B88)=0,"-",SUMIFS(Таблица2[WIN$],Таблица2[1],B88))</f>
        <v>-</v>
      </c>
      <c r="M88" s="76">
        <f t="shared" si="1"/>
        <v>-1.1200000000000001</v>
      </c>
      <c r="N88" s="78">
        <f>IFERROR(Таблица46[[#This Row],[PROF]]/Таблица46[[#This Row],[Games]],"-")</f>
        <v>-1.1200000000000001</v>
      </c>
    </row>
    <row r="89" spans="1:14" ht="11.1" customHeight="1" x14ac:dyDescent="0.25">
      <c r="A89" s="93">
        <f t="shared" si="2"/>
        <v>3</v>
      </c>
      <c r="B89" s="50" t="s">
        <v>153</v>
      </c>
      <c r="C89" s="51">
        <v>0.46875</v>
      </c>
      <c r="D89" s="75">
        <f>IF(COUNTIFS(Таблица2[1],B89)+SUMIFS(Таблица2[R],Таблица2[1],B89)=0,"",COUNTIFS(Таблица2[1],B89)+SUMIFS(Таблица2[R],Таблица2[1],B89))</f>
        <v>1</v>
      </c>
      <c r="E89" s="76">
        <f>IF(SUMIFS(Таблица2[B$],Таблица2[1],B89)=0,"-",SUMIFS(Таблица2[B$],Таблица2[1],B89))</f>
        <v>2.2000000000000002</v>
      </c>
      <c r="F89" s="77">
        <f>IFERROR(AVERAGEIFS(Таблица2[AFS],Таблица2[1],B89)+(AVERAGEIFS(Таблица2[AFS],Таблица2[1],B89)*0.2),"-")</f>
        <v>109.09090909090909</v>
      </c>
      <c r="G89" s="77">
        <f t="shared" si="0"/>
        <v>-100</v>
      </c>
      <c r="H89" s="77">
        <f>IFERROR(COUNTIFS(Таблица2[1],B89,Таблица2[WIN$],"&gt;0")/D89*100,"-")</f>
        <v>0</v>
      </c>
      <c r="I89" s="77" t="str">
        <f>IF(IFERROR((COUNTIFS(Таблица2[1],B89,Таблица2[K],"K")+SUMIFS(Таблица2[R],Таблица2[1],B89,Таблица2[K],"K"))/D89*100,"-")=0,"-",IFERROR((COUNTIFS(Таблица2[1],B89,Таблица2[K],"K")+SUMIFS(Таблица2[R],Таблица2[1],B89,Таблица2[K],"K"))/D89*100,"-"))</f>
        <v>-</v>
      </c>
      <c r="J89" s="77" t="str">
        <f>IF(IFERROR((COUNTIFS(Таблица2[1],B89,Таблица2[T],"t")+SUMIFS(Таблица2[R],Таблица2[1],B89,Таблица2[T],"t"))/D89*100,"-")=0,"-",IFERROR((COUNTIFS(Таблица2[1],B89,Таблица2[T],"t")+SUMIFS(Таблица2[R],Таблица2[1],B89,Таблица2[T],"t"))/D89*100,"-"))</f>
        <v>-</v>
      </c>
      <c r="K89" s="76" t="str">
        <f>IF(SUMIFS(Таблица2[KO$],Таблица2[1],B89)=0,"-",SUMIFS(Таблица2[KO$],Таблица2[1],B89))</f>
        <v>-</v>
      </c>
      <c r="L89" s="76" t="str">
        <f>IF(SUMIFS(Таблица2[WIN$],Таблица2[1],B89)=0,"-",SUMIFS(Таблица2[WIN$],Таблица2[1],B89))</f>
        <v>-</v>
      </c>
      <c r="M89" s="76">
        <f t="shared" si="1"/>
        <v>-2.2000000000000002</v>
      </c>
      <c r="N89" s="78">
        <f>IFERROR(Таблица46[[#This Row],[PROF]]/Таблица46[[#This Row],[Games]],"-")</f>
        <v>-2.2000000000000002</v>
      </c>
    </row>
    <row r="90" spans="1:14" ht="11.1" customHeight="1" x14ac:dyDescent="0.25">
      <c r="A90" s="93">
        <f t="shared" si="2"/>
        <v>4</v>
      </c>
      <c r="B90" s="50" t="s">
        <v>108</v>
      </c>
      <c r="C90" s="51">
        <v>0.47916666666666669</v>
      </c>
      <c r="D90" s="75">
        <f>IF(COUNTIFS(Таблица2[1],B90)+SUMIFS(Таблица2[R],Таблица2[1],B90)=0,"",COUNTIFS(Таблица2[1],B90)+SUMIFS(Таблица2[R],Таблица2[1],B90))</f>
        <v>1</v>
      </c>
      <c r="E90" s="76">
        <f>IF(SUMIFS(Таблица2[B$],Таблица2[1],B90)=0,"-",SUMIFS(Таблица2[B$],Таблица2[1],B90))</f>
        <v>2.1</v>
      </c>
      <c r="F90" s="77">
        <f>IFERROR(AVERAGEIFS(Таблица2[AFS],Таблица2[1],B90)+(AVERAGEIFS(Таблица2[AFS],Таблица2[1],B90)*0.2),"-")</f>
        <v>685.71428571428578</v>
      </c>
      <c r="G90" s="77">
        <f t="shared" si="0"/>
        <v>-100</v>
      </c>
      <c r="H90" s="77">
        <f>IFERROR(COUNTIFS(Таблица2[1],B90,Таблица2[WIN$],"&gt;0")/D90*100,"-")</f>
        <v>0</v>
      </c>
      <c r="I90" s="77">
        <f>IF(IFERROR((COUNTIFS(Таблица2[1],B90,Таблица2[K],"K")+SUMIFS(Таблица2[R],Таблица2[1],B90,Таблица2[K],"K"))/D90*100,"-")=0,"-",IFERROR((COUNTIFS(Таблица2[1],B90,Таблица2[K],"K")+SUMIFS(Таблица2[R],Таблица2[1],B90,Таблица2[K],"K"))/D90*100,"-"))</f>
        <v>100</v>
      </c>
      <c r="J90" s="77" t="str">
        <f>IF(IFERROR((COUNTIFS(Таблица2[1],B90,Таблица2[T],"t")+SUMIFS(Таблица2[R],Таблица2[1],B90,Таблица2[T],"t"))/D90*100,"-")=0,"-",IFERROR((COUNTIFS(Таблица2[1],B90,Таблица2[T],"t")+SUMIFS(Таблица2[R],Таблица2[1],B90,Таблица2[T],"t"))/D90*100,"-"))</f>
        <v>-</v>
      </c>
      <c r="K90" s="76" t="str">
        <f>IF(SUMIFS(Таблица2[KO$],Таблица2[1],B90)=0,"-",SUMIFS(Таблица2[KO$],Таблица2[1],B90))</f>
        <v>-</v>
      </c>
      <c r="L90" s="76" t="str">
        <f>IF(SUMIFS(Таблица2[WIN$],Таблица2[1],B90)=0,"-",SUMIFS(Таблица2[WIN$],Таблица2[1],B90))</f>
        <v>-</v>
      </c>
      <c r="M90" s="76">
        <f t="shared" si="1"/>
        <v>-2.1</v>
      </c>
      <c r="N90" s="78">
        <f>IFERROR(Таблица46[[#This Row],[PROF]]/Таблица46[[#This Row],[Games]],"-")</f>
        <v>-2.1</v>
      </c>
    </row>
    <row r="91" spans="1:14" ht="11.1" customHeight="1" x14ac:dyDescent="0.25">
      <c r="A91" s="93">
        <f t="shared" si="2"/>
        <v>5</v>
      </c>
      <c r="B91" s="50" t="s">
        <v>109</v>
      </c>
      <c r="C91" s="51">
        <v>0.5</v>
      </c>
      <c r="D91" s="75">
        <f>IF(COUNTIFS(Таблица2[1],B91)+SUMIFS(Таблица2[R],Таблица2[1],B91)=0,"",COUNTIFS(Таблица2[1],B91)+SUMIFS(Таблица2[R],Таблица2[1],B91))</f>
        <v>1</v>
      </c>
      <c r="E91" s="76">
        <f>IF(SUMIFS(Таблица2[B$],Таблица2[1],B91)=0,"-",SUMIFS(Таблица2[B$],Таблица2[1],B91))</f>
        <v>1.1000000000000001</v>
      </c>
      <c r="F91" s="77">
        <f>IFERROR(AVERAGEIFS(Таблица2[AFS],Таблица2[1],B91)+(AVERAGEIFS(Таблица2[AFS],Таблица2[1],B91)*0.2),"-")</f>
        <v>545.45454545454538</v>
      </c>
      <c r="G91" s="77">
        <f t="shared" si="0"/>
        <v>469.09090909090907</v>
      </c>
      <c r="H91" s="77">
        <f>IFERROR(COUNTIFS(Таблица2[1],B91,Таблица2[WIN$],"&gt;0")/D91*100,"-")</f>
        <v>100</v>
      </c>
      <c r="I91" s="77" t="str">
        <f>IF(IFERROR((COUNTIFS(Таблица2[1],B91,Таблица2[K],"K")+SUMIFS(Таблица2[R],Таблица2[1],B91,Таблица2[K],"K"))/D91*100,"-")=0,"-",IFERROR((COUNTIFS(Таблица2[1],B91,Таблица2[K],"K")+SUMIFS(Таблица2[R],Таблица2[1],B91,Таблица2[K],"K"))/D91*100,"-"))</f>
        <v>-</v>
      </c>
      <c r="J91" s="77" t="str">
        <f>IF(IFERROR((COUNTIFS(Таблица2[1],B91,Таблица2[T],"t")+SUMIFS(Таблица2[R],Таблица2[1],B91,Таблица2[T],"t"))/D91*100,"-")=0,"-",IFERROR((COUNTIFS(Таблица2[1],B91,Таблица2[T],"t")+SUMIFS(Таблица2[R],Таблица2[1],B91,Таблица2[T],"t"))/D91*100,"-"))</f>
        <v>-</v>
      </c>
      <c r="K91" s="76" t="str">
        <f>IF(SUMIFS(Таблица2[KO$],Таблица2[1],B91)=0,"-",SUMIFS(Таблица2[KO$],Таблица2[1],B91))</f>
        <v>-</v>
      </c>
      <c r="L91" s="76">
        <f>IF(SUMIFS(Таблица2[WIN$],Таблица2[1],B91)=0,"-",SUMIFS(Таблица2[WIN$],Таблица2[1],B91))</f>
        <v>6.26</v>
      </c>
      <c r="M91" s="76">
        <f t="shared" si="1"/>
        <v>5.16</v>
      </c>
      <c r="N91" s="78">
        <f>IFERROR(Таблица46[[#This Row],[PROF]]/Таблица46[[#This Row],[Games]],"-")</f>
        <v>5.16</v>
      </c>
    </row>
    <row r="92" spans="1:14" ht="11.1" customHeight="1" x14ac:dyDescent="0.25">
      <c r="A92" s="93">
        <f t="shared" si="2"/>
        <v>6</v>
      </c>
      <c r="B92" s="50" t="s">
        <v>154</v>
      </c>
      <c r="C92" s="51">
        <v>0.5</v>
      </c>
      <c r="D92" s="75">
        <f>IF(COUNTIFS(Таблица2[1],B92)+SUMIFS(Таблица2[R],Таблица2[1],B92)=0,"",COUNTIFS(Таблица2[1],B92)+SUMIFS(Таблица2[R],Таблица2[1],B92))</f>
        <v>1</v>
      </c>
      <c r="E92" s="76">
        <f>IF(SUMIFS(Таблица2[B$],Таблица2[1],B92)=0,"-",SUMIFS(Таблица2[B$],Таблица2[1],B92))</f>
        <v>2.2400000000000002</v>
      </c>
      <c r="F92" s="77">
        <f>IFERROR(AVERAGEIFS(Таблица2[AFS],Таблица2[1],B92)+(AVERAGEIFS(Таблица2[AFS],Таблица2[1],B92)*0.2),"-")</f>
        <v>120</v>
      </c>
      <c r="G92" s="77">
        <f t="shared" si="0"/>
        <v>-100</v>
      </c>
      <c r="H92" s="77">
        <f>IFERROR(COUNTIFS(Таблица2[1],B92,Таблица2[WIN$],"&gt;0")/D92*100,"-")</f>
        <v>0</v>
      </c>
      <c r="I92" s="77" t="str">
        <f>IF(IFERROR((COUNTIFS(Таблица2[1],B92,Таблица2[K],"K")+SUMIFS(Таблица2[R],Таблица2[1],B92,Таблица2[K],"K"))/D92*100,"-")=0,"-",IFERROR((COUNTIFS(Таблица2[1],B92,Таблица2[K],"K")+SUMIFS(Таблица2[R],Таблица2[1],B92,Таблица2[K],"K"))/D92*100,"-"))</f>
        <v>-</v>
      </c>
      <c r="J92" s="77" t="str">
        <f>IF(IFERROR((COUNTIFS(Таблица2[1],B92,Таблица2[T],"t")+SUMIFS(Таблица2[R],Таблица2[1],B92,Таблица2[T],"t"))/D92*100,"-")=0,"-",IFERROR((COUNTIFS(Таблица2[1],B92,Таблица2[T],"t")+SUMIFS(Таблица2[R],Таблица2[1],B92,Таблица2[T],"t"))/D92*100,"-"))</f>
        <v>-</v>
      </c>
      <c r="K92" s="76" t="str">
        <f>IF(SUMIFS(Таблица2[KO$],Таблица2[1],B92)=0,"-",SUMIFS(Таблица2[KO$],Таблица2[1],B92))</f>
        <v>-</v>
      </c>
      <c r="L92" s="76" t="str">
        <f>IF(SUMIFS(Таблица2[WIN$],Таблица2[1],B92)=0,"-",SUMIFS(Таблица2[WIN$],Таблица2[1],B92))</f>
        <v>-</v>
      </c>
      <c r="M92" s="76">
        <f t="shared" si="1"/>
        <v>-2.2400000000000002</v>
      </c>
      <c r="N92" s="78">
        <f>IFERROR(Таблица46[[#This Row],[PROF]]/Таблица46[[#This Row],[Games]],"-")</f>
        <v>-2.2400000000000002</v>
      </c>
    </row>
    <row r="93" spans="1:14" ht="11.1" customHeight="1" x14ac:dyDescent="0.25">
      <c r="A93" s="93">
        <f t="shared" si="2"/>
        <v>7</v>
      </c>
      <c r="B93" s="50" t="s">
        <v>155</v>
      </c>
      <c r="C93" s="51">
        <v>0.5</v>
      </c>
      <c r="D93" s="75">
        <f>IF(COUNTIFS(Таблица2[1],B93)+SUMIFS(Таблица2[R],Таблица2[1],B93)=0,"",COUNTIFS(Таблица2[1],B93)+SUMIFS(Таблица2[R],Таблица2[1],B93))</f>
        <v>1</v>
      </c>
      <c r="E93" s="76">
        <f>IF(SUMIFS(Таблица2[B$],Таблица2[1],B93)=0,"-",SUMIFS(Таблица2[B$],Таблица2[1],B93))</f>
        <v>1.1000000000000001</v>
      </c>
      <c r="F93" s="77">
        <f>IFERROR(AVERAGEIFS(Таблица2[AFS],Таблица2[1],B93)+(AVERAGEIFS(Таблица2[AFS],Таблица2[1],B93)*0.2),"-")</f>
        <v>163.63636363636363</v>
      </c>
      <c r="G93" s="77">
        <f t="shared" si="0"/>
        <v>-100</v>
      </c>
      <c r="H93" s="77">
        <f>IFERROR(COUNTIFS(Таблица2[1],B93,Таблица2[WIN$],"&gt;0")/D93*100,"-")</f>
        <v>0</v>
      </c>
      <c r="I93" s="77" t="str">
        <f>IF(IFERROR((COUNTIFS(Таблица2[1],B93,Таблица2[K],"K")+SUMIFS(Таблица2[R],Таблица2[1],B93,Таблица2[K],"K"))/D93*100,"-")=0,"-",IFERROR((COUNTIFS(Таблица2[1],B93,Таблица2[K],"K")+SUMIFS(Таблица2[R],Таблица2[1],B93,Таблица2[K],"K"))/D93*100,"-"))</f>
        <v>-</v>
      </c>
      <c r="J93" s="77" t="str">
        <f>IF(IFERROR((COUNTIFS(Таблица2[1],B93,Таблица2[T],"t")+SUMIFS(Таблица2[R],Таблица2[1],B93,Таблица2[T],"t"))/D93*100,"-")=0,"-",IFERROR((COUNTIFS(Таблица2[1],B93,Таблица2[T],"t")+SUMIFS(Таблица2[R],Таблица2[1],B93,Таблица2[T],"t"))/D93*100,"-"))</f>
        <v>-</v>
      </c>
      <c r="K93" s="76" t="str">
        <f>IF(SUMIFS(Таблица2[KO$],Таблица2[1],B93)=0,"-",SUMIFS(Таблица2[KO$],Таблица2[1],B93))</f>
        <v>-</v>
      </c>
      <c r="L93" s="76" t="str">
        <f>IF(SUMIFS(Таблица2[WIN$],Таблица2[1],B93)=0,"-",SUMIFS(Таблица2[WIN$],Таблица2[1],B93))</f>
        <v>-</v>
      </c>
      <c r="M93" s="76">
        <f t="shared" si="1"/>
        <v>-1.1000000000000001</v>
      </c>
      <c r="N93" s="78">
        <f>IFERROR(Таблица46[[#This Row],[PROF]]/Таблица46[[#This Row],[Games]],"-")</f>
        <v>-1.1000000000000001</v>
      </c>
    </row>
    <row r="94" spans="1:14" ht="11.1" customHeight="1" x14ac:dyDescent="0.25">
      <c r="A94" s="93">
        <f t="shared" si="2"/>
        <v>8</v>
      </c>
      <c r="B94" s="50" t="s">
        <v>110</v>
      </c>
      <c r="C94" s="51">
        <v>0.52083333333333337</v>
      </c>
      <c r="D94" s="75">
        <f>IF(COUNTIFS(Таблица2[1],B94)+SUMIFS(Таблица2[R],Таблица2[1],B94)=0,"",COUNTIFS(Таблица2[1],B94)+SUMIFS(Таблица2[R],Таблица2[1],B94))</f>
        <v>1</v>
      </c>
      <c r="E94" s="76">
        <f>IF(SUMIFS(Таблица2[B$],Таблица2[1],B94)=0,"-",SUMIFS(Таблица2[B$],Таблица2[1],B94))</f>
        <v>2.2000000000000002</v>
      </c>
      <c r="F94" s="77">
        <f>IFERROR(AVERAGEIFS(Таблица2[AFS],Таблица2[1],B94)+(AVERAGEIFS(Таблица2[AFS],Таблица2[1],B94)*0.2),"-")</f>
        <v>109.09090909090909</v>
      </c>
      <c r="G94" s="77">
        <f t="shared" si="0"/>
        <v>-100</v>
      </c>
      <c r="H94" s="77">
        <f>IFERROR(COUNTIFS(Таблица2[1],B94,Таблица2[WIN$],"&gt;0")/D94*100,"-")</f>
        <v>0</v>
      </c>
      <c r="I94" s="77">
        <f>IF(IFERROR((COUNTIFS(Таблица2[1],B94,Таблица2[K],"K")+SUMIFS(Таблица2[R],Таблица2[1],B94,Таблица2[K],"K"))/D94*100,"-")=0,"-",IFERROR((COUNTIFS(Таблица2[1],B94,Таблица2[K],"K")+SUMIFS(Таблица2[R],Таблица2[1],B94,Таблица2[K],"K"))/D94*100,"-"))</f>
        <v>100</v>
      </c>
      <c r="J94" s="77" t="str">
        <f>IF(IFERROR((COUNTIFS(Таблица2[1],B94,Таблица2[T],"t")+SUMIFS(Таблица2[R],Таблица2[1],B94,Таблица2[T],"t"))/D94*100,"-")=0,"-",IFERROR((COUNTIFS(Таблица2[1],B94,Таблица2[T],"t")+SUMIFS(Таблица2[R],Таблица2[1],B94,Таблица2[T],"t"))/D94*100,"-"))</f>
        <v>-</v>
      </c>
      <c r="K94" s="76" t="str">
        <f>IF(SUMIFS(Таблица2[KO$],Таблица2[1],B94)=0,"-",SUMIFS(Таблица2[KO$],Таблица2[1],B94))</f>
        <v>-</v>
      </c>
      <c r="L94" s="76" t="str">
        <f>IF(SUMIFS(Таблица2[WIN$],Таблица2[1],B94)=0,"-",SUMIFS(Таблица2[WIN$],Таблица2[1],B94))</f>
        <v>-</v>
      </c>
      <c r="M94" s="76">
        <f t="shared" si="1"/>
        <v>-2.2000000000000002</v>
      </c>
      <c r="N94" s="78">
        <f>IFERROR(Таблица46[[#This Row],[PROF]]/Таблица46[[#This Row],[Games]],"-")</f>
        <v>-2.2000000000000002</v>
      </c>
    </row>
    <row r="95" spans="1:14" ht="11.1" customHeight="1" x14ac:dyDescent="0.25">
      <c r="A95" s="93">
        <f t="shared" si="2"/>
        <v>9</v>
      </c>
      <c r="B95" s="50" t="s">
        <v>111</v>
      </c>
      <c r="C95" s="51">
        <v>0.52083333333333337</v>
      </c>
      <c r="D95" s="75">
        <f>IF(COUNTIFS(Таблица2[1],B95)+SUMIFS(Таблица2[R],Таблица2[1],B95)=0,"",COUNTIFS(Таблица2[1],B95)+SUMIFS(Таблица2[R],Таблица2[1],B95))</f>
        <v>1</v>
      </c>
      <c r="E95" s="76">
        <f>IF(SUMIFS(Таблица2[B$],Таблица2[1],B95)=0,"-",SUMIFS(Таблица2[B$],Таблица2[1],B95))</f>
        <v>1</v>
      </c>
      <c r="F95" s="77">
        <f>IFERROR(AVERAGEIFS(Таблица2[AFS],Таблица2[1],B95)+(AVERAGEIFS(Таблица2[AFS],Таблица2[1],B95)*0.2),"-")</f>
        <v>240</v>
      </c>
      <c r="G95" s="77">
        <f t="shared" si="0"/>
        <v>-100</v>
      </c>
      <c r="H95" s="77">
        <f>IFERROR(COUNTIFS(Таблица2[1],B95,Таблица2[WIN$],"&gt;0")/D95*100,"-")</f>
        <v>0</v>
      </c>
      <c r="I95" s="77" t="str">
        <f>IF(IFERROR((COUNTIFS(Таблица2[1],B95,Таблица2[K],"K")+SUMIFS(Таблица2[R],Таблица2[1],B95,Таблица2[K],"K"))/D95*100,"-")=0,"-",IFERROR((COUNTIFS(Таблица2[1],B95,Таблица2[K],"K")+SUMIFS(Таблица2[R],Таблица2[1],B95,Таблица2[K],"K"))/D95*100,"-"))</f>
        <v>-</v>
      </c>
      <c r="J95" s="77" t="str">
        <f>IF(IFERROR((COUNTIFS(Таблица2[1],B95,Таблица2[T],"t")+SUMIFS(Таблица2[R],Таблица2[1],B95,Таблица2[T],"t"))/D95*100,"-")=0,"-",IFERROR((COUNTIFS(Таблица2[1],B95,Таблица2[T],"t")+SUMIFS(Таблица2[R],Таблица2[1],B95,Таблица2[T],"t"))/D95*100,"-"))</f>
        <v>-</v>
      </c>
      <c r="K95" s="76" t="str">
        <f>IF(SUMIFS(Таблица2[KO$],Таблица2[1],B95)=0,"-",SUMIFS(Таблица2[KO$],Таблица2[1],B95))</f>
        <v>-</v>
      </c>
      <c r="L95" s="76" t="str">
        <f>IF(SUMIFS(Таблица2[WIN$],Таблица2[1],B95)=0,"-",SUMIFS(Таблица2[WIN$],Таблица2[1],B95))</f>
        <v>-</v>
      </c>
      <c r="M95" s="76">
        <f t="shared" si="1"/>
        <v>-1</v>
      </c>
      <c r="N95" s="78">
        <f>IFERROR(Таблица46[[#This Row],[PROF]]/Таблица46[[#This Row],[Games]],"-")</f>
        <v>-1</v>
      </c>
    </row>
    <row r="96" spans="1:14" ht="11.1" customHeight="1" x14ac:dyDescent="0.25">
      <c r="A96" s="93">
        <f t="shared" si="2"/>
        <v>10</v>
      </c>
      <c r="B96" s="50" t="s">
        <v>156</v>
      </c>
      <c r="C96" s="51">
        <v>0.52083333333333337</v>
      </c>
      <c r="D96" s="75">
        <f>IF(COUNTIFS(Таблица2[1],B96)+SUMIFS(Таблица2[R],Таблица2[1],B96)=0,"",COUNTIFS(Таблица2[1],B96)+SUMIFS(Таблица2[R],Таблица2[1],B96))</f>
        <v>1</v>
      </c>
      <c r="E96" s="76">
        <f>IF(SUMIFS(Таблица2[B$],Таблица2[1],B96)=0,"-",SUMIFS(Таблица2[B$],Таблица2[1],B96))</f>
        <v>1.05</v>
      </c>
      <c r="F96" s="77">
        <f>IFERROR(AVERAGEIFS(Таблица2[AFS],Таблица2[1],B96)+(AVERAGEIFS(Таблица2[AFS],Таблица2[1],B96)*0.2),"-")</f>
        <v>857.14285714285711</v>
      </c>
      <c r="G96" s="77">
        <f t="shared" si="0"/>
        <v>759.04761904761904</v>
      </c>
      <c r="H96" s="77">
        <f>IFERROR(COUNTIFS(Таблица2[1],B96,Таблица2[WIN$],"&gt;0")/D96*100,"-")</f>
        <v>100</v>
      </c>
      <c r="I96" s="77">
        <f>IF(IFERROR((COUNTIFS(Таблица2[1],B96,Таблица2[K],"K")+SUMIFS(Таблица2[R],Таблица2[1],B96,Таблица2[K],"K"))/D96*100,"-")=0,"-",IFERROR((COUNTIFS(Таблица2[1],B96,Таблица2[K],"K")+SUMIFS(Таблица2[R],Таблица2[1],B96,Таблица2[K],"K"))/D96*100,"-"))</f>
        <v>100</v>
      </c>
      <c r="J96" s="77" t="str">
        <f>IF(IFERROR((COUNTIFS(Таблица2[1],B96,Таблица2[T],"t")+SUMIFS(Таблица2[R],Таблица2[1],B96,Таблица2[T],"t"))/D96*100,"-")=0,"-",IFERROR((COUNTIFS(Таблица2[1],B96,Таблица2[T],"t")+SUMIFS(Таблица2[R],Таблица2[1],B96,Таблица2[T],"t"))/D96*100,"-"))</f>
        <v>-</v>
      </c>
      <c r="K96" s="76">
        <f>IF(SUMIFS(Таблица2[KO$],Таблица2[1],B96)=0,"-",SUMIFS(Таблица2[KO$],Таблица2[1],B96))</f>
        <v>5.04</v>
      </c>
      <c r="L96" s="76">
        <f>IF(SUMIFS(Таблица2[WIN$],Таблица2[1],B96)=0,"-",SUMIFS(Таблица2[WIN$],Таблица2[1],B96))</f>
        <v>3.98</v>
      </c>
      <c r="M96" s="76">
        <f t="shared" si="1"/>
        <v>7.97</v>
      </c>
      <c r="N96" s="78">
        <f>IFERROR(Таблица46[[#This Row],[PROF]]/Таблица46[[#This Row],[Games]],"-")</f>
        <v>7.97</v>
      </c>
    </row>
    <row r="97" spans="1:14" ht="11.1" customHeight="1" x14ac:dyDescent="0.25">
      <c r="A97" s="93">
        <f t="shared" si="2"/>
        <v>11</v>
      </c>
      <c r="B97" s="50" t="s">
        <v>112</v>
      </c>
      <c r="C97" s="51">
        <v>0.54166666666666663</v>
      </c>
      <c r="D97" s="75">
        <f>IF(COUNTIFS(Таблица2[1],B97)+SUMIFS(Таблица2[R],Таблица2[1],B97)=0,"",COUNTIFS(Таблица2[1],B97)+SUMIFS(Таблица2[R],Таблица2[1],B97))</f>
        <v>1</v>
      </c>
      <c r="E97" s="76">
        <f>IF(SUMIFS(Таблица2[B$],Таблица2[1],B97)=0,"-",SUMIFS(Таблица2[B$],Таблица2[1],B97))</f>
        <v>2</v>
      </c>
      <c r="F97" s="77">
        <f>IFERROR(AVERAGEIFS(Таблица2[AFS],Таблица2[1],B97)+(AVERAGEIFS(Таблица2[AFS],Таблица2[1],B97)*0.2),"-")</f>
        <v>450</v>
      </c>
      <c r="G97" s="77">
        <f t="shared" si="0"/>
        <v>-100</v>
      </c>
      <c r="H97" s="77">
        <f>IFERROR(COUNTIFS(Таблица2[1],B97,Таблица2[WIN$],"&gt;0")/D97*100,"-")</f>
        <v>0</v>
      </c>
      <c r="I97" s="77" t="str">
        <f>IF(IFERROR((COUNTIFS(Таблица2[1],B97,Таблица2[K],"K")+SUMIFS(Таблица2[R],Таблица2[1],B97,Таблица2[K],"K"))/D97*100,"-")=0,"-",IFERROR((COUNTIFS(Таблица2[1],B97,Таблица2[K],"K")+SUMIFS(Таблица2[R],Таблица2[1],B97,Таблица2[K],"K"))/D97*100,"-"))</f>
        <v>-</v>
      </c>
      <c r="J97" s="77" t="str">
        <f>IF(IFERROR((COUNTIFS(Таблица2[1],B97,Таблица2[T],"t")+SUMIFS(Таблица2[R],Таблица2[1],B97,Таблица2[T],"t"))/D97*100,"-")=0,"-",IFERROR((COUNTIFS(Таблица2[1],B97,Таблица2[T],"t")+SUMIFS(Таблица2[R],Таблица2[1],B97,Таблица2[T],"t"))/D97*100,"-"))</f>
        <v>-</v>
      </c>
      <c r="K97" s="76" t="str">
        <f>IF(SUMIFS(Таблица2[KO$],Таблица2[1],B97)=0,"-",SUMIFS(Таблица2[KO$],Таблица2[1],B97))</f>
        <v>-</v>
      </c>
      <c r="L97" s="76" t="str">
        <f>IF(SUMIFS(Таблица2[WIN$],Таблица2[1],B97)=0,"-",SUMIFS(Таблица2[WIN$],Таблица2[1],B97))</f>
        <v>-</v>
      </c>
      <c r="M97" s="76">
        <f t="shared" si="1"/>
        <v>-2</v>
      </c>
      <c r="N97" s="78">
        <f>IFERROR(Таблица46[[#This Row],[PROF]]/Таблица46[[#This Row],[Games]],"-")</f>
        <v>-2</v>
      </c>
    </row>
    <row r="98" spans="1:14" ht="11.1" customHeight="1" x14ac:dyDescent="0.25">
      <c r="A98" s="93">
        <f t="shared" si="2"/>
        <v>12</v>
      </c>
      <c r="B98" s="50" t="s">
        <v>157</v>
      </c>
      <c r="C98" s="51">
        <v>0.54166666666666663</v>
      </c>
      <c r="D98" s="75">
        <f>IF(COUNTIFS(Таблица2[1],B98)+SUMIFS(Таблица2[R],Таблица2[1],B98)=0,"",COUNTIFS(Таблица2[1],B98)+SUMIFS(Таблица2[R],Таблица2[1],B98))</f>
        <v>1</v>
      </c>
      <c r="E98" s="76">
        <f>IF(SUMIFS(Таблица2[B$],Таблица2[1],B98)=0,"-",SUMIFS(Таблица2[B$],Таблица2[1],B98))</f>
        <v>1.1000000000000001</v>
      </c>
      <c r="F98" s="77">
        <f>IFERROR(AVERAGEIFS(Таблица2[AFS],Таблица2[1],B98)+(AVERAGEIFS(Таблица2[AFS],Таблица2[1],B98)*0.2),"-")</f>
        <v>109.09090909090909</v>
      </c>
      <c r="G98" s="77">
        <f t="shared" si="0"/>
        <v>138.18181818181816</v>
      </c>
      <c r="H98" s="77">
        <f>IFERROR(COUNTIFS(Таблица2[1],B98,Таблица2[WIN$],"&gt;0")/D98*100,"-")</f>
        <v>100</v>
      </c>
      <c r="I98" s="77">
        <f>IF(IFERROR((COUNTIFS(Таблица2[1],B98,Таблица2[K],"K")+SUMIFS(Таблица2[R],Таблица2[1],B98,Таблица2[K],"K"))/D98*100,"-")=0,"-",IFERROR((COUNTIFS(Таблица2[1],B98,Таблица2[K],"K")+SUMIFS(Таблица2[R],Таблица2[1],B98,Таблица2[K],"K"))/D98*100,"-"))</f>
        <v>100</v>
      </c>
      <c r="J98" s="77" t="str">
        <f>IF(IFERROR((COUNTIFS(Таблица2[1],B98,Таблица2[T],"t")+SUMIFS(Таблица2[R],Таблица2[1],B98,Таблица2[T],"t"))/D98*100,"-")=0,"-",IFERROR((COUNTIFS(Таблица2[1],B98,Таблица2[T],"t")+SUMIFS(Таблица2[R],Таблица2[1],B98,Таблица2[T],"t"))/D98*100,"-"))</f>
        <v>-</v>
      </c>
      <c r="K98" s="76">
        <f>IF(SUMIFS(Таблица2[KO$],Таблица2[1],B98)=0,"-",SUMIFS(Таблица2[KO$],Таблица2[1],B98))</f>
        <v>1.37</v>
      </c>
      <c r="L98" s="76">
        <f>IF(SUMIFS(Таблица2[WIN$],Таблица2[1],B98)=0,"-",SUMIFS(Таблица2[WIN$],Таблица2[1],B98))</f>
        <v>1.25</v>
      </c>
      <c r="M98" s="76">
        <f t="shared" si="1"/>
        <v>1.52</v>
      </c>
      <c r="N98" s="78">
        <f>IFERROR(Таблица46[[#This Row],[PROF]]/Таблица46[[#This Row],[Games]],"-")</f>
        <v>1.52</v>
      </c>
    </row>
    <row r="99" spans="1:14" ht="11.1" customHeight="1" x14ac:dyDescent="0.25">
      <c r="A99" s="93">
        <f t="shared" si="2"/>
        <v>13</v>
      </c>
      <c r="B99" s="50" t="s">
        <v>113</v>
      </c>
      <c r="C99" s="51">
        <v>0.58333333333333337</v>
      </c>
      <c r="D99" s="75">
        <f>IF(COUNTIFS(Таблица2[1],B99)+SUMIFS(Таблица2[R],Таблица2[1],B99)=0,"",COUNTIFS(Таблица2[1],B99)+SUMIFS(Таблица2[R],Таблица2[1],B99))</f>
        <v>1</v>
      </c>
      <c r="E99" s="76">
        <f>IF(SUMIFS(Таблица2[B$],Таблица2[1],B99)=0,"-",SUMIFS(Таблица2[B$],Таблица2[1],B99))</f>
        <v>2.2000000000000002</v>
      </c>
      <c r="F99" s="77">
        <f>IFERROR(AVERAGEIFS(Таблица2[AFS],Таблица2[1],B99)+(AVERAGEIFS(Таблица2[AFS],Таблица2[1],B99)*0.2),"-")</f>
        <v>272.72727272727269</v>
      </c>
      <c r="G99" s="77">
        <f t="shared" si="0"/>
        <v>-100</v>
      </c>
      <c r="H99" s="77">
        <f>IFERROR(COUNTIFS(Таблица2[1],B99,Таблица2[WIN$],"&gt;0")/D99*100,"-")</f>
        <v>0</v>
      </c>
      <c r="I99" s="77" t="str">
        <f>IF(IFERROR((COUNTIFS(Таблица2[1],B99,Таблица2[K],"K")+SUMIFS(Таблица2[R],Таблица2[1],B99,Таблица2[K],"K"))/D99*100,"-")=0,"-",IFERROR((COUNTIFS(Таблица2[1],B99,Таблица2[K],"K")+SUMIFS(Таблица2[R],Таблица2[1],B99,Таблица2[K],"K"))/D99*100,"-"))</f>
        <v>-</v>
      </c>
      <c r="J99" s="77" t="str">
        <f>IF(IFERROR((COUNTIFS(Таблица2[1],B99,Таблица2[T],"t")+SUMIFS(Таблица2[R],Таблица2[1],B99,Таблица2[T],"t"))/D99*100,"-")=0,"-",IFERROR((COUNTIFS(Таблица2[1],B99,Таблица2[T],"t")+SUMIFS(Таблица2[R],Таблица2[1],B99,Таблица2[T],"t"))/D99*100,"-"))</f>
        <v>-</v>
      </c>
      <c r="K99" s="76" t="str">
        <f>IF(SUMIFS(Таблица2[KO$],Таблица2[1],B99)=0,"-",SUMIFS(Таблица2[KO$],Таблица2[1],B99))</f>
        <v>-</v>
      </c>
      <c r="L99" s="76" t="str">
        <f>IF(SUMIFS(Таблица2[WIN$],Таблица2[1],B99)=0,"-",SUMIFS(Таблица2[WIN$],Таблица2[1],B99))</f>
        <v>-</v>
      </c>
      <c r="M99" s="76">
        <f t="shared" si="1"/>
        <v>-2.2000000000000002</v>
      </c>
      <c r="N99" s="78">
        <f>IFERROR(Таблица46[[#This Row],[PROF]]/Таблица46[[#This Row],[Games]],"-")</f>
        <v>-2.2000000000000002</v>
      </c>
    </row>
    <row r="100" spans="1:14" ht="11.1" customHeight="1" x14ac:dyDescent="0.25">
      <c r="A100" s="93">
        <f t="shared" si="2"/>
        <v>14</v>
      </c>
      <c r="B100" s="50" t="s">
        <v>114</v>
      </c>
      <c r="C100" s="51">
        <v>0.59722222222222221</v>
      </c>
      <c r="D100" s="75">
        <f>IF(COUNTIFS(Таблица2[1],B100)+SUMIFS(Таблица2[R],Таблица2[1],B100)=0,"",COUNTIFS(Таблица2[1],B100)+SUMIFS(Таблица2[R],Таблица2[1],B100))</f>
        <v>1</v>
      </c>
      <c r="E100" s="76">
        <f>IF(SUMIFS(Таблица2[B$],Таблица2[1],B100)=0,"-",SUMIFS(Таблица2[B$],Таблица2[1],B100))</f>
        <v>1.1000000000000001</v>
      </c>
      <c r="F100" s="77">
        <f>IFERROR(AVERAGEIFS(Таблица2[AFS],Таблица2[1],B100)+(AVERAGEIFS(Таблица2[AFS],Таблица2[1],B100)*0.2),"-")</f>
        <v>2181.8181818181815</v>
      </c>
      <c r="G100" s="77">
        <f t="shared" si="0"/>
        <v>-100</v>
      </c>
      <c r="H100" s="77">
        <f>IFERROR(COUNTIFS(Таблица2[1],B100,Таблица2[WIN$],"&gt;0")/D100*100,"-")</f>
        <v>0</v>
      </c>
      <c r="I100" s="77">
        <f>IF(IFERROR((COUNTIFS(Таблица2[1],B100,Таблица2[K],"K")+SUMIFS(Таблица2[R],Таблица2[1],B100,Таблица2[K],"K"))/D100*100,"-")=0,"-",IFERROR((COUNTIFS(Таблица2[1],B100,Таблица2[K],"K")+SUMIFS(Таблица2[R],Таблица2[1],B100,Таблица2[K],"K"))/D100*100,"-"))</f>
        <v>100</v>
      </c>
      <c r="J100" s="77" t="str">
        <f>IF(IFERROR((COUNTIFS(Таблица2[1],B100,Таблица2[T],"t")+SUMIFS(Таблица2[R],Таблица2[1],B100,Таблица2[T],"t"))/D100*100,"-")=0,"-",IFERROR((COUNTIFS(Таблица2[1],B100,Таблица2[T],"t")+SUMIFS(Таблица2[R],Таблица2[1],B100,Таблица2[T],"t"))/D100*100,"-"))</f>
        <v>-</v>
      </c>
      <c r="K100" s="76" t="str">
        <f>IF(SUMIFS(Таблица2[KO$],Таблица2[1],B100)=0,"-",SUMIFS(Таблица2[KO$],Таблица2[1],B100))</f>
        <v>-</v>
      </c>
      <c r="L100" s="76" t="str">
        <f>IF(SUMIFS(Таблица2[WIN$],Таблица2[1],B100)=0,"-",SUMIFS(Таблица2[WIN$],Таблица2[1],B100))</f>
        <v>-</v>
      </c>
      <c r="M100" s="76">
        <f t="shared" si="1"/>
        <v>-1.1000000000000001</v>
      </c>
      <c r="N100" s="78">
        <f>IFERROR(Таблица46[[#This Row],[PROF]]/Таблица46[[#This Row],[Games]],"-")</f>
        <v>-1.1000000000000001</v>
      </c>
    </row>
    <row r="101" spans="1:14" ht="11.1" customHeight="1" x14ac:dyDescent="0.25">
      <c r="A101" s="93">
        <f t="shared" si="2"/>
        <v>15</v>
      </c>
      <c r="B101" s="50" t="s">
        <v>158</v>
      </c>
      <c r="C101" s="51">
        <v>0.60416666666666663</v>
      </c>
      <c r="D101" s="75">
        <f>IF(COUNTIFS(Таблица2[1],B101)+SUMIFS(Таблица2[R],Таблица2[1],B101)=0,"",COUNTIFS(Таблица2[1],B101)+SUMIFS(Таблица2[R],Таблица2[1],B101))</f>
        <v>1</v>
      </c>
      <c r="E101" s="76">
        <f>IF(SUMIFS(Таблица2[B$],Таблица2[1],B101)=0,"-",SUMIFS(Таблица2[B$],Таблица2[1],B101))</f>
        <v>1.05</v>
      </c>
      <c r="F101" s="77">
        <f>IFERROR(AVERAGEIFS(Таблица2[AFS],Таблица2[1],B101)+(AVERAGEIFS(Таблица2[AFS],Таблица2[1],B101)*0.2),"-")</f>
        <v>857.14285714285711</v>
      </c>
      <c r="G101" s="77">
        <f t="shared" si="0"/>
        <v>-100</v>
      </c>
      <c r="H101" s="77">
        <f>IFERROR(COUNTIFS(Таблица2[1],B101,Таблица2[WIN$],"&gt;0")/D101*100,"-")</f>
        <v>0</v>
      </c>
      <c r="I101" s="77">
        <f>IF(IFERROR((COUNTIFS(Таблица2[1],B101,Таблица2[K],"K")+SUMIFS(Таблица2[R],Таблица2[1],B101,Таблица2[K],"K"))/D101*100,"-")=0,"-",IFERROR((COUNTIFS(Таблица2[1],B101,Таблица2[K],"K")+SUMIFS(Таблица2[R],Таблица2[1],B101,Таблица2[K],"K"))/D101*100,"-"))</f>
        <v>100</v>
      </c>
      <c r="J101" s="77" t="str">
        <f>IF(IFERROR((COUNTIFS(Таблица2[1],B101,Таблица2[T],"t")+SUMIFS(Таблица2[R],Таблица2[1],B101,Таблица2[T],"t"))/D101*100,"-")=0,"-",IFERROR((COUNTIFS(Таблица2[1],B101,Таблица2[T],"t")+SUMIFS(Таблица2[R],Таблица2[1],B101,Таблица2[T],"t"))/D101*100,"-"))</f>
        <v>-</v>
      </c>
      <c r="K101" s="76" t="str">
        <f>IF(SUMIFS(Таблица2[KO$],Таблица2[1],B101)=0,"-",SUMIFS(Таблица2[KO$],Таблица2[1],B101))</f>
        <v>-</v>
      </c>
      <c r="L101" s="76" t="str">
        <f>IF(SUMIFS(Таблица2[WIN$],Таблица2[1],B101)=0,"-",SUMIFS(Таблица2[WIN$],Таблица2[1],B101))</f>
        <v>-</v>
      </c>
      <c r="M101" s="76">
        <f t="shared" si="1"/>
        <v>-1.05</v>
      </c>
      <c r="N101" s="78">
        <f>IFERROR(Таблица46[[#This Row],[PROF]]/Таблица46[[#This Row],[Games]],"-")</f>
        <v>-1.05</v>
      </c>
    </row>
    <row r="102" spans="1:14" ht="11.1" customHeight="1" x14ac:dyDescent="0.25">
      <c r="A102" s="93">
        <f t="shared" si="2"/>
        <v>16</v>
      </c>
      <c r="B102" s="50" t="s">
        <v>115</v>
      </c>
      <c r="C102" s="51">
        <v>0.625</v>
      </c>
      <c r="D102" s="75">
        <f>IF(COUNTIFS(Таблица2[1],B102)+SUMIFS(Таблица2[R],Таблица2[1],B102)=0,"",COUNTIFS(Таблица2[1],B102)+SUMIFS(Таблица2[R],Таблица2[1],B102))</f>
        <v>1</v>
      </c>
      <c r="E102" s="76">
        <f>IF(SUMIFS(Таблица2[B$],Таблица2[1],B102)=0,"-",SUMIFS(Таблица2[B$],Таблица2[1],B102))</f>
        <v>1.1000000000000001</v>
      </c>
      <c r="F102" s="77">
        <f>IFERROR(AVERAGEIFS(Таблица2[AFS],Таблица2[1],B102)+(AVERAGEIFS(Таблица2[AFS],Таблица2[1],B102)*0.2),"-")</f>
        <v>818.18181818181813</v>
      </c>
      <c r="G102" s="77">
        <f t="shared" si="0"/>
        <v>488.18181818181807</v>
      </c>
      <c r="H102" s="77">
        <f>IFERROR(COUNTIFS(Таблица2[1],B102,Таблица2[WIN$],"&gt;0")/D102*100,"-")</f>
        <v>100</v>
      </c>
      <c r="I102" s="77" t="str">
        <f>IF(IFERROR((COUNTIFS(Таблица2[1],B102,Таблица2[K],"K")+SUMIFS(Таблица2[R],Таблица2[1],B102,Таблица2[K],"K"))/D102*100,"-")=0,"-",IFERROR((COUNTIFS(Таблица2[1],B102,Таблица2[K],"K")+SUMIFS(Таблица2[R],Таблица2[1],B102,Таблица2[K],"K"))/D102*100,"-"))</f>
        <v>-</v>
      </c>
      <c r="J102" s="77" t="str">
        <f>IF(IFERROR((COUNTIFS(Таблица2[1],B102,Таблица2[T],"t")+SUMIFS(Таблица2[R],Таблица2[1],B102,Таблица2[T],"t"))/D102*100,"-")=0,"-",IFERROR((COUNTIFS(Таблица2[1],B102,Таблица2[T],"t")+SUMIFS(Таблица2[R],Таблица2[1],B102,Таблица2[T],"t"))/D102*100,"-"))</f>
        <v>-</v>
      </c>
      <c r="K102" s="76" t="str">
        <f>IF(SUMIFS(Таблица2[KO$],Таблица2[1],B102)=0,"-",SUMIFS(Таблица2[KO$],Таблица2[1],B102))</f>
        <v>-</v>
      </c>
      <c r="L102" s="76">
        <f>IF(SUMIFS(Таблица2[WIN$],Таблица2[1],B102)=0,"-",SUMIFS(Таблица2[WIN$],Таблица2[1],B102))</f>
        <v>6.47</v>
      </c>
      <c r="M102" s="76">
        <f t="shared" si="1"/>
        <v>5.3699999999999992</v>
      </c>
      <c r="N102" s="78">
        <f>IFERROR(Таблица46[[#This Row],[PROF]]/Таблица46[[#This Row],[Games]],"-")</f>
        <v>5.3699999999999992</v>
      </c>
    </row>
    <row r="103" spans="1:14" ht="11.1" customHeight="1" x14ac:dyDescent="0.25">
      <c r="A103" s="93">
        <f t="shared" si="2"/>
        <v>17</v>
      </c>
      <c r="B103" s="50" t="s">
        <v>159</v>
      </c>
      <c r="C103" s="51">
        <v>0.625</v>
      </c>
      <c r="D103" s="75">
        <f>IF(COUNTIFS(Таблица2[1],B103)+SUMIFS(Таблица2[R],Таблица2[1],B103)=0,"",COUNTIFS(Таблица2[1],B103)+SUMIFS(Таблица2[R],Таблица2[1],B103))</f>
        <v>1</v>
      </c>
      <c r="E103" s="76">
        <f>IF(SUMIFS(Таблица2[B$],Таблица2[1],B103)=0,"-",SUMIFS(Таблица2[B$],Таблица2[1],B103))</f>
        <v>1.1000000000000001</v>
      </c>
      <c r="F103" s="77">
        <f>IFERROR(AVERAGEIFS(Таблица2[AFS],Таблица2[1],B103)+(AVERAGEIFS(Таблица2[AFS],Таблица2[1],B103)*0.2),"-")</f>
        <v>218.18181818181819</v>
      </c>
      <c r="G103" s="77">
        <f t="shared" si="0"/>
        <v>-100</v>
      </c>
      <c r="H103" s="77">
        <f>IFERROR(COUNTIFS(Таблица2[1],B103,Таблица2[WIN$],"&gt;0")/D103*100,"-")</f>
        <v>0</v>
      </c>
      <c r="I103" s="77">
        <f>IF(IFERROR((COUNTIFS(Таблица2[1],B103,Таблица2[K],"K")+SUMIFS(Таблица2[R],Таблица2[1],B103,Таблица2[K],"K"))/D103*100,"-")=0,"-",IFERROR((COUNTIFS(Таблица2[1],B103,Таблица2[K],"K")+SUMIFS(Таблица2[R],Таблица2[1],B103,Таблица2[K],"K"))/D103*100,"-"))</f>
        <v>100</v>
      </c>
      <c r="J103" s="77" t="str">
        <f>IF(IFERROR((COUNTIFS(Таблица2[1],B103,Таблица2[T],"t")+SUMIFS(Таблица2[R],Таблица2[1],B103,Таблица2[T],"t"))/D103*100,"-")=0,"-",IFERROR((COUNTIFS(Таблица2[1],B103,Таблица2[T],"t")+SUMIFS(Таблица2[R],Таблица2[1],B103,Таблица2[T],"t"))/D103*100,"-"))</f>
        <v>-</v>
      </c>
      <c r="K103" s="76" t="str">
        <f>IF(SUMIFS(Таблица2[KO$],Таблица2[1],B103)=0,"-",SUMIFS(Таблица2[KO$],Таблица2[1],B103))</f>
        <v>-</v>
      </c>
      <c r="L103" s="76" t="str">
        <f>IF(SUMIFS(Таблица2[WIN$],Таблица2[1],B103)=0,"-",SUMIFS(Таблица2[WIN$],Таблица2[1],B103))</f>
        <v>-</v>
      </c>
      <c r="M103" s="76">
        <f t="shared" si="1"/>
        <v>-1.1000000000000001</v>
      </c>
      <c r="N103" s="78">
        <f>IFERROR(Таблица46[[#This Row],[PROF]]/Таблица46[[#This Row],[Games]],"-")</f>
        <v>-1.1000000000000001</v>
      </c>
    </row>
    <row r="104" spans="1:14" ht="11.1" customHeight="1" x14ac:dyDescent="0.25">
      <c r="A104" s="93">
        <f t="shared" si="2"/>
        <v>18</v>
      </c>
      <c r="B104" s="50" t="s">
        <v>160</v>
      </c>
      <c r="C104" s="51">
        <v>0.625</v>
      </c>
      <c r="D104" s="75">
        <f>IF(COUNTIFS(Таблица2[1],B104)+SUMIFS(Таблица2[R],Таблица2[1],B104)=0,"",COUNTIFS(Таблица2[1],B104)+SUMIFS(Таблица2[R],Таблица2[1],B104))</f>
        <v>1</v>
      </c>
      <c r="E104" s="76">
        <f>IF(SUMIFS(Таблица2[B$],Таблица2[1],B104)=0,"-",SUMIFS(Таблица2[B$],Таблица2[1],B104))</f>
        <v>1.1200000000000001</v>
      </c>
      <c r="F104" s="77">
        <f>IFERROR(AVERAGEIFS(Таблица2[AFS],Таблица2[1],B104)+(AVERAGEIFS(Таблица2[AFS],Таблица2[1],B104)*0.2),"-")</f>
        <v>300</v>
      </c>
      <c r="G104" s="77">
        <f t="shared" si="0"/>
        <v>-100</v>
      </c>
      <c r="H104" s="77">
        <f>IFERROR(COUNTIFS(Таблица2[1],B104,Таблица2[WIN$],"&gt;0")/D104*100,"-")</f>
        <v>0</v>
      </c>
      <c r="I104" s="77" t="str">
        <f>IF(IFERROR((COUNTIFS(Таблица2[1],B104,Таблица2[K],"K")+SUMIFS(Таблица2[R],Таблица2[1],B104,Таблица2[K],"K"))/D104*100,"-")=0,"-",IFERROR((COUNTIFS(Таблица2[1],B104,Таблица2[K],"K")+SUMIFS(Таблица2[R],Таблица2[1],B104,Таблица2[K],"K"))/D104*100,"-"))</f>
        <v>-</v>
      </c>
      <c r="J104" s="77" t="str">
        <f>IF(IFERROR((COUNTIFS(Таблица2[1],B104,Таблица2[T],"t")+SUMIFS(Таблица2[R],Таблица2[1],B104,Таблица2[T],"t"))/D104*100,"-")=0,"-",IFERROR((COUNTIFS(Таблица2[1],B104,Таблица2[T],"t")+SUMIFS(Таблица2[R],Таблица2[1],B104,Таблица2[T],"t"))/D104*100,"-"))</f>
        <v>-</v>
      </c>
      <c r="K104" s="76" t="str">
        <f>IF(SUMIFS(Таблица2[KO$],Таблица2[1],B104)=0,"-",SUMIFS(Таблица2[KO$],Таблица2[1],B104))</f>
        <v>-</v>
      </c>
      <c r="L104" s="76" t="str">
        <f>IF(SUMIFS(Таблица2[WIN$],Таблица2[1],B104)=0,"-",SUMIFS(Таблица2[WIN$],Таблица2[1],B104))</f>
        <v>-</v>
      </c>
      <c r="M104" s="76">
        <f t="shared" si="1"/>
        <v>-1.1200000000000001</v>
      </c>
      <c r="N104" s="78">
        <f>IFERROR(Таблица46[[#This Row],[PROF]]/Таблица46[[#This Row],[Games]],"-")</f>
        <v>-1.1200000000000001</v>
      </c>
    </row>
    <row r="105" spans="1:14" ht="11.1" customHeight="1" x14ac:dyDescent="0.25">
      <c r="A105" s="93">
        <f t="shared" si="2"/>
        <v>19</v>
      </c>
      <c r="B105" s="50" t="s">
        <v>161</v>
      </c>
      <c r="C105" s="51">
        <v>0.66666666666666663</v>
      </c>
      <c r="D105" s="75">
        <f>IF(COUNTIFS(Таблица2[1],B105)+SUMIFS(Таблица2[R],Таблица2[1],B105)=0,"",COUNTIFS(Таблица2[1],B105)+SUMIFS(Таблица2[R],Таблица2[1],B105))</f>
        <v>1</v>
      </c>
      <c r="E105" s="76">
        <f>IF(SUMIFS(Таблица2[B$],Таблица2[1],B105)=0,"-",SUMIFS(Таблица2[B$],Таблица2[1],B105))</f>
        <v>1</v>
      </c>
      <c r="F105" s="77">
        <f>IFERROR(AVERAGEIFS(Таблица2[AFS],Таблица2[1],B105)+(AVERAGEIFS(Таблица2[AFS],Таблица2[1],B105)*0.2),"-")</f>
        <v>360</v>
      </c>
      <c r="G105" s="77">
        <f t="shared" si="0"/>
        <v>-100</v>
      </c>
      <c r="H105" s="77">
        <f>IFERROR(COUNTIFS(Таблица2[1],B105,Таблица2[WIN$],"&gt;0")/D105*100,"-")</f>
        <v>0</v>
      </c>
      <c r="I105" s="77" t="str">
        <f>IF(IFERROR((COUNTIFS(Таблица2[1],B105,Таблица2[K],"K")+SUMIFS(Таблица2[R],Таблица2[1],B105,Таблица2[K],"K"))/D105*100,"-")=0,"-",IFERROR((COUNTIFS(Таблица2[1],B105,Таблица2[K],"K")+SUMIFS(Таблица2[R],Таблица2[1],B105,Таблица2[K],"K"))/D105*100,"-"))</f>
        <v>-</v>
      </c>
      <c r="J105" s="77" t="str">
        <f>IF(IFERROR((COUNTIFS(Таблица2[1],B105,Таблица2[T],"t")+SUMIFS(Таблица2[R],Таблица2[1],B105,Таблица2[T],"t"))/D105*100,"-")=0,"-",IFERROR((COUNTIFS(Таблица2[1],B105,Таблица2[T],"t")+SUMIFS(Таблица2[R],Таблица2[1],B105,Таблица2[T],"t"))/D105*100,"-"))</f>
        <v>-</v>
      </c>
      <c r="K105" s="76" t="str">
        <f>IF(SUMIFS(Таблица2[KO$],Таблица2[1],B105)=0,"-",SUMIFS(Таблица2[KO$],Таблица2[1],B105))</f>
        <v>-</v>
      </c>
      <c r="L105" s="76" t="str">
        <f>IF(SUMIFS(Таблица2[WIN$],Таблица2[1],B105)=0,"-",SUMIFS(Таблица2[WIN$],Таблица2[1],B105))</f>
        <v>-</v>
      </c>
      <c r="M105" s="76">
        <f t="shared" si="1"/>
        <v>-1</v>
      </c>
      <c r="N105" s="78">
        <f>IFERROR(Таблица46[[#This Row],[PROF]]/Таблица46[[#This Row],[Games]],"-")</f>
        <v>-1</v>
      </c>
    </row>
    <row r="106" spans="1:14" ht="11.1" customHeight="1" x14ac:dyDescent="0.25">
      <c r="A106" s="93">
        <f t="shared" si="2"/>
        <v>20</v>
      </c>
      <c r="B106" s="50" t="s">
        <v>116</v>
      </c>
      <c r="C106" s="51">
        <v>0.67708333333333337</v>
      </c>
      <c r="D106" s="75">
        <f>IF(COUNTIFS(Таблица2[1],B106)+SUMIFS(Таблица2[R],Таблица2[1],B106)=0,"",COUNTIFS(Таблица2[1],B106)+SUMIFS(Таблица2[R],Таблица2[1],B106))</f>
        <v>1</v>
      </c>
      <c r="E106" s="76">
        <f>IF(SUMIFS(Таблица2[B$],Таблица2[1],B106)=0,"-",SUMIFS(Таблица2[B$],Таблица2[1],B106))</f>
        <v>1.1000000000000001</v>
      </c>
      <c r="F106" s="77">
        <f>IFERROR(AVERAGEIFS(Таблица2[AFS],Таблица2[1],B106)+(AVERAGEIFS(Таблица2[AFS],Таблица2[1],B106)*0.2),"-")</f>
        <v>1636.3636363636363</v>
      </c>
      <c r="G106" s="77">
        <f t="shared" si="0"/>
        <v>260.90909090909088</v>
      </c>
      <c r="H106" s="77">
        <f>IFERROR(COUNTIFS(Таблица2[1],B106,Таблица2[WIN$],"&gt;0")/D106*100,"-")</f>
        <v>100</v>
      </c>
      <c r="I106" s="77" t="str">
        <f>IF(IFERROR((COUNTIFS(Таблица2[1],B106,Таблица2[K],"K")+SUMIFS(Таблица2[R],Таблица2[1],B106,Таблица2[K],"K"))/D106*100,"-")=0,"-",IFERROR((COUNTIFS(Таблица2[1],B106,Таблица2[K],"K")+SUMIFS(Таблица2[R],Таблица2[1],B106,Таблица2[K],"K"))/D106*100,"-"))</f>
        <v>-</v>
      </c>
      <c r="J106" s="77" t="str">
        <f>IF(IFERROR((COUNTIFS(Таблица2[1],B106,Таблица2[T],"t")+SUMIFS(Таблица2[R],Таблица2[1],B106,Таблица2[T],"t"))/D106*100,"-")=0,"-",IFERROR((COUNTIFS(Таблица2[1],B106,Таблица2[T],"t")+SUMIFS(Таблица2[R],Таблица2[1],B106,Таблица2[T],"t"))/D106*100,"-"))</f>
        <v>-</v>
      </c>
      <c r="K106" s="76" t="str">
        <f>IF(SUMIFS(Таблица2[KO$],Таблица2[1],B106)=0,"-",SUMIFS(Таблица2[KO$],Таблица2[1],B106))</f>
        <v>-</v>
      </c>
      <c r="L106" s="76">
        <f>IF(SUMIFS(Таблица2[WIN$],Таблица2[1],B106)=0,"-",SUMIFS(Таблица2[WIN$],Таблица2[1],B106))</f>
        <v>3.97</v>
      </c>
      <c r="M106" s="76">
        <f t="shared" si="1"/>
        <v>2.87</v>
      </c>
      <c r="N106" s="78">
        <f>IFERROR(Таблица46[[#This Row],[PROF]]/Таблица46[[#This Row],[Games]],"-")</f>
        <v>2.87</v>
      </c>
    </row>
    <row r="107" spans="1:14" ht="11.1" customHeight="1" x14ac:dyDescent="0.25">
      <c r="A107" s="93">
        <f t="shared" si="2"/>
        <v>21</v>
      </c>
      <c r="B107" s="50" t="s">
        <v>162</v>
      </c>
      <c r="C107" s="51">
        <v>0.67708333333333337</v>
      </c>
      <c r="D107" s="75">
        <f>IF(COUNTIFS(Таблица2[1],B107)+SUMIFS(Таблица2[R],Таблица2[1],B107)=0,"",COUNTIFS(Таблица2[1],B107)+SUMIFS(Таблица2[R],Таблица2[1],B107))</f>
        <v>1</v>
      </c>
      <c r="E107" s="76">
        <f>IF(SUMIFS(Таблица2[B$],Таблица2[1],B107)=0,"-",SUMIFS(Таблица2[B$],Таблица2[1],B107))</f>
        <v>1.1000000000000001</v>
      </c>
      <c r="F107" s="77">
        <f>IFERROR(AVERAGEIFS(Таблица2[AFS],Таблица2[1],B107)+(AVERAGEIFS(Таблица2[AFS],Таблица2[1],B107)*0.2),"-")</f>
        <v>327.27272727272725</v>
      </c>
      <c r="G107" s="77">
        <f t="shared" si="0"/>
        <v>-77.272727272727266</v>
      </c>
      <c r="H107" s="77">
        <f>IFERROR(COUNTIFS(Таблица2[1],B107,Таблица2[WIN$],"&gt;0")/D107*100,"-")</f>
        <v>0</v>
      </c>
      <c r="I107" s="77">
        <f>IF(IFERROR((COUNTIFS(Таблица2[1],B107,Таблица2[K],"K")+SUMIFS(Таблица2[R],Таблица2[1],B107,Таблица2[K],"K"))/D107*100,"-")=0,"-",IFERROR((COUNTIFS(Таблица2[1],B107,Таблица2[K],"K")+SUMIFS(Таблица2[R],Таблица2[1],B107,Таблица2[K],"K"))/D107*100,"-"))</f>
        <v>100</v>
      </c>
      <c r="J107" s="77" t="str">
        <f>IF(IFERROR((COUNTIFS(Таблица2[1],B107,Таблица2[T],"t")+SUMIFS(Таблица2[R],Таблица2[1],B107,Таблица2[T],"t"))/D107*100,"-")=0,"-",IFERROR((COUNTIFS(Таблица2[1],B107,Таблица2[T],"t")+SUMIFS(Таблица2[R],Таблица2[1],B107,Таблица2[T],"t"))/D107*100,"-"))</f>
        <v>-</v>
      </c>
      <c r="K107" s="76">
        <f>IF(SUMIFS(Таблица2[KO$],Таблица2[1],B107)=0,"-",SUMIFS(Таблица2[KO$],Таблица2[1],B107))</f>
        <v>0.25</v>
      </c>
      <c r="L107" s="76" t="str">
        <f>IF(SUMIFS(Таблица2[WIN$],Таблица2[1],B107)=0,"-",SUMIFS(Таблица2[WIN$],Таблица2[1],B107))</f>
        <v>-</v>
      </c>
      <c r="M107" s="76">
        <f t="shared" si="1"/>
        <v>-0.85000000000000009</v>
      </c>
      <c r="N107" s="78">
        <f>IFERROR(Таблица46[[#This Row],[PROF]]/Таблица46[[#This Row],[Games]],"-")</f>
        <v>-0.85000000000000009</v>
      </c>
    </row>
    <row r="108" spans="1:14" ht="11.1" customHeight="1" x14ac:dyDescent="0.25">
      <c r="A108" s="93">
        <f t="shared" si="2"/>
        <v>22</v>
      </c>
      <c r="B108" s="50" t="s">
        <v>117</v>
      </c>
      <c r="C108" s="51">
        <v>0.6875</v>
      </c>
      <c r="D108" s="75">
        <f>IF(COUNTIFS(Таблица2[1],B108)+SUMIFS(Таблица2[R],Таблица2[1],B108)=0,"",COUNTIFS(Таблица2[1],B108)+SUMIFS(Таблица2[R],Таблица2[1],B108))</f>
        <v>1</v>
      </c>
      <c r="E108" s="76">
        <f>IF(SUMIFS(Таблица2[B$],Таблица2[1],B108)=0,"-",SUMIFS(Таблица2[B$],Таблица2[1],B108))</f>
        <v>2.2000000000000002</v>
      </c>
      <c r="F108" s="77">
        <f>IFERROR(AVERAGEIFS(Таблица2[AFS],Таблица2[1],B108)+(AVERAGEIFS(Таблица2[AFS],Таблица2[1],B108)*0.2),"-")</f>
        <v>272.72727272727269</v>
      </c>
      <c r="G108" s="77">
        <f t="shared" si="0"/>
        <v>-100</v>
      </c>
      <c r="H108" s="77">
        <f>IFERROR(COUNTIFS(Таблица2[1],B108,Таблица2[WIN$],"&gt;0")/D108*100,"-")</f>
        <v>0</v>
      </c>
      <c r="I108" s="77" t="str">
        <f>IF(IFERROR((COUNTIFS(Таблица2[1],B108,Таблица2[K],"K")+SUMIFS(Таблица2[R],Таблица2[1],B108,Таблица2[K],"K"))/D108*100,"-")=0,"-",IFERROR((COUNTIFS(Таблица2[1],B108,Таблица2[K],"K")+SUMIFS(Таблица2[R],Таблица2[1],B108,Таблица2[K],"K"))/D108*100,"-"))</f>
        <v>-</v>
      </c>
      <c r="J108" s="77" t="str">
        <f>IF(IFERROR((COUNTIFS(Таблица2[1],B108,Таблица2[T],"t")+SUMIFS(Таблица2[R],Таблица2[1],B108,Таблица2[T],"t"))/D108*100,"-")=0,"-",IFERROR((COUNTIFS(Таблица2[1],B108,Таблица2[T],"t")+SUMIFS(Таблица2[R],Таблица2[1],B108,Таблица2[T],"t"))/D108*100,"-"))</f>
        <v>-</v>
      </c>
      <c r="K108" s="76" t="str">
        <f>IF(SUMIFS(Таблица2[KO$],Таблица2[1],B108)=0,"-",SUMIFS(Таблица2[KO$],Таблица2[1],B108))</f>
        <v>-</v>
      </c>
      <c r="L108" s="76" t="str">
        <f>IF(SUMIFS(Таблица2[WIN$],Таблица2[1],B108)=0,"-",SUMIFS(Таблица2[WIN$],Таблица2[1],B108))</f>
        <v>-</v>
      </c>
      <c r="M108" s="76">
        <f t="shared" si="1"/>
        <v>-2.2000000000000002</v>
      </c>
      <c r="N108" s="78">
        <f>IFERROR(Таблица46[[#This Row],[PROF]]/Таблица46[[#This Row],[Games]],"-")</f>
        <v>-2.2000000000000002</v>
      </c>
    </row>
    <row r="109" spans="1:14" ht="11.1" customHeight="1" x14ac:dyDescent="0.25">
      <c r="A109" s="93">
        <f t="shared" si="2"/>
        <v>23</v>
      </c>
      <c r="B109" s="50"/>
      <c r="C109" s="51" t="e">
        <v>#DIV/0!</v>
      </c>
      <c r="D109" s="75" t="str">
        <f>IF(COUNTIFS(Таблица2[1],B109)+SUMIFS(Таблица2[R],Таблица2[1],B109)=0,"",COUNTIFS(Таблица2[1],B109)+SUMIFS(Таблица2[R],Таблица2[1],B109))</f>
        <v/>
      </c>
      <c r="E109" s="76" t="str">
        <f>IF(SUMIFS(Таблица2[B$],Таблица2[1],B109)=0,"-",SUMIFS(Таблица2[B$],Таблица2[1],B109))</f>
        <v>-</v>
      </c>
      <c r="F109" s="77" t="str">
        <f>IFERROR(AVERAGEIFS(Таблица2[AFS],Таблица2[1],B109)+(AVERAGEIFS(Таблица2[AFS],Таблица2[1],B109)*0.2),"-")</f>
        <v>-</v>
      </c>
      <c r="G109" s="77" t="str">
        <f t="shared" si="0"/>
        <v>-</v>
      </c>
      <c r="H109" s="77" t="str">
        <f>IFERROR(COUNTIFS(Таблица2[1],B109,Таблица2[WIN$],"&gt;0")/D109*100,"-")</f>
        <v>-</v>
      </c>
      <c r="I109" s="77" t="str">
        <f>IF(IFERROR((COUNTIFS(Таблица2[1],B109,Таблица2[K],"K")+SUMIFS(Таблица2[R],Таблица2[1],B109,Таблица2[K],"K"))/D109*100,"-")=0,"-",IFERROR((COUNTIFS(Таблица2[1],B109,Таблица2[K],"K")+SUMIFS(Таблица2[R],Таблица2[1],B109,Таблица2[K],"K"))/D109*100,"-"))</f>
        <v>-</v>
      </c>
      <c r="J109" s="77" t="str">
        <f>IF(IFERROR((COUNTIFS(Таблица2[1],B109,Таблица2[T],"t")+SUMIFS(Таблица2[R],Таблица2[1],B109,Таблица2[T],"t"))/D109*100,"-")=0,"-",IFERROR((COUNTIFS(Таблица2[1],B109,Таблица2[T],"t")+SUMIFS(Таблица2[R],Таблица2[1],B109,Таблица2[T],"t"))/D109*100,"-"))</f>
        <v>-</v>
      </c>
      <c r="K109" s="76" t="str">
        <f>IF(SUMIFS(Таблица2[KO$],Таблица2[1],B109)=0,"-",SUMIFS(Таблица2[KO$],Таблица2[1],B109))</f>
        <v>-</v>
      </c>
      <c r="L109" s="76" t="str">
        <f>IF(SUMIFS(Таблица2[WIN$],Таблица2[1],B109)=0,"-",SUMIFS(Таблица2[WIN$],Таблица2[1],B109))</f>
        <v>-</v>
      </c>
      <c r="M109" s="76" t="str">
        <f t="shared" si="1"/>
        <v>-</v>
      </c>
      <c r="N109" s="78" t="str">
        <f>IFERROR(Таблица46[[#This Row],[PROF]]/Таблица46[[#This Row],[Games]],"-")</f>
        <v>-</v>
      </c>
    </row>
    <row r="110" spans="1:14" ht="11.1" customHeight="1" x14ac:dyDescent="0.25">
      <c r="A110" s="93">
        <f t="shared" si="2"/>
        <v>24</v>
      </c>
      <c r="B110" s="113"/>
      <c r="C110"/>
      <c r="D110" s="75" t="str">
        <f>IF(COUNTIFS(Таблица2[1],B110)+SUMIFS(Таблица2[R],Таблица2[1],B110)=0,"",COUNTIFS(Таблица2[1],B110)+SUMIFS(Таблица2[R],Таблица2[1],B110))</f>
        <v/>
      </c>
      <c r="E110" s="76" t="str">
        <f>IF(SUMIFS(Таблица2[B$],Таблица2[1],B110)=0,"-",SUMIFS(Таблица2[B$],Таблица2[1],B110))</f>
        <v>-</v>
      </c>
      <c r="F110" s="77" t="str">
        <f>IFERROR(AVERAGEIFS(Таблица2[AFS],Таблица2[1],B110)+(AVERAGEIFS(Таблица2[AFS],Таблица2[1],B110)*0.2),"-")</f>
        <v>-</v>
      </c>
      <c r="G110" s="77" t="str">
        <f t="shared" si="0"/>
        <v>-</v>
      </c>
      <c r="H110" s="77" t="str">
        <f>IFERROR(COUNTIFS(Таблица2[1],B110,Таблица2[WIN$],"&gt;0")/D110*100,"-")</f>
        <v>-</v>
      </c>
      <c r="I110" s="77" t="str">
        <f>IF(IFERROR((COUNTIFS(Таблица2[1],B110,Таблица2[K],"K")+SUMIFS(Таблица2[R],Таблица2[1],B110,Таблица2[K],"K"))/D110*100,"-")=0,"-",IFERROR((COUNTIFS(Таблица2[1],B110,Таблица2[K],"K")+SUMIFS(Таблица2[R],Таблица2[1],B110,Таблица2[K],"K"))/D110*100,"-"))</f>
        <v>-</v>
      </c>
      <c r="J110" s="77" t="str">
        <f>IF(IFERROR((COUNTIFS(Таблица2[1],B110,Таблица2[T],"t")+SUMIFS(Таблица2[R],Таблица2[1],B110,Таблица2[T],"t"))/D110*100,"-")=0,"-",IFERROR((COUNTIFS(Таблица2[1],B110,Таблица2[T],"t")+SUMIFS(Таблица2[R],Таблица2[1],B110,Таблица2[T],"t"))/D110*100,"-"))</f>
        <v>-</v>
      </c>
      <c r="K110" s="76" t="str">
        <f>IF(SUMIFS(Таблица2[KO$],Таблица2[1],B110)=0,"-",SUMIFS(Таблица2[KO$],Таблица2[1],B110))</f>
        <v>-</v>
      </c>
      <c r="L110" s="76" t="str">
        <f>IF(SUMIFS(Таблица2[WIN$],Таблица2[1],B110)=0,"-",SUMIFS(Таблица2[WIN$],Таблица2[1],B110))</f>
        <v>-</v>
      </c>
      <c r="M110" s="76" t="str">
        <f t="shared" si="1"/>
        <v>-</v>
      </c>
      <c r="N110" s="78" t="str">
        <f>IFERROR(Таблица46[[#This Row],[PROF]]/Таблица46[[#This Row],[Games]],"-")</f>
        <v>-</v>
      </c>
    </row>
    <row r="111" spans="1:14" ht="11.1" customHeight="1" x14ac:dyDescent="0.25">
      <c r="A111" s="93">
        <f t="shared" si="2"/>
        <v>25</v>
      </c>
      <c r="B111" s="113"/>
      <c r="C111"/>
      <c r="D111" s="75" t="str">
        <f>IF(COUNTIFS(Таблица2[1],B111)+SUMIFS(Таблица2[R],Таблица2[1],B111)=0,"",COUNTIFS(Таблица2[1],B111)+SUMIFS(Таблица2[R],Таблица2[1],B111))</f>
        <v/>
      </c>
      <c r="E111" s="76" t="str">
        <f>IF(SUMIFS(Таблица2[B$],Таблица2[1],B111)=0,"-",SUMIFS(Таблица2[B$],Таблица2[1],B111))</f>
        <v>-</v>
      </c>
      <c r="F111" s="77" t="str">
        <f>IFERROR(AVERAGEIFS(Таблица2[AFS],Таблица2[1],B111)+(AVERAGEIFS(Таблица2[AFS],Таблица2[1],B111)*0.2),"-")</f>
        <v>-</v>
      </c>
      <c r="G111" s="77" t="str">
        <f t="shared" si="0"/>
        <v>-</v>
      </c>
      <c r="H111" s="77" t="str">
        <f>IFERROR(COUNTIFS(Таблица2[1],B111,Таблица2[WIN$],"&gt;0")/D111*100,"-")</f>
        <v>-</v>
      </c>
      <c r="I111" s="77" t="str">
        <f>IF(IFERROR((COUNTIFS(Таблица2[1],B111,Таблица2[K],"K")+SUMIFS(Таблица2[R],Таблица2[1],B111,Таблица2[K],"K"))/D111*100,"-")=0,"-",IFERROR((COUNTIFS(Таблица2[1],B111,Таблица2[K],"K")+SUMIFS(Таблица2[R],Таблица2[1],B111,Таблица2[K],"K"))/D111*100,"-"))</f>
        <v>-</v>
      </c>
      <c r="J111" s="77" t="str">
        <f>IF(IFERROR((COUNTIFS(Таблица2[1],B111,Таблица2[T],"t")+SUMIFS(Таблица2[R],Таблица2[1],B111,Таблица2[T],"t"))/D111*100,"-")=0,"-",IFERROR((COUNTIFS(Таблица2[1],B111,Таблица2[T],"t")+SUMIFS(Таблица2[R],Таблица2[1],B111,Таблица2[T],"t"))/D111*100,"-"))</f>
        <v>-</v>
      </c>
      <c r="K111" s="76" t="str">
        <f>IF(SUMIFS(Таблица2[KO$],Таблица2[1],B111)=0,"-",SUMIFS(Таблица2[KO$],Таблица2[1],B111))</f>
        <v>-</v>
      </c>
      <c r="L111" s="76" t="str">
        <f>IF(SUMIFS(Таблица2[WIN$],Таблица2[1],B111)=0,"-",SUMIFS(Таблица2[WIN$],Таблица2[1],B111))</f>
        <v>-</v>
      </c>
      <c r="M111" s="76" t="str">
        <f t="shared" si="1"/>
        <v>-</v>
      </c>
      <c r="N111" s="78" t="str">
        <f>IFERROR(Таблица46[[#This Row],[PROF]]/Таблица46[[#This Row],[Games]],"-")</f>
        <v>-</v>
      </c>
    </row>
    <row r="112" spans="1:14" ht="11.1" customHeight="1" x14ac:dyDescent="0.25">
      <c r="A112" s="93">
        <f t="shared" si="2"/>
        <v>26</v>
      </c>
      <c r="B112" s="113"/>
      <c r="C112"/>
      <c r="D112" s="75" t="str">
        <f>IF(COUNTIFS(Таблица2[1],B112)+SUMIFS(Таблица2[R],Таблица2[1],B112)=0,"",COUNTIFS(Таблица2[1],B112)+SUMIFS(Таблица2[R],Таблица2[1],B112))</f>
        <v/>
      </c>
      <c r="E112" s="76" t="str">
        <f>IF(SUMIFS(Таблица2[B$],Таблица2[1],B112)=0,"-",SUMIFS(Таблица2[B$],Таблица2[1],B112))</f>
        <v>-</v>
      </c>
      <c r="F112" s="77" t="str">
        <f>IFERROR(AVERAGEIFS(Таблица2[AFS],Таблица2[1],B112)+(AVERAGEIFS(Таблица2[AFS],Таблица2[1],B112)*0.2),"-")</f>
        <v>-</v>
      </c>
      <c r="G112" s="77" t="str">
        <f t="shared" si="0"/>
        <v>-</v>
      </c>
      <c r="H112" s="77" t="str">
        <f>IFERROR(COUNTIFS(Таблица2[1],B112,Таблица2[WIN$],"&gt;0")/D112*100,"-")</f>
        <v>-</v>
      </c>
      <c r="I112" s="77" t="str">
        <f>IF(IFERROR((COUNTIFS(Таблица2[1],B112,Таблица2[K],"K")+SUMIFS(Таблица2[R],Таблица2[1],B112,Таблица2[K],"K"))/D112*100,"-")=0,"-",IFERROR((COUNTIFS(Таблица2[1],B112,Таблица2[K],"K")+SUMIFS(Таблица2[R],Таблица2[1],B112,Таблица2[K],"K"))/D112*100,"-"))</f>
        <v>-</v>
      </c>
      <c r="J112" s="77" t="str">
        <f>IF(IFERROR((COUNTIFS(Таблица2[1],B112,Таблица2[T],"t")+SUMIFS(Таблица2[R],Таблица2[1],B112,Таблица2[T],"t"))/D112*100,"-")=0,"-",IFERROR((COUNTIFS(Таблица2[1],B112,Таблица2[T],"t")+SUMIFS(Таблица2[R],Таблица2[1],B112,Таблица2[T],"t"))/D112*100,"-"))</f>
        <v>-</v>
      </c>
      <c r="K112" s="76" t="str">
        <f>IF(SUMIFS(Таблица2[KO$],Таблица2[1],B112)=0,"-",SUMIFS(Таблица2[KO$],Таблица2[1],B112))</f>
        <v>-</v>
      </c>
      <c r="L112" s="76" t="str">
        <f>IF(SUMIFS(Таблица2[WIN$],Таблица2[1],B112)=0,"-",SUMIFS(Таблица2[WIN$],Таблица2[1],B112))</f>
        <v>-</v>
      </c>
      <c r="M112" s="76" t="str">
        <f t="shared" si="1"/>
        <v>-</v>
      </c>
      <c r="N112" s="78" t="str">
        <f>IFERROR(Таблица46[[#This Row],[PROF]]/Таблица46[[#This Row],[Games]],"-")</f>
        <v>-</v>
      </c>
    </row>
    <row r="113" spans="1:14" ht="11.1" customHeight="1" x14ac:dyDescent="0.25">
      <c r="A113" s="93">
        <f t="shared" si="2"/>
        <v>27</v>
      </c>
      <c r="B113" s="113"/>
      <c r="C113"/>
      <c r="D113" s="75" t="str">
        <f>IF(COUNTIFS(Таблица2[1],B113)+SUMIFS(Таблица2[R],Таблица2[1],B113)=0,"",COUNTIFS(Таблица2[1],B113)+SUMIFS(Таблица2[R],Таблица2[1],B113))</f>
        <v/>
      </c>
      <c r="E113" s="76" t="str">
        <f>IF(SUMIFS(Таблица2[B$],Таблица2[1],B113)=0,"-",SUMIFS(Таблица2[B$],Таблица2[1],B113))</f>
        <v>-</v>
      </c>
      <c r="F113" s="77" t="str">
        <f>IFERROR(AVERAGEIFS(Таблица2[AFS],Таблица2[1],B113)+(AVERAGEIFS(Таблица2[AFS],Таблица2[1],B113)*0.2),"-")</f>
        <v>-</v>
      </c>
      <c r="G113" s="77" t="str">
        <f t="shared" si="0"/>
        <v>-</v>
      </c>
      <c r="H113" s="77" t="str">
        <f>IFERROR(COUNTIFS(Таблица2[1],B113,Таблица2[WIN$],"&gt;0")/D113*100,"-")</f>
        <v>-</v>
      </c>
      <c r="I113" s="77" t="str">
        <f>IF(IFERROR((COUNTIFS(Таблица2[1],B113,Таблица2[K],"K")+SUMIFS(Таблица2[R],Таблица2[1],B113,Таблица2[K],"K"))/D113*100,"-")=0,"-",IFERROR((COUNTIFS(Таблица2[1],B113,Таблица2[K],"K")+SUMIFS(Таблица2[R],Таблица2[1],B113,Таблица2[K],"K"))/D113*100,"-"))</f>
        <v>-</v>
      </c>
      <c r="J113" s="77" t="str">
        <f>IF(IFERROR((COUNTIFS(Таблица2[1],B113,Таблица2[T],"t")+SUMIFS(Таблица2[R],Таблица2[1],B113,Таблица2[T],"t"))/D113*100,"-")=0,"-",IFERROR((COUNTIFS(Таблица2[1],B113,Таблица2[T],"t")+SUMIFS(Таблица2[R],Таблица2[1],B113,Таблица2[T],"t"))/D113*100,"-"))</f>
        <v>-</v>
      </c>
      <c r="K113" s="76" t="str">
        <f>IF(SUMIFS(Таблица2[KO$],Таблица2[1],B113)=0,"-",SUMIFS(Таблица2[KO$],Таблица2[1],B113))</f>
        <v>-</v>
      </c>
      <c r="L113" s="76" t="str">
        <f>IF(SUMIFS(Таблица2[WIN$],Таблица2[1],B113)=0,"-",SUMIFS(Таблица2[WIN$],Таблица2[1],B113))</f>
        <v>-</v>
      </c>
      <c r="M113" s="76" t="str">
        <f t="shared" si="1"/>
        <v>-</v>
      </c>
      <c r="N113" s="78" t="str">
        <f>IFERROR(Таблица46[[#This Row],[PROF]]/Таблица46[[#This Row],[Games]],"-")</f>
        <v>-</v>
      </c>
    </row>
    <row r="114" spans="1:14" ht="11.1" customHeight="1" x14ac:dyDescent="0.25">
      <c r="A114" s="93">
        <f t="shared" si="2"/>
        <v>28</v>
      </c>
      <c r="B114" s="113"/>
      <c r="C114"/>
      <c r="D114" s="75" t="str">
        <f>IF(COUNTIFS(Таблица2[1],B114)+SUMIFS(Таблица2[R],Таблица2[1],B114)=0,"",COUNTIFS(Таблица2[1],B114)+SUMIFS(Таблица2[R],Таблица2[1],B114))</f>
        <v/>
      </c>
      <c r="E114" s="76" t="str">
        <f>IF(SUMIFS(Таблица2[B$],Таблица2[1],B114)=0,"-",SUMIFS(Таблица2[B$],Таблица2[1],B114))</f>
        <v>-</v>
      </c>
      <c r="F114" s="77" t="str">
        <f>IFERROR(AVERAGEIFS(Таблица2[AFS],Таблица2[1],B114)+(AVERAGEIFS(Таблица2[AFS],Таблица2[1],B114)*0.2),"-")</f>
        <v>-</v>
      </c>
      <c r="G114" s="77" t="str">
        <f t="shared" si="0"/>
        <v>-</v>
      </c>
      <c r="H114" s="77" t="str">
        <f>IFERROR(COUNTIFS(Таблица2[1],B114,Таблица2[WIN$],"&gt;0")/D114*100,"-")</f>
        <v>-</v>
      </c>
      <c r="I114" s="77" t="str">
        <f>IF(IFERROR((COUNTIFS(Таблица2[1],B114,Таблица2[K],"K")+SUMIFS(Таблица2[R],Таблица2[1],B114,Таблица2[K],"K"))/D114*100,"-")=0,"-",IFERROR((COUNTIFS(Таблица2[1],B114,Таблица2[K],"K")+SUMIFS(Таблица2[R],Таблица2[1],B114,Таблица2[K],"K"))/D114*100,"-"))</f>
        <v>-</v>
      </c>
      <c r="J114" s="77" t="str">
        <f>IF(IFERROR((COUNTIFS(Таблица2[1],B114,Таблица2[T],"t")+SUMIFS(Таблица2[R],Таблица2[1],B114,Таблица2[T],"t"))/D114*100,"-")=0,"-",IFERROR((COUNTIFS(Таблица2[1],B114,Таблица2[T],"t")+SUMIFS(Таблица2[R],Таблица2[1],B114,Таблица2[T],"t"))/D114*100,"-"))</f>
        <v>-</v>
      </c>
      <c r="K114" s="76" t="str">
        <f>IF(SUMIFS(Таблица2[KO$],Таблица2[1],B114)=0,"-",SUMIFS(Таблица2[KO$],Таблица2[1],B114))</f>
        <v>-</v>
      </c>
      <c r="L114" s="76" t="str">
        <f>IF(SUMIFS(Таблица2[WIN$],Таблица2[1],B114)=0,"-",SUMIFS(Таблица2[WIN$],Таблица2[1],B114))</f>
        <v>-</v>
      </c>
      <c r="M114" s="76" t="str">
        <f t="shared" si="1"/>
        <v>-</v>
      </c>
      <c r="N114" s="78" t="str">
        <f>IFERROR(Таблица46[[#This Row],[PROF]]/Таблица46[[#This Row],[Games]],"-")</f>
        <v>-</v>
      </c>
    </row>
    <row r="115" spans="1:14" ht="11.1" customHeight="1" x14ac:dyDescent="0.25">
      <c r="A115" s="93">
        <f t="shared" si="2"/>
        <v>29</v>
      </c>
      <c r="B115" s="113"/>
      <c r="C115"/>
      <c r="D115" s="75" t="str">
        <f>IF(COUNTIFS(Таблица2[1],B115)+SUMIFS(Таблица2[R],Таблица2[1],B115)=0,"",COUNTIFS(Таблица2[1],B115)+SUMIFS(Таблица2[R],Таблица2[1],B115))</f>
        <v/>
      </c>
      <c r="E115" s="76" t="str">
        <f>IF(SUMIFS(Таблица2[B$],Таблица2[1],B115)=0,"-",SUMIFS(Таблица2[B$],Таблица2[1],B115))</f>
        <v>-</v>
      </c>
      <c r="F115" s="77" t="str">
        <f>IFERROR(AVERAGEIFS(Таблица2[AFS],Таблица2[1],B115)+(AVERAGEIFS(Таблица2[AFS],Таблица2[1],B115)*0.2),"-")</f>
        <v>-</v>
      </c>
      <c r="G115" s="77" t="str">
        <f t="shared" si="0"/>
        <v>-</v>
      </c>
      <c r="H115" s="77" t="str">
        <f>IFERROR(COUNTIFS(Таблица2[1],B115,Таблица2[WIN$],"&gt;0")/D115*100,"-")</f>
        <v>-</v>
      </c>
      <c r="I115" s="77" t="str">
        <f>IF(IFERROR((COUNTIFS(Таблица2[1],B115,Таблица2[K],"K")+SUMIFS(Таблица2[R],Таблица2[1],B115,Таблица2[K],"K"))/D115*100,"-")=0,"-",IFERROR((COUNTIFS(Таблица2[1],B115,Таблица2[K],"K")+SUMIFS(Таблица2[R],Таблица2[1],B115,Таблица2[K],"K"))/D115*100,"-"))</f>
        <v>-</v>
      </c>
      <c r="J115" s="77" t="str">
        <f>IF(IFERROR((COUNTIFS(Таблица2[1],B115,Таблица2[T],"t")+SUMIFS(Таблица2[R],Таблица2[1],B115,Таблица2[T],"t"))/D115*100,"-")=0,"-",IFERROR((COUNTIFS(Таблица2[1],B115,Таблица2[T],"t")+SUMIFS(Таблица2[R],Таблица2[1],B115,Таблица2[T],"t"))/D115*100,"-"))</f>
        <v>-</v>
      </c>
      <c r="K115" s="76" t="str">
        <f>IF(SUMIFS(Таблица2[KO$],Таблица2[1],B115)=0,"-",SUMIFS(Таблица2[KO$],Таблица2[1],B115))</f>
        <v>-</v>
      </c>
      <c r="L115" s="76" t="str">
        <f>IF(SUMIFS(Таблица2[WIN$],Таблица2[1],B115)=0,"-",SUMIFS(Таблица2[WIN$],Таблица2[1],B115))</f>
        <v>-</v>
      </c>
      <c r="M115" s="76" t="str">
        <f t="shared" si="1"/>
        <v>-</v>
      </c>
      <c r="N115" s="78" t="str">
        <f>IFERROR(Таблица46[[#This Row],[PROF]]/Таблица46[[#This Row],[Games]],"-")</f>
        <v>-</v>
      </c>
    </row>
    <row r="116" spans="1:14" ht="11.1" customHeight="1" x14ac:dyDescent="0.25">
      <c r="A116" s="93">
        <f t="shared" si="2"/>
        <v>30</v>
      </c>
      <c r="B116" s="113"/>
      <c r="C116"/>
      <c r="D116" s="75" t="str">
        <f>IF(COUNTIFS(Таблица2[1],B116)+SUMIFS(Таблица2[R],Таблица2[1],B116)=0,"",COUNTIFS(Таблица2[1],B116)+SUMIFS(Таблица2[R],Таблица2[1],B116))</f>
        <v/>
      </c>
      <c r="E116" s="76" t="str">
        <f>IF(SUMIFS(Таблица2[B$],Таблица2[1],B116)=0,"-",SUMIFS(Таблица2[B$],Таблица2[1],B116))</f>
        <v>-</v>
      </c>
      <c r="F116" s="77" t="str">
        <f>IFERROR(AVERAGEIFS(Таблица2[AFS],Таблица2[1],B116)+(AVERAGEIFS(Таблица2[AFS],Таблица2[1],B116)*0.2),"-")</f>
        <v>-</v>
      </c>
      <c r="G116" s="77" t="str">
        <f t="shared" si="0"/>
        <v>-</v>
      </c>
      <c r="H116" s="77" t="str">
        <f>IFERROR(COUNTIFS(Таблица2[1],B116,Таблица2[WIN$],"&gt;0")/D116*100,"-")</f>
        <v>-</v>
      </c>
      <c r="I116" s="77" t="str">
        <f>IF(IFERROR((COUNTIFS(Таблица2[1],B116,Таблица2[K],"K")+SUMIFS(Таблица2[R],Таблица2[1],B116,Таблица2[K],"K"))/D116*100,"-")=0,"-",IFERROR((COUNTIFS(Таблица2[1],B116,Таблица2[K],"K")+SUMIFS(Таблица2[R],Таблица2[1],B116,Таблица2[K],"K"))/D116*100,"-"))</f>
        <v>-</v>
      </c>
      <c r="J116" s="77" t="str">
        <f>IF(IFERROR((COUNTIFS(Таблица2[1],B116,Таблица2[T],"t")+SUMIFS(Таблица2[R],Таблица2[1],B116,Таблица2[T],"t"))/D116*100,"-")=0,"-",IFERROR((COUNTIFS(Таблица2[1],B116,Таблица2[T],"t")+SUMIFS(Таблица2[R],Таблица2[1],B116,Таблица2[T],"t"))/D116*100,"-"))</f>
        <v>-</v>
      </c>
      <c r="K116" s="76" t="str">
        <f>IF(SUMIFS(Таблица2[KO$],Таблица2[1],B116)=0,"-",SUMIFS(Таблица2[KO$],Таблица2[1],B116))</f>
        <v>-</v>
      </c>
      <c r="L116" s="76" t="str">
        <f>IF(SUMIFS(Таблица2[WIN$],Таблица2[1],B116)=0,"-",SUMIFS(Таблица2[WIN$],Таблица2[1],B116))</f>
        <v>-</v>
      </c>
      <c r="M116" s="76" t="str">
        <f t="shared" si="1"/>
        <v>-</v>
      </c>
      <c r="N116" s="78" t="str">
        <f>IFERROR(Таблица46[[#This Row],[PROF]]/Таблица46[[#This Row],[Games]],"-")</f>
        <v>-</v>
      </c>
    </row>
    <row r="117" spans="1:14" ht="11.1" customHeight="1" x14ac:dyDescent="0.25">
      <c r="A117" s="93">
        <f t="shared" si="2"/>
        <v>31</v>
      </c>
      <c r="B117" s="113"/>
      <c r="C117"/>
      <c r="D117" s="75" t="str">
        <f>IF(COUNTIFS(Таблица2[1],B117)+SUMIFS(Таблица2[R],Таблица2[1],B117)=0,"",COUNTIFS(Таблица2[1],B117)+SUMIFS(Таблица2[R],Таблица2[1],B117))</f>
        <v/>
      </c>
      <c r="E117" s="76" t="str">
        <f>IF(SUMIFS(Таблица2[B$],Таблица2[1],B117)=0,"-",SUMIFS(Таблица2[B$],Таблица2[1],B117))</f>
        <v>-</v>
      </c>
      <c r="F117" s="77" t="str">
        <f>IFERROR(AVERAGEIFS(Таблица2[AFS],Таблица2[1],B117)+(AVERAGEIFS(Таблица2[AFS],Таблица2[1],B117)*0.2),"-")</f>
        <v>-</v>
      </c>
      <c r="G117" s="77" t="str">
        <f t="shared" si="0"/>
        <v>-</v>
      </c>
      <c r="H117" s="77" t="str">
        <f>IFERROR(COUNTIFS(Таблица2[1],B117,Таблица2[WIN$],"&gt;0")/D117*100,"-")</f>
        <v>-</v>
      </c>
      <c r="I117" s="77" t="str">
        <f>IF(IFERROR((COUNTIFS(Таблица2[1],B117,Таблица2[K],"K")+SUMIFS(Таблица2[R],Таблица2[1],B117,Таблица2[K],"K"))/D117*100,"-")=0,"-",IFERROR((COUNTIFS(Таблица2[1],B117,Таблица2[K],"K")+SUMIFS(Таблица2[R],Таблица2[1],B117,Таблица2[K],"K"))/D117*100,"-"))</f>
        <v>-</v>
      </c>
      <c r="J117" s="77" t="str">
        <f>IF(IFERROR((COUNTIFS(Таблица2[1],B117,Таблица2[T],"t")+SUMIFS(Таблица2[R],Таблица2[1],B117,Таблица2[T],"t"))/D117*100,"-")=0,"-",IFERROR((COUNTIFS(Таблица2[1],B117,Таблица2[T],"t")+SUMIFS(Таблица2[R],Таблица2[1],B117,Таблица2[T],"t"))/D117*100,"-"))</f>
        <v>-</v>
      </c>
      <c r="K117" s="76" t="str">
        <f>IF(SUMIFS(Таблица2[KO$],Таблица2[1],B117)=0,"-",SUMIFS(Таблица2[KO$],Таблица2[1],B117))</f>
        <v>-</v>
      </c>
      <c r="L117" s="76" t="str">
        <f>IF(SUMIFS(Таблица2[WIN$],Таблица2[1],B117)=0,"-",SUMIFS(Таблица2[WIN$],Таблица2[1],B117))</f>
        <v>-</v>
      </c>
      <c r="M117" s="76" t="str">
        <f t="shared" si="1"/>
        <v>-</v>
      </c>
      <c r="N117" s="78" t="str">
        <f>IFERROR(Таблица46[[#This Row],[PROF]]/Таблица46[[#This Row],[Games]],"-")</f>
        <v>-</v>
      </c>
    </row>
    <row r="118" spans="1:14" ht="11.1" customHeight="1" x14ac:dyDescent="0.25">
      <c r="A118" s="93">
        <f t="shared" si="2"/>
        <v>32</v>
      </c>
      <c r="B118" s="113"/>
      <c r="C118"/>
      <c r="D118" s="75" t="str">
        <f>IF(COUNTIFS(Таблица2[1],B118)+SUMIFS(Таблица2[R],Таблица2[1],B118)=0,"",COUNTIFS(Таблица2[1],B118)+SUMIFS(Таблица2[R],Таблица2[1],B118))</f>
        <v/>
      </c>
      <c r="E118" s="76" t="str">
        <f>IF(SUMIFS(Таблица2[B$],Таблица2[1],B118)=0,"-",SUMIFS(Таблица2[B$],Таблица2[1],B118))</f>
        <v>-</v>
      </c>
      <c r="F118" s="77" t="str">
        <f>IFERROR(AVERAGEIFS(Таблица2[AFS],Таблица2[1],B118)+(AVERAGEIFS(Таблица2[AFS],Таблица2[1],B118)*0.2),"-")</f>
        <v>-</v>
      </c>
      <c r="G118" s="77" t="str">
        <f t="shared" si="0"/>
        <v>-</v>
      </c>
      <c r="H118" s="77" t="str">
        <f>IFERROR(COUNTIFS(Таблица2[1],B118,Таблица2[WIN$],"&gt;0")/D118*100,"-")</f>
        <v>-</v>
      </c>
      <c r="I118" s="77" t="str">
        <f>IF(IFERROR((COUNTIFS(Таблица2[1],B118,Таблица2[K],"K")+SUMIFS(Таблица2[R],Таблица2[1],B118,Таблица2[K],"K"))/D118*100,"-")=0,"-",IFERROR((COUNTIFS(Таблица2[1],B118,Таблица2[K],"K")+SUMIFS(Таблица2[R],Таблица2[1],B118,Таблица2[K],"K"))/D118*100,"-"))</f>
        <v>-</v>
      </c>
      <c r="J118" s="77" t="str">
        <f>IF(IFERROR((COUNTIFS(Таблица2[1],B118,Таблица2[T],"t")+SUMIFS(Таблица2[R],Таблица2[1],B118,Таблица2[T],"t"))/D118*100,"-")=0,"-",IFERROR((COUNTIFS(Таблица2[1],B118,Таблица2[T],"t")+SUMIFS(Таблица2[R],Таблица2[1],B118,Таблица2[T],"t"))/D118*100,"-"))</f>
        <v>-</v>
      </c>
      <c r="K118" s="76" t="str">
        <f>IF(SUMIFS(Таблица2[KO$],Таблица2[1],B118)=0,"-",SUMIFS(Таблица2[KO$],Таблица2[1],B118))</f>
        <v>-</v>
      </c>
      <c r="L118" s="76" t="str">
        <f>IF(SUMIFS(Таблица2[WIN$],Таблица2[1],B118)=0,"-",SUMIFS(Таблица2[WIN$],Таблица2[1],B118))</f>
        <v>-</v>
      </c>
      <c r="M118" s="76" t="str">
        <f t="shared" si="1"/>
        <v>-</v>
      </c>
      <c r="N118" s="78" t="str">
        <f>IFERROR(Таблица46[[#This Row],[PROF]]/Таблица46[[#This Row],[Games]],"-")</f>
        <v>-</v>
      </c>
    </row>
    <row r="119" spans="1:14" ht="11.1" customHeight="1" x14ac:dyDescent="0.25">
      <c r="A119" s="93">
        <f t="shared" si="2"/>
        <v>33</v>
      </c>
      <c r="B119" s="113"/>
      <c r="C119"/>
      <c r="D119" s="75" t="str">
        <f>IF(COUNTIFS(Таблица2[1],B119)+SUMIFS(Таблица2[R],Таблица2[1],B119)=0,"",COUNTIFS(Таблица2[1],B119)+SUMIFS(Таблица2[R],Таблица2[1],B119))</f>
        <v/>
      </c>
      <c r="E119" s="76" t="str">
        <f>IF(SUMIFS(Таблица2[B$],Таблица2[1],B119)=0,"-",SUMIFS(Таблица2[B$],Таблица2[1],B119))</f>
        <v>-</v>
      </c>
      <c r="F119" s="77" t="str">
        <f>IFERROR(AVERAGEIFS(Таблица2[AFS],Таблица2[1],B119)+(AVERAGEIFS(Таблица2[AFS],Таблица2[1],B119)*0.2),"-")</f>
        <v>-</v>
      </c>
      <c r="G119" s="77" t="str">
        <f t="shared" ref="G119:G150" si="3">IFERROR(M119/E119*100,"-")</f>
        <v>-</v>
      </c>
      <c r="H119" s="77" t="str">
        <f>IFERROR(COUNTIFS(Таблица2[1],B119,Таблица2[WIN$],"&gt;0")/D119*100,"-")</f>
        <v>-</v>
      </c>
      <c r="I119" s="77" t="str">
        <f>IF(IFERROR((COUNTIFS(Таблица2[1],B119,Таблица2[K],"K")+SUMIFS(Таблица2[R],Таблица2[1],B119,Таблица2[K],"K"))/D119*100,"-")=0,"-",IFERROR((COUNTIFS(Таблица2[1],B119,Таблица2[K],"K")+SUMIFS(Таблица2[R],Таблица2[1],B119,Таблица2[K],"K"))/D119*100,"-"))</f>
        <v>-</v>
      </c>
      <c r="J119" s="77" t="str">
        <f>IF(IFERROR((COUNTIFS(Таблица2[1],B119,Таблица2[T],"t")+SUMIFS(Таблица2[R],Таблица2[1],B119,Таблица2[T],"t"))/D119*100,"-")=0,"-",IFERROR((COUNTIFS(Таблица2[1],B119,Таблица2[T],"t")+SUMIFS(Таблица2[R],Таблица2[1],B119,Таблица2[T],"t"))/D119*100,"-"))</f>
        <v>-</v>
      </c>
      <c r="K119" s="76" t="str">
        <f>IF(SUMIFS(Таблица2[KO$],Таблица2[1],B119)=0,"-",SUMIFS(Таблица2[KO$],Таблица2[1],B119))</f>
        <v>-</v>
      </c>
      <c r="L119" s="76" t="str">
        <f>IF(SUMIFS(Таблица2[WIN$],Таблица2[1],B119)=0,"-",SUMIFS(Таблица2[WIN$],Таблица2[1],B119))</f>
        <v>-</v>
      </c>
      <c r="M119" s="76" t="str">
        <f t="shared" ref="M119:M150" si="4">IFERROR(IF(L119="-",0,L119)+IF(K119="-",0,K119)-E119,"-")</f>
        <v>-</v>
      </c>
      <c r="N119" s="78" t="str">
        <f>IFERROR(Таблица46[[#This Row],[PROF]]/Таблица46[[#This Row],[Games]],"-")</f>
        <v>-</v>
      </c>
    </row>
    <row r="120" spans="1:14" ht="11.1" customHeight="1" x14ac:dyDescent="0.25">
      <c r="A120" s="93">
        <f t="shared" si="2"/>
        <v>34</v>
      </c>
      <c r="B120" s="113"/>
      <c r="C120"/>
      <c r="D120" s="75" t="str">
        <f>IF(COUNTIFS(Таблица2[1],B120)+SUMIFS(Таблица2[R],Таблица2[1],B120)=0,"",COUNTIFS(Таблица2[1],B120)+SUMIFS(Таблица2[R],Таблица2[1],B120))</f>
        <v/>
      </c>
      <c r="E120" s="76" t="str">
        <f>IF(SUMIFS(Таблица2[B$],Таблица2[1],B120)=0,"-",SUMIFS(Таблица2[B$],Таблица2[1],B120))</f>
        <v>-</v>
      </c>
      <c r="F120" s="77" t="str">
        <f>IFERROR(AVERAGEIFS(Таблица2[AFS],Таблица2[1],B120)+(AVERAGEIFS(Таблица2[AFS],Таблица2[1],B120)*0.2),"-")</f>
        <v>-</v>
      </c>
      <c r="G120" s="77" t="str">
        <f t="shared" si="3"/>
        <v>-</v>
      </c>
      <c r="H120" s="77" t="str">
        <f>IFERROR(COUNTIFS(Таблица2[1],B120,Таблица2[WIN$],"&gt;0")/D120*100,"-")</f>
        <v>-</v>
      </c>
      <c r="I120" s="77" t="str">
        <f>IF(IFERROR((COUNTIFS(Таблица2[1],B120,Таблица2[K],"K")+SUMIFS(Таблица2[R],Таблица2[1],B120,Таблица2[K],"K"))/D120*100,"-")=0,"-",IFERROR((COUNTIFS(Таблица2[1],B120,Таблица2[K],"K")+SUMIFS(Таблица2[R],Таблица2[1],B120,Таблица2[K],"K"))/D120*100,"-"))</f>
        <v>-</v>
      </c>
      <c r="J120" s="77" t="str">
        <f>IF(IFERROR((COUNTIFS(Таблица2[1],B120,Таблица2[T],"t")+SUMIFS(Таблица2[R],Таблица2[1],B120,Таблица2[T],"t"))/D120*100,"-")=0,"-",IFERROR((COUNTIFS(Таблица2[1],B120,Таблица2[T],"t")+SUMIFS(Таблица2[R],Таблица2[1],B120,Таблица2[T],"t"))/D120*100,"-"))</f>
        <v>-</v>
      </c>
      <c r="K120" s="76" t="str">
        <f>IF(SUMIFS(Таблица2[KO$],Таблица2[1],B120)=0,"-",SUMIFS(Таблица2[KO$],Таблица2[1],B120))</f>
        <v>-</v>
      </c>
      <c r="L120" s="76" t="str">
        <f>IF(SUMIFS(Таблица2[WIN$],Таблица2[1],B120)=0,"-",SUMIFS(Таблица2[WIN$],Таблица2[1],B120))</f>
        <v>-</v>
      </c>
      <c r="M120" s="76" t="str">
        <f t="shared" si="4"/>
        <v>-</v>
      </c>
      <c r="N120" s="78" t="str">
        <f>IFERROR(Таблица46[[#This Row],[PROF]]/Таблица46[[#This Row],[Games]],"-")</f>
        <v>-</v>
      </c>
    </row>
    <row r="121" spans="1:14" ht="11.1" customHeight="1" x14ac:dyDescent="0.25">
      <c r="A121" s="93">
        <f t="shared" si="2"/>
        <v>35</v>
      </c>
      <c r="B121" s="113"/>
      <c r="C121"/>
      <c r="D121" s="75" t="str">
        <f>IF(COUNTIFS(Таблица2[1],B121)+SUMIFS(Таблица2[R],Таблица2[1],B121)=0,"",COUNTIFS(Таблица2[1],B121)+SUMIFS(Таблица2[R],Таблица2[1],B121))</f>
        <v/>
      </c>
      <c r="E121" s="76" t="str">
        <f>IF(SUMIFS(Таблица2[B$],Таблица2[1],B121)=0,"-",SUMIFS(Таблица2[B$],Таблица2[1],B121))</f>
        <v>-</v>
      </c>
      <c r="F121" s="77" t="str">
        <f>IFERROR(AVERAGEIFS(Таблица2[AFS],Таблица2[1],B121)+(AVERAGEIFS(Таблица2[AFS],Таблица2[1],B121)*0.2),"-")</f>
        <v>-</v>
      </c>
      <c r="G121" s="77" t="str">
        <f t="shared" si="3"/>
        <v>-</v>
      </c>
      <c r="H121" s="77" t="str">
        <f>IFERROR(COUNTIFS(Таблица2[1],B121,Таблица2[WIN$],"&gt;0")/D121*100,"-")</f>
        <v>-</v>
      </c>
      <c r="I121" s="77" t="str">
        <f>IF(IFERROR((COUNTIFS(Таблица2[1],B121,Таблица2[K],"K")+SUMIFS(Таблица2[R],Таблица2[1],B121,Таблица2[K],"K"))/D121*100,"-")=0,"-",IFERROR((COUNTIFS(Таблица2[1],B121,Таблица2[K],"K")+SUMIFS(Таблица2[R],Таблица2[1],B121,Таблица2[K],"K"))/D121*100,"-"))</f>
        <v>-</v>
      </c>
      <c r="J121" s="77" t="str">
        <f>IF(IFERROR((COUNTIFS(Таблица2[1],B121,Таблица2[T],"t")+SUMIFS(Таблица2[R],Таблица2[1],B121,Таблица2[T],"t"))/D121*100,"-")=0,"-",IFERROR((COUNTIFS(Таблица2[1],B121,Таблица2[T],"t")+SUMIFS(Таблица2[R],Таблица2[1],B121,Таблица2[T],"t"))/D121*100,"-"))</f>
        <v>-</v>
      </c>
      <c r="K121" s="76" t="str">
        <f>IF(SUMIFS(Таблица2[KO$],Таблица2[1],B121)=0,"-",SUMIFS(Таблица2[KO$],Таблица2[1],B121))</f>
        <v>-</v>
      </c>
      <c r="L121" s="76" t="str">
        <f>IF(SUMIFS(Таблица2[WIN$],Таблица2[1],B121)=0,"-",SUMIFS(Таблица2[WIN$],Таблица2[1],B121))</f>
        <v>-</v>
      </c>
      <c r="M121" s="76" t="str">
        <f t="shared" si="4"/>
        <v>-</v>
      </c>
      <c r="N121" s="78" t="str">
        <f>IFERROR(Таблица46[[#This Row],[PROF]]/Таблица46[[#This Row],[Games]],"-")</f>
        <v>-</v>
      </c>
    </row>
    <row r="122" spans="1:14" ht="11.1" customHeight="1" x14ac:dyDescent="0.25">
      <c r="A122" s="93">
        <f t="shared" si="2"/>
        <v>36</v>
      </c>
      <c r="B122" s="113"/>
      <c r="C122"/>
      <c r="D122" s="75" t="str">
        <f>IF(COUNTIFS(Таблица2[1],B122)+SUMIFS(Таблица2[R],Таблица2[1],B122)=0,"",COUNTIFS(Таблица2[1],B122)+SUMIFS(Таблица2[R],Таблица2[1],B122))</f>
        <v/>
      </c>
      <c r="E122" s="76" t="str">
        <f>IF(SUMIFS(Таблица2[B$],Таблица2[1],B122)=0,"-",SUMIFS(Таблица2[B$],Таблица2[1],B122))</f>
        <v>-</v>
      </c>
      <c r="F122" s="77" t="str">
        <f>IFERROR(AVERAGEIFS(Таблица2[AFS],Таблица2[1],B122)+(AVERAGEIFS(Таблица2[AFS],Таблица2[1],B122)*0.2),"-")</f>
        <v>-</v>
      </c>
      <c r="G122" s="77" t="str">
        <f t="shared" si="3"/>
        <v>-</v>
      </c>
      <c r="H122" s="77" t="str">
        <f>IFERROR(COUNTIFS(Таблица2[1],B122,Таблица2[WIN$],"&gt;0")/D122*100,"-")</f>
        <v>-</v>
      </c>
      <c r="I122" s="77" t="str">
        <f>IF(IFERROR((COUNTIFS(Таблица2[1],B122,Таблица2[K],"K")+SUMIFS(Таблица2[R],Таблица2[1],B122,Таблица2[K],"K"))/D122*100,"-")=0,"-",IFERROR((COUNTIFS(Таблица2[1],B122,Таблица2[K],"K")+SUMIFS(Таблица2[R],Таблица2[1],B122,Таблица2[K],"K"))/D122*100,"-"))</f>
        <v>-</v>
      </c>
      <c r="J122" s="77" t="str">
        <f>IF(IFERROR((COUNTIFS(Таблица2[1],B122,Таблица2[T],"t")+SUMIFS(Таблица2[R],Таблица2[1],B122,Таблица2[T],"t"))/D122*100,"-")=0,"-",IFERROR((COUNTIFS(Таблица2[1],B122,Таблица2[T],"t")+SUMIFS(Таблица2[R],Таблица2[1],B122,Таблица2[T],"t"))/D122*100,"-"))</f>
        <v>-</v>
      </c>
      <c r="K122" s="76" t="str">
        <f>IF(SUMIFS(Таблица2[KO$],Таблица2[1],B122)=0,"-",SUMIFS(Таблица2[KO$],Таблица2[1],B122))</f>
        <v>-</v>
      </c>
      <c r="L122" s="76" t="str">
        <f>IF(SUMIFS(Таблица2[WIN$],Таблица2[1],B122)=0,"-",SUMIFS(Таблица2[WIN$],Таблица2[1],B122))</f>
        <v>-</v>
      </c>
      <c r="M122" s="76" t="str">
        <f t="shared" si="4"/>
        <v>-</v>
      </c>
      <c r="N122" s="78" t="str">
        <f>IFERROR(Таблица46[[#This Row],[PROF]]/Таблица46[[#This Row],[Games]],"-")</f>
        <v>-</v>
      </c>
    </row>
    <row r="123" spans="1:14" ht="11.1" customHeight="1" x14ac:dyDescent="0.25">
      <c r="A123" s="93">
        <f t="shared" si="2"/>
        <v>37</v>
      </c>
      <c r="B123" s="113"/>
      <c r="C123"/>
      <c r="D123" s="75" t="str">
        <f>IF(COUNTIFS(Таблица2[1],B123)+SUMIFS(Таблица2[R],Таблица2[1],B123)=0,"",COUNTIFS(Таблица2[1],B123)+SUMIFS(Таблица2[R],Таблица2[1],B123))</f>
        <v/>
      </c>
      <c r="E123" s="76" t="str">
        <f>IF(SUMIFS(Таблица2[B$],Таблица2[1],B123)=0,"-",SUMIFS(Таблица2[B$],Таблица2[1],B123))</f>
        <v>-</v>
      </c>
      <c r="F123" s="77" t="str">
        <f>IFERROR(AVERAGEIFS(Таблица2[AFS],Таблица2[1],B123)+(AVERAGEIFS(Таблица2[AFS],Таблица2[1],B123)*0.2),"-")</f>
        <v>-</v>
      </c>
      <c r="G123" s="77" t="str">
        <f t="shared" si="3"/>
        <v>-</v>
      </c>
      <c r="H123" s="77" t="str">
        <f>IFERROR(COUNTIFS(Таблица2[1],B123,Таблица2[WIN$],"&gt;0")/D123*100,"-")</f>
        <v>-</v>
      </c>
      <c r="I123" s="77" t="str">
        <f>IF(IFERROR((COUNTIFS(Таблица2[1],B123,Таблица2[K],"K")+SUMIFS(Таблица2[R],Таблица2[1],B123,Таблица2[K],"K"))/D123*100,"-")=0,"-",IFERROR((COUNTIFS(Таблица2[1],B123,Таблица2[K],"K")+SUMIFS(Таблица2[R],Таблица2[1],B123,Таблица2[K],"K"))/D123*100,"-"))</f>
        <v>-</v>
      </c>
      <c r="J123" s="77" t="str">
        <f>IF(IFERROR((COUNTIFS(Таблица2[1],B123,Таблица2[T],"t")+SUMIFS(Таблица2[R],Таблица2[1],B123,Таблица2[T],"t"))/D123*100,"-")=0,"-",IFERROR((COUNTIFS(Таблица2[1],B123,Таблица2[T],"t")+SUMIFS(Таблица2[R],Таблица2[1],B123,Таблица2[T],"t"))/D123*100,"-"))</f>
        <v>-</v>
      </c>
      <c r="K123" s="76" t="str">
        <f>IF(SUMIFS(Таблица2[KO$],Таблица2[1],B123)=0,"-",SUMIFS(Таблица2[KO$],Таблица2[1],B123))</f>
        <v>-</v>
      </c>
      <c r="L123" s="76" t="str">
        <f>IF(SUMIFS(Таблица2[WIN$],Таблица2[1],B123)=0,"-",SUMIFS(Таблица2[WIN$],Таблица2[1],B123))</f>
        <v>-</v>
      </c>
      <c r="M123" s="76" t="str">
        <f t="shared" si="4"/>
        <v>-</v>
      </c>
      <c r="N123" s="78" t="str">
        <f>IFERROR(Таблица46[[#This Row],[PROF]]/Таблица46[[#This Row],[Games]],"-")</f>
        <v>-</v>
      </c>
    </row>
    <row r="124" spans="1:14" ht="11.1" customHeight="1" x14ac:dyDescent="0.25">
      <c r="A124" s="93">
        <f t="shared" si="2"/>
        <v>38</v>
      </c>
      <c r="B124" s="113"/>
      <c r="C124"/>
      <c r="D124" s="75" t="str">
        <f>IF(COUNTIFS(Таблица2[1],B124)+SUMIFS(Таблица2[R],Таблица2[1],B124)=0,"",COUNTIFS(Таблица2[1],B124)+SUMIFS(Таблица2[R],Таблица2[1],B124))</f>
        <v/>
      </c>
      <c r="E124" s="76" t="str">
        <f>IF(SUMIFS(Таблица2[B$],Таблица2[1],B124)=0,"-",SUMIFS(Таблица2[B$],Таблица2[1],B124))</f>
        <v>-</v>
      </c>
      <c r="F124" s="77" t="str">
        <f>IFERROR(AVERAGEIFS(Таблица2[AFS],Таблица2[1],B124)+(AVERAGEIFS(Таблица2[AFS],Таблица2[1],B124)*0.2),"-")</f>
        <v>-</v>
      </c>
      <c r="G124" s="77" t="str">
        <f t="shared" si="3"/>
        <v>-</v>
      </c>
      <c r="H124" s="77" t="str">
        <f>IFERROR(COUNTIFS(Таблица2[1],B124,Таблица2[WIN$],"&gt;0")/D124*100,"-")</f>
        <v>-</v>
      </c>
      <c r="I124" s="77" t="str">
        <f>IF(IFERROR((COUNTIFS(Таблица2[1],B124,Таблица2[K],"K")+SUMIFS(Таблица2[R],Таблица2[1],B124,Таблица2[K],"K"))/D124*100,"-")=0,"-",IFERROR((COUNTIFS(Таблица2[1],B124,Таблица2[K],"K")+SUMIFS(Таблица2[R],Таблица2[1],B124,Таблица2[K],"K"))/D124*100,"-"))</f>
        <v>-</v>
      </c>
      <c r="J124" s="77" t="str">
        <f>IF(IFERROR((COUNTIFS(Таблица2[1],B124,Таблица2[T],"t")+SUMIFS(Таблица2[R],Таблица2[1],B124,Таблица2[T],"t"))/D124*100,"-")=0,"-",IFERROR((COUNTIFS(Таблица2[1],B124,Таблица2[T],"t")+SUMIFS(Таблица2[R],Таблица2[1],B124,Таблица2[T],"t"))/D124*100,"-"))</f>
        <v>-</v>
      </c>
      <c r="K124" s="76" t="str">
        <f>IF(SUMIFS(Таблица2[KO$],Таблица2[1],B124)=0,"-",SUMIFS(Таблица2[KO$],Таблица2[1],B124))</f>
        <v>-</v>
      </c>
      <c r="L124" s="76" t="str">
        <f>IF(SUMIFS(Таблица2[WIN$],Таблица2[1],B124)=0,"-",SUMIFS(Таблица2[WIN$],Таблица2[1],B124))</f>
        <v>-</v>
      </c>
      <c r="M124" s="76" t="str">
        <f t="shared" si="4"/>
        <v>-</v>
      </c>
      <c r="N124" s="78" t="str">
        <f>IFERROR(Таблица46[[#This Row],[PROF]]/Таблица46[[#This Row],[Games]],"-")</f>
        <v>-</v>
      </c>
    </row>
    <row r="125" spans="1:14" ht="11.1" customHeight="1" x14ac:dyDescent="0.25">
      <c r="A125" s="93">
        <f t="shared" si="2"/>
        <v>39</v>
      </c>
      <c r="B125" s="113"/>
      <c r="C125"/>
      <c r="D125" s="75" t="str">
        <f>IF(COUNTIFS(Таблица2[1],B125)+SUMIFS(Таблица2[R],Таблица2[1],B125)=0,"",COUNTIFS(Таблица2[1],B125)+SUMIFS(Таблица2[R],Таблица2[1],B125))</f>
        <v/>
      </c>
      <c r="E125" s="76" t="str">
        <f>IF(SUMIFS(Таблица2[B$],Таблица2[1],B125)=0,"-",SUMIFS(Таблица2[B$],Таблица2[1],B125))</f>
        <v>-</v>
      </c>
      <c r="F125" s="77" t="str">
        <f>IFERROR(AVERAGEIFS(Таблица2[AFS],Таблица2[1],B125)+(AVERAGEIFS(Таблица2[AFS],Таблица2[1],B125)*0.2),"-")</f>
        <v>-</v>
      </c>
      <c r="G125" s="77" t="str">
        <f t="shared" si="3"/>
        <v>-</v>
      </c>
      <c r="H125" s="77" t="str">
        <f>IFERROR(COUNTIFS(Таблица2[1],B125,Таблица2[WIN$],"&gt;0")/D125*100,"-")</f>
        <v>-</v>
      </c>
      <c r="I125" s="77" t="str">
        <f>IF(IFERROR((COUNTIFS(Таблица2[1],B125,Таблица2[K],"K")+SUMIFS(Таблица2[R],Таблица2[1],B125,Таблица2[K],"K"))/D125*100,"-")=0,"-",IFERROR((COUNTIFS(Таблица2[1],B125,Таблица2[K],"K")+SUMIFS(Таблица2[R],Таблица2[1],B125,Таблица2[K],"K"))/D125*100,"-"))</f>
        <v>-</v>
      </c>
      <c r="J125" s="77" t="str">
        <f>IF(IFERROR((COUNTIFS(Таблица2[1],B125,Таблица2[T],"t")+SUMIFS(Таблица2[R],Таблица2[1],B125,Таблица2[T],"t"))/D125*100,"-")=0,"-",IFERROR((COUNTIFS(Таблица2[1],B125,Таблица2[T],"t")+SUMIFS(Таблица2[R],Таблица2[1],B125,Таблица2[T],"t"))/D125*100,"-"))</f>
        <v>-</v>
      </c>
      <c r="K125" s="76" t="str">
        <f>IF(SUMIFS(Таблица2[KO$],Таблица2[1],B125)=0,"-",SUMIFS(Таблица2[KO$],Таблица2[1],B125))</f>
        <v>-</v>
      </c>
      <c r="L125" s="76" t="str">
        <f>IF(SUMIFS(Таблица2[WIN$],Таблица2[1],B125)=0,"-",SUMIFS(Таблица2[WIN$],Таблица2[1],B125))</f>
        <v>-</v>
      </c>
      <c r="M125" s="76" t="str">
        <f t="shared" si="4"/>
        <v>-</v>
      </c>
      <c r="N125" s="78" t="str">
        <f>IFERROR(Таблица46[[#This Row],[PROF]]/Таблица46[[#This Row],[Games]],"-")</f>
        <v>-</v>
      </c>
    </row>
    <row r="126" spans="1:14" ht="11.1" customHeight="1" x14ac:dyDescent="0.25">
      <c r="A126" s="93">
        <f t="shared" si="2"/>
        <v>40</v>
      </c>
      <c r="B126" s="113"/>
      <c r="C126"/>
      <c r="D126" s="75" t="str">
        <f>IF(COUNTIFS(Таблица2[1],B126)+SUMIFS(Таблица2[R],Таблица2[1],B126)=0,"",COUNTIFS(Таблица2[1],B126)+SUMIFS(Таблица2[R],Таблица2[1],B126))</f>
        <v/>
      </c>
      <c r="E126" s="76" t="str">
        <f>IF(SUMIFS(Таблица2[B$],Таблица2[1],B126)=0,"-",SUMIFS(Таблица2[B$],Таблица2[1],B126))</f>
        <v>-</v>
      </c>
      <c r="F126" s="77" t="str">
        <f>IFERROR(AVERAGEIFS(Таблица2[AFS],Таблица2[1],B126)+(AVERAGEIFS(Таблица2[AFS],Таблица2[1],B126)*0.2),"-")</f>
        <v>-</v>
      </c>
      <c r="G126" s="77" t="str">
        <f t="shared" si="3"/>
        <v>-</v>
      </c>
      <c r="H126" s="77" t="str">
        <f>IFERROR(COUNTIFS(Таблица2[1],B126,Таблица2[WIN$],"&gt;0")/D126*100,"-")</f>
        <v>-</v>
      </c>
      <c r="I126" s="77" t="str">
        <f>IF(IFERROR((COUNTIFS(Таблица2[1],B126,Таблица2[K],"K")+SUMIFS(Таблица2[R],Таблица2[1],B126,Таблица2[K],"K"))/D126*100,"-")=0,"-",IFERROR((COUNTIFS(Таблица2[1],B126,Таблица2[K],"K")+SUMIFS(Таблица2[R],Таблица2[1],B126,Таблица2[K],"K"))/D126*100,"-"))</f>
        <v>-</v>
      </c>
      <c r="J126" s="77" t="str">
        <f>IF(IFERROR((COUNTIFS(Таблица2[1],B126,Таблица2[T],"t")+SUMIFS(Таблица2[R],Таблица2[1],B126,Таблица2[T],"t"))/D126*100,"-")=0,"-",IFERROR((COUNTIFS(Таблица2[1],B126,Таблица2[T],"t")+SUMIFS(Таблица2[R],Таблица2[1],B126,Таблица2[T],"t"))/D126*100,"-"))</f>
        <v>-</v>
      </c>
      <c r="K126" s="76" t="str">
        <f>IF(SUMIFS(Таблица2[KO$],Таблица2[1],B126)=0,"-",SUMIFS(Таблица2[KO$],Таблица2[1],B126))</f>
        <v>-</v>
      </c>
      <c r="L126" s="76" t="str">
        <f>IF(SUMIFS(Таблица2[WIN$],Таблица2[1],B126)=0,"-",SUMIFS(Таблица2[WIN$],Таблица2[1],B126))</f>
        <v>-</v>
      </c>
      <c r="M126" s="76" t="str">
        <f t="shared" si="4"/>
        <v>-</v>
      </c>
      <c r="N126" s="78" t="str">
        <f>IFERROR(Таблица46[[#This Row],[PROF]]/Таблица46[[#This Row],[Games]],"-")</f>
        <v>-</v>
      </c>
    </row>
    <row r="127" spans="1:14" ht="11.1" customHeight="1" x14ac:dyDescent="0.25">
      <c r="A127" s="93">
        <f t="shared" si="2"/>
        <v>41</v>
      </c>
      <c r="B127" s="113"/>
      <c r="C127"/>
      <c r="D127" s="75" t="str">
        <f>IF(COUNTIFS(Таблица2[1],B127)+SUMIFS(Таблица2[R],Таблица2[1],B127)=0,"",COUNTIFS(Таблица2[1],B127)+SUMIFS(Таблица2[R],Таблица2[1],B127))</f>
        <v/>
      </c>
      <c r="E127" s="76" t="str">
        <f>IF(SUMIFS(Таблица2[B$],Таблица2[1],B127)=0,"-",SUMIFS(Таблица2[B$],Таблица2[1],B127))</f>
        <v>-</v>
      </c>
      <c r="F127" s="77" t="str">
        <f>IFERROR(AVERAGEIFS(Таблица2[AFS],Таблица2[1],B127)+(AVERAGEIFS(Таблица2[AFS],Таблица2[1],B127)*0.2),"-")</f>
        <v>-</v>
      </c>
      <c r="G127" s="77" t="str">
        <f t="shared" si="3"/>
        <v>-</v>
      </c>
      <c r="H127" s="77" t="str">
        <f>IFERROR(COUNTIFS(Таблица2[1],B127,Таблица2[WIN$],"&gt;0")/D127*100,"-")</f>
        <v>-</v>
      </c>
      <c r="I127" s="77" t="str">
        <f>IF(IFERROR((COUNTIFS(Таблица2[1],B127,Таблица2[K],"K")+SUMIFS(Таблица2[R],Таблица2[1],B127,Таблица2[K],"K"))/D127*100,"-")=0,"-",IFERROR((COUNTIFS(Таблица2[1],B127,Таблица2[K],"K")+SUMIFS(Таблица2[R],Таблица2[1],B127,Таблица2[K],"K"))/D127*100,"-"))</f>
        <v>-</v>
      </c>
      <c r="J127" s="77" t="str">
        <f>IF(IFERROR((COUNTIFS(Таблица2[1],B127,Таблица2[T],"t")+SUMIFS(Таблица2[R],Таблица2[1],B127,Таблица2[T],"t"))/D127*100,"-")=0,"-",IFERROR((COUNTIFS(Таблица2[1],B127,Таблица2[T],"t")+SUMIFS(Таблица2[R],Таблица2[1],B127,Таблица2[T],"t"))/D127*100,"-"))</f>
        <v>-</v>
      </c>
      <c r="K127" s="76" t="str">
        <f>IF(SUMIFS(Таблица2[KO$],Таблица2[1],B127)=0,"-",SUMIFS(Таблица2[KO$],Таблица2[1],B127))</f>
        <v>-</v>
      </c>
      <c r="L127" s="76" t="str">
        <f>IF(SUMIFS(Таблица2[WIN$],Таблица2[1],B127)=0,"-",SUMIFS(Таблица2[WIN$],Таблица2[1],B127))</f>
        <v>-</v>
      </c>
      <c r="M127" s="76" t="str">
        <f t="shared" si="4"/>
        <v>-</v>
      </c>
      <c r="N127" s="78" t="str">
        <f>IFERROR(Таблица46[[#This Row],[PROF]]/Таблица46[[#This Row],[Games]],"-")</f>
        <v>-</v>
      </c>
    </row>
    <row r="128" spans="1:14" ht="11.1" customHeight="1" x14ac:dyDescent="0.25">
      <c r="A128" s="93">
        <f t="shared" si="2"/>
        <v>42</v>
      </c>
      <c r="B128" s="113"/>
      <c r="C128"/>
      <c r="D128" s="75" t="str">
        <f>IF(COUNTIFS(Таблица2[1],B128)+SUMIFS(Таблица2[R],Таблица2[1],B128)=0,"",COUNTIFS(Таблица2[1],B128)+SUMIFS(Таблица2[R],Таблица2[1],B128))</f>
        <v/>
      </c>
      <c r="E128" s="76" t="str">
        <f>IF(SUMIFS(Таблица2[B$],Таблица2[1],B128)=0,"-",SUMIFS(Таблица2[B$],Таблица2[1],B128))</f>
        <v>-</v>
      </c>
      <c r="F128" s="77" t="str">
        <f>IFERROR(AVERAGEIFS(Таблица2[AFS],Таблица2[1],B128)+(AVERAGEIFS(Таблица2[AFS],Таблица2[1],B128)*0.2),"-")</f>
        <v>-</v>
      </c>
      <c r="G128" s="77" t="str">
        <f t="shared" si="3"/>
        <v>-</v>
      </c>
      <c r="H128" s="77" t="str">
        <f>IFERROR(COUNTIFS(Таблица2[1],B128,Таблица2[WIN$],"&gt;0")/D128*100,"-")</f>
        <v>-</v>
      </c>
      <c r="I128" s="77" t="str">
        <f>IF(IFERROR((COUNTIFS(Таблица2[1],B128,Таблица2[K],"K")+SUMIFS(Таблица2[R],Таблица2[1],B128,Таблица2[K],"K"))/D128*100,"-")=0,"-",IFERROR((COUNTIFS(Таблица2[1],B128,Таблица2[K],"K")+SUMIFS(Таблица2[R],Таблица2[1],B128,Таблица2[K],"K"))/D128*100,"-"))</f>
        <v>-</v>
      </c>
      <c r="J128" s="77" t="str">
        <f>IF(IFERROR((COUNTIFS(Таблица2[1],B128,Таблица2[T],"t")+SUMIFS(Таблица2[R],Таблица2[1],B128,Таблица2[T],"t"))/D128*100,"-")=0,"-",IFERROR((COUNTIFS(Таблица2[1],B128,Таблица2[T],"t")+SUMIFS(Таблица2[R],Таблица2[1],B128,Таблица2[T],"t"))/D128*100,"-"))</f>
        <v>-</v>
      </c>
      <c r="K128" s="76" t="str">
        <f>IF(SUMIFS(Таблица2[KO$],Таблица2[1],B128)=0,"-",SUMIFS(Таблица2[KO$],Таблица2[1],B128))</f>
        <v>-</v>
      </c>
      <c r="L128" s="76" t="str">
        <f>IF(SUMIFS(Таблица2[WIN$],Таблица2[1],B128)=0,"-",SUMIFS(Таблица2[WIN$],Таблица2[1],B128))</f>
        <v>-</v>
      </c>
      <c r="M128" s="76" t="str">
        <f t="shared" si="4"/>
        <v>-</v>
      </c>
      <c r="N128" s="78" t="str">
        <f>IFERROR(Таблица46[[#This Row],[PROF]]/Таблица46[[#This Row],[Games]],"-")</f>
        <v>-</v>
      </c>
    </row>
    <row r="129" spans="1:14" ht="11.1" customHeight="1" x14ac:dyDescent="0.25">
      <c r="A129" s="93">
        <f t="shared" si="2"/>
        <v>43</v>
      </c>
      <c r="B129" s="113"/>
      <c r="C129"/>
      <c r="D129" s="75" t="str">
        <f>IF(COUNTIFS(Таблица2[1],B129)+SUMIFS(Таблица2[R],Таблица2[1],B129)=0,"",COUNTIFS(Таблица2[1],B129)+SUMIFS(Таблица2[R],Таблица2[1],B129))</f>
        <v/>
      </c>
      <c r="E129" s="76" t="str">
        <f>IF(SUMIFS(Таблица2[B$],Таблица2[1],B129)=0,"-",SUMIFS(Таблица2[B$],Таблица2[1],B129))</f>
        <v>-</v>
      </c>
      <c r="F129" s="77" t="str">
        <f>IFERROR(AVERAGEIFS(Таблица2[AFS],Таблица2[1],B129)+(AVERAGEIFS(Таблица2[AFS],Таблица2[1],B129)*0.2),"-")</f>
        <v>-</v>
      </c>
      <c r="G129" s="77" t="str">
        <f t="shared" si="3"/>
        <v>-</v>
      </c>
      <c r="H129" s="77" t="str">
        <f>IFERROR(COUNTIFS(Таблица2[1],B129,Таблица2[WIN$],"&gt;0")/D129*100,"-")</f>
        <v>-</v>
      </c>
      <c r="I129" s="77" t="str">
        <f>IF(IFERROR((COUNTIFS(Таблица2[1],B129,Таблица2[K],"K")+SUMIFS(Таблица2[R],Таблица2[1],B129,Таблица2[K],"K"))/D129*100,"-")=0,"-",IFERROR((COUNTIFS(Таблица2[1],B129,Таблица2[K],"K")+SUMIFS(Таблица2[R],Таблица2[1],B129,Таблица2[K],"K"))/D129*100,"-"))</f>
        <v>-</v>
      </c>
      <c r="J129" s="77" t="str">
        <f>IF(IFERROR((COUNTIFS(Таблица2[1],B129,Таблица2[T],"t")+SUMIFS(Таблица2[R],Таблица2[1],B129,Таблица2[T],"t"))/D129*100,"-")=0,"-",IFERROR((COUNTIFS(Таблица2[1],B129,Таблица2[T],"t")+SUMIFS(Таблица2[R],Таблица2[1],B129,Таблица2[T],"t"))/D129*100,"-"))</f>
        <v>-</v>
      </c>
      <c r="K129" s="76" t="str">
        <f>IF(SUMIFS(Таблица2[KO$],Таблица2[1],B129)=0,"-",SUMIFS(Таблица2[KO$],Таблица2[1],B129))</f>
        <v>-</v>
      </c>
      <c r="L129" s="76" t="str">
        <f>IF(SUMIFS(Таблица2[WIN$],Таблица2[1],B129)=0,"-",SUMIFS(Таблица2[WIN$],Таблица2[1],B129))</f>
        <v>-</v>
      </c>
      <c r="M129" s="76" t="str">
        <f t="shared" si="4"/>
        <v>-</v>
      </c>
      <c r="N129" s="78" t="str">
        <f>IFERROR(Таблица46[[#This Row],[PROF]]/Таблица46[[#This Row],[Games]],"-")</f>
        <v>-</v>
      </c>
    </row>
    <row r="130" spans="1:14" ht="11.1" customHeight="1" x14ac:dyDescent="0.25">
      <c r="A130" s="93">
        <f t="shared" si="2"/>
        <v>44</v>
      </c>
      <c r="B130" s="113"/>
      <c r="C130"/>
      <c r="D130" s="75" t="str">
        <f>IF(COUNTIFS(Таблица2[1],B130)+SUMIFS(Таблица2[R],Таблица2[1],B130)=0,"",COUNTIFS(Таблица2[1],B130)+SUMIFS(Таблица2[R],Таблица2[1],B130))</f>
        <v/>
      </c>
      <c r="E130" s="76" t="str">
        <f>IF(SUMIFS(Таблица2[B$],Таблица2[1],B130)=0,"-",SUMIFS(Таблица2[B$],Таблица2[1],B130))</f>
        <v>-</v>
      </c>
      <c r="F130" s="77" t="str">
        <f>IFERROR(AVERAGEIFS(Таблица2[AFS],Таблица2[1],B130)+(AVERAGEIFS(Таблица2[AFS],Таблица2[1],B130)*0.2),"-")</f>
        <v>-</v>
      </c>
      <c r="G130" s="77" t="str">
        <f t="shared" si="3"/>
        <v>-</v>
      </c>
      <c r="H130" s="77" t="str">
        <f>IFERROR(COUNTIFS(Таблица2[1],B130,Таблица2[WIN$],"&gt;0")/D130*100,"-")</f>
        <v>-</v>
      </c>
      <c r="I130" s="77" t="str">
        <f>IF(IFERROR((COUNTIFS(Таблица2[1],B130,Таблица2[K],"K")+SUMIFS(Таблица2[R],Таблица2[1],B130,Таблица2[K],"K"))/D130*100,"-")=0,"-",IFERROR((COUNTIFS(Таблица2[1],B130,Таблица2[K],"K")+SUMIFS(Таблица2[R],Таблица2[1],B130,Таблица2[K],"K"))/D130*100,"-"))</f>
        <v>-</v>
      </c>
      <c r="J130" s="77" t="str">
        <f>IF(IFERROR((COUNTIFS(Таблица2[1],B130,Таблица2[T],"t")+SUMIFS(Таблица2[R],Таблица2[1],B130,Таблица2[T],"t"))/D130*100,"-")=0,"-",IFERROR((COUNTIFS(Таблица2[1],B130,Таблица2[T],"t")+SUMIFS(Таблица2[R],Таблица2[1],B130,Таблица2[T],"t"))/D130*100,"-"))</f>
        <v>-</v>
      </c>
      <c r="K130" s="76" t="str">
        <f>IF(SUMIFS(Таблица2[KO$],Таблица2[1],B130)=0,"-",SUMIFS(Таблица2[KO$],Таблица2[1],B130))</f>
        <v>-</v>
      </c>
      <c r="L130" s="76" t="str">
        <f>IF(SUMIFS(Таблица2[WIN$],Таблица2[1],B130)=0,"-",SUMIFS(Таблица2[WIN$],Таблица2[1],B130))</f>
        <v>-</v>
      </c>
      <c r="M130" s="76" t="str">
        <f t="shared" si="4"/>
        <v>-</v>
      </c>
      <c r="N130" s="78" t="str">
        <f>IFERROR(Таблица46[[#This Row],[PROF]]/Таблица46[[#This Row],[Games]],"-")</f>
        <v>-</v>
      </c>
    </row>
    <row r="131" spans="1:14" ht="11.1" customHeight="1" x14ac:dyDescent="0.25">
      <c r="A131" s="93">
        <f t="shared" si="2"/>
        <v>45</v>
      </c>
      <c r="B131" s="113"/>
      <c r="C131"/>
      <c r="D131" s="75" t="str">
        <f>IF(COUNTIFS(Таблица2[1],B131)+SUMIFS(Таблица2[R],Таблица2[1],B131)=0,"",COUNTIFS(Таблица2[1],B131)+SUMIFS(Таблица2[R],Таблица2[1],B131))</f>
        <v/>
      </c>
      <c r="E131" s="76" t="str">
        <f>IF(SUMIFS(Таблица2[B$],Таблица2[1],B131)=0,"-",SUMIFS(Таблица2[B$],Таблица2[1],B131))</f>
        <v>-</v>
      </c>
      <c r="F131" s="77" t="str">
        <f>IFERROR(AVERAGEIFS(Таблица2[AFS],Таблица2[1],B131)+(AVERAGEIFS(Таблица2[AFS],Таблица2[1],B131)*0.2),"-")</f>
        <v>-</v>
      </c>
      <c r="G131" s="77" t="str">
        <f t="shared" si="3"/>
        <v>-</v>
      </c>
      <c r="H131" s="77" t="str">
        <f>IFERROR(COUNTIFS(Таблица2[1],B131,Таблица2[WIN$],"&gt;0")/D131*100,"-")</f>
        <v>-</v>
      </c>
      <c r="I131" s="77" t="str">
        <f>IF(IFERROR((COUNTIFS(Таблица2[1],B131,Таблица2[K],"K")+SUMIFS(Таблица2[R],Таблица2[1],B131,Таблица2[K],"K"))/D131*100,"-")=0,"-",IFERROR((COUNTIFS(Таблица2[1],B131,Таблица2[K],"K")+SUMIFS(Таблица2[R],Таблица2[1],B131,Таблица2[K],"K"))/D131*100,"-"))</f>
        <v>-</v>
      </c>
      <c r="J131" s="77" t="str">
        <f>IF(IFERROR((COUNTIFS(Таблица2[1],B131,Таблица2[T],"t")+SUMIFS(Таблица2[R],Таблица2[1],B131,Таблица2[T],"t"))/D131*100,"-")=0,"-",IFERROR((COUNTIFS(Таблица2[1],B131,Таблица2[T],"t")+SUMIFS(Таблица2[R],Таблица2[1],B131,Таблица2[T],"t"))/D131*100,"-"))</f>
        <v>-</v>
      </c>
      <c r="K131" s="76" t="str">
        <f>IF(SUMIFS(Таблица2[KO$],Таблица2[1],B131)=0,"-",SUMIFS(Таблица2[KO$],Таблица2[1],B131))</f>
        <v>-</v>
      </c>
      <c r="L131" s="76" t="str">
        <f>IF(SUMIFS(Таблица2[WIN$],Таблица2[1],B131)=0,"-",SUMIFS(Таблица2[WIN$],Таблица2[1],B131))</f>
        <v>-</v>
      </c>
      <c r="M131" s="76" t="str">
        <f t="shared" si="4"/>
        <v>-</v>
      </c>
      <c r="N131" s="78" t="str">
        <f>IFERROR(Таблица46[[#This Row],[PROF]]/Таблица46[[#This Row],[Games]],"-")</f>
        <v>-</v>
      </c>
    </row>
    <row r="132" spans="1:14" ht="11.1" customHeight="1" x14ac:dyDescent="0.25">
      <c r="A132" s="93">
        <f t="shared" si="2"/>
        <v>46</v>
      </c>
      <c r="B132" s="113"/>
      <c r="C132"/>
      <c r="D132" s="75" t="str">
        <f>IF(COUNTIFS(Таблица2[1],B132)+SUMIFS(Таблица2[R],Таблица2[1],B132)=0,"",COUNTIFS(Таблица2[1],B132)+SUMIFS(Таблица2[R],Таблица2[1],B132))</f>
        <v/>
      </c>
      <c r="E132" s="76" t="str">
        <f>IF(SUMIFS(Таблица2[B$],Таблица2[1],B132)=0,"-",SUMIFS(Таблица2[B$],Таблица2[1],B132))</f>
        <v>-</v>
      </c>
      <c r="F132" s="77" t="str">
        <f>IFERROR(AVERAGEIFS(Таблица2[AFS],Таблица2[1],B132)+(AVERAGEIFS(Таблица2[AFS],Таблица2[1],B132)*0.2),"-")</f>
        <v>-</v>
      </c>
      <c r="G132" s="77" t="str">
        <f t="shared" si="3"/>
        <v>-</v>
      </c>
      <c r="H132" s="77" t="str">
        <f>IFERROR(COUNTIFS(Таблица2[1],B132,Таблица2[WIN$],"&gt;0")/D132*100,"-")</f>
        <v>-</v>
      </c>
      <c r="I132" s="77" t="str">
        <f>IF(IFERROR((COUNTIFS(Таблица2[1],B132,Таблица2[K],"K")+SUMIFS(Таблица2[R],Таблица2[1],B132,Таблица2[K],"K"))/D132*100,"-")=0,"-",IFERROR((COUNTIFS(Таблица2[1],B132,Таблица2[K],"K")+SUMIFS(Таблица2[R],Таблица2[1],B132,Таблица2[K],"K"))/D132*100,"-"))</f>
        <v>-</v>
      </c>
      <c r="J132" s="77" t="str">
        <f>IF(IFERROR((COUNTIFS(Таблица2[1],B132,Таблица2[T],"t")+SUMIFS(Таблица2[R],Таблица2[1],B132,Таблица2[T],"t"))/D132*100,"-")=0,"-",IFERROR((COUNTIFS(Таблица2[1],B132,Таблица2[T],"t")+SUMIFS(Таблица2[R],Таблица2[1],B132,Таблица2[T],"t"))/D132*100,"-"))</f>
        <v>-</v>
      </c>
      <c r="K132" s="76" t="str">
        <f>IF(SUMIFS(Таблица2[KO$],Таблица2[1],B132)=0,"-",SUMIFS(Таблица2[KO$],Таблица2[1],B132))</f>
        <v>-</v>
      </c>
      <c r="L132" s="76" t="str">
        <f>IF(SUMIFS(Таблица2[WIN$],Таблица2[1],B132)=0,"-",SUMIFS(Таблица2[WIN$],Таблица2[1],B132))</f>
        <v>-</v>
      </c>
      <c r="M132" s="76" t="str">
        <f t="shared" si="4"/>
        <v>-</v>
      </c>
      <c r="N132" s="78" t="str">
        <f>IFERROR(Таблица46[[#This Row],[PROF]]/Таблица46[[#This Row],[Games]],"-")</f>
        <v>-</v>
      </c>
    </row>
    <row r="133" spans="1:14" ht="11.1" customHeight="1" x14ac:dyDescent="0.25">
      <c r="A133" s="93">
        <f t="shared" si="2"/>
        <v>47</v>
      </c>
      <c r="B133" s="113"/>
      <c r="C133"/>
      <c r="D133" s="75" t="str">
        <f>IF(COUNTIFS(Таблица2[1],B133)+SUMIFS(Таблица2[R],Таблица2[1],B133)=0,"",COUNTIFS(Таблица2[1],B133)+SUMIFS(Таблица2[R],Таблица2[1],B133))</f>
        <v/>
      </c>
      <c r="E133" s="76" t="str">
        <f>IF(SUMIFS(Таблица2[B$],Таблица2[1],B133)=0,"-",SUMIFS(Таблица2[B$],Таблица2[1],B133))</f>
        <v>-</v>
      </c>
      <c r="F133" s="77" t="str">
        <f>IFERROR(AVERAGEIFS(Таблица2[AFS],Таблица2[1],B133)+(AVERAGEIFS(Таблица2[AFS],Таблица2[1],B133)*0.2),"-")</f>
        <v>-</v>
      </c>
      <c r="G133" s="77" t="str">
        <f t="shared" si="3"/>
        <v>-</v>
      </c>
      <c r="H133" s="77" t="str">
        <f>IFERROR(COUNTIFS(Таблица2[1],B133,Таблица2[WIN$],"&gt;0")/D133*100,"-")</f>
        <v>-</v>
      </c>
      <c r="I133" s="77" t="str">
        <f>IF(IFERROR((COUNTIFS(Таблица2[1],B133,Таблица2[K],"K")+SUMIFS(Таблица2[R],Таблица2[1],B133,Таблица2[K],"K"))/D133*100,"-")=0,"-",IFERROR((COUNTIFS(Таблица2[1],B133,Таблица2[K],"K")+SUMIFS(Таблица2[R],Таблица2[1],B133,Таблица2[K],"K"))/D133*100,"-"))</f>
        <v>-</v>
      </c>
      <c r="J133" s="77" t="str">
        <f>IF(IFERROR((COUNTIFS(Таблица2[1],B133,Таблица2[T],"t")+SUMIFS(Таблица2[R],Таблица2[1],B133,Таблица2[T],"t"))/D133*100,"-")=0,"-",IFERROR((COUNTIFS(Таблица2[1],B133,Таблица2[T],"t")+SUMIFS(Таблица2[R],Таблица2[1],B133,Таблица2[T],"t"))/D133*100,"-"))</f>
        <v>-</v>
      </c>
      <c r="K133" s="76" t="str">
        <f>IF(SUMIFS(Таблица2[KO$],Таблица2[1],B133)=0,"-",SUMIFS(Таблица2[KO$],Таблица2[1],B133))</f>
        <v>-</v>
      </c>
      <c r="L133" s="76" t="str">
        <f>IF(SUMIFS(Таблица2[WIN$],Таблица2[1],B133)=0,"-",SUMIFS(Таблица2[WIN$],Таблица2[1],B133))</f>
        <v>-</v>
      </c>
      <c r="M133" s="76" t="str">
        <f t="shared" si="4"/>
        <v>-</v>
      </c>
      <c r="N133" s="78" t="str">
        <f>IFERROR(Таблица46[[#This Row],[PROF]]/Таблица46[[#This Row],[Games]],"-")</f>
        <v>-</v>
      </c>
    </row>
    <row r="134" spans="1:14" ht="11.1" customHeight="1" x14ac:dyDescent="0.25">
      <c r="A134" s="93">
        <f t="shared" si="2"/>
        <v>48</v>
      </c>
      <c r="B134" s="113"/>
      <c r="C134"/>
      <c r="D134" s="75" t="str">
        <f>IF(COUNTIFS(Таблица2[1],B134)+SUMIFS(Таблица2[R],Таблица2[1],B134)=0,"",COUNTIFS(Таблица2[1],B134)+SUMIFS(Таблица2[R],Таблица2[1],B134))</f>
        <v/>
      </c>
      <c r="E134" s="76" t="str">
        <f>IF(SUMIFS(Таблица2[B$],Таблица2[1],B134)=0,"-",SUMIFS(Таблица2[B$],Таблица2[1],B134))</f>
        <v>-</v>
      </c>
      <c r="F134" s="77" t="str">
        <f>IFERROR(AVERAGEIFS(Таблица2[AFS],Таблица2[1],B134)+(AVERAGEIFS(Таблица2[AFS],Таблица2[1],B134)*0.2),"-")</f>
        <v>-</v>
      </c>
      <c r="G134" s="77" t="str">
        <f t="shared" si="3"/>
        <v>-</v>
      </c>
      <c r="H134" s="77" t="str">
        <f>IFERROR(COUNTIFS(Таблица2[1],B134,Таблица2[WIN$],"&gt;0")/D134*100,"-")</f>
        <v>-</v>
      </c>
      <c r="I134" s="77" t="str">
        <f>IF(IFERROR((COUNTIFS(Таблица2[1],B134,Таблица2[K],"K")+SUMIFS(Таблица2[R],Таблица2[1],B134,Таблица2[K],"K"))/D134*100,"-")=0,"-",IFERROR((COUNTIFS(Таблица2[1],B134,Таблица2[K],"K")+SUMIFS(Таблица2[R],Таблица2[1],B134,Таблица2[K],"K"))/D134*100,"-"))</f>
        <v>-</v>
      </c>
      <c r="J134" s="77" t="str">
        <f>IF(IFERROR((COUNTIFS(Таблица2[1],B134,Таблица2[T],"t")+SUMIFS(Таблица2[R],Таблица2[1],B134,Таблица2[T],"t"))/D134*100,"-")=0,"-",IFERROR((COUNTIFS(Таблица2[1],B134,Таблица2[T],"t")+SUMIFS(Таблица2[R],Таблица2[1],B134,Таблица2[T],"t"))/D134*100,"-"))</f>
        <v>-</v>
      </c>
      <c r="K134" s="76" t="str">
        <f>IF(SUMIFS(Таблица2[KO$],Таблица2[1],B134)=0,"-",SUMIFS(Таблица2[KO$],Таблица2[1],B134))</f>
        <v>-</v>
      </c>
      <c r="L134" s="76" t="str">
        <f>IF(SUMIFS(Таблица2[WIN$],Таблица2[1],B134)=0,"-",SUMIFS(Таблица2[WIN$],Таблица2[1],B134))</f>
        <v>-</v>
      </c>
      <c r="M134" s="76" t="str">
        <f t="shared" si="4"/>
        <v>-</v>
      </c>
      <c r="N134" s="78" t="str">
        <f>IFERROR(Таблица46[[#This Row],[PROF]]/Таблица46[[#This Row],[Games]],"-")</f>
        <v>-</v>
      </c>
    </row>
    <row r="135" spans="1:14" ht="11.1" customHeight="1" x14ac:dyDescent="0.25">
      <c r="A135" s="93">
        <f t="shared" si="2"/>
        <v>49</v>
      </c>
      <c r="B135" s="113"/>
      <c r="C135"/>
      <c r="D135" s="75" t="str">
        <f>IF(COUNTIFS(Таблица2[1],B135)+SUMIFS(Таблица2[R],Таблица2[1],B135)=0,"",COUNTIFS(Таблица2[1],B135)+SUMIFS(Таблица2[R],Таблица2[1],B135))</f>
        <v/>
      </c>
      <c r="E135" s="76" t="str">
        <f>IF(SUMIFS(Таблица2[B$],Таблица2[1],B135)=0,"-",SUMIFS(Таблица2[B$],Таблица2[1],B135))</f>
        <v>-</v>
      </c>
      <c r="F135" s="77" t="str">
        <f>IFERROR(AVERAGEIFS(Таблица2[AFS],Таблица2[1],B135)+(AVERAGEIFS(Таблица2[AFS],Таблица2[1],B135)*0.2),"-")</f>
        <v>-</v>
      </c>
      <c r="G135" s="77" t="str">
        <f t="shared" si="3"/>
        <v>-</v>
      </c>
      <c r="H135" s="77" t="str">
        <f>IFERROR(COUNTIFS(Таблица2[1],B135,Таблица2[WIN$],"&gt;0")/D135*100,"-")</f>
        <v>-</v>
      </c>
      <c r="I135" s="77" t="str">
        <f>IF(IFERROR((COUNTIFS(Таблица2[1],B135,Таблица2[K],"K")+SUMIFS(Таблица2[R],Таблица2[1],B135,Таблица2[K],"K"))/D135*100,"-")=0,"-",IFERROR((COUNTIFS(Таблица2[1],B135,Таблица2[K],"K")+SUMIFS(Таблица2[R],Таблица2[1],B135,Таблица2[K],"K"))/D135*100,"-"))</f>
        <v>-</v>
      </c>
      <c r="J135" s="77" t="str">
        <f>IF(IFERROR((COUNTIFS(Таблица2[1],B135,Таблица2[T],"t")+SUMIFS(Таблица2[R],Таблица2[1],B135,Таблица2[T],"t"))/D135*100,"-")=0,"-",IFERROR((COUNTIFS(Таблица2[1],B135,Таблица2[T],"t")+SUMIFS(Таблица2[R],Таблица2[1],B135,Таблица2[T],"t"))/D135*100,"-"))</f>
        <v>-</v>
      </c>
      <c r="K135" s="76" t="str">
        <f>IF(SUMIFS(Таблица2[KO$],Таблица2[1],B135)=0,"-",SUMIFS(Таблица2[KO$],Таблица2[1],B135))</f>
        <v>-</v>
      </c>
      <c r="L135" s="76" t="str">
        <f>IF(SUMIFS(Таблица2[WIN$],Таблица2[1],B135)=0,"-",SUMIFS(Таблица2[WIN$],Таблица2[1],B135))</f>
        <v>-</v>
      </c>
      <c r="M135" s="76" t="str">
        <f t="shared" si="4"/>
        <v>-</v>
      </c>
      <c r="N135" s="78" t="str">
        <f>IFERROR(Таблица46[[#This Row],[PROF]]/Таблица46[[#This Row],[Games]],"-")</f>
        <v>-</v>
      </c>
    </row>
    <row r="136" spans="1:14" ht="11.1" customHeight="1" x14ac:dyDescent="0.25">
      <c r="A136" s="93">
        <f t="shared" si="2"/>
        <v>50</v>
      </c>
      <c r="B136" s="113"/>
      <c r="C136"/>
      <c r="D136" s="75" t="str">
        <f>IF(COUNTIFS(Таблица2[1],B136)+SUMIFS(Таблица2[R],Таблица2[1],B136)=0,"",COUNTIFS(Таблица2[1],B136)+SUMIFS(Таблица2[R],Таблица2[1],B136))</f>
        <v/>
      </c>
      <c r="E136" s="76" t="str">
        <f>IF(SUMIFS(Таблица2[B$],Таблица2[1],B136)=0,"-",SUMIFS(Таблица2[B$],Таблица2[1],B136))</f>
        <v>-</v>
      </c>
      <c r="F136" s="77" t="str">
        <f>IFERROR(AVERAGEIFS(Таблица2[AFS],Таблица2[1],B136)+(AVERAGEIFS(Таблица2[AFS],Таблица2[1],B136)*0.2),"-")</f>
        <v>-</v>
      </c>
      <c r="G136" s="77" t="str">
        <f t="shared" si="3"/>
        <v>-</v>
      </c>
      <c r="H136" s="77" t="str">
        <f>IFERROR(COUNTIFS(Таблица2[1],B136,Таблица2[WIN$],"&gt;0")/D136*100,"-")</f>
        <v>-</v>
      </c>
      <c r="I136" s="77" t="str">
        <f>IF(IFERROR((COUNTIFS(Таблица2[1],B136,Таблица2[K],"K")+SUMIFS(Таблица2[R],Таблица2[1],B136,Таблица2[K],"K"))/D136*100,"-")=0,"-",IFERROR((COUNTIFS(Таблица2[1],B136,Таблица2[K],"K")+SUMIFS(Таблица2[R],Таблица2[1],B136,Таблица2[K],"K"))/D136*100,"-"))</f>
        <v>-</v>
      </c>
      <c r="J136" s="77" t="str">
        <f>IF(IFERROR((COUNTIFS(Таблица2[1],B136,Таблица2[T],"t")+SUMIFS(Таблица2[R],Таблица2[1],B136,Таблица2[T],"t"))/D136*100,"-")=0,"-",IFERROR((COUNTIFS(Таблица2[1],B136,Таблица2[T],"t")+SUMIFS(Таблица2[R],Таблица2[1],B136,Таблица2[T],"t"))/D136*100,"-"))</f>
        <v>-</v>
      </c>
      <c r="K136" s="76" t="str">
        <f>IF(SUMIFS(Таблица2[KO$],Таблица2[1],B136)=0,"-",SUMIFS(Таблица2[KO$],Таблица2[1],B136))</f>
        <v>-</v>
      </c>
      <c r="L136" s="76" t="str">
        <f>IF(SUMIFS(Таблица2[WIN$],Таблица2[1],B136)=0,"-",SUMIFS(Таблица2[WIN$],Таблица2[1],B136))</f>
        <v>-</v>
      </c>
      <c r="M136" s="76" t="str">
        <f t="shared" si="4"/>
        <v>-</v>
      </c>
      <c r="N136" s="78" t="str">
        <f>IFERROR(Таблица46[[#This Row],[PROF]]/Таблица46[[#This Row],[Games]],"-")</f>
        <v>-</v>
      </c>
    </row>
    <row r="137" spans="1:14" ht="11.1" customHeight="1" x14ac:dyDescent="0.25">
      <c r="A137" s="93">
        <f t="shared" si="2"/>
        <v>51</v>
      </c>
      <c r="B137" s="113"/>
      <c r="C137"/>
      <c r="D137" s="75" t="str">
        <f>IF(COUNTIFS(Таблица2[1],B137)+SUMIFS(Таблица2[R],Таблица2[1],B137)=0,"",COUNTIFS(Таблица2[1],B137)+SUMIFS(Таблица2[R],Таблица2[1],B137))</f>
        <v/>
      </c>
      <c r="E137" s="76" t="str">
        <f>IF(SUMIFS(Таблица2[B$],Таблица2[1],B137)=0,"-",SUMIFS(Таблица2[B$],Таблица2[1],B137))</f>
        <v>-</v>
      </c>
      <c r="F137" s="77" t="str">
        <f>IFERROR(AVERAGEIFS(Таблица2[AFS],Таблица2[1],B137)+(AVERAGEIFS(Таблица2[AFS],Таблица2[1],B137)*0.2),"-")</f>
        <v>-</v>
      </c>
      <c r="G137" s="77" t="str">
        <f t="shared" si="3"/>
        <v>-</v>
      </c>
      <c r="H137" s="77" t="str">
        <f>IFERROR(COUNTIFS(Таблица2[1],B137,Таблица2[WIN$],"&gt;0")/D137*100,"-")</f>
        <v>-</v>
      </c>
      <c r="I137" s="77" t="str">
        <f>IF(IFERROR((COUNTIFS(Таблица2[1],B137,Таблица2[K],"K")+SUMIFS(Таблица2[R],Таблица2[1],B137,Таблица2[K],"K"))/D137*100,"-")=0,"-",IFERROR((COUNTIFS(Таблица2[1],B137,Таблица2[K],"K")+SUMIFS(Таблица2[R],Таблица2[1],B137,Таблица2[K],"K"))/D137*100,"-"))</f>
        <v>-</v>
      </c>
      <c r="J137" s="77" t="str">
        <f>IF(IFERROR((COUNTIFS(Таблица2[1],B137,Таблица2[T],"t")+SUMIFS(Таблица2[R],Таблица2[1],B137,Таблица2[T],"t"))/D137*100,"-")=0,"-",IFERROR((COUNTIFS(Таблица2[1],B137,Таблица2[T],"t")+SUMIFS(Таблица2[R],Таблица2[1],B137,Таблица2[T],"t"))/D137*100,"-"))</f>
        <v>-</v>
      </c>
      <c r="K137" s="76" t="str">
        <f>IF(SUMIFS(Таблица2[KO$],Таблица2[1],B137)=0,"-",SUMIFS(Таблица2[KO$],Таблица2[1],B137))</f>
        <v>-</v>
      </c>
      <c r="L137" s="76" t="str">
        <f>IF(SUMIFS(Таблица2[WIN$],Таблица2[1],B137)=0,"-",SUMIFS(Таблица2[WIN$],Таблица2[1],B137))</f>
        <v>-</v>
      </c>
      <c r="M137" s="76" t="str">
        <f t="shared" si="4"/>
        <v>-</v>
      </c>
      <c r="N137" s="78" t="str">
        <f>IFERROR(Таблица46[[#This Row],[PROF]]/Таблица46[[#This Row],[Games]],"-")</f>
        <v>-</v>
      </c>
    </row>
    <row r="138" spans="1:14" ht="11.1" customHeight="1" x14ac:dyDescent="0.25">
      <c r="A138" s="93">
        <f t="shared" si="2"/>
        <v>52</v>
      </c>
      <c r="B138" s="113"/>
      <c r="C138"/>
      <c r="D138" s="75" t="str">
        <f>IF(COUNTIFS(Таблица2[1],B138)+SUMIFS(Таблица2[R],Таблица2[1],B138)=0,"",COUNTIFS(Таблица2[1],B138)+SUMIFS(Таблица2[R],Таблица2[1],B138))</f>
        <v/>
      </c>
      <c r="E138" s="76" t="str">
        <f>IF(SUMIFS(Таблица2[B$],Таблица2[1],B138)=0,"-",SUMIFS(Таблица2[B$],Таблица2[1],B138))</f>
        <v>-</v>
      </c>
      <c r="F138" s="77" t="str">
        <f>IFERROR(AVERAGEIFS(Таблица2[AFS],Таблица2[1],B138)+(AVERAGEIFS(Таблица2[AFS],Таблица2[1],B138)*0.2),"-")</f>
        <v>-</v>
      </c>
      <c r="G138" s="77" t="str">
        <f t="shared" si="3"/>
        <v>-</v>
      </c>
      <c r="H138" s="77" t="str">
        <f>IFERROR(COUNTIFS(Таблица2[1],B138,Таблица2[WIN$],"&gt;0")/D138*100,"-")</f>
        <v>-</v>
      </c>
      <c r="I138" s="77" t="str">
        <f>IF(IFERROR((COUNTIFS(Таблица2[1],B138,Таблица2[K],"K")+SUMIFS(Таблица2[R],Таблица2[1],B138,Таблица2[K],"K"))/D138*100,"-")=0,"-",IFERROR((COUNTIFS(Таблица2[1],B138,Таблица2[K],"K")+SUMIFS(Таблица2[R],Таблица2[1],B138,Таблица2[K],"K"))/D138*100,"-"))</f>
        <v>-</v>
      </c>
      <c r="J138" s="77" t="str">
        <f>IF(IFERROR((COUNTIFS(Таблица2[1],B138,Таблица2[T],"t")+SUMIFS(Таблица2[R],Таблица2[1],B138,Таблица2[T],"t"))/D138*100,"-")=0,"-",IFERROR((COUNTIFS(Таблица2[1],B138,Таблица2[T],"t")+SUMIFS(Таблица2[R],Таблица2[1],B138,Таблица2[T],"t"))/D138*100,"-"))</f>
        <v>-</v>
      </c>
      <c r="K138" s="76" t="str">
        <f>IF(SUMIFS(Таблица2[KO$],Таблица2[1],B138)=0,"-",SUMIFS(Таблица2[KO$],Таблица2[1],B138))</f>
        <v>-</v>
      </c>
      <c r="L138" s="76" t="str">
        <f>IF(SUMIFS(Таблица2[WIN$],Таблица2[1],B138)=0,"-",SUMIFS(Таблица2[WIN$],Таблица2[1],B138))</f>
        <v>-</v>
      </c>
      <c r="M138" s="76" t="str">
        <f t="shared" si="4"/>
        <v>-</v>
      </c>
      <c r="N138" s="78" t="str">
        <f>IFERROR(Таблица46[[#This Row],[PROF]]/Таблица46[[#This Row],[Games]],"-")</f>
        <v>-</v>
      </c>
    </row>
    <row r="139" spans="1:14" ht="11.1" customHeight="1" x14ac:dyDescent="0.25">
      <c r="A139" s="93">
        <f t="shared" si="2"/>
        <v>53</v>
      </c>
      <c r="B139" s="113"/>
      <c r="C139"/>
      <c r="D139" s="75" t="str">
        <f>IF(COUNTIFS(Таблица2[1],B139)+SUMIFS(Таблица2[R],Таблица2[1],B139)=0,"",COUNTIFS(Таблица2[1],B139)+SUMIFS(Таблица2[R],Таблица2[1],B139))</f>
        <v/>
      </c>
      <c r="E139" s="76" t="str">
        <f>IF(SUMIFS(Таблица2[B$],Таблица2[1],B139)=0,"-",SUMIFS(Таблица2[B$],Таблица2[1],B139))</f>
        <v>-</v>
      </c>
      <c r="F139" s="77" t="str">
        <f>IFERROR(AVERAGEIFS(Таблица2[AFS],Таблица2[1],B139)+(AVERAGEIFS(Таблица2[AFS],Таблица2[1],B139)*0.2),"-")</f>
        <v>-</v>
      </c>
      <c r="G139" s="77" t="str">
        <f t="shared" si="3"/>
        <v>-</v>
      </c>
      <c r="H139" s="77" t="str">
        <f>IFERROR(COUNTIFS(Таблица2[1],B139,Таблица2[WIN$],"&gt;0")/D139*100,"-")</f>
        <v>-</v>
      </c>
      <c r="I139" s="77" t="str">
        <f>IF(IFERROR((COUNTIFS(Таблица2[1],B139,Таблица2[K],"K")+SUMIFS(Таблица2[R],Таблица2[1],B139,Таблица2[K],"K"))/D139*100,"-")=0,"-",IFERROR((COUNTIFS(Таблица2[1],B139,Таблица2[K],"K")+SUMIFS(Таблица2[R],Таблица2[1],B139,Таблица2[K],"K"))/D139*100,"-"))</f>
        <v>-</v>
      </c>
      <c r="J139" s="77" t="str">
        <f>IF(IFERROR((COUNTIFS(Таблица2[1],B139,Таблица2[T],"t")+SUMIFS(Таблица2[R],Таблица2[1],B139,Таблица2[T],"t"))/D139*100,"-")=0,"-",IFERROR((COUNTIFS(Таблица2[1],B139,Таблица2[T],"t")+SUMIFS(Таблица2[R],Таблица2[1],B139,Таблица2[T],"t"))/D139*100,"-"))</f>
        <v>-</v>
      </c>
      <c r="K139" s="76" t="str">
        <f>IF(SUMIFS(Таблица2[KO$],Таблица2[1],B139)=0,"-",SUMIFS(Таблица2[KO$],Таблица2[1],B139))</f>
        <v>-</v>
      </c>
      <c r="L139" s="76" t="str">
        <f>IF(SUMIFS(Таблица2[WIN$],Таблица2[1],B139)=0,"-",SUMIFS(Таблица2[WIN$],Таблица2[1],B139))</f>
        <v>-</v>
      </c>
      <c r="M139" s="76" t="str">
        <f t="shared" si="4"/>
        <v>-</v>
      </c>
      <c r="N139" s="78" t="str">
        <f>IFERROR(Таблица46[[#This Row],[PROF]]/Таблица46[[#This Row],[Games]],"-")</f>
        <v>-</v>
      </c>
    </row>
    <row r="140" spans="1:14" ht="11.1" customHeight="1" x14ac:dyDescent="0.25">
      <c r="A140" s="93">
        <f t="shared" si="2"/>
        <v>54</v>
      </c>
      <c r="B140" s="113"/>
      <c r="C140"/>
      <c r="D140" s="75" t="str">
        <f>IF(COUNTIFS(Таблица2[1],B140)+SUMIFS(Таблица2[R],Таблица2[1],B140)=0,"",COUNTIFS(Таблица2[1],B140)+SUMIFS(Таблица2[R],Таблица2[1],B140))</f>
        <v/>
      </c>
      <c r="E140" s="76" t="str">
        <f>IF(SUMIFS(Таблица2[B$],Таблица2[1],B140)=0,"-",SUMIFS(Таблица2[B$],Таблица2[1],B140))</f>
        <v>-</v>
      </c>
      <c r="F140" s="77" t="str">
        <f>IFERROR(AVERAGEIFS(Таблица2[AFS],Таблица2[1],B140)+(AVERAGEIFS(Таблица2[AFS],Таблица2[1],B140)*0.2),"-")</f>
        <v>-</v>
      </c>
      <c r="G140" s="77" t="str">
        <f t="shared" si="3"/>
        <v>-</v>
      </c>
      <c r="H140" s="77" t="str">
        <f>IFERROR(COUNTIFS(Таблица2[1],B140,Таблица2[WIN$],"&gt;0")/D140*100,"-")</f>
        <v>-</v>
      </c>
      <c r="I140" s="77" t="str">
        <f>IF(IFERROR((COUNTIFS(Таблица2[1],B140,Таблица2[K],"K")+SUMIFS(Таблица2[R],Таблица2[1],B140,Таблица2[K],"K"))/D140*100,"-")=0,"-",IFERROR((COUNTIFS(Таблица2[1],B140,Таблица2[K],"K")+SUMIFS(Таблица2[R],Таблица2[1],B140,Таблица2[K],"K"))/D140*100,"-"))</f>
        <v>-</v>
      </c>
      <c r="J140" s="77" t="str">
        <f>IF(IFERROR((COUNTIFS(Таблица2[1],B140,Таблица2[T],"t")+SUMIFS(Таблица2[R],Таблица2[1],B140,Таблица2[T],"t"))/D140*100,"-")=0,"-",IFERROR((COUNTIFS(Таблица2[1],B140,Таблица2[T],"t")+SUMIFS(Таблица2[R],Таблица2[1],B140,Таблица2[T],"t"))/D140*100,"-"))</f>
        <v>-</v>
      </c>
      <c r="K140" s="76" t="str">
        <f>IF(SUMIFS(Таблица2[KO$],Таблица2[1],B140)=0,"-",SUMIFS(Таблица2[KO$],Таблица2[1],B140))</f>
        <v>-</v>
      </c>
      <c r="L140" s="76" t="str">
        <f>IF(SUMIFS(Таблица2[WIN$],Таблица2[1],B140)=0,"-",SUMIFS(Таблица2[WIN$],Таблица2[1],B140))</f>
        <v>-</v>
      </c>
      <c r="M140" s="76" t="str">
        <f t="shared" si="4"/>
        <v>-</v>
      </c>
      <c r="N140" s="78" t="str">
        <f>IFERROR(Таблица46[[#This Row],[PROF]]/Таблица46[[#This Row],[Games]],"-")</f>
        <v>-</v>
      </c>
    </row>
    <row r="141" spans="1:14" ht="11.1" customHeight="1" x14ac:dyDescent="0.25">
      <c r="A141" s="93">
        <f t="shared" si="2"/>
        <v>55</v>
      </c>
      <c r="B141" s="113"/>
      <c r="C141"/>
      <c r="D141" s="75" t="str">
        <f>IF(COUNTIFS(Таблица2[1],B141)+SUMIFS(Таблица2[R],Таблица2[1],B141)=0,"",COUNTIFS(Таблица2[1],B141)+SUMIFS(Таблица2[R],Таблица2[1],B141))</f>
        <v/>
      </c>
      <c r="E141" s="76" t="str">
        <f>IF(SUMIFS(Таблица2[B$],Таблица2[1],B141)=0,"-",SUMIFS(Таблица2[B$],Таблица2[1],B141))</f>
        <v>-</v>
      </c>
      <c r="F141" s="77" t="str">
        <f>IFERROR(AVERAGEIFS(Таблица2[AFS],Таблица2[1],B141)+(AVERAGEIFS(Таблица2[AFS],Таблица2[1],B141)*0.2),"-")</f>
        <v>-</v>
      </c>
      <c r="G141" s="77" t="str">
        <f t="shared" si="3"/>
        <v>-</v>
      </c>
      <c r="H141" s="77" t="str">
        <f>IFERROR(COUNTIFS(Таблица2[1],B141,Таблица2[WIN$],"&gt;0")/D141*100,"-")</f>
        <v>-</v>
      </c>
      <c r="I141" s="77" t="str">
        <f>IF(IFERROR((COUNTIFS(Таблица2[1],B141,Таблица2[K],"K")+SUMIFS(Таблица2[R],Таблица2[1],B141,Таблица2[K],"K"))/D141*100,"-")=0,"-",IFERROR((COUNTIFS(Таблица2[1],B141,Таблица2[K],"K")+SUMIFS(Таблица2[R],Таблица2[1],B141,Таблица2[K],"K"))/D141*100,"-"))</f>
        <v>-</v>
      </c>
      <c r="J141" s="77" t="str">
        <f>IF(IFERROR((COUNTIFS(Таблица2[1],B141,Таблица2[T],"t")+SUMIFS(Таблица2[R],Таблица2[1],B141,Таблица2[T],"t"))/D141*100,"-")=0,"-",IFERROR((COUNTIFS(Таблица2[1],B141,Таблица2[T],"t")+SUMIFS(Таблица2[R],Таблица2[1],B141,Таблица2[T],"t"))/D141*100,"-"))</f>
        <v>-</v>
      </c>
      <c r="K141" s="76" t="str">
        <f>IF(SUMIFS(Таблица2[KO$],Таблица2[1],B141)=0,"-",SUMIFS(Таблица2[KO$],Таблица2[1],B141))</f>
        <v>-</v>
      </c>
      <c r="L141" s="76" t="str">
        <f>IF(SUMIFS(Таблица2[WIN$],Таблица2[1],B141)=0,"-",SUMIFS(Таблица2[WIN$],Таблица2[1],B141))</f>
        <v>-</v>
      </c>
      <c r="M141" s="76" t="str">
        <f t="shared" si="4"/>
        <v>-</v>
      </c>
      <c r="N141" s="78" t="str">
        <f>IFERROR(Таблица46[[#This Row],[PROF]]/Таблица46[[#This Row],[Games]],"-")</f>
        <v>-</v>
      </c>
    </row>
    <row r="142" spans="1:14" ht="11.1" customHeight="1" x14ac:dyDescent="0.25">
      <c r="A142" s="93">
        <f t="shared" si="2"/>
        <v>56</v>
      </c>
      <c r="B142" s="113"/>
      <c r="C142"/>
      <c r="D142" s="75" t="str">
        <f>IF(COUNTIFS(Таблица2[1],B142)+SUMIFS(Таблица2[R],Таблица2[1],B142)=0,"",COUNTIFS(Таблица2[1],B142)+SUMIFS(Таблица2[R],Таблица2[1],B142))</f>
        <v/>
      </c>
      <c r="E142" s="76" t="str">
        <f>IF(SUMIFS(Таблица2[B$],Таблица2[1],B142)=0,"-",SUMIFS(Таблица2[B$],Таблица2[1],B142))</f>
        <v>-</v>
      </c>
      <c r="F142" s="77" t="str">
        <f>IFERROR(AVERAGEIFS(Таблица2[AFS],Таблица2[1],B142)+(AVERAGEIFS(Таблица2[AFS],Таблица2[1],B142)*0.2),"-")</f>
        <v>-</v>
      </c>
      <c r="G142" s="77" t="str">
        <f t="shared" si="3"/>
        <v>-</v>
      </c>
      <c r="H142" s="77" t="str">
        <f>IFERROR(COUNTIFS(Таблица2[1],B142,Таблица2[WIN$],"&gt;0")/D142*100,"-")</f>
        <v>-</v>
      </c>
      <c r="I142" s="77" t="str">
        <f>IF(IFERROR((COUNTIFS(Таблица2[1],B142,Таблица2[K],"K")+SUMIFS(Таблица2[R],Таблица2[1],B142,Таблица2[K],"K"))/D142*100,"-")=0,"-",IFERROR((COUNTIFS(Таблица2[1],B142,Таблица2[K],"K")+SUMIFS(Таблица2[R],Таблица2[1],B142,Таблица2[K],"K"))/D142*100,"-"))</f>
        <v>-</v>
      </c>
      <c r="J142" s="77" t="str">
        <f>IF(IFERROR((COUNTIFS(Таблица2[1],B142,Таблица2[T],"t")+SUMIFS(Таблица2[R],Таблица2[1],B142,Таблица2[T],"t"))/D142*100,"-")=0,"-",IFERROR((COUNTIFS(Таблица2[1],B142,Таблица2[T],"t")+SUMIFS(Таблица2[R],Таблица2[1],B142,Таблица2[T],"t"))/D142*100,"-"))</f>
        <v>-</v>
      </c>
      <c r="K142" s="76" t="str">
        <f>IF(SUMIFS(Таблица2[KO$],Таблица2[1],B142)=0,"-",SUMIFS(Таблица2[KO$],Таблица2[1],B142))</f>
        <v>-</v>
      </c>
      <c r="L142" s="76" t="str">
        <f>IF(SUMIFS(Таблица2[WIN$],Таблица2[1],B142)=0,"-",SUMIFS(Таблица2[WIN$],Таблица2[1],B142))</f>
        <v>-</v>
      </c>
      <c r="M142" s="76" t="str">
        <f t="shared" si="4"/>
        <v>-</v>
      </c>
      <c r="N142" s="78" t="str">
        <f>IFERROR(Таблица46[[#This Row],[PROF]]/Таблица46[[#This Row],[Games]],"-")</f>
        <v>-</v>
      </c>
    </row>
    <row r="143" spans="1:14" ht="11.1" customHeight="1" x14ac:dyDescent="0.25">
      <c r="A143" s="93">
        <f t="shared" si="2"/>
        <v>57</v>
      </c>
      <c r="B143" s="113"/>
      <c r="C143"/>
      <c r="D143" s="75" t="str">
        <f>IF(COUNTIFS(Таблица2[1],B143)+SUMIFS(Таблица2[R],Таблица2[1],B143)=0,"",COUNTIFS(Таблица2[1],B143)+SUMIFS(Таблица2[R],Таблица2[1],B143))</f>
        <v/>
      </c>
      <c r="E143" s="76" t="str">
        <f>IF(SUMIFS(Таблица2[B$],Таблица2[1],B143)=0,"-",SUMIFS(Таблица2[B$],Таблица2[1],B143))</f>
        <v>-</v>
      </c>
      <c r="F143" s="77" t="str">
        <f>IFERROR(AVERAGEIFS(Таблица2[AFS],Таблица2[1],B143)+(AVERAGEIFS(Таблица2[AFS],Таблица2[1],B143)*0.2),"-")</f>
        <v>-</v>
      </c>
      <c r="G143" s="77" t="str">
        <f t="shared" si="3"/>
        <v>-</v>
      </c>
      <c r="H143" s="77" t="str">
        <f>IFERROR(COUNTIFS(Таблица2[1],B143,Таблица2[WIN$],"&gt;0")/D143*100,"-")</f>
        <v>-</v>
      </c>
      <c r="I143" s="77" t="str">
        <f>IF(IFERROR((COUNTIFS(Таблица2[1],B143,Таблица2[K],"K")+SUMIFS(Таблица2[R],Таблица2[1],B143,Таблица2[K],"K"))/D143*100,"-")=0,"-",IFERROR((COUNTIFS(Таблица2[1],B143,Таблица2[K],"K")+SUMIFS(Таблица2[R],Таблица2[1],B143,Таблица2[K],"K"))/D143*100,"-"))</f>
        <v>-</v>
      </c>
      <c r="J143" s="77" t="str">
        <f>IF(IFERROR((COUNTIFS(Таблица2[1],B143,Таблица2[T],"t")+SUMIFS(Таблица2[R],Таблица2[1],B143,Таблица2[T],"t"))/D143*100,"-")=0,"-",IFERROR((COUNTIFS(Таблица2[1],B143,Таблица2[T],"t")+SUMIFS(Таблица2[R],Таблица2[1],B143,Таблица2[T],"t"))/D143*100,"-"))</f>
        <v>-</v>
      </c>
      <c r="K143" s="76" t="str">
        <f>IF(SUMIFS(Таблица2[KO$],Таблица2[1],B143)=0,"-",SUMIFS(Таблица2[KO$],Таблица2[1],B143))</f>
        <v>-</v>
      </c>
      <c r="L143" s="76" t="str">
        <f>IF(SUMIFS(Таблица2[WIN$],Таблица2[1],B143)=0,"-",SUMIFS(Таблица2[WIN$],Таблица2[1],B143))</f>
        <v>-</v>
      </c>
      <c r="M143" s="76" t="str">
        <f t="shared" si="4"/>
        <v>-</v>
      </c>
      <c r="N143" s="78" t="str">
        <f>IFERROR(Таблица46[[#This Row],[PROF]]/Таблица46[[#This Row],[Games]],"-")</f>
        <v>-</v>
      </c>
    </row>
    <row r="144" spans="1:14" ht="11.1" customHeight="1" x14ac:dyDescent="0.25">
      <c r="A144" s="93">
        <f t="shared" si="2"/>
        <v>58</v>
      </c>
      <c r="B144" s="113"/>
      <c r="C144"/>
      <c r="D144" s="75" t="str">
        <f>IF(COUNTIFS(Таблица2[1],B144)+SUMIFS(Таблица2[R],Таблица2[1],B144)=0,"",COUNTIFS(Таблица2[1],B144)+SUMIFS(Таблица2[R],Таблица2[1],B144))</f>
        <v/>
      </c>
      <c r="E144" s="76" t="str">
        <f>IF(SUMIFS(Таблица2[B$],Таблица2[1],B144)=0,"-",SUMIFS(Таблица2[B$],Таблица2[1],B144))</f>
        <v>-</v>
      </c>
      <c r="F144" s="77" t="str">
        <f>IFERROR(AVERAGEIFS(Таблица2[AFS],Таблица2[1],B144)+(AVERAGEIFS(Таблица2[AFS],Таблица2[1],B144)*0.2),"-")</f>
        <v>-</v>
      </c>
      <c r="G144" s="77" t="str">
        <f t="shared" si="3"/>
        <v>-</v>
      </c>
      <c r="H144" s="77" t="str">
        <f>IFERROR(COUNTIFS(Таблица2[1],B144,Таблица2[WIN$],"&gt;0")/D144*100,"-")</f>
        <v>-</v>
      </c>
      <c r="I144" s="77" t="str">
        <f>IF(IFERROR((COUNTIFS(Таблица2[1],B144,Таблица2[K],"K")+SUMIFS(Таблица2[R],Таблица2[1],B144,Таблица2[K],"K"))/D144*100,"-")=0,"-",IFERROR((COUNTIFS(Таблица2[1],B144,Таблица2[K],"K")+SUMIFS(Таблица2[R],Таблица2[1],B144,Таблица2[K],"K"))/D144*100,"-"))</f>
        <v>-</v>
      </c>
      <c r="J144" s="77" t="str">
        <f>IF(IFERROR((COUNTIFS(Таблица2[1],B144,Таблица2[T],"t")+SUMIFS(Таблица2[R],Таблица2[1],B144,Таблица2[T],"t"))/D144*100,"-")=0,"-",IFERROR((COUNTIFS(Таблица2[1],B144,Таблица2[T],"t")+SUMIFS(Таблица2[R],Таблица2[1],B144,Таблица2[T],"t"))/D144*100,"-"))</f>
        <v>-</v>
      </c>
      <c r="K144" s="76" t="str">
        <f>IF(SUMIFS(Таблица2[KO$],Таблица2[1],B144)=0,"-",SUMIFS(Таблица2[KO$],Таблица2[1],B144))</f>
        <v>-</v>
      </c>
      <c r="L144" s="76" t="str">
        <f>IF(SUMIFS(Таблица2[WIN$],Таблица2[1],B144)=0,"-",SUMIFS(Таблица2[WIN$],Таблица2[1],B144))</f>
        <v>-</v>
      </c>
      <c r="M144" s="76" t="str">
        <f t="shared" si="4"/>
        <v>-</v>
      </c>
      <c r="N144" s="78" t="str">
        <f>IFERROR(Таблица46[[#This Row],[PROF]]/Таблица46[[#This Row],[Games]],"-")</f>
        <v>-</v>
      </c>
    </row>
    <row r="145" spans="1:14" ht="11.1" customHeight="1" x14ac:dyDescent="0.25">
      <c r="A145" s="93">
        <f t="shared" si="2"/>
        <v>59</v>
      </c>
      <c r="B145" s="113"/>
      <c r="C145"/>
      <c r="D145" s="75" t="str">
        <f>IF(COUNTIFS(Таблица2[1],B145)+SUMIFS(Таблица2[R],Таблица2[1],B145)=0,"",COUNTIFS(Таблица2[1],B145)+SUMIFS(Таблица2[R],Таблица2[1],B145))</f>
        <v/>
      </c>
      <c r="E145" s="76" t="str">
        <f>IF(SUMIFS(Таблица2[B$],Таблица2[1],B145)=0,"-",SUMIFS(Таблица2[B$],Таблица2[1],B145))</f>
        <v>-</v>
      </c>
      <c r="F145" s="77" t="str">
        <f>IFERROR(AVERAGEIFS(Таблица2[AFS],Таблица2[1],B145)+(AVERAGEIFS(Таблица2[AFS],Таблица2[1],B145)*0.2),"-")</f>
        <v>-</v>
      </c>
      <c r="G145" s="77" t="str">
        <f t="shared" si="3"/>
        <v>-</v>
      </c>
      <c r="H145" s="77" t="str">
        <f>IFERROR(COUNTIFS(Таблица2[1],B145,Таблица2[WIN$],"&gt;0")/D145*100,"-")</f>
        <v>-</v>
      </c>
      <c r="I145" s="77" t="str">
        <f>IF(IFERROR((COUNTIFS(Таблица2[1],B145,Таблица2[K],"K")+SUMIFS(Таблица2[R],Таблица2[1],B145,Таблица2[K],"K"))/D145*100,"-")=0,"-",IFERROR((COUNTIFS(Таблица2[1],B145,Таблица2[K],"K")+SUMIFS(Таблица2[R],Таблица2[1],B145,Таблица2[K],"K"))/D145*100,"-"))</f>
        <v>-</v>
      </c>
      <c r="J145" s="77" t="str">
        <f>IF(IFERROR((COUNTIFS(Таблица2[1],B145,Таблица2[T],"t")+SUMIFS(Таблица2[R],Таблица2[1],B145,Таблица2[T],"t"))/D145*100,"-")=0,"-",IFERROR((COUNTIFS(Таблица2[1],B145,Таблица2[T],"t")+SUMIFS(Таблица2[R],Таблица2[1],B145,Таблица2[T],"t"))/D145*100,"-"))</f>
        <v>-</v>
      </c>
      <c r="K145" s="76" t="str">
        <f>IF(SUMIFS(Таблица2[KO$],Таблица2[1],B145)=0,"-",SUMIFS(Таблица2[KO$],Таблица2[1],B145))</f>
        <v>-</v>
      </c>
      <c r="L145" s="76" t="str">
        <f>IF(SUMIFS(Таблица2[WIN$],Таблица2[1],B145)=0,"-",SUMIFS(Таблица2[WIN$],Таблица2[1],B145))</f>
        <v>-</v>
      </c>
      <c r="M145" s="76" t="str">
        <f t="shared" si="4"/>
        <v>-</v>
      </c>
      <c r="N145" s="78" t="str">
        <f>IFERROR(Таблица46[[#This Row],[PROF]]/Таблица46[[#This Row],[Games]],"-")</f>
        <v>-</v>
      </c>
    </row>
    <row r="146" spans="1:14" ht="11.1" customHeight="1" x14ac:dyDescent="0.25">
      <c r="A146" s="93">
        <f t="shared" si="2"/>
        <v>60</v>
      </c>
      <c r="B146" s="113"/>
      <c r="C146"/>
      <c r="D146" s="75" t="str">
        <f>IF(COUNTIFS(Таблица2[1],B146)+SUMIFS(Таблица2[R],Таблица2[1],B146)=0,"",COUNTIFS(Таблица2[1],B146)+SUMIFS(Таблица2[R],Таблица2[1],B146))</f>
        <v/>
      </c>
      <c r="E146" s="76" t="str">
        <f>IF(SUMIFS(Таблица2[B$],Таблица2[1],B146)=0,"-",SUMIFS(Таблица2[B$],Таблица2[1],B146))</f>
        <v>-</v>
      </c>
      <c r="F146" s="77" t="str">
        <f>IFERROR(AVERAGEIFS(Таблица2[AFS],Таблица2[1],B146)+(AVERAGEIFS(Таблица2[AFS],Таблица2[1],B146)*0.2),"-")</f>
        <v>-</v>
      </c>
      <c r="G146" s="77" t="str">
        <f t="shared" si="3"/>
        <v>-</v>
      </c>
      <c r="H146" s="77" t="str">
        <f>IFERROR(COUNTIFS(Таблица2[1],B146,Таблица2[WIN$],"&gt;0")/D146*100,"-")</f>
        <v>-</v>
      </c>
      <c r="I146" s="77" t="str">
        <f>IF(IFERROR((COUNTIFS(Таблица2[1],B146,Таблица2[K],"K")+SUMIFS(Таблица2[R],Таблица2[1],B146,Таблица2[K],"K"))/D146*100,"-")=0,"-",IFERROR((COUNTIFS(Таблица2[1],B146,Таблица2[K],"K")+SUMIFS(Таблица2[R],Таблица2[1],B146,Таблица2[K],"K"))/D146*100,"-"))</f>
        <v>-</v>
      </c>
      <c r="J146" s="77" t="str">
        <f>IF(IFERROR((COUNTIFS(Таблица2[1],B146,Таблица2[T],"t")+SUMIFS(Таблица2[R],Таблица2[1],B146,Таблица2[T],"t"))/D146*100,"-")=0,"-",IFERROR((COUNTIFS(Таблица2[1],B146,Таблица2[T],"t")+SUMIFS(Таблица2[R],Таблица2[1],B146,Таблица2[T],"t"))/D146*100,"-"))</f>
        <v>-</v>
      </c>
      <c r="K146" s="76" t="str">
        <f>IF(SUMIFS(Таблица2[KO$],Таблица2[1],B146)=0,"-",SUMIFS(Таблица2[KO$],Таблица2[1],B146))</f>
        <v>-</v>
      </c>
      <c r="L146" s="76" t="str">
        <f>IF(SUMIFS(Таблица2[WIN$],Таблица2[1],B146)=0,"-",SUMIFS(Таблица2[WIN$],Таблица2[1],B146))</f>
        <v>-</v>
      </c>
      <c r="M146" s="76" t="str">
        <f t="shared" si="4"/>
        <v>-</v>
      </c>
      <c r="N146" s="78" t="str">
        <f>IFERROR(Таблица46[[#This Row],[PROF]]/Таблица46[[#This Row],[Games]],"-")</f>
        <v>-</v>
      </c>
    </row>
    <row r="147" spans="1:14" ht="11.1" customHeight="1" x14ac:dyDescent="0.25">
      <c r="A147" s="93">
        <f t="shared" si="2"/>
        <v>61</v>
      </c>
      <c r="B147" s="113"/>
      <c r="C147"/>
      <c r="D147" s="75" t="str">
        <f>IF(COUNTIFS(Таблица2[1],B147)+SUMIFS(Таблица2[R],Таблица2[1],B147)=0,"",COUNTIFS(Таблица2[1],B147)+SUMIFS(Таблица2[R],Таблица2[1],B147))</f>
        <v/>
      </c>
      <c r="E147" s="76" t="str">
        <f>IF(SUMIFS(Таблица2[B$],Таблица2[1],B147)=0,"-",SUMIFS(Таблица2[B$],Таблица2[1],B147))</f>
        <v>-</v>
      </c>
      <c r="F147" s="77" t="str">
        <f>IFERROR(AVERAGEIFS(Таблица2[AFS],Таблица2[1],B147)+(AVERAGEIFS(Таблица2[AFS],Таблица2[1],B147)*0.2),"-")</f>
        <v>-</v>
      </c>
      <c r="G147" s="77" t="str">
        <f t="shared" si="3"/>
        <v>-</v>
      </c>
      <c r="H147" s="77" t="str">
        <f>IFERROR(COUNTIFS(Таблица2[1],B147,Таблица2[WIN$],"&gt;0")/D147*100,"-")</f>
        <v>-</v>
      </c>
      <c r="I147" s="77" t="str">
        <f>IF(IFERROR((COUNTIFS(Таблица2[1],B147,Таблица2[K],"K")+SUMIFS(Таблица2[R],Таблица2[1],B147,Таблица2[K],"K"))/D147*100,"-")=0,"-",IFERROR((COUNTIFS(Таблица2[1],B147,Таблица2[K],"K")+SUMIFS(Таблица2[R],Таблица2[1],B147,Таблица2[K],"K"))/D147*100,"-"))</f>
        <v>-</v>
      </c>
      <c r="J147" s="77" t="str">
        <f>IF(IFERROR((COUNTIFS(Таблица2[1],B147,Таблица2[T],"t")+SUMIFS(Таблица2[R],Таблица2[1],B147,Таблица2[T],"t"))/D147*100,"-")=0,"-",IFERROR((COUNTIFS(Таблица2[1],B147,Таблица2[T],"t")+SUMIFS(Таблица2[R],Таблица2[1],B147,Таблица2[T],"t"))/D147*100,"-"))</f>
        <v>-</v>
      </c>
      <c r="K147" s="76" t="str">
        <f>IF(SUMIFS(Таблица2[KO$],Таблица2[1],B147)=0,"-",SUMIFS(Таблица2[KO$],Таблица2[1],B147))</f>
        <v>-</v>
      </c>
      <c r="L147" s="76" t="str">
        <f>IF(SUMIFS(Таблица2[WIN$],Таблица2[1],B147)=0,"-",SUMIFS(Таблица2[WIN$],Таблица2[1],B147))</f>
        <v>-</v>
      </c>
      <c r="M147" s="76" t="str">
        <f t="shared" si="4"/>
        <v>-</v>
      </c>
      <c r="N147" s="78" t="str">
        <f>IFERROR(Таблица46[[#This Row],[PROF]]/Таблица46[[#This Row],[Games]],"-")</f>
        <v>-</v>
      </c>
    </row>
    <row r="148" spans="1:14" ht="11.1" customHeight="1" x14ac:dyDescent="0.25">
      <c r="A148" s="93">
        <f t="shared" si="2"/>
        <v>62</v>
      </c>
      <c r="B148" s="113"/>
      <c r="C148"/>
      <c r="D148" s="75" t="str">
        <f>IF(COUNTIFS(Таблица2[1],B148)+SUMIFS(Таблица2[R],Таблица2[1],B148)=0,"",COUNTIFS(Таблица2[1],B148)+SUMIFS(Таблица2[R],Таблица2[1],B148))</f>
        <v/>
      </c>
      <c r="E148" s="76" t="str">
        <f>IF(SUMIFS(Таблица2[B$],Таблица2[1],B148)=0,"-",SUMIFS(Таблица2[B$],Таблица2[1],B148))</f>
        <v>-</v>
      </c>
      <c r="F148" s="77" t="str">
        <f>IFERROR(AVERAGEIFS(Таблица2[AFS],Таблица2[1],B148)+(AVERAGEIFS(Таблица2[AFS],Таблица2[1],B148)*0.2),"-")</f>
        <v>-</v>
      </c>
      <c r="G148" s="77" t="str">
        <f t="shared" si="3"/>
        <v>-</v>
      </c>
      <c r="H148" s="77" t="str">
        <f>IFERROR(COUNTIFS(Таблица2[1],B148,Таблица2[WIN$],"&gt;0")/D148*100,"-")</f>
        <v>-</v>
      </c>
      <c r="I148" s="77" t="str">
        <f>IF(IFERROR((COUNTIFS(Таблица2[1],B148,Таблица2[K],"K")+SUMIFS(Таблица2[R],Таблица2[1],B148,Таблица2[K],"K"))/D148*100,"-")=0,"-",IFERROR((COUNTIFS(Таблица2[1],B148,Таблица2[K],"K")+SUMIFS(Таблица2[R],Таблица2[1],B148,Таблица2[K],"K"))/D148*100,"-"))</f>
        <v>-</v>
      </c>
      <c r="J148" s="77" t="str">
        <f>IF(IFERROR((COUNTIFS(Таблица2[1],B148,Таблица2[T],"t")+SUMIFS(Таблица2[R],Таблица2[1],B148,Таблица2[T],"t"))/D148*100,"-")=0,"-",IFERROR((COUNTIFS(Таблица2[1],B148,Таблица2[T],"t")+SUMIFS(Таблица2[R],Таблица2[1],B148,Таблица2[T],"t"))/D148*100,"-"))</f>
        <v>-</v>
      </c>
      <c r="K148" s="76" t="str">
        <f>IF(SUMIFS(Таблица2[KO$],Таблица2[1],B148)=0,"-",SUMIFS(Таблица2[KO$],Таблица2[1],B148))</f>
        <v>-</v>
      </c>
      <c r="L148" s="76" t="str">
        <f>IF(SUMIFS(Таблица2[WIN$],Таблица2[1],B148)=0,"-",SUMIFS(Таблица2[WIN$],Таблица2[1],B148))</f>
        <v>-</v>
      </c>
      <c r="M148" s="76" t="str">
        <f t="shared" si="4"/>
        <v>-</v>
      </c>
      <c r="N148" s="78" t="str">
        <f>IFERROR(Таблица46[[#This Row],[PROF]]/Таблица46[[#This Row],[Games]],"-")</f>
        <v>-</v>
      </c>
    </row>
    <row r="149" spans="1:14" ht="11.1" customHeight="1" x14ac:dyDescent="0.25">
      <c r="A149" s="93">
        <f t="shared" si="2"/>
        <v>63</v>
      </c>
      <c r="B149" s="113"/>
      <c r="C149"/>
      <c r="D149" s="75" t="str">
        <f>IF(COUNTIFS(Таблица2[1],B149)+SUMIFS(Таблица2[R],Таблица2[1],B149)=0,"",COUNTIFS(Таблица2[1],B149)+SUMIFS(Таблица2[R],Таблица2[1],B149))</f>
        <v/>
      </c>
      <c r="E149" s="76" t="str">
        <f>IF(SUMIFS(Таблица2[B$],Таблица2[1],B149)=0,"-",SUMIFS(Таблица2[B$],Таблица2[1],B149))</f>
        <v>-</v>
      </c>
      <c r="F149" s="77" t="str">
        <f>IFERROR(AVERAGEIFS(Таблица2[AFS],Таблица2[1],B149)+(AVERAGEIFS(Таблица2[AFS],Таблица2[1],B149)*0.2),"-")</f>
        <v>-</v>
      </c>
      <c r="G149" s="77" t="str">
        <f t="shared" si="3"/>
        <v>-</v>
      </c>
      <c r="H149" s="77" t="str">
        <f>IFERROR(COUNTIFS(Таблица2[1],B149,Таблица2[WIN$],"&gt;0")/D149*100,"-")</f>
        <v>-</v>
      </c>
      <c r="I149" s="77" t="str">
        <f>IF(IFERROR((COUNTIFS(Таблица2[1],B149,Таблица2[K],"K")+SUMIFS(Таблица2[R],Таблица2[1],B149,Таблица2[K],"K"))/D149*100,"-")=0,"-",IFERROR((COUNTIFS(Таблица2[1],B149,Таблица2[K],"K")+SUMIFS(Таблица2[R],Таблица2[1],B149,Таблица2[K],"K"))/D149*100,"-"))</f>
        <v>-</v>
      </c>
      <c r="J149" s="77" t="str">
        <f>IF(IFERROR((COUNTIFS(Таблица2[1],B149,Таблица2[T],"t")+SUMIFS(Таблица2[R],Таблица2[1],B149,Таблица2[T],"t"))/D149*100,"-")=0,"-",IFERROR((COUNTIFS(Таблица2[1],B149,Таблица2[T],"t")+SUMIFS(Таблица2[R],Таблица2[1],B149,Таблица2[T],"t"))/D149*100,"-"))</f>
        <v>-</v>
      </c>
      <c r="K149" s="76" t="str">
        <f>IF(SUMIFS(Таблица2[KO$],Таблица2[1],B149)=0,"-",SUMIFS(Таблица2[KO$],Таблица2[1],B149))</f>
        <v>-</v>
      </c>
      <c r="L149" s="76" t="str">
        <f>IF(SUMIFS(Таблица2[WIN$],Таблица2[1],B149)=0,"-",SUMIFS(Таблица2[WIN$],Таблица2[1],B149))</f>
        <v>-</v>
      </c>
      <c r="M149" s="76" t="str">
        <f t="shared" si="4"/>
        <v>-</v>
      </c>
      <c r="N149" s="78" t="str">
        <f>IFERROR(Таблица46[[#This Row],[PROF]]/Таблица46[[#This Row],[Games]],"-")</f>
        <v>-</v>
      </c>
    </row>
    <row r="150" spans="1:14" ht="11.1" customHeight="1" x14ac:dyDescent="0.25">
      <c r="A150" s="93">
        <f t="shared" si="2"/>
        <v>64</v>
      </c>
      <c r="B150" s="113"/>
      <c r="C150"/>
      <c r="D150" s="75" t="str">
        <f>IF(COUNTIFS(Таблица2[1],B150)+SUMIFS(Таблица2[R],Таблица2[1],B150)=0,"",COUNTIFS(Таблица2[1],B150)+SUMIFS(Таблица2[R],Таблица2[1],B150))</f>
        <v/>
      </c>
      <c r="E150" s="76" t="str">
        <f>IF(SUMIFS(Таблица2[B$],Таблица2[1],B150)=0,"-",SUMIFS(Таблица2[B$],Таблица2[1],B150))</f>
        <v>-</v>
      </c>
      <c r="F150" s="77" t="str">
        <f>IFERROR(AVERAGEIFS(Таблица2[AFS],Таблица2[1],B150)+(AVERAGEIFS(Таблица2[AFS],Таблица2[1],B150)*0.2),"-")</f>
        <v>-</v>
      </c>
      <c r="G150" s="77" t="str">
        <f t="shared" si="3"/>
        <v>-</v>
      </c>
      <c r="H150" s="77" t="str">
        <f>IFERROR(COUNTIFS(Таблица2[1],B150,Таблица2[WIN$],"&gt;0")/D150*100,"-")</f>
        <v>-</v>
      </c>
      <c r="I150" s="77" t="str">
        <f>IF(IFERROR((COUNTIFS(Таблица2[1],B150,Таблица2[K],"K")+SUMIFS(Таблица2[R],Таблица2[1],B150,Таблица2[K],"K"))/D150*100,"-")=0,"-",IFERROR((COUNTIFS(Таблица2[1],B150,Таблица2[K],"K")+SUMIFS(Таблица2[R],Таблица2[1],B150,Таблица2[K],"K"))/D150*100,"-"))</f>
        <v>-</v>
      </c>
      <c r="J150" s="77" t="str">
        <f>IF(IFERROR((COUNTIFS(Таблица2[1],B150,Таблица2[T],"t")+SUMIFS(Таблица2[R],Таблица2[1],B150,Таблица2[T],"t"))/D150*100,"-")=0,"-",IFERROR((COUNTIFS(Таблица2[1],B150,Таблица2[T],"t")+SUMIFS(Таблица2[R],Таблица2[1],B150,Таблица2[T],"t"))/D150*100,"-"))</f>
        <v>-</v>
      </c>
      <c r="K150" s="76" t="str">
        <f>IF(SUMIFS(Таблица2[KO$],Таблица2[1],B150)=0,"-",SUMIFS(Таблица2[KO$],Таблица2[1],B150))</f>
        <v>-</v>
      </c>
      <c r="L150" s="76" t="str">
        <f>IF(SUMIFS(Таблица2[WIN$],Таблица2[1],B150)=0,"-",SUMIFS(Таблица2[WIN$],Таблица2[1],B150))</f>
        <v>-</v>
      </c>
      <c r="M150" s="76" t="str">
        <f t="shared" si="4"/>
        <v>-</v>
      </c>
      <c r="N150" s="78" t="str">
        <f>IFERROR(Таблица46[[#This Row],[PROF]]/Таблица46[[#This Row],[Games]],"-")</f>
        <v>-</v>
      </c>
    </row>
    <row r="151" spans="1:14" ht="11.1" customHeight="1" x14ac:dyDescent="0.25">
      <c r="A151" s="93">
        <f t="shared" si="2"/>
        <v>65</v>
      </c>
      <c r="B151" s="113"/>
      <c r="C151"/>
      <c r="D151" s="75" t="str">
        <f>IF(COUNTIFS(Таблица2[1],B151)+SUMIFS(Таблица2[R],Таблица2[1],B151)=0,"",COUNTIFS(Таблица2[1],B151)+SUMIFS(Таблица2[R],Таблица2[1],B151))</f>
        <v/>
      </c>
      <c r="E151" s="76" t="str">
        <f>IF(SUMIFS(Таблица2[B$],Таблица2[1],B151)=0,"-",SUMIFS(Таблица2[B$],Таблица2[1],B151))</f>
        <v>-</v>
      </c>
      <c r="F151" s="77" t="str">
        <f>IFERROR(AVERAGEIFS(Таблица2[AFS],Таблица2[1],B151)+(AVERAGEIFS(Таблица2[AFS],Таблица2[1],B151)*0.2),"-")</f>
        <v>-</v>
      </c>
      <c r="G151" s="77" t="str">
        <f t="shared" ref="G151:G182" si="5">IFERROR(M151/E151*100,"-")</f>
        <v>-</v>
      </c>
      <c r="H151" s="77" t="str">
        <f>IFERROR(COUNTIFS(Таблица2[1],B151,Таблица2[WIN$],"&gt;0")/D151*100,"-")</f>
        <v>-</v>
      </c>
      <c r="I151" s="77" t="str">
        <f>IF(IFERROR((COUNTIFS(Таблица2[1],B151,Таблица2[K],"K")+SUMIFS(Таблица2[R],Таблица2[1],B151,Таблица2[K],"K"))/D151*100,"-")=0,"-",IFERROR((COUNTIFS(Таблица2[1],B151,Таблица2[K],"K")+SUMIFS(Таблица2[R],Таблица2[1],B151,Таблица2[K],"K"))/D151*100,"-"))</f>
        <v>-</v>
      </c>
      <c r="J151" s="77" t="str">
        <f>IF(IFERROR((COUNTIFS(Таблица2[1],B151,Таблица2[T],"t")+SUMIFS(Таблица2[R],Таблица2[1],B151,Таблица2[T],"t"))/D151*100,"-")=0,"-",IFERROR((COUNTIFS(Таблица2[1],B151,Таблица2[T],"t")+SUMIFS(Таблица2[R],Таблица2[1],B151,Таблица2[T],"t"))/D151*100,"-"))</f>
        <v>-</v>
      </c>
      <c r="K151" s="76" t="str">
        <f>IF(SUMIFS(Таблица2[KO$],Таблица2[1],B151)=0,"-",SUMIFS(Таблица2[KO$],Таблица2[1],B151))</f>
        <v>-</v>
      </c>
      <c r="L151" s="76" t="str">
        <f>IF(SUMIFS(Таблица2[WIN$],Таблица2[1],B151)=0,"-",SUMIFS(Таблица2[WIN$],Таблица2[1],B151))</f>
        <v>-</v>
      </c>
      <c r="M151" s="76" t="str">
        <f t="shared" ref="M151:M182" si="6">IFERROR(IF(L151="-",0,L151)+IF(K151="-",0,K151)-E151,"-")</f>
        <v>-</v>
      </c>
      <c r="N151" s="78" t="str">
        <f>IFERROR(Таблица46[[#This Row],[PROF]]/Таблица46[[#This Row],[Games]],"-")</f>
        <v>-</v>
      </c>
    </row>
    <row r="152" spans="1:14" ht="11.1" customHeight="1" x14ac:dyDescent="0.25">
      <c r="A152" s="93">
        <f t="shared" ref="A152:A215" si="7">A151+1</f>
        <v>66</v>
      </c>
      <c r="B152" s="113"/>
      <c r="C152"/>
      <c r="D152" s="75" t="str">
        <f>IF(COUNTIFS(Таблица2[1],B152)+SUMIFS(Таблица2[R],Таблица2[1],B152)=0,"",COUNTIFS(Таблица2[1],B152)+SUMIFS(Таблица2[R],Таблица2[1],B152))</f>
        <v/>
      </c>
      <c r="E152" s="76" t="str">
        <f>IF(SUMIFS(Таблица2[B$],Таблица2[1],B152)=0,"-",SUMIFS(Таблица2[B$],Таблица2[1],B152))</f>
        <v>-</v>
      </c>
      <c r="F152" s="77" t="str">
        <f>IFERROR(AVERAGEIFS(Таблица2[AFS],Таблица2[1],B152)+(AVERAGEIFS(Таблица2[AFS],Таблица2[1],B152)*0.2),"-")</f>
        <v>-</v>
      </c>
      <c r="G152" s="77" t="str">
        <f t="shared" si="5"/>
        <v>-</v>
      </c>
      <c r="H152" s="77" t="str">
        <f>IFERROR(COUNTIFS(Таблица2[1],B152,Таблица2[WIN$],"&gt;0")/D152*100,"-")</f>
        <v>-</v>
      </c>
      <c r="I152" s="77" t="str">
        <f>IF(IFERROR((COUNTIFS(Таблица2[1],B152,Таблица2[K],"K")+SUMIFS(Таблица2[R],Таблица2[1],B152,Таблица2[K],"K"))/D152*100,"-")=0,"-",IFERROR((COUNTIFS(Таблица2[1],B152,Таблица2[K],"K")+SUMIFS(Таблица2[R],Таблица2[1],B152,Таблица2[K],"K"))/D152*100,"-"))</f>
        <v>-</v>
      </c>
      <c r="J152" s="77" t="str">
        <f>IF(IFERROR((COUNTIFS(Таблица2[1],B152,Таблица2[T],"t")+SUMIFS(Таблица2[R],Таблица2[1],B152,Таблица2[T],"t"))/D152*100,"-")=0,"-",IFERROR((COUNTIFS(Таблица2[1],B152,Таблица2[T],"t")+SUMIFS(Таблица2[R],Таблица2[1],B152,Таблица2[T],"t"))/D152*100,"-"))</f>
        <v>-</v>
      </c>
      <c r="K152" s="76" t="str">
        <f>IF(SUMIFS(Таблица2[KO$],Таблица2[1],B152)=0,"-",SUMIFS(Таблица2[KO$],Таблица2[1],B152))</f>
        <v>-</v>
      </c>
      <c r="L152" s="76" t="str">
        <f>IF(SUMIFS(Таблица2[WIN$],Таблица2[1],B152)=0,"-",SUMIFS(Таблица2[WIN$],Таблица2[1],B152))</f>
        <v>-</v>
      </c>
      <c r="M152" s="76" t="str">
        <f t="shared" si="6"/>
        <v>-</v>
      </c>
      <c r="N152" s="78" t="str">
        <f>IFERROR(Таблица46[[#This Row],[PROF]]/Таблица46[[#This Row],[Games]],"-")</f>
        <v>-</v>
      </c>
    </row>
    <row r="153" spans="1:14" ht="11.1" customHeight="1" x14ac:dyDescent="0.25">
      <c r="A153" s="93">
        <f t="shared" si="7"/>
        <v>67</v>
      </c>
      <c r="B153" s="113"/>
      <c r="C153"/>
      <c r="D153" s="75" t="str">
        <f>IF(COUNTIFS(Таблица2[1],B153)+SUMIFS(Таблица2[R],Таблица2[1],B153)=0,"",COUNTIFS(Таблица2[1],B153)+SUMIFS(Таблица2[R],Таблица2[1],B153))</f>
        <v/>
      </c>
      <c r="E153" s="76" t="str">
        <f>IF(SUMIFS(Таблица2[B$],Таблица2[1],B153)=0,"-",SUMIFS(Таблица2[B$],Таблица2[1],B153))</f>
        <v>-</v>
      </c>
      <c r="F153" s="77" t="str">
        <f>IFERROR(AVERAGEIFS(Таблица2[AFS],Таблица2[1],B153)+(AVERAGEIFS(Таблица2[AFS],Таблица2[1],B153)*0.2),"-")</f>
        <v>-</v>
      </c>
      <c r="G153" s="77" t="str">
        <f t="shared" si="5"/>
        <v>-</v>
      </c>
      <c r="H153" s="77" t="str">
        <f>IFERROR(COUNTIFS(Таблица2[1],B153,Таблица2[WIN$],"&gt;0")/D153*100,"-")</f>
        <v>-</v>
      </c>
      <c r="I153" s="77" t="str">
        <f>IF(IFERROR((COUNTIFS(Таблица2[1],B153,Таблица2[K],"K")+SUMIFS(Таблица2[R],Таблица2[1],B153,Таблица2[K],"K"))/D153*100,"-")=0,"-",IFERROR((COUNTIFS(Таблица2[1],B153,Таблица2[K],"K")+SUMIFS(Таблица2[R],Таблица2[1],B153,Таблица2[K],"K"))/D153*100,"-"))</f>
        <v>-</v>
      </c>
      <c r="J153" s="77" t="str">
        <f>IF(IFERROR((COUNTIFS(Таблица2[1],B153,Таблица2[T],"t")+SUMIFS(Таблица2[R],Таблица2[1],B153,Таблица2[T],"t"))/D153*100,"-")=0,"-",IFERROR((COUNTIFS(Таблица2[1],B153,Таблица2[T],"t")+SUMIFS(Таблица2[R],Таблица2[1],B153,Таблица2[T],"t"))/D153*100,"-"))</f>
        <v>-</v>
      </c>
      <c r="K153" s="76" t="str">
        <f>IF(SUMIFS(Таблица2[KO$],Таблица2[1],B153)=0,"-",SUMIFS(Таблица2[KO$],Таблица2[1],B153))</f>
        <v>-</v>
      </c>
      <c r="L153" s="76" t="str">
        <f>IF(SUMIFS(Таблица2[WIN$],Таблица2[1],B153)=0,"-",SUMIFS(Таблица2[WIN$],Таблица2[1],B153))</f>
        <v>-</v>
      </c>
      <c r="M153" s="76" t="str">
        <f t="shared" si="6"/>
        <v>-</v>
      </c>
      <c r="N153" s="78" t="str">
        <f>IFERROR(Таблица46[[#This Row],[PROF]]/Таблица46[[#This Row],[Games]],"-")</f>
        <v>-</v>
      </c>
    </row>
    <row r="154" spans="1:14" ht="11.1" customHeight="1" x14ac:dyDescent="0.25">
      <c r="A154" s="93">
        <f t="shared" si="7"/>
        <v>68</v>
      </c>
      <c r="B154" s="113"/>
      <c r="C154"/>
      <c r="D154" s="75" t="str">
        <f>IF(COUNTIFS(Таблица2[1],B154)+SUMIFS(Таблица2[R],Таблица2[1],B154)=0,"",COUNTIFS(Таблица2[1],B154)+SUMIFS(Таблица2[R],Таблица2[1],B154))</f>
        <v/>
      </c>
      <c r="E154" s="76" t="str">
        <f>IF(SUMIFS(Таблица2[B$],Таблица2[1],B154)=0,"-",SUMIFS(Таблица2[B$],Таблица2[1],B154))</f>
        <v>-</v>
      </c>
      <c r="F154" s="77" t="str">
        <f>IFERROR(AVERAGEIFS(Таблица2[AFS],Таблица2[1],B154)+(AVERAGEIFS(Таблица2[AFS],Таблица2[1],B154)*0.2),"-")</f>
        <v>-</v>
      </c>
      <c r="G154" s="77" t="str">
        <f t="shared" si="5"/>
        <v>-</v>
      </c>
      <c r="H154" s="77" t="str">
        <f>IFERROR(COUNTIFS(Таблица2[1],B154,Таблица2[WIN$],"&gt;0")/D154*100,"-")</f>
        <v>-</v>
      </c>
      <c r="I154" s="77" t="str">
        <f>IF(IFERROR((COUNTIFS(Таблица2[1],B154,Таблица2[K],"K")+SUMIFS(Таблица2[R],Таблица2[1],B154,Таблица2[K],"K"))/D154*100,"-")=0,"-",IFERROR((COUNTIFS(Таблица2[1],B154,Таблица2[K],"K")+SUMIFS(Таблица2[R],Таблица2[1],B154,Таблица2[K],"K"))/D154*100,"-"))</f>
        <v>-</v>
      </c>
      <c r="J154" s="77" t="str">
        <f>IF(IFERROR((COUNTIFS(Таблица2[1],B154,Таблица2[T],"t")+SUMIFS(Таблица2[R],Таблица2[1],B154,Таблица2[T],"t"))/D154*100,"-")=0,"-",IFERROR((COUNTIFS(Таблица2[1],B154,Таблица2[T],"t")+SUMIFS(Таблица2[R],Таблица2[1],B154,Таблица2[T],"t"))/D154*100,"-"))</f>
        <v>-</v>
      </c>
      <c r="K154" s="76" t="str">
        <f>IF(SUMIFS(Таблица2[KO$],Таблица2[1],B154)=0,"-",SUMIFS(Таблица2[KO$],Таблица2[1],B154))</f>
        <v>-</v>
      </c>
      <c r="L154" s="76" t="str">
        <f>IF(SUMIFS(Таблица2[WIN$],Таблица2[1],B154)=0,"-",SUMIFS(Таблица2[WIN$],Таблица2[1],B154))</f>
        <v>-</v>
      </c>
      <c r="M154" s="76" t="str">
        <f t="shared" si="6"/>
        <v>-</v>
      </c>
      <c r="N154" s="78" t="str">
        <f>IFERROR(Таблица46[[#This Row],[PROF]]/Таблица46[[#This Row],[Games]],"-")</f>
        <v>-</v>
      </c>
    </row>
    <row r="155" spans="1:14" ht="11.1" customHeight="1" x14ac:dyDescent="0.25">
      <c r="A155" s="93">
        <f t="shared" si="7"/>
        <v>69</v>
      </c>
      <c r="B155" s="113"/>
      <c r="C155"/>
      <c r="D155" s="75" t="str">
        <f>IF(COUNTIFS(Таблица2[1],B155)+SUMIFS(Таблица2[R],Таблица2[1],B155)=0,"",COUNTIFS(Таблица2[1],B155)+SUMIFS(Таблица2[R],Таблица2[1],B155))</f>
        <v/>
      </c>
      <c r="E155" s="76" t="str">
        <f>IF(SUMIFS(Таблица2[B$],Таблица2[1],B155)=0,"-",SUMIFS(Таблица2[B$],Таблица2[1],B155))</f>
        <v>-</v>
      </c>
      <c r="F155" s="77" t="str">
        <f>IFERROR(AVERAGEIFS(Таблица2[AFS],Таблица2[1],B155)+(AVERAGEIFS(Таблица2[AFS],Таблица2[1],B155)*0.2),"-")</f>
        <v>-</v>
      </c>
      <c r="G155" s="77" t="str">
        <f t="shared" si="5"/>
        <v>-</v>
      </c>
      <c r="H155" s="77" t="str">
        <f>IFERROR(COUNTIFS(Таблица2[1],B155,Таблица2[WIN$],"&gt;0")/D155*100,"-")</f>
        <v>-</v>
      </c>
      <c r="I155" s="77" t="str">
        <f>IF(IFERROR((COUNTIFS(Таблица2[1],B155,Таблица2[K],"K")+SUMIFS(Таблица2[R],Таблица2[1],B155,Таблица2[K],"K"))/D155*100,"-")=0,"-",IFERROR((COUNTIFS(Таблица2[1],B155,Таблица2[K],"K")+SUMIFS(Таблица2[R],Таблица2[1],B155,Таблица2[K],"K"))/D155*100,"-"))</f>
        <v>-</v>
      </c>
      <c r="J155" s="77" t="str">
        <f>IF(IFERROR((COUNTIFS(Таблица2[1],B155,Таблица2[T],"t")+SUMIFS(Таблица2[R],Таблица2[1],B155,Таблица2[T],"t"))/D155*100,"-")=0,"-",IFERROR((COUNTIFS(Таблица2[1],B155,Таблица2[T],"t")+SUMIFS(Таблица2[R],Таблица2[1],B155,Таблица2[T],"t"))/D155*100,"-"))</f>
        <v>-</v>
      </c>
      <c r="K155" s="76" t="str">
        <f>IF(SUMIFS(Таблица2[KO$],Таблица2[1],B155)=0,"-",SUMIFS(Таблица2[KO$],Таблица2[1],B155))</f>
        <v>-</v>
      </c>
      <c r="L155" s="76" t="str">
        <f>IF(SUMIFS(Таблица2[WIN$],Таблица2[1],B155)=0,"-",SUMIFS(Таблица2[WIN$],Таблица2[1],B155))</f>
        <v>-</v>
      </c>
      <c r="M155" s="76" t="str">
        <f t="shared" si="6"/>
        <v>-</v>
      </c>
      <c r="N155" s="78" t="str">
        <f>IFERROR(Таблица46[[#This Row],[PROF]]/Таблица46[[#This Row],[Games]],"-")</f>
        <v>-</v>
      </c>
    </row>
    <row r="156" spans="1:14" ht="11.1" customHeight="1" x14ac:dyDescent="0.25">
      <c r="A156" s="93">
        <f t="shared" si="7"/>
        <v>70</v>
      </c>
      <c r="B156" s="113"/>
      <c r="C156"/>
      <c r="D156" s="75" t="str">
        <f>IF(COUNTIFS(Таблица2[1],B156)+SUMIFS(Таблица2[R],Таблица2[1],B156)=0,"",COUNTIFS(Таблица2[1],B156)+SUMIFS(Таблица2[R],Таблица2[1],B156))</f>
        <v/>
      </c>
      <c r="E156" s="76" t="str">
        <f>IF(SUMIFS(Таблица2[B$],Таблица2[1],B156)=0,"-",SUMIFS(Таблица2[B$],Таблица2[1],B156))</f>
        <v>-</v>
      </c>
      <c r="F156" s="77" t="str">
        <f>IFERROR(AVERAGEIFS(Таблица2[AFS],Таблица2[1],B156)+(AVERAGEIFS(Таблица2[AFS],Таблица2[1],B156)*0.2),"-")</f>
        <v>-</v>
      </c>
      <c r="G156" s="77" t="str">
        <f t="shared" si="5"/>
        <v>-</v>
      </c>
      <c r="H156" s="77" t="str">
        <f>IFERROR(COUNTIFS(Таблица2[1],B156,Таблица2[WIN$],"&gt;0")/D156*100,"-")</f>
        <v>-</v>
      </c>
      <c r="I156" s="77" t="str">
        <f>IF(IFERROR((COUNTIFS(Таблица2[1],B156,Таблица2[K],"K")+SUMIFS(Таблица2[R],Таблица2[1],B156,Таблица2[K],"K"))/D156*100,"-")=0,"-",IFERROR((COUNTIFS(Таблица2[1],B156,Таблица2[K],"K")+SUMIFS(Таблица2[R],Таблица2[1],B156,Таблица2[K],"K"))/D156*100,"-"))</f>
        <v>-</v>
      </c>
      <c r="J156" s="77" t="str">
        <f>IF(IFERROR((COUNTIFS(Таблица2[1],B156,Таблица2[T],"t")+SUMIFS(Таблица2[R],Таблица2[1],B156,Таблица2[T],"t"))/D156*100,"-")=0,"-",IFERROR((COUNTIFS(Таблица2[1],B156,Таблица2[T],"t")+SUMIFS(Таблица2[R],Таблица2[1],B156,Таблица2[T],"t"))/D156*100,"-"))</f>
        <v>-</v>
      </c>
      <c r="K156" s="76" t="str">
        <f>IF(SUMIFS(Таблица2[KO$],Таблица2[1],B156)=0,"-",SUMIFS(Таблица2[KO$],Таблица2[1],B156))</f>
        <v>-</v>
      </c>
      <c r="L156" s="76" t="str">
        <f>IF(SUMIFS(Таблица2[WIN$],Таблица2[1],B156)=0,"-",SUMIFS(Таблица2[WIN$],Таблица2[1],B156))</f>
        <v>-</v>
      </c>
      <c r="M156" s="76" t="str">
        <f t="shared" si="6"/>
        <v>-</v>
      </c>
      <c r="N156" s="78" t="str">
        <f>IFERROR(Таблица46[[#This Row],[PROF]]/Таблица46[[#This Row],[Games]],"-")</f>
        <v>-</v>
      </c>
    </row>
    <row r="157" spans="1:14" ht="11.1" customHeight="1" x14ac:dyDescent="0.25">
      <c r="A157" s="93">
        <f t="shared" si="7"/>
        <v>71</v>
      </c>
      <c r="B157" s="113"/>
      <c r="C157"/>
      <c r="D157" s="75" t="str">
        <f>IF(COUNTIFS(Таблица2[1],B157)+SUMIFS(Таблица2[R],Таблица2[1],B157)=0,"",COUNTIFS(Таблица2[1],B157)+SUMIFS(Таблица2[R],Таблица2[1],B157))</f>
        <v/>
      </c>
      <c r="E157" s="76" t="str">
        <f>IF(SUMIFS(Таблица2[B$],Таблица2[1],B157)=0,"-",SUMIFS(Таблица2[B$],Таблица2[1],B157))</f>
        <v>-</v>
      </c>
      <c r="F157" s="77" t="str">
        <f>IFERROR(AVERAGEIFS(Таблица2[AFS],Таблица2[1],B157)+(AVERAGEIFS(Таблица2[AFS],Таблица2[1],B157)*0.2),"-")</f>
        <v>-</v>
      </c>
      <c r="G157" s="77" t="str">
        <f t="shared" si="5"/>
        <v>-</v>
      </c>
      <c r="H157" s="77" t="str">
        <f>IFERROR(COUNTIFS(Таблица2[1],B157,Таблица2[WIN$],"&gt;0")/D157*100,"-")</f>
        <v>-</v>
      </c>
      <c r="I157" s="77" t="str">
        <f>IF(IFERROR((COUNTIFS(Таблица2[1],B157,Таблица2[K],"K")+SUMIFS(Таблица2[R],Таблица2[1],B157,Таблица2[K],"K"))/D157*100,"-")=0,"-",IFERROR((COUNTIFS(Таблица2[1],B157,Таблица2[K],"K")+SUMIFS(Таблица2[R],Таблица2[1],B157,Таблица2[K],"K"))/D157*100,"-"))</f>
        <v>-</v>
      </c>
      <c r="J157" s="77" t="str">
        <f>IF(IFERROR((COUNTIFS(Таблица2[1],B157,Таблица2[T],"t")+SUMIFS(Таблица2[R],Таблица2[1],B157,Таблица2[T],"t"))/D157*100,"-")=0,"-",IFERROR((COUNTIFS(Таблица2[1],B157,Таблица2[T],"t")+SUMIFS(Таблица2[R],Таблица2[1],B157,Таблица2[T],"t"))/D157*100,"-"))</f>
        <v>-</v>
      </c>
      <c r="K157" s="76" t="str">
        <f>IF(SUMIFS(Таблица2[KO$],Таблица2[1],B157)=0,"-",SUMIFS(Таблица2[KO$],Таблица2[1],B157))</f>
        <v>-</v>
      </c>
      <c r="L157" s="76" t="str">
        <f>IF(SUMIFS(Таблица2[WIN$],Таблица2[1],B157)=0,"-",SUMIFS(Таблица2[WIN$],Таблица2[1],B157))</f>
        <v>-</v>
      </c>
      <c r="M157" s="76" t="str">
        <f t="shared" si="6"/>
        <v>-</v>
      </c>
      <c r="N157" s="78" t="str">
        <f>IFERROR(Таблица46[[#This Row],[PROF]]/Таблица46[[#This Row],[Games]],"-")</f>
        <v>-</v>
      </c>
    </row>
    <row r="158" spans="1:14" ht="11.1" customHeight="1" x14ac:dyDescent="0.25">
      <c r="A158" s="93">
        <f t="shared" si="7"/>
        <v>72</v>
      </c>
      <c r="B158" s="113"/>
      <c r="C158"/>
      <c r="D158" s="75" t="str">
        <f>IF(COUNTIFS(Таблица2[1],B158)+SUMIFS(Таблица2[R],Таблица2[1],B158)=0,"",COUNTIFS(Таблица2[1],B158)+SUMIFS(Таблица2[R],Таблица2[1],B158))</f>
        <v/>
      </c>
      <c r="E158" s="76" t="str">
        <f>IF(SUMIFS(Таблица2[B$],Таблица2[1],B158)=0,"-",SUMIFS(Таблица2[B$],Таблица2[1],B158))</f>
        <v>-</v>
      </c>
      <c r="F158" s="77" t="str">
        <f>IFERROR(AVERAGEIFS(Таблица2[AFS],Таблица2[1],B158)+(AVERAGEIFS(Таблица2[AFS],Таблица2[1],B158)*0.2),"-")</f>
        <v>-</v>
      </c>
      <c r="G158" s="77" t="str">
        <f t="shared" si="5"/>
        <v>-</v>
      </c>
      <c r="H158" s="77" t="str">
        <f>IFERROR(COUNTIFS(Таблица2[1],B158,Таблица2[WIN$],"&gt;0")/D158*100,"-")</f>
        <v>-</v>
      </c>
      <c r="I158" s="77" t="str">
        <f>IF(IFERROR((COUNTIFS(Таблица2[1],B158,Таблица2[K],"K")+SUMIFS(Таблица2[R],Таблица2[1],B158,Таблица2[K],"K"))/D158*100,"-")=0,"-",IFERROR((COUNTIFS(Таблица2[1],B158,Таблица2[K],"K")+SUMIFS(Таблица2[R],Таблица2[1],B158,Таблица2[K],"K"))/D158*100,"-"))</f>
        <v>-</v>
      </c>
      <c r="J158" s="77" t="str">
        <f>IF(IFERROR((COUNTIFS(Таблица2[1],B158,Таблица2[T],"t")+SUMIFS(Таблица2[R],Таблица2[1],B158,Таблица2[T],"t"))/D158*100,"-")=0,"-",IFERROR((COUNTIFS(Таблица2[1],B158,Таблица2[T],"t")+SUMIFS(Таблица2[R],Таблица2[1],B158,Таблица2[T],"t"))/D158*100,"-"))</f>
        <v>-</v>
      </c>
      <c r="K158" s="76" t="str">
        <f>IF(SUMIFS(Таблица2[KO$],Таблица2[1],B158)=0,"-",SUMIFS(Таблица2[KO$],Таблица2[1],B158))</f>
        <v>-</v>
      </c>
      <c r="L158" s="76" t="str">
        <f>IF(SUMIFS(Таблица2[WIN$],Таблица2[1],B158)=0,"-",SUMIFS(Таблица2[WIN$],Таблица2[1],B158))</f>
        <v>-</v>
      </c>
      <c r="M158" s="76" t="str">
        <f t="shared" si="6"/>
        <v>-</v>
      </c>
      <c r="N158" s="78" t="str">
        <f>IFERROR(Таблица46[[#This Row],[PROF]]/Таблица46[[#This Row],[Games]],"-")</f>
        <v>-</v>
      </c>
    </row>
    <row r="159" spans="1:14" ht="11.1" customHeight="1" x14ac:dyDescent="0.25">
      <c r="A159" s="93">
        <f t="shared" si="7"/>
        <v>73</v>
      </c>
      <c r="B159" s="113"/>
      <c r="C159"/>
      <c r="D159" s="75" t="str">
        <f>IF(COUNTIFS(Таблица2[1],B159)+SUMIFS(Таблица2[R],Таблица2[1],B159)=0,"",COUNTIFS(Таблица2[1],B159)+SUMIFS(Таблица2[R],Таблица2[1],B159))</f>
        <v/>
      </c>
      <c r="E159" s="76" t="str">
        <f>IF(SUMIFS(Таблица2[B$],Таблица2[1],B159)=0,"-",SUMIFS(Таблица2[B$],Таблица2[1],B159))</f>
        <v>-</v>
      </c>
      <c r="F159" s="77" t="str">
        <f>IFERROR(AVERAGEIFS(Таблица2[AFS],Таблица2[1],B159)+(AVERAGEIFS(Таблица2[AFS],Таблица2[1],B159)*0.2),"-")</f>
        <v>-</v>
      </c>
      <c r="G159" s="77" t="str">
        <f t="shared" si="5"/>
        <v>-</v>
      </c>
      <c r="H159" s="77" t="str">
        <f>IFERROR(COUNTIFS(Таблица2[1],B159,Таблица2[WIN$],"&gt;0")/D159*100,"-")</f>
        <v>-</v>
      </c>
      <c r="I159" s="77" t="str">
        <f>IF(IFERROR((COUNTIFS(Таблица2[1],B159,Таблица2[K],"K")+SUMIFS(Таблица2[R],Таблица2[1],B159,Таблица2[K],"K"))/D159*100,"-")=0,"-",IFERROR((COUNTIFS(Таблица2[1],B159,Таблица2[K],"K")+SUMIFS(Таблица2[R],Таблица2[1],B159,Таблица2[K],"K"))/D159*100,"-"))</f>
        <v>-</v>
      </c>
      <c r="J159" s="77" t="str">
        <f>IF(IFERROR((COUNTIFS(Таблица2[1],B159,Таблица2[T],"t")+SUMIFS(Таблица2[R],Таблица2[1],B159,Таблица2[T],"t"))/D159*100,"-")=0,"-",IFERROR((COUNTIFS(Таблица2[1],B159,Таблица2[T],"t")+SUMIFS(Таблица2[R],Таблица2[1],B159,Таблица2[T],"t"))/D159*100,"-"))</f>
        <v>-</v>
      </c>
      <c r="K159" s="76" t="str">
        <f>IF(SUMIFS(Таблица2[KO$],Таблица2[1],B159)=0,"-",SUMIFS(Таблица2[KO$],Таблица2[1],B159))</f>
        <v>-</v>
      </c>
      <c r="L159" s="76" t="str">
        <f>IF(SUMIFS(Таблица2[WIN$],Таблица2[1],B159)=0,"-",SUMIFS(Таблица2[WIN$],Таблица2[1],B159))</f>
        <v>-</v>
      </c>
      <c r="M159" s="76" t="str">
        <f t="shared" si="6"/>
        <v>-</v>
      </c>
      <c r="N159" s="78" t="str">
        <f>IFERROR(Таблица46[[#This Row],[PROF]]/Таблица46[[#This Row],[Games]],"-")</f>
        <v>-</v>
      </c>
    </row>
    <row r="160" spans="1:14" ht="11.1" customHeight="1" x14ac:dyDescent="0.25">
      <c r="A160" s="93">
        <f t="shared" si="7"/>
        <v>74</v>
      </c>
      <c r="B160" s="113"/>
      <c r="C160"/>
      <c r="D160" s="75" t="str">
        <f>IF(COUNTIFS(Таблица2[1],B160)+SUMIFS(Таблица2[R],Таблица2[1],B160)=0,"",COUNTIFS(Таблица2[1],B160)+SUMIFS(Таблица2[R],Таблица2[1],B160))</f>
        <v/>
      </c>
      <c r="E160" s="76" t="str">
        <f>IF(SUMIFS(Таблица2[B$],Таблица2[1],B160)=0,"-",SUMIFS(Таблица2[B$],Таблица2[1],B160))</f>
        <v>-</v>
      </c>
      <c r="F160" s="77" t="str">
        <f>IFERROR(AVERAGEIFS(Таблица2[AFS],Таблица2[1],B160)+(AVERAGEIFS(Таблица2[AFS],Таблица2[1],B160)*0.2),"-")</f>
        <v>-</v>
      </c>
      <c r="G160" s="77" t="str">
        <f t="shared" si="5"/>
        <v>-</v>
      </c>
      <c r="H160" s="77" t="str">
        <f>IFERROR(COUNTIFS(Таблица2[1],B160,Таблица2[WIN$],"&gt;0")/D160*100,"-")</f>
        <v>-</v>
      </c>
      <c r="I160" s="77" t="str">
        <f>IF(IFERROR((COUNTIFS(Таблица2[1],B160,Таблица2[K],"K")+SUMIFS(Таблица2[R],Таблица2[1],B160,Таблица2[K],"K"))/D160*100,"-")=0,"-",IFERROR((COUNTIFS(Таблица2[1],B160,Таблица2[K],"K")+SUMIFS(Таблица2[R],Таблица2[1],B160,Таблица2[K],"K"))/D160*100,"-"))</f>
        <v>-</v>
      </c>
      <c r="J160" s="77" t="str">
        <f>IF(IFERROR((COUNTIFS(Таблица2[1],B160,Таблица2[T],"t")+SUMIFS(Таблица2[R],Таблица2[1],B160,Таблица2[T],"t"))/D160*100,"-")=0,"-",IFERROR((COUNTIFS(Таблица2[1],B160,Таблица2[T],"t")+SUMIFS(Таблица2[R],Таблица2[1],B160,Таблица2[T],"t"))/D160*100,"-"))</f>
        <v>-</v>
      </c>
      <c r="K160" s="76" t="str">
        <f>IF(SUMIFS(Таблица2[KO$],Таблица2[1],B160)=0,"-",SUMIFS(Таблица2[KO$],Таблица2[1],B160))</f>
        <v>-</v>
      </c>
      <c r="L160" s="76" t="str">
        <f>IF(SUMIFS(Таблица2[WIN$],Таблица2[1],B160)=0,"-",SUMIFS(Таблица2[WIN$],Таблица2[1],B160))</f>
        <v>-</v>
      </c>
      <c r="M160" s="76" t="str">
        <f t="shared" si="6"/>
        <v>-</v>
      </c>
      <c r="N160" s="78" t="str">
        <f>IFERROR(Таблица46[[#This Row],[PROF]]/Таблица46[[#This Row],[Games]],"-")</f>
        <v>-</v>
      </c>
    </row>
    <row r="161" spans="1:14" ht="11.1" customHeight="1" x14ac:dyDescent="0.25">
      <c r="A161" s="93">
        <f t="shared" si="7"/>
        <v>75</v>
      </c>
      <c r="B161" s="113"/>
      <c r="C161"/>
      <c r="D161" s="75" t="str">
        <f>IF(COUNTIFS(Таблица2[1],B161)+SUMIFS(Таблица2[R],Таблица2[1],B161)=0,"",COUNTIFS(Таблица2[1],B161)+SUMIFS(Таблица2[R],Таблица2[1],B161))</f>
        <v/>
      </c>
      <c r="E161" s="76" t="str">
        <f>IF(SUMIFS(Таблица2[B$],Таблица2[1],B161)=0,"-",SUMIFS(Таблица2[B$],Таблица2[1],B161))</f>
        <v>-</v>
      </c>
      <c r="F161" s="77" t="str">
        <f>IFERROR(AVERAGEIFS(Таблица2[AFS],Таблица2[1],B161)+(AVERAGEIFS(Таблица2[AFS],Таблица2[1],B161)*0.2),"-")</f>
        <v>-</v>
      </c>
      <c r="G161" s="77" t="str">
        <f t="shared" si="5"/>
        <v>-</v>
      </c>
      <c r="H161" s="77" t="str">
        <f>IFERROR(COUNTIFS(Таблица2[1],B161,Таблица2[WIN$],"&gt;0")/D161*100,"-")</f>
        <v>-</v>
      </c>
      <c r="I161" s="77" t="str">
        <f>IF(IFERROR((COUNTIFS(Таблица2[1],B161,Таблица2[K],"K")+SUMIFS(Таблица2[R],Таблица2[1],B161,Таблица2[K],"K"))/D161*100,"-")=0,"-",IFERROR((COUNTIFS(Таблица2[1],B161,Таблица2[K],"K")+SUMIFS(Таблица2[R],Таблица2[1],B161,Таблица2[K],"K"))/D161*100,"-"))</f>
        <v>-</v>
      </c>
      <c r="J161" s="77" t="str">
        <f>IF(IFERROR((COUNTIFS(Таблица2[1],B161,Таблица2[T],"t")+SUMIFS(Таблица2[R],Таблица2[1],B161,Таблица2[T],"t"))/D161*100,"-")=0,"-",IFERROR((COUNTIFS(Таблица2[1],B161,Таблица2[T],"t")+SUMIFS(Таблица2[R],Таблица2[1],B161,Таблица2[T],"t"))/D161*100,"-"))</f>
        <v>-</v>
      </c>
      <c r="K161" s="76" t="str">
        <f>IF(SUMIFS(Таблица2[KO$],Таблица2[1],B161)=0,"-",SUMIFS(Таблица2[KO$],Таблица2[1],B161))</f>
        <v>-</v>
      </c>
      <c r="L161" s="76" t="str">
        <f>IF(SUMIFS(Таблица2[WIN$],Таблица2[1],B161)=0,"-",SUMIFS(Таблица2[WIN$],Таблица2[1],B161))</f>
        <v>-</v>
      </c>
      <c r="M161" s="76" t="str">
        <f t="shared" si="6"/>
        <v>-</v>
      </c>
      <c r="N161" s="78" t="str">
        <f>IFERROR(Таблица46[[#This Row],[PROF]]/Таблица46[[#This Row],[Games]],"-")</f>
        <v>-</v>
      </c>
    </row>
    <row r="162" spans="1:14" ht="11.1" customHeight="1" x14ac:dyDescent="0.25">
      <c r="A162" s="93">
        <f t="shared" si="7"/>
        <v>76</v>
      </c>
      <c r="B162" s="113"/>
      <c r="C162"/>
      <c r="D162" s="75" t="str">
        <f>IF(COUNTIFS(Таблица2[1],B162)+SUMIFS(Таблица2[R],Таблица2[1],B162)=0,"",COUNTIFS(Таблица2[1],B162)+SUMIFS(Таблица2[R],Таблица2[1],B162))</f>
        <v/>
      </c>
      <c r="E162" s="76" t="str">
        <f>IF(SUMIFS(Таблица2[B$],Таблица2[1],B162)=0,"-",SUMIFS(Таблица2[B$],Таблица2[1],B162))</f>
        <v>-</v>
      </c>
      <c r="F162" s="77" t="str">
        <f>IFERROR(AVERAGEIFS(Таблица2[AFS],Таблица2[1],B162)+(AVERAGEIFS(Таблица2[AFS],Таблица2[1],B162)*0.2),"-")</f>
        <v>-</v>
      </c>
      <c r="G162" s="77" t="str">
        <f t="shared" si="5"/>
        <v>-</v>
      </c>
      <c r="H162" s="77" t="str">
        <f>IFERROR(COUNTIFS(Таблица2[1],B162,Таблица2[WIN$],"&gt;0")/D162*100,"-")</f>
        <v>-</v>
      </c>
      <c r="I162" s="77" t="str">
        <f>IF(IFERROR((COUNTIFS(Таблица2[1],B162,Таблица2[K],"K")+SUMIFS(Таблица2[R],Таблица2[1],B162,Таблица2[K],"K"))/D162*100,"-")=0,"-",IFERROR((COUNTIFS(Таблица2[1],B162,Таблица2[K],"K")+SUMIFS(Таблица2[R],Таблица2[1],B162,Таблица2[K],"K"))/D162*100,"-"))</f>
        <v>-</v>
      </c>
      <c r="J162" s="77" t="str">
        <f>IF(IFERROR((COUNTIFS(Таблица2[1],B162,Таблица2[T],"t")+SUMIFS(Таблица2[R],Таблица2[1],B162,Таблица2[T],"t"))/D162*100,"-")=0,"-",IFERROR((COUNTIFS(Таблица2[1],B162,Таблица2[T],"t")+SUMIFS(Таблица2[R],Таблица2[1],B162,Таблица2[T],"t"))/D162*100,"-"))</f>
        <v>-</v>
      </c>
      <c r="K162" s="76" t="str">
        <f>IF(SUMIFS(Таблица2[KO$],Таблица2[1],B162)=0,"-",SUMIFS(Таблица2[KO$],Таблица2[1],B162))</f>
        <v>-</v>
      </c>
      <c r="L162" s="76" t="str">
        <f>IF(SUMIFS(Таблица2[WIN$],Таблица2[1],B162)=0,"-",SUMIFS(Таблица2[WIN$],Таблица2[1],B162))</f>
        <v>-</v>
      </c>
      <c r="M162" s="76" t="str">
        <f t="shared" si="6"/>
        <v>-</v>
      </c>
      <c r="N162" s="78" t="str">
        <f>IFERROR(Таблица46[[#This Row],[PROF]]/Таблица46[[#This Row],[Games]],"-")</f>
        <v>-</v>
      </c>
    </row>
    <row r="163" spans="1:14" ht="11.1" customHeight="1" x14ac:dyDescent="0.25">
      <c r="A163" s="93">
        <f t="shared" si="7"/>
        <v>77</v>
      </c>
      <c r="B163" s="113"/>
      <c r="C163"/>
      <c r="D163" s="75" t="str">
        <f>IF(COUNTIFS(Таблица2[1],B163)+SUMIFS(Таблица2[R],Таблица2[1],B163)=0,"",COUNTIFS(Таблица2[1],B163)+SUMIFS(Таблица2[R],Таблица2[1],B163))</f>
        <v/>
      </c>
      <c r="E163" s="76" t="str">
        <f>IF(SUMIFS(Таблица2[B$],Таблица2[1],B163)=0,"-",SUMIFS(Таблица2[B$],Таблица2[1],B163))</f>
        <v>-</v>
      </c>
      <c r="F163" s="77" t="str">
        <f>IFERROR(AVERAGEIFS(Таблица2[AFS],Таблица2[1],B163)+(AVERAGEIFS(Таблица2[AFS],Таблица2[1],B163)*0.2),"-")</f>
        <v>-</v>
      </c>
      <c r="G163" s="77" t="str">
        <f t="shared" si="5"/>
        <v>-</v>
      </c>
      <c r="H163" s="77" t="str">
        <f>IFERROR(COUNTIFS(Таблица2[1],B163,Таблица2[WIN$],"&gt;0")/D163*100,"-")</f>
        <v>-</v>
      </c>
      <c r="I163" s="77" t="str">
        <f>IF(IFERROR((COUNTIFS(Таблица2[1],B163,Таблица2[K],"K")+SUMIFS(Таблица2[R],Таблица2[1],B163,Таблица2[K],"K"))/D163*100,"-")=0,"-",IFERROR((COUNTIFS(Таблица2[1],B163,Таблица2[K],"K")+SUMIFS(Таблица2[R],Таблица2[1],B163,Таблица2[K],"K"))/D163*100,"-"))</f>
        <v>-</v>
      </c>
      <c r="J163" s="77" t="str">
        <f>IF(IFERROR((COUNTIFS(Таблица2[1],B163,Таблица2[T],"t")+SUMIFS(Таблица2[R],Таблица2[1],B163,Таблица2[T],"t"))/D163*100,"-")=0,"-",IFERROR((COUNTIFS(Таблица2[1],B163,Таблица2[T],"t")+SUMIFS(Таблица2[R],Таблица2[1],B163,Таблица2[T],"t"))/D163*100,"-"))</f>
        <v>-</v>
      </c>
      <c r="K163" s="76" t="str">
        <f>IF(SUMIFS(Таблица2[KO$],Таблица2[1],B163)=0,"-",SUMIFS(Таблица2[KO$],Таблица2[1],B163))</f>
        <v>-</v>
      </c>
      <c r="L163" s="76" t="str">
        <f>IF(SUMIFS(Таблица2[WIN$],Таблица2[1],B163)=0,"-",SUMIFS(Таблица2[WIN$],Таблица2[1],B163))</f>
        <v>-</v>
      </c>
      <c r="M163" s="76" t="str">
        <f t="shared" si="6"/>
        <v>-</v>
      </c>
      <c r="N163" s="78" t="str">
        <f>IFERROR(Таблица46[[#This Row],[PROF]]/Таблица46[[#This Row],[Games]],"-")</f>
        <v>-</v>
      </c>
    </row>
    <row r="164" spans="1:14" ht="11.1" customHeight="1" x14ac:dyDescent="0.25">
      <c r="A164" s="93">
        <f t="shared" si="7"/>
        <v>78</v>
      </c>
      <c r="B164" s="113"/>
      <c r="C164"/>
      <c r="D164" s="75" t="str">
        <f>IF(COUNTIFS(Таблица2[1],B164)+SUMIFS(Таблица2[R],Таблица2[1],B164)=0,"",COUNTIFS(Таблица2[1],B164)+SUMIFS(Таблица2[R],Таблица2[1],B164))</f>
        <v/>
      </c>
      <c r="E164" s="76" t="str">
        <f>IF(SUMIFS(Таблица2[B$],Таблица2[1],B164)=0,"-",SUMIFS(Таблица2[B$],Таблица2[1],B164))</f>
        <v>-</v>
      </c>
      <c r="F164" s="77" t="str">
        <f>IFERROR(AVERAGEIFS(Таблица2[AFS],Таблица2[1],B164)+(AVERAGEIFS(Таблица2[AFS],Таблица2[1],B164)*0.2),"-")</f>
        <v>-</v>
      </c>
      <c r="G164" s="77" t="str">
        <f t="shared" si="5"/>
        <v>-</v>
      </c>
      <c r="H164" s="77" t="str">
        <f>IFERROR(COUNTIFS(Таблица2[1],B164,Таблица2[WIN$],"&gt;0")/D164*100,"-")</f>
        <v>-</v>
      </c>
      <c r="I164" s="77" t="str">
        <f>IF(IFERROR((COUNTIFS(Таблица2[1],B164,Таблица2[K],"K")+SUMIFS(Таблица2[R],Таблица2[1],B164,Таблица2[K],"K"))/D164*100,"-")=0,"-",IFERROR((COUNTIFS(Таблица2[1],B164,Таблица2[K],"K")+SUMIFS(Таблица2[R],Таблица2[1],B164,Таблица2[K],"K"))/D164*100,"-"))</f>
        <v>-</v>
      </c>
      <c r="J164" s="77" t="str">
        <f>IF(IFERROR((COUNTIFS(Таблица2[1],B164,Таблица2[T],"t")+SUMIFS(Таблица2[R],Таблица2[1],B164,Таблица2[T],"t"))/D164*100,"-")=0,"-",IFERROR((COUNTIFS(Таблица2[1],B164,Таблица2[T],"t")+SUMIFS(Таблица2[R],Таблица2[1],B164,Таблица2[T],"t"))/D164*100,"-"))</f>
        <v>-</v>
      </c>
      <c r="K164" s="76" t="str">
        <f>IF(SUMIFS(Таблица2[KO$],Таблица2[1],B164)=0,"-",SUMIFS(Таблица2[KO$],Таблица2[1],B164))</f>
        <v>-</v>
      </c>
      <c r="L164" s="76" t="str">
        <f>IF(SUMIFS(Таблица2[WIN$],Таблица2[1],B164)=0,"-",SUMIFS(Таблица2[WIN$],Таблица2[1],B164))</f>
        <v>-</v>
      </c>
      <c r="M164" s="76" t="str">
        <f t="shared" si="6"/>
        <v>-</v>
      </c>
      <c r="N164" s="78" t="str">
        <f>IFERROR(Таблица46[[#This Row],[PROF]]/Таблица46[[#This Row],[Games]],"-")</f>
        <v>-</v>
      </c>
    </row>
    <row r="165" spans="1:14" ht="11.1" customHeight="1" x14ac:dyDescent="0.25">
      <c r="A165" s="93">
        <f t="shared" si="7"/>
        <v>79</v>
      </c>
      <c r="B165" s="113"/>
      <c r="C165"/>
      <c r="D165" s="75" t="str">
        <f>IF(COUNTIFS(Таблица2[1],B165)+SUMIFS(Таблица2[R],Таблица2[1],B165)=0,"",COUNTIFS(Таблица2[1],B165)+SUMIFS(Таблица2[R],Таблица2[1],B165))</f>
        <v/>
      </c>
      <c r="E165" s="76" t="str">
        <f>IF(SUMIFS(Таблица2[B$],Таблица2[1],B165)=0,"-",SUMIFS(Таблица2[B$],Таблица2[1],B165))</f>
        <v>-</v>
      </c>
      <c r="F165" s="77" t="str">
        <f>IFERROR(AVERAGEIFS(Таблица2[AFS],Таблица2[1],B165)+(AVERAGEIFS(Таблица2[AFS],Таблица2[1],B165)*0.2),"-")</f>
        <v>-</v>
      </c>
      <c r="G165" s="77" t="str">
        <f t="shared" si="5"/>
        <v>-</v>
      </c>
      <c r="H165" s="77" t="str">
        <f>IFERROR(COUNTIFS(Таблица2[1],B165,Таблица2[WIN$],"&gt;0")/D165*100,"-")</f>
        <v>-</v>
      </c>
      <c r="I165" s="77" t="str">
        <f>IF(IFERROR((COUNTIFS(Таблица2[1],B165,Таблица2[K],"K")+SUMIFS(Таблица2[R],Таблица2[1],B165,Таблица2[K],"K"))/D165*100,"-")=0,"-",IFERROR((COUNTIFS(Таблица2[1],B165,Таблица2[K],"K")+SUMIFS(Таблица2[R],Таблица2[1],B165,Таблица2[K],"K"))/D165*100,"-"))</f>
        <v>-</v>
      </c>
      <c r="J165" s="77" t="str">
        <f>IF(IFERROR((COUNTIFS(Таблица2[1],B165,Таблица2[T],"t")+SUMIFS(Таблица2[R],Таблица2[1],B165,Таблица2[T],"t"))/D165*100,"-")=0,"-",IFERROR((COUNTIFS(Таблица2[1],B165,Таблица2[T],"t")+SUMIFS(Таблица2[R],Таблица2[1],B165,Таблица2[T],"t"))/D165*100,"-"))</f>
        <v>-</v>
      </c>
      <c r="K165" s="76" t="str">
        <f>IF(SUMIFS(Таблица2[KO$],Таблица2[1],B165)=0,"-",SUMIFS(Таблица2[KO$],Таблица2[1],B165))</f>
        <v>-</v>
      </c>
      <c r="L165" s="76" t="str">
        <f>IF(SUMIFS(Таблица2[WIN$],Таблица2[1],B165)=0,"-",SUMIFS(Таблица2[WIN$],Таблица2[1],B165))</f>
        <v>-</v>
      </c>
      <c r="M165" s="76" t="str">
        <f t="shared" si="6"/>
        <v>-</v>
      </c>
      <c r="N165" s="78" t="str">
        <f>IFERROR(Таблица46[[#This Row],[PROF]]/Таблица46[[#This Row],[Games]],"-")</f>
        <v>-</v>
      </c>
    </row>
    <row r="166" spans="1:14" ht="11.1" customHeight="1" x14ac:dyDescent="0.25">
      <c r="A166" s="93">
        <f t="shared" si="7"/>
        <v>80</v>
      </c>
      <c r="B166" s="113"/>
      <c r="C166"/>
      <c r="D166" s="75" t="str">
        <f>IF(COUNTIFS(Таблица2[1],B166)+SUMIFS(Таблица2[R],Таблица2[1],B166)=0,"",COUNTIFS(Таблица2[1],B166)+SUMIFS(Таблица2[R],Таблица2[1],B166))</f>
        <v/>
      </c>
      <c r="E166" s="76" t="str">
        <f>IF(SUMIFS(Таблица2[B$],Таблица2[1],B166)=0,"-",SUMIFS(Таблица2[B$],Таблица2[1],B166))</f>
        <v>-</v>
      </c>
      <c r="F166" s="77" t="str">
        <f>IFERROR(AVERAGEIFS(Таблица2[AFS],Таблица2[1],B166)+(AVERAGEIFS(Таблица2[AFS],Таблица2[1],B166)*0.2),"-")</f>
        <v>-</v>
      </c>
      <c r="G166" s="77" t="str">
        <f t="shared" si="5"/>
        <v>-</v>
      </c>
      <c r="H166" s="77" t="str">
        <f>IFERROR(COUNTIFS(Таблица2[1],B166,Таблица2[WIN$],"&gt;0")/D166*100,"-")</f>
        <v>-</v>
      </c>
      <c r="I166" s="77" t="str">
        <f>IF(IFERROR((COUNTIFS(Таблица2[1],B166,Таблица2[K],"K")+SUMIFS(Таблица2[R],Таблица2[1],B166,Таблица2[K],"K"))/D166*100,"-")=0,"-",IFERROR((COUNTIFS(Таблица2[1],B166,Таблица2[K],"K")+SUMIFS(Таблица2[R],Таблица2[1],B166,Таблица2[K],"K"))/D166*100,"-"))</f>
        <v>-</v>
      </c>
      <c r="J166" s="77" t="str">
        <f>IF(IFERROR((COUNTIFS(Таблица2[1],B166,Таблица2[T],"t")+SUMIFS(Таблица2[R],Таблица2[1],B166,Таблица2[T],"t"))/D166*100,"-")=0,"-",IFERROR((COUNTIFS(Таблица2[1],B166,Таблица2[T],"t")+SUMIFS(Таблица2[R],Таблица2[1],B166,Таблица2[T],"t"))/D166*100,"-"))</f>
        <v>-</v>
      </c>
      <c r="K166" s="76" t="str">
        <f>IF(SUMIFS(Таблица2[KO$],Таблица2[1],B166)=0,"-",SUMIFS(Таблица2[KO$],Таблица2[1],B166))</f>
        <v>-</v>
      </c>
      <c r="L166" s="76" t="str">
        <f>IF(SUMIFS(Таблица2[WIN$],Таблица2[1],B166)=0,"-",SUMIFS(Таблица2[WIN$],Таблица2[1],B166))</f>
        <v>-</v>
      </c>
      <c r="M166" s="76" t="str">
        <f t="shared" si="6"/>
        <v>-</v>
      </c>
      <c r="N166" s="78" t="str">
        <f>IFERROR(Таблица46[[#This Row],[PROF]]/Таблица46[[#This Row],[Games]],"-")</f>
        <v>-</v>
      </c>
    </row>
    <row r="167" spans="1:14" ht="11.1" customHeight="1" x14ac:dyDescent="0.25">
      <c r="A167" s="93">
        <f t="shared" si="7"/>
        <v>81</v>
      </c>
      <c r="B167" s="113"/>
      <c r="C167"/>
      <c r="D167" s="75" t="str">
        <f>IF(COUNTIFS(Таблица2[1],B167)+SUMIFS(Таблица2[R],Таблица2[1],B167)=0,"",COUNTIFS(Таблица2[1],B167)+SUMIFS(Таблица2[R],Таблица2[1],B167))</f>
        <v/>
      </c>
      <c r="E167" s="76" t="str">
        <f>IF(SUMIFS(Таблица2[B$],Таблица2[1],B167)=0,"-",SUMIFS(Таблица2[B$],Таблица2[1],B167))</f>
        <v>-</v>
      </c>
      <c r="F167" s="77" t="str">
        <f>IFERROR(AVERAGEIFS(Таблица2[AFS],Таблица2[1],B167)+(AVERAGEIFS(Таблица2[AFS],Таблица2[1],B167)*0.2),"-")</f>
        <v>-</v>
      </c>
      <c r="G167" s="77" t="str">
        <f t="shared" si="5"/>
        <v>-</v>
      </c>
      <c r="H167" s="77" t="str">
        <f>IFERROR(COUNTIFS(Таблица2[1],B167,Таблица2[WIN$],"&gt;0")/D167*100,"-")</f>
        <v>-</v>
      </c>
      <c r="I167" s="77" t="str">
        <f>IF(IFERROR((COUNTIFS(Таблица2[1],B167,Таблица2[K],"K")+SUMIFS(Таблица2[R],Таблица2[1],B167,Таблица2[K],"K"))/D167*100,"-")=0,"-",IFERROR((COUNTIFS(Таблица2[1],B167,Таблица2[K],"K")+SUMIFS(Таблица2[R],Таблица2[1],B167,Таблица2[K],"K"))/D167*100,"-"))</f>
        <v>-</v>
      </c>
      <c r="J167" s="77" t="str">
        <f>IF(IFERROR((COUNTIFS(Таблица2[1],B167,Таблица2[T],"t")+SUMIFS(Таблица2[R],Таблица2[1],B167,Таблица2[T],"t"))/D167*100,"-")=0,"-",IFERROR((COUNTIFS(Таблица2[1],B167,Таблица2[T],"t")+SUMIFS(Таблица2[R],Таблица2[1],B167,Таблица2[T],"t"))/D167*100,"-"))</f>
        <v>-</v>
      </c>
      <c r="K167" s="76" t="str">
        <f>IF(SUMIFS(Таблица2[KO$],Таблица2[1],B167)=0,"-",SUMIFS(Таблица2[KO$],Таблица2[1],B167))</f>
        <v>-</v>
      </c>
      <c r="L167" s="76" t="str">
        <f>IF(SUMIFS(Таблица2[WIN$],Таблица2[1],B167)=0,"-",SUMIFS(Таблица2[WIN$],Таблица2[1],B167))</f>
        <v>-</v>
      </c>
      <c r="M167" s="76" t="str">
        <f t="shared" si="6"/>
        <v>-</v>
      </c>
      <c r="N167" s="78" t="str">
        <f>IFERROR(Таблица46[[#This Row],[PROF]]/Таблица46[[#This Row],[Games]],"-")</f>
        <v>-</v>
      </c>
    </row>
    <row r="168" spans="1:14" ht="11.1" customHeight="1" x14ac:dyDescent="0.25">
      <c r="A168" s="93">
        <f t="shared" si="7"/>
        <v>82</v>
      </c>
      <c r="B168" s="113"/>
      <c r="C168"/>
      <c r="D168" s="75" t="str">
        <f>IF(COUNTIFS(Таблица2[1],B168)+SUMIFS(Таблица2[R],Таблица2[1],B168)=0,"",COUNTIFS(Таблица2[1],B168)+SUMIFS(Таблица2[R],Таблица2[1],B168))</f>
        <v/>
      </c>
      <c r="E168" s="76" t="str">
        <f>IF(SUMIFS(Таблица2[B$],Таблица2[1],B168)=0,"-",SUMIFS(Таблица2[B$],Таблица2[1],B168))</f>
        <v>-</v>
      </c>
      <c r="F168" s="77" t="str">
        <f>IFERROR(AVERAGEIFS(Таблица2[AFS],Таблица2[1],B168)+(AVERAGEIFS(Таблица2[AFS],Таблица2[1],B168)*0.2),"-")</f>
        <v>-</v>
      </c>
      <c r="G168" s="77" t="str">
        <f t="shared" si="5"/>
        <v>-</v>
      </c>
      <c r="H168" s="77" t="str">
        <f>IFERROR(COUNTIFS(Таблица2[1],B168,Таблица2[WIN$],"&gt;0")/D168*100,"-")</f>
        <v>-</v>
      </c>
      <c r="I168" s="77" t="str">
        <f>IF(IFERROR((COUNTIFS(Таблица2[1],B168,Таблица2[K],"K")+SUMIFS(Таблица2[R],Таблица2[1],B168,Таблица2[K],"K"))/D168*100,"-")=0,"-",IFERROR((COUNTIFS(Таблица2[1],B168,Таблица2[K],"K")+SUMIFS(Таблица2[R],Таблица2[1],B168,Таблица2[K],"K"))/D168*100,"-"))</f>
        <v>-</v>
      </c>
      <c r="J168" s="77" t="str">
        <f>IF(IFERROR((COUNTIFS(Таблица2[1],B168,Таблица2[T],"t")+SUMIFS(Таблица2[R],Таблица2[1],B168,Таблица2[T],"t"))/D168*100,"-")=0,"-",IFERROR((COUNTIFS(Таблица2[1],B168,Таблица2[T],"t")+SUMIFS(Таблица2[R],Таблица2[1],B168,Таблица2[T],"t"))/D168*100,"-"))</f>
        <v>-</v>
      </c>
      <c r="K168" s="76" t="str">
        <f>IF(SUMIFS(Таблица2[KO$],Таблица2[1],B168)=0,"-",SUMIFS(Таблица2[KO$],Таблица2[1],B168))</f>
        <v>-</v>
      </c>
      <c r="L168" s="76" t="str">
        <f>IF(SUMIFS(Таблица2[WIN$],Таблица2[1],B168)=0,"-",SUMIFS(Таблица2[WIN$],Таблица2[1],B168))</f>
        <v>-</v>
      </c>
      <c r="M168" s="76" t="str">
        <f t="shared" si="6"/>
        <v>-</v>
      </c>
      <c r="N168" s="78" t="str">
        <f>IFERROR(Таблица46[[#This Row],[PROF]]/Таблица46[[#This Row],[Games]],"-")</f>
        <v>-</v>
      </c>
    </row>
    <row r="169" spans="1:14" ht="11.1" customHeight="1" x14ac:dyDescent="0.25">
      <c r="A169" s="93">
        <f t="shared" si="7"/>
        <v>83</v>
      </c>
      <c r="B169" s="113"/>
      <c r="C169"/>
      <c r="D169" s="75" t="str">
        <f>IF(COUNTIFS(Таблица2[1],B169)+SUMIFS(Таблица2[R],Таблица2[1],B169)=0,"",COUNTIFS(Таблица2[1],B169)+SUMIFS(Таблица2[R],Таблица2[1],B169))</f>
        <v/>
      </c>
      <c r="E169" s="76" t="str">
        <f>IF(SUMIFS(Таблица2[B$],Таблица2[1],B169)=0,"-",SUMIFS(Таблица2[B$],Таблица2[1],B169))</f>
        <v>-</v>
      </c>
      <c r="F169" s="77" t="str">
        <f>IFERROR(AVERAGEIFS(Таблица2[AFS],Таблица2[1],B169)+(AVERAGEIFS(Таблица2[AFS],Таблица2[1],B169)*0.2),"-")</f>
        <v>-</v>
      </c>
      <c r="G169" s="77" t="str">
        <f t="shared" si="5"/>
        <v>-</v>
      </c>
      <c r="H169" s="77" t="str">
        <f>IFERROR(COUNTIFS(Таблица2[1],B169,Таблица2[WIN$],"&gt;0")/D169*100,"-")</f>
        <v>-</v>
      </c>
      <c r="I169" s="77" t="str">
        <f>IF(IFERROR((COUNTIFS(Таблица2[1],B169,Таблица2[K],"K")+SUMIFS(Таблица2[R],Таблица2[1],B169,Таблица2[K],"K"))/D169*100,"-")=0,"-",IFERROR((COUNTIFS(Таблица2[1],B169,Таблица2[K],"K")+SUMIFS(Таблица2[R],Таблица2[1],B169,Таблица2[K],"K"))/D169*100,"-"))</f>
        <v>-</v>
      </c>
      <c r="J169" s="77" t="str">
        <f>IF(IFERROR((COUNTIFS(Таблица2[1],B169,Таблица2[T],"t")+SUMIFS(Таблица2[R],Таблица2[1],B169,Таблица2[T],"t"))/D169*100,"-")=0,"-",IFERROR((COUNTIFS(Таблица2[1],B169,Таблица2[T],"t")+SUMIFS(Таблица2[R],Таблица2[1],B169,Таблица2[T],"t"))/D169*100,"-"))</f>
        <v>-</v>
      </c>
      <c r="K169" s="76" t="str">
        <f>IF(SUMIFS(Таблица2[KO$],Таблица2[1],B169)=0,"-",SUMIFS(Таблица2[KO$],Таблица2[1],B169))</f>
        <v>-</v>
      </c>
      <c r="L169" s="76" t="str">
        <f>IF(SUMIFS(Таблица2[WIN$],Таблица2[1],B169)=0,"-",SUMIFS(Таблица2[WIN$],Таблица2[1],B169))</f>
        <v>-</v>
      </c>
      <c r="M169" s="76" t="str">
        <f t="shared" si="6"/>
        <v>-</v>
      </c>
      <c r="N169" s="78" t="str">
        <f>IFERROR(Таблица46[[#This Row],[PROF]]/Таблица46[[#This Row],[Games]],"-")</f>
        <v>-</v>
      </c>
    </row>
    <row r="170" spans="1:14" ht="11.1" customHeight="1" x14ac:dyDescent="0.25">
      <c r="A170" s="93">
        <f t="shared" si="7"/>
        <v>84</v>
      </c>
      <c r="B170" s="113"/>
      <c r="C170"/>
      <c r="D170" s="75" t="str">
        <f>IF(COUNTIFS(Таблица2[1],B170)+SUMIFS(Таблица2[R],Таблица2[1],B170)=0,"",COUNTIFS(Таблица2[1],B170)+SUMIFS(Таблица2[R],Таблица2[1],B170))</f>
        <v/>
      </c>
      <c r="E170" s="76" t="str">
        <f>IF(SUMIFS(Таблица2[B$],Таблица2[1],B170)=0,"-",SUMIFS(Таблица2[B$],Таблица2[1],B170))</f>
        <v>-</v>
      </c>
      <c r="F170" s="77" t="str">
        <f>IFERROR(AVERAGEIFS(Таблица2[AFS],Таблица2[1],B170)+(AVERAGEIFS(Таблица2[AFS],Таблица2[1],B170)*0.2),"-")</f>
        <v>-</v>
      </c>
      <c r="G170" s="77" t="str">
        <f t="shared" si="5"/>
        <v>-</v>
      </c>
      <c r="H170" s="77" t="str">
        <f>IFERROR(COUNTIFS(Таблица2[1],B170,Таблица2[WIN$],"&gt;0")/D170*100,"-")</f>
        <v>-</v>
      </c>
      <c r="I170" s="77" t="str">
        <f>IF(IFERROR((COUNTIFS(Таблица2[1],B170,Таблица2[K],"K")+SUMIFS(Таблица2[R],Таблица2[1],B170,Таблица2[K],"K"))/D170*100,"-")=0,"-",IFERROR((COUNTIFS(Таблица2[1],B170,Таблица2[K],"K")+SUMIFS(Таблица2[R],Таблица2[1],B170,Таблица2[K],"K"))/D170*100,"-"))</f>
        <v>-</v>
      </c>
      <c r="J170" s="77" t="str">
        <f>IF(IFERROR((COUNTIFS(Таблица2[1],B170,Таблица2[T],"t")+SUMIFS(Таблица2[R],Таблица2[1],B170,Таблица2[T],"t"))/D170*100,"-")=0,"-",IFERROR((COUNTIFS(Таблица2[1],B170,Таблица2[T],"t")+SUMIFS(Таблица2[R],Таблица2[1],B170,Таблица2[T],"t"))/D170*100,"-"))</f>
        <v>-</v>
      </c>
      <c r="K170" s="76" t="str">
        <f>IF(SUMIFS(Таблица2[KO$],Таблица2[1],B170)=0,"-",SUMIFS(Таблица2[KO$],Таблица2[1],B170))</f>
        <v>-</v>
      </c>
      <c r="L170" s="76" t="str">
        <f>IF(SUMIFS(Таблица2[WIN$],Таблица2[1],B170)=0,"-",SUMIFS(Таблица2[WIN$],Таблица2[1],B170))</f>
        <v>-</v>
      </c>
      <c r="M170" s="76" t="str">
        <f t="shared" si="6"/>
        <v>-</v>
      </c>
      <c r="N170" s="78" t="str">
        <f>IFERROR(Таблица46[[#This Row],[PROF]]/Таблица46[[#This Row],[Games]],"-")</f>
        <v>-</v>
      </c>
    </row>
    <row r="171" spans="1:14" ht="11.1" customHeight="1" x14ac:dyDescent="0.25">
      <c r="A171" s="93">
        <f t="shared" si="7"/>
        <v>85</v>
      </c>
      <c r="B171" s="113"/>
      <c r="C171"/>
      <c r="D171" s="75" t="str">
        <f>IF(COUNTIFS(Таблица2[1],B171)+SUMIFS(Таблица2[R],Таблица2[1],B171)=0,"",COUNTIFS(Таблица2[1],B171)+SUMIFS(Таблица2[R],Таблица2[1],B171))</f>
        <v/>
      </c>
      <c r="E171" s="76" t="str">
        <f>IF(SUMIFS(Таблица2[B$],Таблица2[1],B171)=0,"-",SUMIFS(Таблица2[B$],Таблица2[1],B171))</f>
        <v>-</v>
      </c>
      <c r="F171" s="77" t="str">
        <f>IFERROR(AVERAGEIFS(Таблица2[AFS],Таблица2[1],B171)+(AVERAGEIFS(Таблица2[AFS],Таблица2[1],B171)*0.2),"-")</f>
        <v>-</v>
      </c>
      <c r="G171" s="77" t="str">
        <f t="shared" si="5"/>
        <v>-</v>
      </c>
      <c r="H171" s="77" t="str">
        <f>IFERROR(COUNTIFS(Таблица2[1],B171,Таблица2[WIN$],"&gt;0")/D171*100,"-")</f>
        <v>-</v>
      </c>
      <c r="I171" s="77" t="str">
        <f>IF(IFERROR((COUNTIFS(Таблица2[1],B171,Таблица2[K],"K")+SUMIFS(Таблица2[R],Таблица2[1],B171,Таблица2[K],"K"))/D171*100,"-")=0,"-",IFERROR((COUNTIFS(Таблица2[1],B171,Таблица2[K],"K")+SUMIFS(Таблица2[R],Таблица2[1],B171,Таблица2[K],"K"))/D171*100,"-"))</f>
        <v>-</v>
      </c>
      <c r="J171" s="77" t="str">
        <f>IF(IFERROR((COUNTIFS(Таблица2[1],B171,Таблица2[T],"t")+SUMIFS(Таблица2[R],Таблица2[1],B171,Таблица2[T],"t"))/D171*100,"-")=0,"-",IFERROR((COUNTIFS(Таблица2[1],B171,Таблица2[T],"t")+SUMIFS(Таблица2[R],Таблица2[1],B171,Таблица2[T],"t"))/D171*100,"-"))</f>
        <v>-</v>
      </c>
      <c r="K171" s="76" t="str">
        <f>IF(SUMIFS(Таблица2[KO$],Таблица2[1],B171)=0,"-",SUMIFS(Таблица2[KO$],Таблица2[1],B171))</f>
        <v>-</v>
      </c>
      <c r="L171" s="76" t="str">
        <f>IF(SUMIFS(Таблица2[WIN$],Таблица2[1],B171)=0,"-",SUMIFS(Таблица2[WIN$],Таблица2[1],B171))</f>
        <v>-</v>
      </c>
      <c r="M171" s="76" t="str">
        <f t="shared" si="6"/>
        <v>-</v>
      </c>
      <c r="N171" s="78" t="str">
        <f>IFERROR(Таблица46[[#This Row],[PROF]]/Таблица46[[#This Row],[Games]],"-")</f>
        <v>-</v>
      </c>
    </row>
    <row r="172" spans="1:14" ht="11.1" customHeight="1" x14ac:dyDescent="0.25">
      <c r="A172" s="93">
        <f t="shared" si="7"/>
        <v>86</v>
      </c>
      <c r="B172" s="113"/>
      <c r="C172"/>
      <c r="D172" s="75" t="str">
        <f>IF(COUNTIFS(Таблица2[1],B172)+SUMIFS(Таблица2[R],Таблица2[1],B172)=0,"",COUNTIFS(Таблица2[1],B172)+SUMIFS(Таблица2[R],Таблица2[1],B172))</f>
        <v/>
      </c>
      <c r="E172" s="76" t="str">
        <f>IF(SUMIFS(Таблица2[B$],Таблица2[1],B172)=0,"-",SUMIFS(Таблица2[B$],Таблица2[1],B172))</f>
        <v>-</v>
      </c>
      <c r="F172" s="77" t="str">
        <f>IFERROR(AVERAGEIFS(Таблица2[AFS],Таблица2[1],B172)+(AVERAGEIFS(Таблица2[AFS],Таблица2[1],B172)*0.2),"-")</f>
        <v>-</v>
      </c>
      <c r="G172" s="77" t="str">
        <f t="shared" si="5"/>
        <v>-</v>
      </c>
      <c r="H172" s="77" t="str">
        <f>IFERROR(COUNTIFS(Таблица2[1],B172,Таблица2[WIN$],"&gt;0")/D172*100,"-")</f>
        <v>-</v>
      </c>
      <c r="I172" s="77" t="str">
        <f>IF(IFERROR((COUNTIFS(Таблица2[1],B172,Таблица2[K],"K")+SUMIFS(Таблица2[R],Таблица2[1],B172,Таблица2[K],"K"))/D172*100,"-")=0,"-",IFERROR((COUNTIFS(Таблица2[1],B172,Таблица2[K],"K")+SUMIFS(Таблица2[R],Таблица2[1],B172,Таблица2[K],"K"))/D172*100,"-"))</f>
        <v>-</v>
      </c>
      <c r="J172" s="77" t="str">
        <f>IF(IFERROR((COUNTIFS(Таблица2[1],B172,Таблица2[T],"t")+SUMIFS(Таблица2[R],Таблица2[1],B172,Таблица2[T],"t"))/D172*100,"-")=0,"-",IFERROR((COUNTIFS(Таблица2[1],B172,Таблица2[T],"t")+SUMIFS(Таблица2[R],Таблица2[1],B172,Таблица2[T],"t"))/D172*100,"-"))</f>
        <v>-</v>
      </c>
      <c r="K172" s="76" t="str">
        <f>IF(SUMIFS(Таблица2[KO$],Таблица2[1],B172)=0,"-",SUMIFS(Таблица2[KO$],Таблица2[1],B172))</f>
        <v>-</v>
      </c>
      <c r="L172" s="76" t="str">
        <f>IF(SUMIFS(Таблица2[WIN$],Таблица2[1],B172)=0,"-",SUMIFS(Таблица2[WIN$],Таблица2[1],B172))</f>
        <v>-</v>
      </c>
      <c r="M172" s="76" t="str">
        <f t="shared" si="6"/>
        <v>-</v>
      </c>
      <c r="N172" s="78" t="str">
        <f>IFERROR(Таблица46[[#This Row],[PROF]]/Таблица46[[#This Row],[Games]],"-")</f>
        <v>-</v>
      </c>
    </row>
    <row r="173" spans="1:14" ht="11.1" customHeight="1" x14ac:dyDescent="0.25">
      <c r="A173" s="93">
        <f t="shared" si="7"/>
        <v>87</v>
      </c>
      <c r="B173" s="113"/>
      <c r="C173"/>
      <c r="D173" s="75" t="str">
        <f>IF(COUNTIFS(Таблица2[1],B173)+SUMIFS(Таблица2[R],Таблица2[1],B173)=0,"",COUNTIFS(Таблица2[1],B173)+SUMIFS(Таблица2[R],Таблица2[1],B173))</f>
        <v/>
      </c>
      <c r="E173" s="76" t="str">
        <f>IF(SUMIFS(Таблица2[B$],Таблица2[1],B173)=0,"-",SUMIFS(Таблица2[B$],Таблица2[1],B173))</f>
        <v>-</v>
      </c>
      <c r="F173" s="77" t="str">
        <f>IFERROR(AVERAGEIFS(Таблица2[AFS],Таблица2[1],B173)+(AVERAGEIFS(Таблица2[AFS],Таблица2[1],B173)*0.2),"-")</f>
        <v>-</v>
      </c>
      <c r="G173" s="77" t="str">
        <f t="shared" si="5"/>
        <v>-</v>
      </c>
      <c r="H173" s="77" t="str">
        <f>IFERROR(COUNTIFS(Таблица2[1],B173,Таблица2[WIN$],"&gt;0")/D173*100,"-")</f>
        <v>-</v>
      </c>
      <c r="I173" s="77" t="str">
        <f>IF(IFERROR((COUNTIFS(Таблица2[1],B173,Таблица2[K],"K")+SUMIFS(Таблица2[R],Таблица2[1],B173,Таблица2[K],"K"))/D173*100,"-")=0,"-",IFERROR((COUNTIFS(Таблица2[1],B173,Таблица2[K],"K")+SUMIFS(Таблица2[R],Таблица2[1],B173,Таблица2[K],"K"))/D173*100,"-"))</f>
        <v>-</v>
      </c>
      <c r="J173" s="77" t="str">
        <f>IF(IFERROR((COUNTIFS(Таблица2[1],B173,Таблица2[T],"t")+SUMIFS(Таблица2[R],Таблица2[1],B173,Таблица2[T],"t"))/D173*100,"-")=0,"-",IFERROR((COUNTIFS(Таблица2[1],B173,Таблица2[T],"t")+SUMIFS(Таблица2[R],Таблица2[1],B173,Таблица2[T],"t"))/D173*100,"-"))</f>
        <v>-</v>
      </c>
      <c r="K173" s="76" t="str">
        <f>IF(SUMIFS(Таблица2[KO$],Таблица2[1],B173)=0,"-",SUMIFS(Таблица2[KO$],Таблица2[1],B173))</f>
        <v>-</v>
      </c>
      <c r="L173" s="76" t="str">
        <f>IF(SUMIFS(Таблица2[WIN$],Таблица2[1],B173)=0,"-",SUMIFS(Таблица2[WIN$],Таблица2[1],B173))</f>
        <v>-</v>
      </c>
      <c r="M173" s="76" t="str">
        <f t="shared" si="6"/>
        <v>-</v>
      </c>
      <c r="N173" s="78" t="str">
        <f>IFERROR(Таблица46[[#This Row],[PROF]]/Таблица46[[#This Row],[Games]],"-")</f>
        <v>-</v>
      </c>
    </row>
    <row r="174" spans="1:14" ht="11.1" customHeight="1" x14ac:dyDescent="0.25">
      <c r="A174" s="93">
        <f t="shared" si="7"/>
        <v>88</v>
      </c>
      <c r="B174" s="113"/>
      <c r="C174"/>
      <c r="D174" s="75" t="str">
        <f>IF(COUNTIFS(Таблица2[1],B174)+SUMIFS(Таблица2[R],Таблица2[1],B174)=0,"",COUNTIFS(Таблица2[1],B174)+SUMIFS(Таблица2[R],Таблица2[1],B174))</f>
        <v/>
      </c>
      <c r="E174" s="76" t="str">
        <f>IF(SUMIFS(Таблица2[B$],Таблица2[1],B174)=0,"-",SUMIFS(Таблица2[B$],Таблица2[1],B174))</f>
        <v>-</v>
      </c>
      <c r="F174" s="77" t="str">
        <f>IFERROR(AVERAGEIFS(Таблица2[AFS],Таблица2[1],B174)+(AVERAGEIFS(Таблица2[AFS],Таблица2[1],B174)*0.2),"-")</f>
        <v>-</v>
      </c>
      <c r="G174" s="77" t="str">
        <f t="shared" si="5"/>
        <v>-</v>
      </c>
      <c r="H174" s="77" t="str">
        <f>IFERROR(COUNTIFS(Таблица2[1],B174,Таблица2[WIN$],"&gt;0")/D174*100,"-")</f>
        <v>-</v>
      </c>
      <c r="I174" s="77" t="str">
        <f>IF(IFERROR((COUNTIFS(Таблица2[1],B174,Таблица2[K],"K")+SUMIFS(Таблица2[R],Таблица2[1],B174,Таблица2[K],"K"))/D174*100,"-")=0,"-",IFERROR((COUNTIFS(Таблица2[1],B174,Таблица2[K],"K")+SUMIFS(Таблица2[R],Таблица2[1],B174,Таблица2[K],"K"))/D174*100,"-"))</f>
        <v>-</v>
      </c>
      <c r="J174" s="77" t="str">
        <f>IF(IFERROR((COUNTIFS(Таблица2[1],B174,Таблица2[T],"t")+SUMIFS(Таблица2[R],Таблица2[1],B174,Таблица2[T],"t"))/D174*100,"-")=0,"-",IFERROR((COUNTIFS(Таблица2[1],B174,Таблица2[T],"t")+SUMIFS(Таблица2[R],Таблица2[1],B174,Таблица2[T],"t"))/D174*100,"-"))</f>
        <v>-</v>
      </c>
      <c r="K174" s="76" t="str">
        <f>IF(SUMIFS(Таблица2[KO$],Таблица2[1],B174)=0,"-",SUMIFS(Таблица2[KO$],Таблица2[1],B174))</f>
        <v>-</v>
      </c>
      <c r="L174" s="76" t="str">
        <f>IF(SUMIFS(Таблица2[WIN$],Таблица2[1],B174)=0,"-",SUMIFS(Таблица2[WIN$],Таблица2[1],B174))</f>
        <v>-</v>
      </c>
      <c r="M174" s="76" t="str">
        <f t="shared" si="6"/>
        <v>-</v>
      </c>
      <c r="N174" s="78" t="str">
        <f>IFERROR(Таблица46[[#This Row],[PROF]]/Таблица46[[#This Row],[Games]],"-")</f>
        <v>-</v>
      </c>
    </row>
    <row r="175" spans="1:14" ht="11.1" customHeight="1" x14ac:dyDescent="0.25">
      <c r="A175" s="93">
        <f t="shared" si="7"/>
        <v>89</v>
      </c>
      <c r="B175" s="113"/>
      <c r="C175"/>
      <c r="D175" s="75" t="str">
        <f>IF(COUNTIFS(Таблица2[1],B175)+SUMIFS(Таблица2[R],Таблица2[1],B175)=0,"",COUNTIFS(Таблица2[1],B175)+SUMIFS(Таблица2[R],Таблица2[1],B175))</f>
        <v/>
      </c>
      <c r="E175" s="76" t="str">
        <f>IF(SUMIFS(Таблица2[B$],Таблица2[1],B175)=0,"-",SUMIFS(Таблица2[B$],Таблица2[1],B175))</f>
        <v>-</v>
      </c>
      <c r="F175" s="77" t="str">
        <f>IFERROR(AVERAGEIFS(Таблица2[AFS],Таблица2[1],B175)+(AVERAGEIFS(Таблица2[AFS],Таблица2[1],B175)*0.2),"-")</f>
        <v>-</v>
      </c>
      <c r="G175" s="77" t="str">
        <f t="shared" si="5"/>
        <v>-</v>
      </c>
      <c r="H175" s="77" t="str">
        <f>IFERROR(COUNTIFS(Таблица2[1],B175,Таблица2[WIN$],"&gt;0")/D175*100,"-")</f>
        <v>-</v>
      </c>
      <c r="I175" s="77" t="str">
        <f>IF(IFERROR((COUNTIFS(Таблица2[1],B175,Таблица2[K],"K")+SUMIFS(Таблица2[R],Таблица2[1],B175,Таблица2[K],"K"))/D175*100,"-")=0,"-",IFERROR((COUNTIFS(Таблица2[1],B175,Таблица2[K],"K")+SUMIFS(Таблица2[R],Таблица2[1],B175,Таблица2[K],"K"))/D175*100,"-"))</f>
        <v>-</v>
      </c>
      <c r="J175" s="77" t="str">
        <f>IF(IFERROR((COUNTIFS(Таблица2[1],B175,Таблица2[T],"t")+SUMIFS(Таблица2[R],Таблица2[1],B175,Таблица2[T],"t"))/D175*100,"-")=0,"-",IFERROR((COUNTIFS(Таблица2[1],B175,Таблица2[T],"t")+SUMIFS(Таблица2[R],Таблица2[1],B175,Таблица2[T],"t"))/D175*100,"-"))</f>
        <v>-</v>
      </c>
      <c r="K175" s="76" t="str">
        <f>IF(SUMIFS(Таблица2[KO$],Таблица2[1],B175)=0,"-",SUMIFS(Таблица2[KO$],Таблица2[1],B175))</f>
        <v>-</v>
      </c>
      <c r="L175" s="76" t="str">
        <f>IF(SUMIFS(Таблица2[WIN$],Таблица2[1],B175)=0,"-",SUMIFS(Таблица2[WIN$],Таблица2[1],B175))</f>
        <v>-</v>
      </c>
      <c r="M175" s="76" t="str">
        <f t="shared" si="6"/>
        <v>-</v>
      </c>
      <c r="N175" s="78" t="str">
        <f>IFERROR(Таблица46[[#This Row],[PROF]]/Таблица46[[#This Row],[Games]],"-")</f>
        <v>-</v>
      </c>
    </row>
    <row r="176" spans="1:14" ht="11.1" customHeight="1" x14ac:dyDescent="0.25">
      <c r="A176" s="93">
        <f t="shared" si="7"/>
        <v>90</v>
      </c>
      <c r="B176" s="113"/>
      <c r="C176"/>
      <c r="D176" s="75" t="str">
        <f>IF(COUNTIFS(Таблица2[1],B176)+SUMIFS(Таблица2[R],Таблица2[1],B176)=0,"",COUNTIFS(Таблица2[1],B176)+SUMIFS(Таблица2[R],Таблица2[1],B176))</f>
        <v/>
      </c>
      <c r="E176" s="76" t="str">
        <f>IF(SUMIFS(Таблица2[B$],Таблица2[1],B176)=0,"-",SUMIFS(Таблица2[B$],Таблица2[1],B176))</f>
        <v>-</v>
      </c>
      <c r="F176" s="77" t="str">
        <f>IFERROR(AVERAGEIFS(Таблица2[AFS],Таблица2[1],B176)+(AVERAGEIFS(Таблица2[AFS],Таблица2[1],B176)*0.2),"-")</f>
        <v>-</v>
      </c>
      <c r="G176" s="77" t="str">
        <f t="shared" si="5"/>
        <v>-</v>
      </c>
      <c r="H176" s="77" t="str">
        <f>IFERROR(COUNTIFS(Таблица2[1],B176,Таблица2[WIN$],"&gt;0")/D176*100,"-")</f>
        <v>-</v>
      </c>
      <c r="I176" s="77" t="str">
        <f>IF(IFERROR((COUNTIFS(Таблица2[1],B176,Таблица2[K],"K")+SUMIFS(Таблица2[R],Таблица2[1],B176,Таблица2[K],"K"))/D176*100,"-")=0,"-",IFERROR((COUNTIFS(Таблица2[1],B176,Таблица2[K],"K")+SUMIFS(Таблица2[R],Таблица2[1],B176,Таблица2[K],"K"))/D176*100,"-"))</f>
        <v>-</v>
      </c>
      <c r="J176" s="77" t="str">
        <f>IF(IFERROR((COUNTIFS(Таблица2[1],B176,Таблица2[T],"t")+SUMIFS(Таблица2[R],Таблица2[1],B176,Таблица2[T],"t"))/D176*100,"-")=0,"-",IFERROR((COUNTIFS(Таблица2[1],B176,Таблица2[T],"t")+SUMIFS(Таблица2[R],Таблица2[1],B176,Таблица2[T],"t"))/D176*100,"-"))</f>
        <v>-</v>
      </c>
      <c r="K176" s="76" t="str">
        <f>IF(SUMIFS(Таблица2[KO$],Таблица2[1],B176)=0,"-",SUMIFS(Таблица2[KO$],Таблица2[1],B176))</f>
        <v>-</v>
      </c>
      <c r="L176" s="76" t="str">
        <f>IF(SUMIFS(Таблица2[WIN$],Таблица2[1],B176)=0,"-",SUMIFS(Таблица2[WIN$],Таблица2[1],B176))</f>
        <v>-</v>
      </c>
      <c r="M176" s="76" t="str">
        <f t="shared" si="6"/>
        <v>-</v>
      </c>
      <c r="N176" s="78" t="str">
        <f>IFERROR(Таблица46[[#This Row],[PROF]]/Таблица46[[#This Row],[Games]],"-")</f>
        <v>-</v>
      </c>
    </row>
    <row r="177" spans="1:14" ht="11.1" customHeight="1" x14ac:dyDescent="0.25">
      <c r="A177" s="93">
        <f t="shared" si="7"/>
        <v>91</v>
      </c>
      <c r="B177" s="113"/>
      <c r="C177"/>
      <c r="D177" s="75" t="str">
        <f>IF(COUNTIFS(Таблица2[1],B177)+SUMIFS(Таблица2[R],Таблица2[1],B177)=0,"",COUNTIFS(Таблица2[1],B177)+SUMIFS(Таблица2[R],Таблица2[1],B177))</f>
        <v/>
      </c>
      <c r="E177" s="76" t="str">
        <f>IF(SUMIFS(Таблица2[B$],Таблица2[1],B177)=0,"-",SUMIFS(Таблица2[B$],Таблица2[1],B177))</f>
        <v>-</v>
      </c>
      <c r="F177" s="77" t="str">
        <f>IFERROR(AVERAGEIFS(Таблица2[AFS],Таблица2[1],B177)+(AVERAGEIFS(Таблица2[AFS],Таблица2[1],B177)*0.2),"-")</f>
        <v>-</v>
      </c>
      <c r="G177" s="77" t="str">
        <f t="shared" si="5"/>
        <v>-</v>
      </c>
      <c r="H177" s="77" t="str">
        <f>IFERROR(COUNTIFS(Таблица2[1],B177,Таблица2[WIN$],"&gt;0")/D177*100,"-")</f>
        <v>-</v>
      </c>
      <c r="I177" s="77" t="str">
        <f>IF(IFERROR((COUNTIFS(Таблица2[1],B177,Таблица2[K],"K")+SUMIFS(Таблица2[R],Таблица2[1],B177,Таблица2[K],"K"))/D177*100,"-")=0,"-",IFERROR((COUNTIFS(Таблица2[1],B177,Таблица2[K],"K")+SUMIFS(Таблица2[R],Таблица2[1],B177,Таблица2[K],"K"))/D177*100,"-"))</f>
        <v>-</v>
      </c>
      <c r="J177" s="77" t="str">
        <f>IF(IFERROR((COUNTIFS(Таблица2[1],B177,Таблица2[T],"t")+SUMIFS(Таблица2[R],Таблица2[1],B177,Таблица2[T],"t"))/D177*100,"-")=0,"-",IFERROR((COUNTIFS(Таблица2[1],B177,Таблица2[T],"t")+SUMIFS(Таблица2[R],Таблица2[1],B177,Таблица2[T],"t"))/D177*100,"-"))</f>
        <v>-</v>
      </c>
      <c r="K177" s="76" t="str">
        <f>IF(SUMIFS(Таблица2[KO$],Таблица2[1],B177)=0,"-",SUMIFS(Таблица2[KO$],Таблица2[1],B177))</f>
        <v>-</v>
      </c>
      <c r="L177" s="76" t="str">
        <f>IF(SUMIFS(Таблица2[WIN$],Таблица2[1],B177)=0,"-",SUMIFS(Таблица2[WIN$],Таблица2[1],B177))</f>
        <v>-</v>
      </c>
      <c r="M177" s="76" t="str">
        <f t="shared" si="6"/>
        <v>-</v>
      </c>
      <c r="N177" s="78" t="str">
        <f>IFERROR(Таблица46[[#This Row],[PROF]]/Таблица46[[#This Row],[Games]],"-")</f>
        <v>-</v>
      </c>
    </row>
    <row r="178" spans="1:14" ht="11.1" customHeight="1" x14ac:dyDescent="0.25">
      <c r="A178" s="93">
        <f t="shared" si="7"/>
        <v>92</v>
      </c>
      <c r="B178" s="113"/>
      <c r="C178"/>
      <c r="D178" s="75" t="str">
        <f>IF(COUNTIFS(Таблица2[1],B178)+SUMIFS(Таблица2[R],Таблица2[1],B178)=0,"",COUNTIFS(Таблица2[1],B178)+SUMIFS(Таблица2[R],Таблица2[1],B178))</f>
        <v/>
      </c>
      <c r="E178" s="76" t="str">
        <f>IF(SUMIFS(Таблица2[B$],Таблица2[1],B178)=0,"-",SUMIFS(Таблица2[B$],Таблица2[1],B178))</f>
        <v>-</v>
      </c>
      <c r="F178" s="77" t="str">
        <f>IFERROR(AVERAGEIFS(Таблица2[AFS],Таблица2[1],B178)+(AVERAGEIFS(Таблица2[AFS],Таблица2[1],B178)*0.2),"-")</f>
        <v>-</v>
      </c>
      <c r="G178" s="77" t="str">
        <f t="shared" si="5"/>
        <v>-</v>
      </c>
      <c r="H178" s="77" t="str">
        <f>IFERROR(COUNTIFS(Таблица2[1],B178,Таблица2[WIN$],"&gt;0")/D178*100,"-")</f>
        <v>-</v>
      </c>
      <c r="I178" s="77" t="str">
        <f>IF(IFERROR((COUNTIFS(Таблица2[1],B178,Таблица2[K],"K")+SUMIFS(Таблица2[R],Таблица2[1],B178,Таблица2[K],"K"))/D178*100,"-")=0,"-",IFERROR((COUNTIFS(Таблица2[1],B178,Таблица2[K],"K")+SUMIFS(Таблица2[R],Таблица2[1],B178,Таблица2[K],"K"))/D178*100,"-"))</f>
        <v>-</v>
      </c>
      <c r="J178" s="77" t="str">
        <f>IF(IFERROR((COUNTIFS(Таблица2[1],B178,Таблица2[T],"t")+SUMIFS(Таблица2[R],Таблица2[1],B178,Таблица2[T],"t"))/D178*100,"-")=0,"-",IFERROR((COUNTIFS(Таблица2[1],B178,Таблица2[T],"t")+SUMIFS(Таблица2[R],Таблица2[1],B178,Таблица2[T],"t"))/D178*100,"-"))</f>
        <v>-</v>
      </c>
      <c r="K178" s="76" t="str">
        <f>IF(SUMIFS(Таблица2[KO$],Таблица2[1],B178)=0,"-",SUMIFS(Таблица2[KO$],Таблица2[1],B178))</f>
        <v>-</v>
      </c>
      <c r="L178" s="76" t="str">
        <f>IF(SUMIFS(Таблица2[WIN$],Таблица2[1],B178)=0,"-",SUMIFS(Таблица2[WIN$],Таблица2[1],B178))</f>
        <v>-</v>
      </c>
      <c r="M178" s="76" t="str">
        <f t="shared" si="6"/>
        <v>-</v>
      </c>
      <c r="N178" s="78" t="str">
        <f>IFERROR(Таблица46[[#This Row],[PROF]]/Таблица46[[#This Row],[Games]],"-")</f>
        <v>-</v>
      </c>
    </row>
    <row r="179" spans="1:14" ht="11.1" customHeight="1" x14ac:dyDescent="0.25">
      <c r="A179" s="93">
        <f t="shared" si="7"/>
        <v>93</v>
      </c>
      <c r="B179" s="113"/>
      <c r="C179"/>
      <c r="D179" s="75" t="str">
        <f>IF(COUNTIFS(Таблица2[1],B179)+SUMIFS(Таблица2[R],Таблица2[1],B179)=0,"",COUNTIFS(Таблица2[1],B179)+SUMIFS(Таблица2[R],Таблица2[1],B179))</f>
        <v/>
      </c>
      <c r="E179" s="76" t="str">
        <f>IF(SUMIFS(Таблица2[B$],Таблица2[1],B179)=0,"-",SUMIFS(Таблица2[B$],Таблица2[1],B179))</f>
        <v>-</v>
      </c>
      <c r="F179" s="77" t="str">
        <f>IFERROR(AVERAGEIFS(Таблица2[AFS],Таблица2[1],B179)+(AVERAGEIFS(Таблица2[AFS],Таблица2[1],B179)*0.2),"-")</f>
        <v>-</v>
      </c>
      <c r="G179" s="77" t="str">
        <f t="shared" si="5"/>
        <v>-</v>
      </c>
      <c r="H179" s="77" t="str">
        <f>IFERROR(COUNTIFS(Таблица2[1],B179,Таблица2[WIN$],"&gt;0")/D179*100,"-")</f>
        <v>-</v>
      </c>
      <c r="I179" s="77" t="str">
        <f>IF(IFERROR((COUNTIFS(Таблица2[1],B179,Таблица2[K],"K")+SUMIFS(Таблица2[R],Таблица2[1],B179,Таблица2[K],"K"))/D179*100,"-")=0,"-",IFERROR((COUNTIFS(Таблица2[1],B179,Таблица2[K],"K")+SUMIFS(Таблица2[R],Таблица2[1],B179,Таблица2[K],"K"))/D179*100,"-"))</f>
        <v>-</v>
      </c>
      <c r="J179" s="77" t="str">
        <f>IF(IFERROR((COUNTIFS(Таблица2[1],B179,Таблица2[T],"t")+SUMIFS(Таблица2[R],Таблица2[1],B179,Таблица2[T],"t"))/D179*100,"-")=0,"-",IFERROR((COUNTIFS(Таблица2[1],B179,Таблица2[T],"t")+SUMIFS(Таблица2[R],Таблица2[1],B179,Таблица2[T],"t"))/D179*100,"-"))</f>
        <v>-</v>
      </c>
      <c r="K179" s="76" t="str">
        <f>IF(SUMIFS(Таблица2[KO$],Таблица2[1],B179)=0,"-",SUMIFS(Таблица2[KO$],Таблица2[1],B179))</f>
        <v>-</v>
      </c>
      <c r="L179" s="76" t="str">
        <f>IF(SUMIFS(Таблица2[WIN$],Таблица2[1],B179)=0,"-",SUMIFS(Таблица2[WIN$],Таблица2[1],B179))</f>
        <v>-</v>
      </c>
      <c r="M179" s="76" t="str">
        <f t="shared" si="6"/>
        <v>-</v>
      </c>
      <c r="N179" s="78" t="str">
        <f>IFERROR(Таблица46[[#This Row],[PROF]]/Таблица46[[#This Row],[Games]],"-")</f>
        <v>-</v>
      </c>
    </row>
    <row r="180" spans="1:14" ht="11.1" customHeight="1" x14ac:dyDescent="0.25">
      <c r="A180" s="93">
        <f t="shared" si="7"/>
        <v>94</v>
      </c>
      <c r="B180" s="113"/>
      <c r="C180"/>
      <c r="D180" s="75" t="str">
        <f>IF(COUNTIFS(Таблица2[1],B180)+SUMIFS(Таблица2[R],Таблица2[1],B180)=0,"",COUNTIFS(Таблица2[1],B180)+SUMIFS(Таблица2[R],Таблица2[1],B180))</f>
        <v/>
      </c>
      <c r="E180" s="76" t="str">
        <f>IF(SUMIFS(Таблица2[B$],Таблица2[1],B180)=0,"-",SUMIFS(Таблица2[B$],Таблица2[1],B180))</f>
        <v>-</v>
      </c>
      <c r="F180" s="77" t="str">
        <f>IFERROR(AVERAGEIFS(Таблица2[AFS],Таблица2[1],B180)+(AVERAGEIFS(Таблица2[AFS],Таблица2[1],B180)*0.2),"-")</f>
        <v>-</v>
      </c>
      <c r="G180" s="77" t="str">
        <f t="shared" si="5"/>
        <v>-</v>
      </c>
      <c r="H180" s="77" t="str">
        <f>IFERROR(COUNTIFS(Таблица2[1],B180,Таблица2[WIN$],"&gt;0")/D180*100,"-")</f>
        <v>-</v>
      </c>
      <c r="I180" s="77" t="str">
        <f>IF(IFERROR((COUNTIFS(Таблица2[1],B180,Таблица2[K],"K")+SUMIFS(Таблица2[R],Таблица2[1],B180,Таблица2[K],"K"))/D180*100,"-")=0,"-",IFERROR((COUNTIFS(Таблица2[1],B180,Таблица2[K],"K")+SUMIFS(Таблица2[R],Таблица2[1],B180,Таблица2[K],"K"))/D180*100,"-"))</f>
        <v>-</v>
      </c>
      <c r="J180" s="77" t="str">
        <f>IF(IFERROR((COUNTIFS(Таблица2[1],B180,Таблица2[T],"t")+SUMIFS(Таблица2[R],Таблица2[1],B180,Таблица2[T],"t"))/D180*100,"-")=0,"-",IFERROR((COUNTIFS(Таблица2[1],B180,Таблица2[T],"t")+SUMIFS(Таблица2[R],Таблица2[1],B180,Таблица2[T],"t"))/D180*100,"-"))</f>
        <v>-</v>
      </c>
      <c r="K180" s="76" t="str">
        <f>IF(SUMIFS(Таблица2[KO$],Таблица2[1],B180)=0,"-",SUMIFS(Таблица2[KO$],Таблица2[1],B180))</f>
        <v>-</v>
      </c>
      <c r="L180" s="76" t="str">
        <f>IF(SUMIFS(Таблица2[WIN$],Таблица2[1],B180)=0,"-",SUMIFS(Таблица2[WIN$],Таблица2[1],B180))</f>
        <v>-</v>
      </c>
      <c r="M180" s="76" t="str">
        <f t="shared" si="6"/>
        <v>-</v>
      </c>
      <c r="N180" s="78" t="str">
        <f>IFERROR(Таблица46[[#This Row],[PROF]]/Таблица46[[#This Row],[Games]],"-")</f>
        <v>-</v>
      </c>
    </row>
    <row r="181" spans="1:14" ht="11.1" customHeight="1" x14ac:dyDescent="0.25">
      <c r="A181" s="93">
        <f t="shared" si="7"/>
        <v>95</v>
      </c>
      <c r="B181" s="113"/>
      <c r="C181"/>
      <c r="D181" s="75" t="str">
        <f>IF(COUNTIFS(Таблица2[1],B181)+SUMIFS(Таблица2[R],Таблица2[1],B181)=0,"",COUNTIFS(Таблица2[1],B181)+SUMIFS(Таблица2[R],Таблица2[1],B181))</f>
        <v/>
      </c>
      <c r="E181" s="76" t="str">
        <f>IF(SUMIFS(Таблица2[B$],Таблица2[1],B181)=0,"-",SUMIFS(Таблица2[B$],Таблица2[1],B181))</f>
        <v>-</v>
      </c>
      <c r="F181" s="77" t="str">
        <f>IFERROR(AVERAGEIFS(Таблица2[AFS],Таблица2[1],B181)+(AVERAGEIFS(Таблица2[AFS],Таблица2[1],B181)*0.2),"-")</f>
        <v>-</v>
      </c>
      <c r="G181" s="77" t="str">
        <f t="shared" si="5"/>
        <v>-</v>
      </c>
      <c r="H181" s="77" t="str">
        <f>IFERROR(COUNTIFS(Таблица2[1],B181,Таблица2[WIN$],"&gt;0")/D181*100,"-")</f>
        <v>-</v>
      </c>
      <c r="I181" s="77" t="str">
        <f>IF(IFERROR((COUNTIFS(Таблица2[1],B181,Таблица2[K],"K")+SUMIFS(Таблица2[R],Таблица2[1],B181,Таблица2[K],"K"))/D181*100,"-")=0,"-",IFERROR((COUNTIFS(Таблица2[1],B181,Таблица2[K],"K")+SUMIFS(Таблица2[R],Таблица2[1],B181,Таблица2[K],"K"))/D181*100,"-"))</f>
        <v>-</v>
      </c>
      <c r="J181" s="77" t="str">
        <f>IF(IFERROR((COUNTIFS(Таблица2[1],B181,Таблица2[T],"t")+SUMIFS(Таблица2[R],Таблица2[1],B181,Таблица2[T],"t"))/D181*100,"-")=0,"-",IFERROR((COUNTIFS(Таблица2[1],B181,Таблица2[T],"t")+SUMIFS(Таблица2[R],Таблица2[1],B181,Таблица2[T],"t"))/D181*100,"-"))</f>
        <v>-</v>
      </c>
      <c r="K181" s="76" t="str">
        <f>IF(SUMIFS(Таблица2[KO$],Таблица2[1],B181)=0,"-",SUMIFS(Таблица2[KO$],Таблица2[1],B181))</f>
        <v>-</v>
      </c>
      <c r="L181" s="76" t="str">
        <f>IF(SUMIFS(Таблица2[WIN$],Таблица2[1],B181)=0,"-",SUMIFS(Таблица2[WIN$],Таблица2[1],B181))</f>
        <v>-</v>
      </c>
      <c r="M181" s="76" t="str">
        <f t="shared" si="6"/>
        <v>-</v>
      </c>
      <c r="N181" s="78" t="str">
        <f>IFERROR(Таблица46[[#This Row],[PROF]]/Таблица46[[#This Row],[Games]],"-")</f>
        <v>-</v>
      </c>
    </row>
    <row r="182" spans="1:14" ht="11.1" customHeight="1" x14ac:dyDescent="0.25">
      <c r="A182" s="93">
        <f t="shared" si="7"/>
        <v>96</v>
      </c>
      <c r="B182" s="113"/>
      <c r="C182"/>
      <c r="D182" s="75" t="str">
        <f>IF(COUNTIFS(Таблица2[1],B182)+SUMIFS(Таблица2[R],Таблица2[1],B182)=0,"",COUNTIFS(Таблица2[1],B182)+SUMIFS(Таблица2[R],Таблица2[1],B182))</f>
        <v/>
      </c>
      <c r="E182" s="76" t="str">
        <f>IF(SUMIFS(Таблица2[B$],Таблица2[1],B182)=0,"-",SUMIFS(Таблица2[B$],Таблица2[1],B182))</f>
        <v>-</v>
      </c>
      <c r="F182" s="77" t="str">
        <f>IFERROR(AVERAGEIFS(Таблица2[AFS],Таблица2[1],B182)+(AVERAGEIFS(Таблица2[AFS],Таблица2[1],B182)*0.2),"-")</f>
        <v>-</v>
      </c>
      <c r="G182" s="77" t="str">
        <f t="shared" si="5"/>
        <v>-</v>
      </c>
      <c r="H182" s="77" t="str">
        <f>IFERROR(COUNTIFS(Таблица2[1],B182,Таблица2[WIN$],"&gt;0")/D182*100,"-")</f>
        <v>-</v>
      </c>
      <c r="I182" s="77" t="str">
        <f>IF(IFERROR((COUNTIFS(Таблица2[1],B182,Таблица2[K],"K")+SUMIFS(Таблица2[R],Таблица2[1],B182,Таблица2[K],"K"))/D182*100,"-")=0,"-",IFERROR((COUNTIFS(Таблица2[1],B182,Таблица2[K],"K")+SUMIFS(Таблица2[R],Таблица2[1],B182,Таблица2[K],"K"))/D182*100,"-"))</f>
        <v>-</v>
      </c>
      <c r="J182" s="77" t="str">
        <f>IF(IFERROR((COUNTIFS(Таблица2[1],B182,Таблица2[T],"t")+SUMIFS(Таблица2[R],Таблица2[1],B182,Таблица2[T],"t"))/D182*100,"-")=0,"-",IFERROR((COUNTIFS(Таблица2[1],B182,Таблица2[T],"t")+SUMIFS(Таблица2[R],Таблица2[1],B182,Таблица2[T],"t"))/D182*100,"-"))</f>
        <v>-</v>
      </c>
      <c r="K182" s="76" t="str">
        <f>IF(SUMIFS(Таблица2[KO$],Таблица2[1],B182)=0,"-",SUMIFS(Таблица2[KO$],Таблица2[1],B182))</f>
        <v>-</v>
      </c>
      <c r="L182" s="76" t="str">
        <f>IF(SUMIFS(Таблица2[WIN$],Таблица2[1],B182)=0,"-",SUMIFS(Таблица2[WIN$],Таблица2[1],B182))</f>
        <v>-</v>
      </c>
      <c r="M182" s="76" t="str">
        <f t="shared" si="6"/>
        <v>-</v>
      </c>
      <c r="N182" s="78" t="str">
        <f>IFERROR(Таблица46[[#This Row],[PROF]]/Таблица46[[#This Row],[Games]],"-")</f>
        <v>-</v>
      </c>
    </row>
    <row r="183" spans="1:14" ht="11.1" customHeight="1" x14ac:dyDescent="0.25">
      <c r="A183" s="93">
        <f t="shared" si="7"/>
        <v>97</v>
      </c>
      <c r="B183" s="113"/>
      <c r="C183"/>
      <c r="D183" s="75" t="str">
        <f>IF(COUNTIFS(Таблица2[1],B183)+SUMIFS(Таблица2[R],Таблица2[1],B183)=0,"",COUNTIFS(Таблица2[1],B183)+SUMIFS(Таблица2[R],Таблица2[1],B183))</f>
        <v/>
      </c>
      <c r="E183" s="76" t="str">
        <f>IF(SUMIFS(Таблица2[B$],Таблица2[1],B183)=0,"-",SUMIFS(Таблица2[B$],Таблица2[1],B183))</f>
        <v>-</v>
      </c>
      <c r="F183" s="77" t="str">
        <f>IFERROR(AVERAGEIFS(Таблица2[AFS],Таблица2[1],B183)+(AVERAGEIFS(Таблица2[AFS],Таблица2[1],B183)*0.2),"-")</f>
        <v>-</v>
      </c>
      <c r="G183" s="77" t="str">
        <f t="shared" ref="G183:G214" si="8">IFERROR(M183/E183*100,"-")</f>
        <v>-</v>
      </c>
      <c r="H183" s="77" t="str">
        <f>IFERROR(COUNTIFS(Таблица2[1],B183,Таблица2[WIN$],"&gt;0")/D183*100,"-")</f>
        <v>-</v>
      </c>
      <c r="I183" s="77" t="str">
        <f>IF(IFERROR((COUNTIFS(Таблица2[1],B183,Таблица2[K],"K")+SUMIFS(Таблица2[R],Таблица2[1],B183,Таблица2[K],"K"))/D183*100,"-")=0,"-",IFERROR((COUNTIFS(Таблица2[1],B183,Таблица2[K],"K")+SUMIFS(Таблица2[R],Таблица2[1],B183,Таблица2[K],"K"))/D183*100,"-"))</f>
        <v>-</v>
      </c>
      <c r="J183" s="77" t="str">
        <f>IF(IFERROR((COUNTIFS(Таблица2[1],B183,Таблица2[T],"t")+SUMIFS(Таблица2[R],Таблица2[1],B183,Таблица2[T],"t"))/D183*100,"-")=0,"-",IFERROR((COUNTIFS(Таблица2[1],B183,Таблица2[T],"t")+SUMIFS(Таблица2[R],Таблица2[1],B183,Таблица2[T],"t"))/D183*100,"-"))</f>
        <v>-</v>
      </c>
      <c r="K183" s="76" t="str">
        <f>IF(SUMIFS(Таблица2[KO$],Таблица2[1],B183)=0,"-",SUMIFS(Таблица2[KO$],Таблица2[1],B183))</f>
        <v>-</v>
      </c>
      <c r="L183" s="76" t="str">
        <f>IF(SUMIFS(Таблица2[WIN$],Таблица2[1],B183)=0,"-",SUMIFS(Таблица2[WIN$],Таблица2[1],B183))</f>
        <v>-</v>
      </c>
      <c r="M183" s="76" t="str">
        <f t="shared" ref="M183:M214" si="9">IFERROR(IF(L183="-",0,L183)+IF(K183="-",0,K183)-E183,"-")</f>
        <v>-</v>
      </c>
      <c r="N183" s="78" t="str">
        <f>IFERROR(Таблица46[[#This Row],[PROF]]/Таблица46[[#This Row],[Games]],"-")</f>
        <v>-</v>
      </c>
    </row>
    <row r="184" spans="1:14" ht="11.1" customHeight="1" x14ac:dyDescent="0.25">
      <c r="A184" s="93">
        <f t="shared" si="7"/>
        <v>98</v>
      </c>
      <c r="B184" s="113"/>
      <c r="C184"/>
      <c r="D184" s="75" t="str">
        <f>IF(COUNTIFS(Таблица2[1],B184)+SUMIFS(Таблица2[R],Таблица2[1],B184)=0,"",COUNTIFS(Таблица2[1],B184)+SUMIFS(Таблица2[R],Таблица2[1],B184))</f>
        <v/>
      </c>
      <c r="E184" s="76" t="str">
        <f>IF(SUMIFS(Таблица2[B$],Таблица2[1],B184)=0,"-",SUMIFS(Таблица2[B$],Таблица2[1],B184))</f>
        <v>-</v>
      </c>
      <c r="F184" s="77" t="str">
        <f>IFERROR(AVERAGEIFS(Таблица2[AFS],Таблица2[1],B184)+(AVERAGEIFS(Таблица2[AFS],Таблица2[1],B184)*0.2),"-")</f>
        <v>-</v>
      </c>
      <c r="G184" s="77" t="str">
        <f t="shared" si="8"/>
        <v>-</v>
      </c>
      <c r="H184" s="77" t="str">
        <f>IFERROR(COUNTIFS(Таблица2[1],B184,Таблица2[WIN$],"&gt;0")/D184*100,"-")</f>
        <v>-</v>
      </c>
      <c r="I184" s="77" t="str">
        <f>IF(IFERROR((COUNTIFS(Таблица2[1],B184,Таблица2[K],"K")+SUMIFS(Таблица2[R],Таблица2[1],B184,Таблица2[K],"K"))/D184*100,"-")=0,"-",IFERROR((COUNTIFS(Таблица2[1],B184,Таблица2[K],"K")+SUMIFS(Таблица2[R],Таблица2[1],B184,Таблица2[K],"K"))/D184*100,"-"))</f>
        <v>-</v>
      </c>
      <c r="J184" s="77" t="str">
        <f>IF(IFERROR((COUNTIFS(Таблица2[1],B184,Таблица2[T],"t")+SUMIFS(Таблица2[R],Таблица2[1],B184,Таблица2[T],"t"))/D184*100,"-")=0,"-",IFERROR((COUNTIFS(Таблица2[1],B184,Таблица2[T],"t")+SUMIFS(Таблица2[R],Таблица2[1],B184,Таблица2[T],"t"))/D184*100,"-"))</f>
        <v>-</v>
      </c>
      <c r="K184" s="76" t="str">
        <f>IF(SUMIFS(Таблица2[KO$],Таблица2[1],B184)=0,"-",SUMIFS(Таблица2[KO$],Таблица2[1],B184))</f>
        <v>-</v>
      </c>
      <c r="L184" s="76" t="str">
        <f>IF(SUMIFS(Таблица2[WIN$],Таблица2[1],B184)=0,"-",SUMIFS(Таблица2[WIN$],Таблица2[1],B184))</f>
        <v>-</v>
      </c>
      <c r="M184" s="76" t="str">
        <f t="shared" si="9"/>
        <v>-</v>
      </c>
      <c r="N184" s="78" t="str">
        <f>IFERROR(Таблица46[[#This Row],[PROF]]/Таблица46[[#This Row],[Games]],"-")</f>
        <v>-</v>
      </c>
    </row>
    <row r="185" spans="1:14" ht="11.1" customHeight="1" x14ac:dyDescent="0.25">
      <c r="A185" s="93">
        <f t="shared" si="7"/>
        <v>99</v>
      </c>
      <c r="B185" s="113"/>
      <c r="C185"/>
      <c r="D185" s="75" t="str">
        <f>IF(COUNTIFS(Таблица2[1],B185)+SUMIFS(Таблица2[R],Таблица2[1],B185)=0,"",COUNTIFS(Таблица2[1],B185)+SUMIFS(Таблица2[R],Таблица2[1],B185))</f>
        <v/>
      </c>
      <c r="E185" s="76" t="str">
        <f>IF(SUMIFS(Таблица2[B$],Таблица2[1],B185)=0,"-",SUMIFS(Таблица2[B$],Таблица2[1],B185))</f>
        <v>-</v>
      </c>
      <c r="F185" s="77" t="str">
        <f>IFERROR(AVERAGEIFS(Таблица2[AFS],Таблица2[1],B185)+(AVERAGEIFS(Таблица2[AFS],Таблица2[1],B185)*0.2),"-")</f>
        <v>-</v>
      </c>
      <c r="G185" s="77" t="str">
        <f t="shared" si="8"/>
        <v>-</v>
      </c>
      <c r="H185" s="77" t="str">
        <f>IFERROR(COUNTIFS(Таблица2[1],B185,Таблица2[WIN$],"&gt;0")/D185*100,"-")</f>
        <v>-</v>
      </c>
      <c r="I185" s="77" t="str">
        <f>IF(IFERROR((COUNTIFS(Таблица2[1],B185,Таблица2[K],"K")+SUMIFS(Таблица2[R],Таблица2[1],B185,Таблица2[K],"K"))/D185*100,"-")=0,"-",IFERROR((COUNTIFS(Таблица2[1],B185,Таблица2[K],"K")+SUMIFS(Таблица2[R],Таблица2[1],B185,Таблица2[K],"K"))/D185*100,"-"))</f>
        <v>-</v>
      </c>
      <c r="J185" s="77" t="str">
        <f>IF(IFERROR((COUNTIFS(Таблица2[1],B185,Таблица2[T],"t")+SUMIFS(Таблица2[R],Таблица2[1],B185,Таблица2[T],"t"))/D185*100,"-")=0,"-",IFERROR((COUNTIFS(Таблица2[1],B185,Таблица2[T],"t")+SUMIFS(Таблица2[R],Таблица2[1],B185,Таблица2[T],"t"))/D185*100,"-"))</f>
        <v>-</v>
      </c>
      <c r="K185" s="76" t="str">
        <f>IF(SUMIFS(Таблица2[KO$],Таблица2[1],B185)=0,"-",SUMIFS(Таблица2[KO$],Таблица2[1],B185))</f>
        <v>-</v>
      </c>
      <c r="L185" s="76" t="str">
        <f>IF(SUMIFS(Таблица2[WIN$],Таблица2[1],B185)=0,"-",SUMIFS(Таблица2[WIN$],Таблица2[1],B185))</f>
        <v>-</v>
      </c>
      <c r="M185" s="76" t="str">
        <f t="shared" si="9"/>
        <v>-</v>
      </c>
      <c r="N185" s="78" t="str">
        <f>IFERROR(Таблица46[[#This Row],[PROF]]/Таблица46[[#This Row],[Games]],"-")</f>
        <v>-</v>
      </c>
    </row>
    <row r="186" spans="1:14" ht="11.1" customHeight="1" x14ac:dyDescent="0.25">
      <c r="A186" s="93">
        <f t="shared" si="7"/>
        <v>100</v>
      </c>
      <c r="B186" s="113"/>
      <c r="C186"/>
      <c r="D186" s="75" t="str">
        <f>IF(COUNTIFS(Таблица2[1],B186)+SUMIFS(Таблица2[R],Таблица2[1],B186)=0,"",COUNTIFS(Таблица2[1],B186)+SUMIFS(Таблица2[R],Таблица2[1],B186))</f>
        <v/>
      </c>
      <c r="E186" s="76" t="str">
        <f>IF(SUMIFS(Таблица2[B$],Таблица2[1],B186)=0,"-",SUMIFS(Таблица2[B$],Таблица2[1],B186))</f>
        <v>-</v>
      </c>
      <c r="F186" s="77" t="str">
        <f>IFERROR(AVERAGEIFS(Таблица2[AFS],Таблица2[1],B186)+(AVERAGEIFS(Таблица2[AFS],Таблица2[1],B186)*0.2),"-")</f>
        <v>-</v>
      </c>
      <c r="G186" s="77" t="str">
        <f t="shared" si="8"/>
        <v>-</v>
      </c>
      <c r="H186" s="77" t="str">
        <f>IFERROR(COUNTIFS(Таблица2[1],B186,Таблица2[WIN$],"&gt;0")/D186*100,"-")</f>
        <v>-</v>
      </c>
      <c r="I186" s="77" t="str">
        <f>IF(IFERROR((COUNTIFS(Таблица2[1],B186,Таблица2[K],"K")+SUMIFS(Таблица2[R],Таблица2[1],B186,Таблица2[K],"K"))/D186*100,"-")=0,"-",IFERROR((COUNTIFS(Таблица2[1],B186,Таблица2[K],"K")+SUMIFS(Таблица2[R],Таблица2[1],B186,Таблица2[K],"K"))/D186*100,"-"))</f>
        <v>-</v>
      </c>
      <c r="J186" s="77" t="str">
        <f>IF(IFERROR((COUNTIFS(Таблица2[1],B186,Таблица2[T],"t")+SUMIFS(Таблица2[R],Таблица2[1],B186,Таблица2[T],"t"))/D186*100,"-")=0,"-",IFERROR((COUNTIFS(Таблица2[1],B186,Таблица2[T],"t")+SUMIFS(Таблица2[R],Таблица2[1],B186,Таблица2[T],"t"))/D186*100,"-"))</f>
        <v>-</v>
      </c>
      <c r="K186" s="76" t="str">
        <f>IF(SUMIFS(Таблица2[KO$],Таблица2[1],B186)=0,"-",SUMIFS(Таблица2[KO$],Таблица2[1],B186))</f>
        <v>-</v>
      </c>
      <c r="L186" s="76" t="str">
        <f>IF(SUMIFS(Таблица2[WIN$],Таблица2[1],B186)=0,"-",SUMIFS(Таблица2[WIN$],Таблица2[1],B186))</f>
        <v>-</v>
      </c>
      <c r="M186" s="76" t="str">
        <f t="shared" si="9"/>
        <v>-</v>
      </c>
      <c r="N186" s="78" t="str">
        <f>IFERROR(Таблица46[[#This Row],[PROF]]/Таблица46[[#This Row],[Games]],"-")</f>
        <v>-</v>
      </c>
    </row>
    <row r="187" spans="1:14" ht="11.1" customHeight="1" x14ac:dyDescent="0.25">
      <c r="A187" s="93">
        <f t="shared" si="7"/>
        <v>101</v>
      </c>
      <c r="B187" s="113"/>
      <c r="C187"/>
      <c r="D187" s="75" t="str">
        <f>IF(COUNTIFS(Таблица2[1],B187)+SUMIFS(Таблица2[R],Таблица2[1],B187)=0,"",COUNTIFS(Таблица2[1],B187)+SUMIFS(Таблица2[R],Таблица2[1],B187))</f>
        <v/>
      </c>
      <c r="E187" s="76" t="str">
        <f>IF(SUMIFS(Таблица2[B$],Таблица2[1],B187)=0,"-",SUMIFS(Таблица2[B$],Таблица2[1],B187))</f>
        <v>-</v>
      </c>
      <c r="F187" s="77" t="str">
        <f>IFERROR(AVERAGEIFS(Таблица2[AFS],Таблица2[1],B187)+(AVERAGEIFS(Таблица2[AFS],Таблица2[1],B187)*0.2),"-")</f>
        <v>-</v>
      </c>
      <c r="G187" s="77" t="str">
        <f t="shared" si="8"/>
        <v>-</v>
      </c>
      <c r="H187" s="77" t="str">
        <f>IFERROR(COUNTIFS(Таблица2[1],B187,Таблица2[WIN$],"&gt;0")/D187*100,"-")</f>
        <v>-</v>
      </c>
      <c r="I187" s="77" t="str">
        <f>IF(IFERROR((COUNTIFS(Таблица2[1],B187,Таблица2[K],"K")+SUMIFS(Таблица2[R],Таблица2[1],B187,Таблица2[K],"K"))/D187*100,"-")=0,"-",IFERROR((COUNTIFS(Таблица2[1],B187,Таблица2[K],"K")+SUMIFS(Таблица2[R],Таблица2[1],B187,Таблица2[K],"K"))/D187*100,"-"))</f>
        <v>-</v>
      </c>
      <c r="J187" s="77" t="str">
        <f>IF(IFERROR((COUNTIFS(Таблица2[1],B187,Таблица2[T],"t")+SUMIFS(Таблица2[R],Таблица2[1],B187,Таблица2[T],"t"))/D187*100,"-")=0,"-",IFERROR((COUNTIFS(Таблица2[1],B187,Таблица2[T],"t")+SUMIFS(Таблица2[R],Таблица2[1],B187,Таблица2[T],"t"))/D187*100,"-"))</f>
        <v>-</v>
      </c>
      <c r="K187" s="76" t="str">
        <f>IF(SUMIFS(Таблица2[KO$],Таблица2[1],B187)=0,"-",SUMIFS(Таблица2[KO$],Таблица2[1],B187))</f>
        <v>-</v>
      </c>
      <c r="L187" s="76" t="str">
        <f>IF(SUMIFS(Таблица2[WIN$],Таблица2[1],B187)=0,"-",SUMIFS(Таблица2[WIN$],Таблица2[1],B187))</f>
        <v>-</v>
      </c>
      <c r="M187" s="76" t="str">
        <f t="shared" si="9"/>
        <v>-</v>
      </c>
      <c r="N187" s="78" t="str">
        <f>IFERROR(Таблица46[[#This Row],[PROF]]/Таблица46[[#This Row],[Games]],"-")</f>
        <v>-</v>
      </c>
    </row>
    <row r="188" spans="1:14" ht="11.1" customHeight="1" x14ac:dyDescent="0.25">
      <c r="A188" s="93">
        <f t="shared" si="7"/>
        <v>102</v>
      </c>
      <c r="B188" s="113"/>
      <c r="C188"/>
      <c r="D188" s="75" t="str">
        <f>IF(COUNTIFS(Таблица2[1],B188)+SUMIFS(Таблица2[R],Таблица2[1],B188)=0,"",COUNTIFS(Таблица2[1],B188)+SUMIFS(Таблица2[R],Таблица2[1],B188))</f>
        <v/>
      </c>
      <c r="E188" s="76" t="str">
        <f>IF(SUMIFS(Таблица2[B$],Таблица2[1],B188)=0,"-",SUMIFS(Таблица2[B$],Таблица2[1],B188))</f>
        <v>-</v>
      </c>
      <c r="F188" s="77" t="str">
        <f>IFERROR(AVERAGEIFS(Таблица2[AFS],Таблица2[1],B188)+(AVERAGEIFS(Таблица2[AFS],Таблица2[1],B188)*0.2),"-")</f>
        <v>-</v>
      </c>
      <c r="G188" s="77" t="str">
        <f t="shared" si="8"/>
        <v>-</v>
      </c>
      <c r="H188" s="77" t="str">
        <f>IFERROR(COUNTIFS(Таблица2[1],B188,Таблица2[WIN$],"&gt;0")/D188*100,"-")</f>
        <v>-</v>
      </c>
      <c r="I188" s="77" t="str">
        <f>IF(IFERROR((COUNTIFS(Таблица2[1],B188,Таблица2[K],"K")+SUMIFS(Таблица2[R],Таблица2[1],B188,Таблица2[K],"K"))/D188*100,"-")=0,"-",IFERROR((COUNTIFS(Таблица2[1],B188,Таблица2[K],"K")+SUMIFS(Таблица2[R],Таблица2[1],B188,Таблица2[K],"K"))/D188*100,"-"))</f>
        <v>-</v>
      </c>
      <c r="J188" s="77" t="str">
        <f>IF(IFERROR((COUNTIFS(Таблица2[1],B188,Таблица2[T],"t")+SUMIFS(Таблица2[R],Таблица2[1],B188,Таблица2[T],"t"))/D188*100,"-")=0,"-",IFERROR((COUNTIFS(Таблица2[1],B188,Таблица2[T],"t")+SUMIFS(Таблица2[R],Таблица2[1],B188,Таблица2[T],"t"))/D188*100,"-"))</f>
        <v>-</v>
      </c>
      <c r="K188" s="76" t="str">
        <f>IF(SUMIFS(Таблица2[KO$],Таблица2[1],B188)=0,"-",SUMIFS(Таблица2[KO$],Таблица2[1],B188))</f>
        <v>-</v>
      </c>
      <c r="L188" s="76" t="str">
        <f>IF(SUMIFS(Таблица2[WIN$],Таблица2[1],B188)=0,"-",SUMIFS(Таблица2[WIN$],Таблица2[1],B188))</f>
        <v>-</v>
      </c>
      <c r="M188" s="76" t="str">
        <f t="shared" si="9"/>
        <v>-</v>
      </c>
      <c r="N188" s="78" t="str">
        <f>IFERROR(Таблица46[[#This Row],[PROF]]/Таблица46[[#This Row],[Games]],"-")</f>
        <v>-</v>
      </c>
    </row>
    <row r="189" spans="1:14" ht="11.1" customHeight="1" x14ac:dyDescent="0.25">
      <c r="A189" s="93">
        <f t="shared" si="7"/>
        <v>103</v>
      </c>
      <c r="B189" s="113"/>
      <c r="C189"/>
      <c r="D189" s="75" t="str">
        <f>IF(COUNTIFS(Таблица2[1],B189)+SUMIFS(Таблица2[R],Таблица2[1],B189)=0,"",COUNTIFS(Таблица2[1],B189)+SUMIFS(Таблица2[R],Таблица2[1],B189))</f>
        <v/>
      </c>
      <c r="E189" s="76" t="str">
        <f>IF(SUMIFS(Таблица2[B$],Таблица2[1],B189)=0,"-",SUMIFS(Таблица2[B$],Таблица2[1],B189))</f>
        <v>-</v>
      </c>
      <c r="F189" s="77" t="str">
        <f>IFERROR(AVERAGEIFS(Таблица2[AFS],Таблица2[1],B189)+(AVERAGEIFS(Таблица2[AFS],Таблица2[1],B189)*0.2),"-")</f>
        <v>-</v>
      </c>
      <c r="G189" s="77" t="str">
        <f t="shared" si="8"/>
        <v>-</v>
      </c>
      <c r="H189" s="77" t="str">
        <f>IFERROR(COUNTIFS(Таблица2[1],B189,Таблица2[WIN$],"&gt;0")/D189*100,"-")</f>
        <v>-</v>
      </c>
      <c r="I189" s="77" t="str">
        <f>IF(IFERROR((COUNTIFS(Таблица2[1],B189,Таблица2[K],"K")+SUMIFS(Таблица2[R],Таблица2[1],B189,Таблица2[K],"K"))/D189*100,"-")=0,"-",IFERROR((COUNTIFS(Таблица2[1],B189,Таблица2[K],"K")+SUMIFS(Таблица2[R],Таблица2[1],B189,Таблица2[K],"K"))/D189*100,"-"))</f>
        <v>-</v>
      </c>
      <c r="J189" s="77" t="str">
        <f>IF(IFERROR((COUNTIFS(Таблица2[1],B189,Таблица2[T],"t")+SUMIFS(Таблица2[R],Таблица2[1],B189,Таблица2[T],"t"))/D189*100,"-")=0,"-",IFERROR((COUNTIFS(Таблица2[1],B189,Таблица2[T],"t")+SUMIFS(Таблица2[R],Таблица2[1],B189,Таблица2[T],"t"))/D189*100,"-"))</f>
        <v>-</v>
      </c>
      <c r="K189" s="76" t="str">
        <f>IF(SUMIFS(Таблица2[KO$],Таблица2[1],B189)=0,"-",SUMIFS(Таблица2[KO$],Таблица2[1],B189))</f>
        <v>-</v>
      </c>
      <c r="L189" s="76" t="str">
        <f>IF(SUMIFS(Таблица2[WIN$],Таблица2[1],B189)=0,"-",SUMIFS(Таблица2[WIN$],Таблица2[1],B189))</f>
        <v>-</v>
      </c>
      <c r="M189" s="76" t="str">
        <f t="shared" si="9"/>
        <v>-</v>
      </c>
      <c r="N189" s="78" t="str">
        <f>IFERROR(Таблица46[[#This Row],[PROF]]/Таблица46[[#This Row],[Games]],"-")</f>
        <v>-</v>
      </c>
    </row>
    <row r="190" spans="1:14" ht="11.1" customHeight="1" x14ac:dyDescent="0.25">
      <c r="A190" s="93">
        <f t="shared" si="7"/>
        <v>104</v>
      </c>
      <c r="B190" s="113"/>
      <c r="C190"/>
      <c r="D190" s="75" t="str">
        <f>IF(COUNTIFS(Таблица2[1],B190)+SUMIFS(Таблица2[R],Таблица2[1],B190)=0,"",COUNTIFS(Таблица2[1],B190)+SUMIFS(Таблица2[R],Таблица2[1],B190))</f>
        <v/>
      </c>
      <c r="E190" s="76" t="str">
        <f>IF(SUMIFS(Таблица2[B$],Таблица2[1],B190)=0,"-",SUMIFS(Таблица2[B$],Таблица2[1],B190))</f>
        <v>-</v>
      </c>
      <c r="F190" s="77" t="str">
        <f>IFERROR(AVERAGEIFS(Таблица2[AFS],Таблица2[1],B190)+(AVERAGEIFS(Таблица2[AFS],Таблица2[1],B190)*0.2),"-")</f>
        <v>-</v>
      </c>
      <c r="G190" s="77" t="str">
        <f t="shared" si="8"/>
        <v>-</v>
      </c>
      <c r="H190" s="77" t="str">
        <f>IFERROR(COUNTIFS(Таблица2[1],B190,Таблица2[WIN$],"&gt;0")/D190*100,"-")</f>
        <v>-</v>
      </c>
      <c r="I190" s="77" t="str">
        <f>IF(IFERROR((COUNTIFS(Таблица2[1],B190,Таблица2[K],"K")+SUMIFS(Таблица2[R],Таблица2[1],B190,Таблица2[K],"K"))/D190*100,"-")=0,"-",IFERROR((COUNTIFS(Таблица2[1],B190,Таблица2[K],"K")+SUMIFS(Таблица2[R],Таблица2[1],B190,Таблица2[K],"K"))/D190*100,"-"))</f>
        <v>-</v>
      </c>
      <c r="J190" s="77" t="str">
        <f>IF(IFERROR((COUNTIFS(Таблица2[1],B190,Таблица2[T],"t")+SUMIFS(Таблица2[R],Таблица2[1],B190,Таблица2[T],"t"))/D190*100,"-")=0,"-",IFERROR((COUNTIFS(Таблица2[1],B190,Таблица2[T],"t")+SUMIFS(Таблица2[R],Таблица2[1],B190,Таблица2[T],"t"))/D190*100,"-"))</f>
        <v>-</v>
      </c>
      <c r="K190" s="76" t="str">
        <f>IF(SUMIFS(Таблица2[KO$],Таблица2[1],B190)=0,"-",SUMIFS(Таблица2[KO$],Таблица2[1],B190))</f>
        <v>-</v>
      </c>
      <c r="L190" s="76" t="str">
        <f>IF(SUMIFS(Таблица2[WIN$],Таблица2[1],B190)=0,"-",SUMIFS(Таблица2[WIN$],Таблица2[1],B190))</f>
        <v>-</v>
      </c>
      <c r="M190" s="76" t="str">
        <f t="shared" si="9"/>
        <v>-</v>
      </c>
      <c r="N190" s="78" t="str">
        <f>IFERROR(Таблица46[[#This Row],[PROF]]/Таблица46[[#This Row],[Games]],"-")</f>
        <v>-</v>
      </c>
    </row>
    <row r="191" spans="1:14" ht="11.1" customHeight="1" x14ac:dyDescent="0.25">
      <c r="A191" s="93">
        <f t="shared" si="7"/>
        <v>105</v>
      </c>
      <c r="B191" s="113"/>
      <c r="C191"/>
      <c r="D191" s="75" t="str">
        <f>IF(COUNTIFS(Таблица2[1],B191)+SUMIFS(Таблица2[R],Таблица2[1],B191)=0,"",COUNTIFS(Таблица2[1],B191)+SUMIFS(Таблица2[R],Таблица2[1],B191))</f>
        <v/>
      </c>
      <c r="E191" s="76" t="str">
        <f>IF(SUMIFS(Таблица2[B$],Таблица2[1],B191)=0,"-",SUMIFS(Таблица2[B$],Таблица2[1],B191))</f>
        <v>-</v>
      </c>
      <c r="F191" s="77" t="str">
        <f>IFERROR(AVERAGEIFS(Таблица2[AFS],Таблица2[1],B191)+(AVERAGEIFS(Таблица2[AFS],Таблица2[1],B191)*0.2),"-")</f>
        <v>-</v>
      </c>
      <c r="G191" s="77" t="str">
        <f t="shared" si="8"/>
        <v>-</v>
      </c>
      <c r="H191" s="77" t="str">
        <f>IFERROR(COUNTIFS(Таблица2[1],B191,Таблица2[WIN$],"&gt;0")/D191*100,"-")</f>
        <v>-</v>
      </c>
      <c r="I191" s="77" t="str">
        <f>IF(IFERROR((COUNTIFS(Таблица2[1],B191,Таблица2[K],"K")+SUMIFS(Таблица2[R],Таблица2[1],B191,Таблица2[K],"K"))/D191*100,"-")=0,"-",IFERROR((COUNTIFS(Таблица2[1],B191,Таблица2[K],"K")+SUMIFS(Таблица2[R],Таблица2[1],B191,Таблица2[K],"K"))/D191*100,"-"))</f>
        <v>-</v>
      </c>
      <c r="J191" s="77" t="str">
        <f>IF(IFERROR((COUNTIFS(Таблица2[1],B191,Таблица2[T],"t")+SUMIFS(Таблица2[R],Таблица2[1],B191,Таблица2[T],"t"))/D191*100,"-")=0,"-",IFERROR((COUNTIFS(Таблица2[1],B191,Таблица2[T],"t")+SUMIFS(Таблица2[R],Таблица2[1],B191,Таблица2[T],"t"))/D191*100,"-"))</f>
        <v>-</v>
      </c>
      <c r="K191" s="76" t="str">
        <f>IF(SUMIFS(Таблица2[KO$],Таблица2[1],B191)=0,"-",SUMIFS(Таблица2[KO$],Таблица2[1],B191))</f>
        <v>-</v>
      </c>
      <c r="L191" s="76" t="str">
        <f>IF(SUMIFS(Таблица2[WIN$],Таблица2[1],B191)=0,"-",SUMIFS(Таблица2[WIN$],Таблица2[1],B191))</f>
        <v>-</v>
      </c>
      <c r="M191" s="76" t="str">
        <f t="shared" si="9"/>
        <v>-</v>
      </c>
      <c r="N191" s="78" t="str">
        <f>IFERROR(Таблица46[[#This Row],[PROF]]/Таблица46[[#This Row],[Games]],"-")</f>
        <v>-</v>
      </c>
    </row>
    <row r="192" spans="1:14" ht="11.1" customHeight="1" x14ac:dyDescent="0.25">
      <c r="A192" s="93">
        <f t="shared" si="7"/>
        <v>106</v>
      </c>
      <c r="B192" s="113"/>
      <c r="C192"/>
      <c r="D192" s="75" t="str">
        <f>IF(COUNTIFS(Таблица2[1],B192)+SUMIFS(Таблица2[R],Таблица2[1],B192)=0,"",COUNTIFS(Таблица2[1],B192)+SUMIFS(Таблица2[R],Таблица2[1],B192))</f>
        <v/>
      </c>
      <c r="E192" s="76" t="str">
        <f>IF(SUMIFS(Таблица2[B$],Таблица2[1],B192)=0,"-",SUMIFS(Таблица2[B$],Таблица2[1],B192))</f>
        <v>-</v>
      </c>
      <c r="F192" s="77" t="str">
        <f>IFERROR(AVERAGEIFS(Таблица2[AFS],Таблица2[1],B192)+(AVERAGEIFS(Таблица2[AFS],Таблица2[1],B192)*0.2),"-")</f>
        <v>-</v>
      </c>
      <c r="G192" s="77" t="str">
        <f t="shared" si="8"/>
        <v>-</v>
      </c>
      <c r="H192" s="77" t="str">
        <f>IFERROR(COUNTIFS(Таблица2[1],B192,Таблица2[WIN$],"&gt;0")/D192*100,"-")</f>
        <v>-</v>
      </c>
      <c r="I192" s="77" t="str">
        <f>IF(IFERROR((COUNTIFS(Таблица2[1],B192,Таблица2[K],"K")+SUMIFS(Таблица2[R],Таблица2[1],B192,Таблица2[K],"K"))/D192*100,"-")=0,"-",IFERROR((COUNTIFS(Таблица2[1],B192,Таблица2[K],"K")+SUMIFS(Таблица2[R],Таблица2[1],B192,Таблица2[K],"K"))/D192*100,"-"))</f>
        <v>-</v>
      </c>
      <c r="J192" s="77" t="str">
        <f>IF(IFERROR((COUNTIFS(Таблица2[1],B192,Таблица2[T],"t")+SUMIFS(Таблица2[R],Таблица2[1],B192,Таблица2[T],"t"))/D192*100,"-")=0,"-",IFERROR((COUNTIFS(Таблица2[1],B192,Таблица2[T],"t")+SUMIFS(Таблица2[R],Таблица2[1],B192,Таблица2[T],"t"))/D192*100,"-"))</f>
        <v>-</v>
      </c>
      <c r="K192" s="76" t="str">
        <f>IF(SUMIFS(Таблица2[KO$],Таблица2[1],B192)=0,"-",SUMIFS(Таблица2[KO$],Таблица2[1],B192))</f>
        <v>-</v>
      </c>
      <c r="L192" s="76" t="str">
        <f>IF(SUMIFS(Таблица2[WIN$],Таблица2[1],B192)=0,"-",SUMIFS(Таблица2[WIN$],Таблица2[1],B192))</f>
        <v>-</v>
      </c>
      <c r="M192" s="76" t="str">
        <f t="shared" si="9"/>
        <v>-</v>
      </c>
      <c r="N192" s="78" t="str">
        <f>IFERROR(Таблица46[[#This Row],[PROF]]/Таблица46[[#This Row],[Games]],"-")</f>
        <v>-</v>
      </c>
    </row>
    <row r="193" spans="1:14" ht="11.1" customHeight="1" x14ac:dyDescent="0.25">
      <c r="A193" s="93">
        <f t="shared" si="7"/>
        <v>107</v>
      </c>
      <c r="B193" s="113"/>
      <c r="C193"/>
      <c r="D193" s="75" t="str">
        <f>IF(COUNTIFS(Таблица2[1],B193)+SUMIFS(Таблица2[R],Таблица2[1],B193)=0,"",COUNTIFS(Таблица2[1],B193)+SUMIFS(Таблица2[R],Таблица2[1],B193))</f>
        <v/>
      </c>
      <c r="E193" s="76" t="str">
        <f>IF(SUMIFS(Таблица2[B$],Таблица2[1],B193)=0,"-",SUMIFS(Таблица2[B$],Таблица2[1],B193))</f>
        <v>-</v>
      </c>
      <c r="F193" s="77" t="str">
        <f>IFERROR(AVERAGEIFS(Таблица2[AFS],Таблица2[1],B193)+(AVERAGEIFS(Таблица2[AFS],Таблица2[1],B193)*0.2),"-")</f>
        <v>-</v>
      </c>
      <c r="G193" s="77" t="str">
        <f t="shared" si="8"/>
        <v>-</v>
      </c>
      <c r="H193" s="77" t="str">
        <f>IFERROR(COUNTIFS(Таблица2[1],B193,Таблица2[WIN$],"&gt;0")/D193*100,"-")</f>
        <v>-</v>
      </c>
      <c r="I193" s="77" t="str">
        <f>IF(IFERROR((COUNTIFS(Таблица2[1],B193,Таблица2[K],"K")+SUMIFS(Таблица2[R],Таблица2[1],B193,Таблица2[K],"K"))/D193*100,"-")=0,"-",IFERROR((COUNTIFS(Таблица2[1],B193,Таблица2[K],"K")+SUMIFS(Таблица2[R],Таблица2[1],B193,Таблица2[K],"K"))/D193*100,"-"))</f>
        <v>-</v>
      </c>
      <c r="J193" s="77" t="str">
        <f>IF(IFERROR((COUNTIFS(Таблица2[1],B193,Таблица2[T],"t")+SUMIFS(Таблица2[R],Таблица2[1],B193,Таблица2[T],"t"))/D193*100,"-")=0,"-",IFERROR((COUNTIFS(Таблица2[1],B193,Таблица2[T],"t")+SUMIFS(Таблица2[R],Таблица2[1],B193,Таблица2[T],"t"))/D193*100,"-"))</f>
        <v>-</v>
      </c>
      <c r="K193" s="76" t="str">
        <f>IF(SUMIFS(Таблица2[KO$],Таблица2[1],B193)=0,"-",SUMIFS(Таблица2[KO$],Таблица2[1],B193))</f>
        <v>-</v>
      </c>
      <c r="L193" s="76" t="str">
        <f>IF(SUMIFS(Таблица2[WIN$],Таблица2[1],B193)=0,"-",SUMIFS(Таблица2[WIN$],Таблица2[1],B193))</f>
        <v>-</v>
      </c>
      <c r="M193" s="76" t="str">
        <f t="shared" si="9"/>
        <v>-</v>
      </c>
      <c r="N193" s="78" t="str">
        <f>IFERROR(Таблица46[[#This Row],[PROF]]/Таблица46[[#This Row],[Games]],"-")</f>
        <v>-</v>
      </c>
    </row>
    <row r="194" spans="1:14" ht="11.1" customHeight="1" x14ac:dyDescent="0.25">
      <c r="A194" s="93">
        <f t="shared" si="7"/>
        <v>108</v>
      </c>
      <c r="B194" s="113"/>
      <c r="C194"/>
      <c r="D194" s="75" t="str">
        <f>IF(COUNTIFS(Таблица2[1],B194)+SUMIFS(Таблица2[R],Таблица2[1],B194)=0,"",COUNTIFS(Таблица2[1],B194)+SUMIFS(Таблица2[R],Таблица2[1],B194))</f>
        <v/>
      </c>
      <c r="E194" s="76" t="str">
        <f>IF(SUMIFS(Таблица2[B$],Таблица2[1],B194)=0,"-",SUMIFS(Таблица2[B$],Таблица2[1],B194))</f>
        <v>-</v>
      </c>
      <c r="F194" s="77" t="str">
        <f>IFERROR(AVERAGEIFS(Таблица2[AFS],Таблица2[1],B194)+(AVERAGEIFS(Таблица2[AFS],Таблица2[1],B194)*0.2),"-")</f>
        <v>-</v>
      </c>
      <c r="G194" s="77" t="str">
        <f t="shared" si="8"/>
        <v>-</v>
      </c>
      <c r="H194" s="77" t="str">
        <f>IFERROR(COUNTIFS(Таблица2[1],B194,Таблица2[WIN$],"&gt;0")/D194*100,"-")</f>
        <v>-</v>
      </c>
      <c r="I194" s="77" t="str">
        <f>IF(IFERROR((COUNTIFS(Таблица2[1],B194,Таблица2[K],"K")+SUMIFS(Таблица2[R],Таблица2[1],B194,Таблица2[K],"K"))/D194*100,"-")=0,"-",IFERROR((COUNTIFS(Таблица2[1],B194,Таблица2[K],"K")+SUMIFS(Таблица2[R],Таблица2[1],B194,Таблица2[K],"K"))/D194*100,"-"))</f>
        <v>-</v>
      </c>
      <c r="J194" s="77" t="str">
        <f>IF(IFERROR((COUNTIFS(Таблица2[1],B194,Таблица2[T],"t")+SUMIFS(Таблица2[R],Таблица2[1],B194,Таблица2[T],"t"))/D194*100,"-")=0,"-",IFERROR((COUNTIFS(Таблица2[1],B194,Таблица2[T],"t")+SUMIFS(Таблица2[R],Таблица2[1],B194,Таблица2[T],"t"))/D194*100,"-"))</f>
        <v>-</v>
      </c>
      <c r="K194" s="76" t="str">
        <f>IF(SUMIFS(Таблица2[KO$],Таблица2[1],B194)=0,"-",SUMIFS(Таблица2[KO$],Таблица2[1],B194))</f>
        <v>-</v>
      </c>
      <c r="L194" s="76" t="str">
        <f>IF(SUMIFS(Таблица2[WIN$],Таблица2[1],B194)=0,"-",SUMIFS(Таблица2[WIN$],Таблица2[1],B194))</f>
        <v>-</v>
      </c>
      <c r="M194" s="76" t="str">
        <f t="shared" si="9"/>
        <v>-</v>
      </c>
      <c r="N194" s="78" t="str">
        <f>IFERROR(Таблица46[[#This Row],[PROF]]/Таблица46[[#This Row],[Games]],"-")</f>
        <v>-</v>
      </c>
    </row>
    <row r="195" spans="1:14" ht="11.1" customHeight="1" x14ac:dyDescent="0.25">
      <c r="A195" s="93">
        <f t="shared" si="7"/>
        <v>109</v>
      </c>
      <c r="B195" s="113"/>
      <c r="C195"/>
      <c r="D195" s="75" t="str">
        <f>IF(COUNTIFS(Таблица2[1],B195)+SUMIFS(Таблица2[R],Таблица2[1],B195)=0,"",COUNTIFS(Таблица2[1],B195)+SUMIFS(Таблица2[R],Таблица2[1],B195))</f>
        <v/>
      </c>
      <c r="E195" s="76" t="str">
        <f>IF(SUMIFS(Таблица2[B$],Таблица2[1],B195)=0,"-",SUMIFS(Таблица2[B$],Таблица2[1],B195))</f>
        <v>-</v>
      </c>
      <c r="F195" s="77" t="str">
        <f>IFERROR(AVERAGEIFS(Таблица2[AFS],Таблица2[1],B195)+(AVERAGEIFS(Таблица2[AFS],Таблица2[1],B195)*0.2),"-")</f>
        <v>-</v>
      </c>
      <c r="G195" s="77" t="str">
        <f t="shared" si="8"/>
        <v>-</v>
      </c>
      <c r="H195" s="77" t="str">
        <f>IFERROR(COUNTIFS(Таблица2[1],B195,Таблица2[WIN$],"&gt;0")/D195*100,"-")</f>
        <v>-</v>
      </c>
      <c r="I195" s="77" t="str">
        <f>IF(IFERROR((COUNTIFS(Таблица2[1],B195,Таблица2[K],"K")+SUMIFS(Таблица2[R],Таблица2[1],B195,Таблица2[K],"K"))/D195*100,"-")=0,"-",IFERROR((COUNTIFS(Таблица2[1],B195,Таблица2[K],"K")+SUMIFS(Таблица2[R],Таблица2[1],B195,Таблица2[K],"K"))/D195*100,"-"))</f>
        <v>-</v>
      </c>
      <c r="J195" s="77" t="str">
        <f>IF(IFERROR((COUNTIFS(Таблица2[1],B195,Таблица2[T],"t")+SUMIFS(Таблица2[R],Таблица2[1],B195,Таблица2[T],"t"))/D195*100,"-")=0,"-",IFERROR((COUNTIFS(Таблица2[1],B195,Таблица2[T],"t")+SUMIFS(Таблица2[R],Таблица2[1],B195,Таблица2[T],"t"))/D195*100,"-"))</f>
        <v>-</v>
      </c>
      <c r="K195" s="76" t="str">
        <f>IF(SUMIFS(Таблица2[KO$],Таблица2[1],B195)=0,"-",SUMIFS(Таблица2[KO$],Таблица2[1],B195))</f>
        <v>-</v>
      </c>
      <c r="L195" s="76" t="str">
        <f>IF(SUMIFS(Таблица2[WIN$],Таблица2[1],B195)=0,"-",SUMIFS(Таблица2[WIN$],Таблица2[1],B195))</f>
        <v>-</v>
      </c>
      <c r="M195" s="76" t="str">
        <f t="shared" si="9"/>
        <v>-</v>
      </c>
      <c r="N195" s="78" t="str">
        <f>IFERROR(Таблица46[[#This Row],[PROF]]/Таблица46[[#This Row],[Games]],"-")</f>
        <v>-</v>
      </c>
    </row>
    <row r="196" spans="1:14" ht="11.1" customHeight="1" x14ac:dyDescent="0.25">
      <c r="A196" s="93">
        <f t="shared" si="7"/>
        <v>110</v>
      </c>
      <c r="B196" s="113"/>
      <c r="C196"/>
      <c r="D196" s="75" t="str">
        <f>IF(COUNTIFS(Таблица2[1],B196)+SUMIFS(Таблица2[R],Таблица2[1],B196)=0,"",COUNTIFS(Таблица2[1],B196)+SUMIFS(Таблица2[R],Таблица2[1],B196))</f>
        <v/>
      </c>
      <c r="E196" s="76" t="str">
        <f>IF(SUMIFS(Таблица2[B$],Таблица2[1],B196)=0,"-",SUMIFS(Таблица2[B$],Таблица2[1],B196))</f>
        <v>-</v>
      </c>
      <c r="F196" s="77" t="str">
        <f>IFERROR(AVERAGEIFS(Таблица2[AFS],Таблица2[1],B196)+(AVERAGEIFS(Таблица2[AFS],Таблица2[1],B196)*0.2),"-")</f>
        <v>-</v>
      </c>
      <c r="G196" s="77" t="str">
        <f t="shared" si="8"/>
        <v>-</v>
      </c>
      <c r="H196" s="77" t="str">
        <f>IFERROR(COUNTIFS(Таблица2[1],B196,Таблица2[WIN$],"&gt;0")/D196*100,"-")</f>
        <v>-</v>
      </c>
      <c r="I196" s="77" t="str">
        <f>IF(IFERROR((COUNTIFS(Таблица2[1],B196,Таблица2[K],"K")+SUMIFS(Таблица2[R],Таблица2[1],B196,Таблица2[K],"K"))/D196*100,"-")=0,"-",IFERROR((COUNTIFS(Таблица2[1],B196,Таблица2[K],"K")+SUMIFS(Таблица2[R],Таблица2[1],B196,Таблица2[K],"K"))/D196*100,"-"))</f>
        <v>-</v>
      </c>
      <c r="J196" s="77" t="str">
        <f>IF(IFERROR((COUNTIFS(Таблица2[1],B196,Таблица2[T],"t")+SUMIFS(Таблица2[R],Таблица2[1],B196,Таблица2[T],"t"))/D196*100,"-")=0,"-",IFERROR((COUNTIFS(Таблица2[1],B196,Таблица2[T],"t")+SUMIFS(Таблица2[R],Таблица2[1],B196,Таблица2[T],"t"))/D196*100,"-"))</f>
        <v>-</v>
      </c>
      <c r="K196" s="76" t="str">
        <f>IF(SUMIFS(Таблица2[KO$],Таблица2[1],B196)=0,"-",SUMIFS(Таблица2[KO$],Таблица2[1],B196))</f>
        <v>-</v>
      </c>
      <c r="L196" s="76" t="str">
        <f>IF(SUMIFS(Таблица2[WIN$],Таблица2[1],B196)=0,"-",SUMIFS(Таблица2[WIN$],Таблица2[1],B196))</f>
        <v>-</v>
      </c>
      <c r="M196" s="76" t="str">
        <f t="shared" si="9"/>
        <v>-</v>
      </c>
      <c r="N196" s="78" t="str">
        <f>IFERROR(Таблица46[[#This Row],[PROF]]/Таблица46[[#This Row],[Games]],"-")</f>
        <v>-</v>
      </c>
    </row>
    <row r="197" spans="1:14" ht="11.1" customHeight="1" x14ac:dyDescent="0.25">
      <c r="A197" s="93">
        <f t="shared" si="7"/>
        <v>111</v>
      </c>
      <c r="B197" s="113"/>
      <c r="C197"/>
      <c r="D197" s="75" t="str">
        <f>IF(COUNTIFS(Таблица2[1],B197)+SUMIFS(Таблица2[R],Таблица2[1],B197)=0,"",COUNTIFS(Таблица2[1],B197)+SUMIFS(Таблица2[R],Таблица2[1],B197))</f>
        <v/>
      </c>
      <c r="E197" s="76" t="str">
        <f>IF(SUMIFS(Таблица2[B$],Таблица2[1],B197)=0,"-",SUMIFS(Таблица2[B$],Таблица2[1],B197))</f>
        <v>-</v>
      </c>
      <c r="F197" s="77" t="str">
        <f>IFERROR(AVERAGEIFS(Таблица2[AFS],Таблица2[1],B197)+(AVERAGEIFS(Таблица2[AFS],Таблица2[1],B197)*0.2),"-")</f>
        <v>-</v>
      </c>
      <c r="G197" s="77" t="str">
        <f t="shared" si="8"/>
        <v>-</v>
      </c>
      <c r="H197" s="77" t="str">
        <f>IFERROR(COUNTIFS(Таблица2[1],B197,Таблица2[WIN$],"&gt;0")/D197*100,"-")</f>
        <v>-</v>
      </c>
      <c r="I197" s="77" t="str">
        <f>IF(IFERROR((COUNTIFS(Таблица2[1],B197,Таблица2[K],"K")+SUMIFS(Таблица2[R],Таблица2[1],B197,Таблица2[K],"K"))/D197*100,"-")=0,"-",IFERROR((COUNTIFS(Таблица2[1],B197,Таблица2[K],"K")+SUMIFS(Таблица2[R],Таблица2[1],B197,Таблица2[K],"K"))/D197*100,"-"))</f>
        <v>-</v>
      </c>
      <c r="J197" s="77" t="str">
        <f>IF(IFERROR((COUNTIFS(Таблица2[1],B197,Таблица2[T],"t")+SUMIFS(Таблица2[R],Таблица2[1],B197,Таблица2[T],"t"))/D197*100,"-")=0,"-",IFERROR((COUNTIFS(Таблица2[1],B197,Таблица2[T],"t")+SUMIFS(Таблица2[R],Таблица2[1],B197,Таблица2[T],"t"))/D197*100,"-"))</f>
        <v>-</v>
      </c>
      <c r="K197" s="76" t="str">
        <f>IF(SUMIFS(Таблица2[KO$],Таблица2[1],B197)=0,"-",SUMIFS(Таблица2[KO$],Таблица2[1],B197))</f>
        <v>-</v>
      </c>
      <c r="L197" s="76" t="str">
        <f>IF(SUMIFS(Таблица2[WIN$],Таблица2[1],B197)=0,"-",SUMIFS(Таблица2[WIN$],Таблица2[1],B197))</f>
        <v>-</v>
      </c>
      <c r="M197" s="76" t="str">
        <f t="shared" si="9"/>
        <v>-</v>
      </c>
      <c r="N197" s="78" t="str">
        <f>IFERROR(Таблица46[[#This Row],[PROF]]/Таблица46[[#This Row],[Games]],"-")</f>
        <v>-</v>
      </c>
    </row>
    <row r="198" spans="1:14" ht="11.1" customHeight="1" x14ac:dyDescent="0.25">
      <c r="A198" s="93">
        <f t="shared" si="7"/>
        <v>112</v>
      </c>
      <c r="B198" s="113"/>
      <c r="C198"/>
      <c r="D198" s="75" t="str">
        <f>IF(COUNTIFS(Таблица2[1],B198)+SUMIFS(Таблица2[R],Таблица2[1],B198)=0,"",COUNTIFS(Таблица2[1],B198)+SUMIFS(Таблица2[R],Таблица2[1],B198))</f>
        <v/>
      </c>
      <c r="E198" s="76" t="str">
        <f>IF(SUMIFS(Таблица2[B$],Таблица2[1],B198)=0,"-",SUMIFS(Таблица2[B$],Таблица2[1],B198))</f>
        <v>-</v>
      </c>
      <c r="F198" s="77" t="str">
        <f>IFERROR(AVERAGEIFS(Таблица2[AFS],Таблица2[1],B198)+(AVERAGEIFS(Таблица2[AFS],Таблица2[1],B198)*0.2),"-")</f>
        <v>-</v>
      </c>
      <c r="G198" s="77" t="str">
        <f t="shared" si="8"/>
        <v>-</v>
      </c>
      <c r="H198" s="77" t="str">
        <f>IFERROR(COUNTIFS(Таблица2[1],B198,Таблица2[WIN$],"&gt;0")/D198*100,"-")</f>
        <v>-</v>
      </c>
      <c r="I198" s="77" t="str">
        <f>IF(IFERROR((COUNTIFS(Таблица2[1],B198,Таблица2[K],"K")+SUMIFS(Таблица2[R],Таблица2[1],B198,Таблица2[K],"K"))/D198*100,"-")=0,"-",IFERROR((COUNTIFS(Таблица2[1],B198,Таблица2[K],"K")+SUMIFS(Таблица2[R],Таблица2[1],B198,Таблица2[K],"K"))/D198*100,"-"))</f>
        <v>-</v>
      </c>
      <c r="J198" s="77" t="str">
        <f>IF(IFERROR((COUNTIFS(Таблица2[1],B198,Таблица2[T],"t")+SUMIFS(Таблица2[R],Таблица2[1],B198,Таблица2[T],"t"))/D198*100,"-")=0,"-",IFERROR((COUNTIFS(Таблица2[1],B198,Таблица2[T],"t")+SUMIFS(Таблица2[R],Таблица2[1],B198,Таблица2[T],"t"))/D198*100,"-"))</f>
        <v>-</v>
      </c>
      <c r="K198" s="76" t="str">
        <f>IF(SUMIFS(Таблица2[KO$],Таблица2[1],B198)=0,"-",SUMIFS(Таблица2[KO$],Таблица2[1],B198))</f>
        <v>-</v>
      </c>
      <c r="L198" s="76" t="str">
        <f>IF(SUMIFS(Таблица2[WIN$],Таблица2[1],B198)=0,"-",SUMIFS(Таблица2[WIN$],Таблица2[1],B198))</f>
        <v>-</v>
      </c>
      <c r="M198" s="76" t="str">
        <f t="shared" si="9"/>
        <v>-</v>
      </c>
      <c r="N198" s="78" t="str">
        <f>IFERROR(Таблица46[[#This Row],[PROF]]/Таблица46[[#This Row],[Games]],"-")</f>
        <v>-</v>
      </c>
    </row>
    <row r="199" spans="1:14" ht="11.1" customHeight="1" x14ac:dyDescent="0.25">
      <c r="A199" s="93">
        <f t="shared" si="7"/>
        <v>113</v>
      </c>
      <c r="B199" s="113"/>
      <c r="C199"/>
      <c r="D199" s="75" t="str">
        <f>IF(COUNTIFS(Таблица2[1],B199)+SUMIFS(Таблица2[R],Таблица2[1],B199)=0,"",COUNTIFS(Таблица2[1],B199)+SUMIFS(Таблица2[R],Таблица2[1],B199))</f>
        <v/>
      </c>
      <c r="E199" s="76" t="str">
        <f>IF(SUMIFS(Таблица2[B$],Таблица2[1],B199)=0,"-",SUMIFS(Таблица2[B$],Таблица2[1],B199))</f>
        <v>-</v>
      </c>
      <c r="F199" s="77" t="str">
        <f>IFERROR(AVERAGEIFS(Таблица2[AFS],Таблица2[1],B199)+(AVERAGEIFS(Таблица2[AFS],Таблица2[1],B199)*0.2),"-")</f>
        <v>-</v>
      </c>
      <c r="G199" s="77" t="str">
        <f t="shared" si="8"/>
        <v>-</v>
      </c>
      <c r="H199" s="77" t="str">
        <f>IFERROR(COUNTIFS(Таблица2[1],B199,Таблица2[WIN$],"&gt;0")/D199*100,"-")</f>
        <v>-</v>
      </c>
      <c r="I199" s="77" t="str">
        <f>IF(IFERROR((COUNTIFS(Таблица2[1],B199,Таблица2[K],"K")+SUMIFS(Таблица2[R],Таблица2[1],B199,Таблица2[K],"K"))/D199*100,"-")=0,"-",IFERROR((COUNTIFS(Таблица2[1],B199,Таблица2[K],"K")+SUMIFS(Таблица2[R],Таблица2[1],B199,Таблица2[K],"K"))/D199*100,"-"))</f>
        <v>-</v>
      </c>
      <c r="J199" s="77" t="str">
        <f>IF(IFERROR((COUNTIFS(Таблица2[1],B199,Таблица2[T],"t")+SUMIFS(Таблица2[R],Таблица2[1],B199,Таблица2[T],"t"))/D199*100,"-")=0,"-",IFERROR((COUNTIFS(Таблица2[1],B199,Таблица2[T],"t")+SUMIFS(Таблица2[R],Таблица2[1],B199,Таблица2[T],"t"))/D199*100,"-"))</f>
        <v>-</v>
      </c>
      <c r="K199" s="76" t="str">
        <f>IF(SUMIFS(Таблица2[KO$],Таблица2[1],B199)=0,"-",SUMIFS(Таблица2[KO$],Таблица2[1],B199))</f>
        <v>-</v>
      </c>
      <c r="L199" s="76" t="str">
        <f>IF(SUMIFS(Таблица2[WIN$],Таблица2[1],B199)=0,"-",SUMIFS(Таблица2[WIN$],Таблица2[1],B199))</f>
        <v>-</v>
      </c>
      <c r="M199" s="76" t="str">
        <f t="shared" si="9"/>
        <v>-</v>
      </c>
      <c r="N199" s="78" t="str">
        <f>IFERROR(Таблица46[[#This Row],[PROF]]/Таблица46[[#This Row],[Games]],"-")</f>
        <v>-</v>
      </c>
    </row>
    <row r="200" spans="1:14" ht="11.1" customHeight="1" x14ac:dyDescent="0.25">
      <c r="A200" s="93">
        <f t="shared" si="7"/>
        <v>114</v>
      </c>
      <c r="B200" s="113"/>
      <c r="C200"/>
      <c r="D200" s="75" t="str">
        <f>IF(COUNTIFS(Таблица2[1],B200)+SUMIFS(Таблица2[R],Таблица2[1],B200)=0,"",COUNTIFS(Таблица2[1],B200)+SUMIFS(Таблица2[R],Таблица2[1],B200))</f>
        <v/>
      </c>
      <c r="E200" s="76" t="str">
        <f>IF(SUMIFS(Таблица2[B$],Таблица2[1],B200)=0,"-",SUMIFS(Таблица2[B$],Таблица2[1],B200))</f>
        <v>-</v>
      </c>
      <c r="F200" s="77" t="str">
        <f>IFERROR(AVERAGEIFS(Таблица2[AFS],Таблица2[1],B200)+(AVERAGEIFS(Таблица2[AFS],Таблица2[1],B200)*0.2),"-")</f>
        <v>-</v>
      </c>
      <c r="G200" s="77" t="str">
        <f t="shared" si="8"/>
        <v>-</v>
      </c>
      <c r="H200" s="77" t="str">
        <f>IFERROR(COUNTIFS(Таблица2[1],B200,Таблица2[WIN$],"&gt;0")/D200*100,"-")</f>
        <v>-</v>
      </c>
      <c r="I200" s="77" t="str">
        <f>IF(IFERROR((COUNTIFS(Таблица2[1],B200,Таблица2[K],"K")+SUMIFS(Таблица2[R],Таблица2[1],B200,Таблица2[K],"K"))/D200*100,"-")=0,"-",IFERROR((COUNTIFS(Таблица2[1],B200,Таблица2[K],"K")+SUMIFS(Таблица2[R],Таблица2[1],B200,Таблица2[K],"K"))/D200*100,"-"))</f>
        <v>-</v>
      </c>
      <c r="J200" s="77" t="str">
        <f>IF(IFERROR((COUNTIFS(Таблица2[1],B200,Таблица2[T],"t")+SUMIFS(Таблица2[R],Таблица2[1],B200,Таблица2[T],"t"))/D200*100,"-")=0,"-",IFERROR((COUNTIFS(Таблица2[1],B200,Таблица2[T],"t")+SUMIFS(Таблица2[R],Таблица2[1],B200,Таблица2[T],"t"))/D200*100,"-"))</f>
        <v>-</v>
      </c>
      <c r="K200" s="76" t="str">
        <f>IF(SUMIFS(Таблица2[KO$],Таблица2[1],B200)=0,"-",SUMIFS(Таблица2[KO$],Таблица2[1],B200))</f>
        <v>-</v>
      </c>
      <c r="L200" s="76" t="str">
        <f>IF(SUMIFS(Таблица2[WIN$],Таблица2[1],B200)=0,"-",SUMIFS(Таблица2[WIN$],Таблица2[1],B200))</f>
        <v>-</v>
      </c>
      <c r="M200" s="76" t="str">
        <f t="shared" si="9"/>
        <v>-</v>
      </c>
      <c r="N200" s="78" t="str">
        <f>IFERROR(Таблица46[[#This Row],[PROF]]/Таблица46[[#This Row],[Games]],"-")</f>
        <v>-</v>
      </c>
    </row>
    <row r="201" spans="1:14" ht="11.1" customHeight="1" x14ac:dyDescent="0.25">
      <c r="A201" s="93">
        <f t="shared" si="7"/>
        <v>115</v>
      </c>
      <c r="B201" s="113"/>
      <c r="C201"/>
      <c r="D201" s="75" t="str">
        <f>IF(COUNTIFS(Таблица2[1],B201)+SUMIFS(Таблица2[R],Таблица2[1],B201)=0,"",COUNTIFS(Таблица2[1],B201)+SUMIFS(Таблица2[R],Таблица2[1],B201))</f>
        <v/>
      </c>
      <c r="E201" s="76" t="str">
        <f>IF(SUMIFS(Таблица2[B$],Таблица2[1],B201)=0,"-",SUMIFS(Таблица2[B$],Таблица2[1],B201))</f>
        <v>-</v>
      </c>
      <c r="F201" s="77" t="str">
        <f>IFERROR(AVERAGEIFS(Таблица2[AFS],Таблица2[1],B201)+(AVERAGEIFS(Таблица2[AFS],Таблица2[1],B201)*0.2),"-")</f>
        <v>-</v>
      </c>
      <c r="G201" s="77" t="str">
        <f t="shared" si="8"/>
        <v>-</v>
      </c>
      <c r="H201" s="77" t="str">
        <f>IFERROR(COUNTIFS(Таблица2[1],B201,Таблица2[WIN$],"&gt;0")/D201*100,"-")</f>
        <v>-</v>
      </c>
      <c r="I201" s="77" t="str">
        <f>IF(IFERROR((COUNTIFS(Таблица2[1],B201,Таблица2[K],"K")+SUMIFS(Таблица2[R],Таблица2[1],B201,Таблица2[K],"K"))/D201*100,"-")=0,"-",IFERROR((COUNTIFS(Таблица2[1],B201,Таблица2[K],"K")+SUMIFS(Таблица2[R],Таблица2[1],B201,Таблица2[K],"K"))/D201*100,"-"))</f>
        <v>-</v>
      </c>
      <c r="J201" s="77" t="str">
        <f>IF(IFERROR((COUNTIFS(Таблица2[1],B201,Таблица2[T],"t")+SUMIFS(Таблица2[R],Таблица2[1],B201,Таблица2[T],"t"))/D201*100,"-")=0,"-",IFERROR((COUNTIFS(Таблица2[1],B201,Таблица2[T],"t")+SUMIFS(Таблица2[R],Таблица2[1],B201,Таблица2[T],"t"))/D201*100,"-"))</f>
        <v>-</v>
      </c>
      <c r="K201" s="76" t="str">
        <f>IF(SUMIFS(Таблица2[KO$],Таблица2[1],B201)=0,"-",SUMIFS(Таблица2[KO$],Таблица2[1],B201))</f>
        <v>-</v>
      </c>
      <c r="L201" s="76" t="str">
        <f>IF(SUMIFS(Таблица2[WIN$],Таблица2[1],B201)=0,"-",SUMIFS(Таблица2[WIN$],Таблица2[1],B201))</f>
        <v>-</v>
      </c>
      <c r="M201" s="76" t="str">
        <f t="shared" si="9"/>
        <v>-</v>
      </c>
      <c r="N201" s="78" t="str">
        <f>IFERROR(Таблица46[[#This Row],[PROF]]/Таблица46[[#This Row],[Games]],"-")</f>
        <v>-</v>
      </c>
    </row>
    <row r="202" spans="1:14" ht="11.1" customHeight="1" x14ac:dyDescent="0.25">
      <c r="A202" s="93">
        <f t="shared" si="7"/>
        <v>116</v>
      </c>
      <c r="B202" s="113"/>
      <c r="C202"/>
      <c r="D202" s="75" t="str">
        <f>IF(COUNTIFS(Таблица2[1],B202)+SUMIFS(Таблица2[R],Таблица2[1],B202)=0,"",COUNTIFS(Таблица2[1],B202)+SUMIFS(Таблица2[R],Таблица2[1],B202))</f>
        <v/>
      </c>
      <c r="E202" s="76" t="str">
        <f>IF(SUMIFS(Таблица2[B$],Таблица2[1],B202)=0,"-",SUMIFS(Таблица2[B$],Таблица2[1],B202))</f>
        <v>-</v>
      </c>
      <c r="F202" s="77" t="str">
        <f>IFERROR(AVERAGEIFS(Таблица2[AFS],Таблица2[1],B202)+(AVERAGEIFS(Таблица2[AFS],Таблица2[1],B202)*0.2),"-")</f>
        <v>-</v>
      </c>
      <c r="G202" s="77" t="str">
        <f t="shared" si="8"/>
        <v>-</v>
      </c>
      <c r="H202" s="77" t="str">
        <f>IFERROR(COUNTIFS(Таблица2[1],B202,Таблица2[WIN$],"&gt;0")/D202*100,"-")</f>
        <v>-</v>
      </c>
      <c r="I202" s="77" t="str">
        <f>IF(IFERROR((COUNTIFS(Таблица2[1],B202,Таблица2[K],"K")+SUMIFS(Таблица2[R],Таблица2[1],B202,Таблица2[K],"K"))/D202*100,"-")=0,"-",IFERROR((COUNTIFS(Таблица2[1],B202,Таблица2[K],"K")+SUMIFS(Таблица2[R],Таблица2[1],B202,Таблица2[K],"K"))/D202*100,"-"))</f>
        <v>-</v>
      </c>
      <c r="J202" s="77" t="str">
        <f>IF(IFERROR((COUNTIFS(Таблица2[1],B202,Таблица2[T],"t")+SUMIFS(Таблица2[R],Таблица2[1],B202,Таблица2[T],"t"))/D202*100,"-")=0,"-",IFERROR((COUNTIFS(Таблица2[1],B202,Таблица2[T],"t")+SUMIFS(Таблица2[R],Таблица2[1],B202,Таблица2[T],"t"))/D202*100,"-"))</f>
        <v>-</v>
      </c>
      <c r="K202" s="76" t="str">
        <f>IF(SUMIFS(Таблица2[KO$],Таблица2[1],B202)=0,"-",SUMIFS(Таблица2[KO$],Таблица2[1],B202))</f>
        <v>-</v>
      </c>
      <c r="L202" s="76" t="str">
        <f>IF(SUMIFS(Таблица2[WIN$],Таблица2[1],B202)=0,"-",SUMIFS(Таблица2[WIN$],Таблица2[1],B202))</f>
        <v>-</v>
      </c>
      <c r="M202" s="76" t="str">
        <f t="shared" si="9"/>
        <v>-</v>
      </c>
      <c r="N202" s="78" t="str">
        <f>IFERROR(Таблица46[[#This Row],[PROF]]/Таблица46[[#This Row],[Games]],"-")</f>
        <v>-</v>
      </c>
    </row>
    <row r="203" spans="1:14" ht="11.1" customHeight="1" x14ac:dyDescent="0.25">
      <c r="A203" s="93">
        <f t="shared" si="7"/>
        <v>117</v>
      </c>
      <c r="B203" s="113"/>
      <c r="C203"/>
      <c r="D203" s="75" t="str">
        <f>IF(COUNTIFS(Таблица2[1],B203)+SUMIFS(Таблица2[R],Таблица2[1],B203)=0,"",COUNTIFS(Таблица2[1],B203)+SUMIFS(Таблица2[R],Таблица2[1],B203))</f>
        <v/>
      </c>
      <c r="E203" s="76" t="str">
        <f>IF(SUMIFS(Таблица2[B$],Таблица2[1],B203)=0,"-",SUMIFS(Таблица2[B$],Таблица2[1],B203))</f>
        <v>-</v>
      </c>
      <c r="F203" s="77" t="str">
        <f>IFERROR(AVERAGEIFS(Таблица2[AFS],Таблица2[1],B203)+(AVERAGEIFS(Таблица2[AFS],Таблица2[1],B203)*0.2),"-")</f>
        <v>-</v>
      </c>
      <c r="G203" s="77" t="str">
        <f t="shared" si="8"/>
        <v>-</v>
      </c>
      <c r="H203" s="77" t="str">
        <f>IFERROR(COUNTIFS(Таблица2[1],B203,Таблица2[WIN$],"&gt;0")/D203*100,"-")</f>
        <v>-</v>
      </c>
      <c r="I203" s="77" t="str">
        <f>IF(IFERROR((COUNTIFS(Таблица2[1],B203,Таблица2[K],"K")+SUMIFS(Таблица2[R],Таблица2[1],B203,Таблица2[K],"K"))/D203*100,"-")=0,"-",IFERROR((COUNTIFS(Таблица2[1],B203,Таблица2[K],"K")+SUMIFS(Таблица2[R],Таблица2[1],B203,Таблица2[K],"K"))/D203*100,"-"))</f>
        <v>-</v>
      </c>
      <c r="J203" s="77" t="str">
        <f>IF(IFERROR((COUNTIFS(Таблица2[1],B203,Таблица2[T],"t")+SUMIFS(Таблица2[R],Таблица2[1],B203,Таблица2[T],"t"))/D203*100,"-")=0,"-",IFERROR((COUNTIFS(Таблица2[1],B203,Таблица2[T],"t")+SUMIFS(Таблица2[R],Таблица2[1],B203,Таблица2[T],"t"))/D203*100,"-"))</f>
        <v>-</v>
      </c>
      <c r="K203" s="76" t="str">
        <f>IF(SUMIFS(Таблица2[KO$],Таблица2[1],B203)=0,"-",SUMIFS(Таблица2[KO$],Таблица2[1],B203))</f>
        <v>-</v>
      </c>
      <c r="L203" s="76" t="str">
        <f>IF(SUMIFS(Таблица2[WIN$],Таблица2[1],B203)=0,"-",SUMIFS(Таблица2[WIN$],Таблица2[1],B203))</f>
        <v>-</v>
      </c>
      <c r="M203" s="76" t="str">
        <f t="shared" si="9"/>
        <v>-</v>
      </c>
      <c r="N203" s="78" t="str">
        <f>IFERROR(Таблица46[[#This Row],[PROF]]/Таблица46[[#This Row],[Games]],"-")</f>
        <v>-</v>
      </c>
    </row>
    <row r="204" spans="1:14" ht="11.1" customHeight="1" x14ac:dyDescent="0.25">
      <c r="A204" s="93">
        <f t="shared" si="7"/>
        <v>118</v>
      </c>
      <c r="B204" s="113"/>
      <c r="C204"/>
      <c r="D204" s="75" t="str">
        <f>IF(COUNTIFS(Таблица2[1],B204)+SUMIFS(Таблица2[R],Таблица2[1],B204)=0,"",COUNTIFS(Таблица2[1],B204)+SUMIFS(Таблица2[R],Таблица2[1],B204))</f>
        <v/>
      </c>
      <c r="E204" s="76" t="str">
        <f>IF(SUMIFS(Таблица2[B$],Таблица2[1],B204)=0,"-",SUMIFS(Таблица2[B$],Таблица2[1],B204))</f>
        <v>-</v>
      </c>
      <c r="F204" s="77" t="str">
        <f>IFERROR(AVERAGEIFS(Таблица2[AFS],Таблица2[1],B204)+(AVERAGEIFS(Таблица2[AFS],Таблица2[1],B204)*0.2),"-")</f>
        <v>-</v>
      </c>
      <c r="G204" s="77" t="str">
        <f t="shared" si="8"/>
        <v>-</v>
      </c>
      <c r="H204" s="77" t="str">
        <f>IFERROR(COUNTIFS(Таблица2[1],B204,Таблица2[WIN$],"&gt;0")/D204*100,"-")</f>
        <v>-</v>
      </c>
      <c r="I204" s="77" t="str">
        <f>IF(IFERROR((COUNTIFS(Таблица2[1],B204,Таблица2[K],"K")+SUMIFS(Таблица2[R],Таблица2[1],B204,Таблица2[K],"K"))/D204*100,"-")=0,"-",IFERROR((COUNTIFS(Таблица2[1],B204,Таблица2[K],"K")+SUMIFS(Таблица2[R],Таблица2[1],B204,Таблица2[K],"K"))/D204*100,"-"))</f>
        <v>-</v>
      </c>
      <c r="J204" s="77" t="str">
        <f>IF(IFERROR((COUNTIFS(Таблица2[1],B204,Таблица2[T],"t")+SUMIFS(Таблица2[R],Таблица2[1],B204,Таблица2[T],"t"))/D204*100,"-")=0,"-",IFERROR((COUNTIFS(Таблица2[1],B204,Таблица2[T],"t")+SUMIFS(Таблица2[R],Таблица2[1],B204,Таблица2[T],"t"))/D204*100,"-"))</f>
        <v>-</v>
      </c>
      <c r="K204" s="76" t="str">
        <f>IF(SUMIFS(Таблица2[KO$],Таблица2[1],B204)=0,"-",SUMIFS(Таблица2[KO$],Таблица2[1],B204))</f>
        <v>-</v>
      </c>
      <c r="L204" s="76" t="str">
        <f>IF(SUMIFS(Таблица2[WIN$],Таблица2[1],B204)=0,"-",SUMIFS(Таблица2[WIN$],Таблица2[1],B204))</f>
        <v>-</v>
      </c>
      <c r="M204" s="76" t="str">
        <f t="shared" si="9"/>
        <v>-</v>
      </c>
      <c r="N204" s="78" t="str">
        <f>IFERROR(Таблица46[[#This Row],[PROF]]/Таблица46[[#This Row],[Games]],"-")</f>
        <v>-</v>
      </c>
    </row>
    <row r="205" spans="1:14" ht="11.1" customHeight="1" x14ac:dyDescent="0.25">
      <c r="A205" s="93">
        <f t="shared" si="7"/>
        <v>119</v>
      </c>
      <c r="B205" s="113"/>
      <c r="C205"/>
      <c r="D205" s="75" t="str">
        <f>IF(COUNTIFS(Таблица2[1],B205)+SUMIFS(Таблица2[R],Таблица2[1],B205)=0,"",COUNTIFS(Таблица2[1],B205)+SUMIFS(Таблица2[R],Таблица2[1],B205))</f>
        <v/>
      </c>
      <c r="E205" s="76" t="str">
        <f>IF(SUMIFS(Таблица2[B$],Таблица2[1],B205)=0,"-",SUMIFS(Таблица2[B$],Таблица2[1],B205))</f>
        <v>-</v>
      </c>
      <c r="F205" s="77" t="str">
        <f>IFERROR(AVERAGEIFS(Таблица2[AFS],Таблица2[1],B205)+(AVERAGEIFS(Таблица2[AFS],Таблица2[1],B205)*0.2),"-")</f>
        <v>-</v>
      </c>
      <c r="G205" s="77" t="str">
        <f t="shared" si="8"/>
        <v>-</v>
      </c>
      <c r="H205" s="77" t="str">
        <f>IFERROR(COUNTIFS(Таблица2[1],B205,Таблица2[WIN$],"&gt;0")/D205*100,"-")</f>
        <v>-</v>
      </c>
      <c r="I205" s="77" t="str">
        <f>IF(IFERROR((COUNTIFS(Таблица2[1],B205,Таблица2[K],"K")+SUMIFS(Таблица2[R],Таблица2[1],B205,Таблица2[K],"K"))/D205*100,"-")=0,"-",IFERROR((COUNTIFS(Таблица2[1],B205,Таблица2[K],"K")+SUMIFS(Таблица2[R],Таблица2[1],B205,Таблица2[K],"K"))/D205*100,"-"))</f>
        <v>-</v>
      </c>
      <c r="J205" s="77" t="str">
        <f>IF(IFERROR((COUNTIFS(Таблица2[1],B205,Таблица2[T],"t")+SUMIFS(Таблица2[R],Таблица2[1],B205,Таблица2[T],"t"))/D205*100,"-")=0,"-",IFERROR((COUNTIFS(Таблица2[1],B205,Таблица2[T],"t")+SUMIFS(Таблица2[R],Таблица2[1],B205,Таблица2[T],"t"))/D205*100,"-"))</f>
        <v>-</v>
      </c>
      <c r="K205" s="76" t="str">
        <f>IF(SUMIFS(Таблица2[KO$],Таблица2[1],B205)=0,"-",SUMIFS(Таблица2[KO$],Таблица2[1],B205))</f>
        <v>-</v>
      </c>
      <c r="L205" s="76" t="str">
        <f>IF(SUMIFS(Таблица2[WIN$],Таблица2[1],B205)=0,"-",SUMIFS(Таблица2[WIN$],Таблица2[1],B205))</f>
        <v>-</v>
      </c>
      <c r="M205" s="76" t="str">
        <f t="shared" si="9"/>
        <v>-</v>
      </c>
      <c r="N205" s="78" t="str">
        <f>IFERROR(Таблица46[[#This Row],[PROF]]/Таблица46[[#This Row],[Games]],"-")</f>
        <v>-</v>
      </c>
    </row>
    <row r="206" spans="1:14" ht="11.1" customHeight="1" x14ac:dyDescent="0.25">
      <c r="A206" s="93">
        <f t="shared" si="7"/>
        <v>120</v>
      </c>
      <c r="B206" s="113"/>
      <c r="C206"/>
      <c r="D206" s="75" t="str">
        <f>IF(COUNTIFS(Таблица2[1],B206)+SUMIFS(Таблица2[R],Таблица2[1],B206)=0,"",COUNTIFS(Таблица2[1],B206)+SUMIFS(Таблица2[R],Таблица2[1],B206))</f>
        <v/>
      </c>
      <c r="E206" s="76" t="str">
        <f>IF(SUMIFS(Таблица2[B$],Таблица2[1],B206)=0,"-",SUMIFS(Таблица2[B$],Таблица2[1],B206))</f>
        <v>-</v>
      </c>
      <c r="F206" s="77" t="str">
        <f>IFERROR(AVERAGEIFS(Таблица2[AFS],Таблица2[1],B206)+(AVERAGEIFS(Таблица2[AFS],Таблица2[1],B206)*0.2),"-")</f>
        <v>-</v>
      </c>
      <c r="G206" s="77" t="str">
        <f t="shared" si="8"/>
        <v>-</v>
      </c>
      <c r="H206" s="77" t="str">
        <f>IFERROR(COUNTIFS(Таблица2[1],B206,Таблица2[WIN$],"&gt;0")/D206*100,"-")</f>
        <v>-</v>
      </c>
      <c r="I206" s="77" t="str">
        <f>IF(IFERROR((COUNTIFS(Таблица2[1],B206,Таблица2[K],"K")+SUMIFS(Таблица2[R],Таблица2[1],B206,Таблица2[K],"K"))/D206*100,"-")=0,"-",IFERROR((COUNTIFS(Таблица2[1],B206,Таблица2[K],"K")+SUMIFS(Таблица2[R],Таблица2[1],B206,Таблица2[K],"K"))/D206*100,"-"))</f>
        <v>-</v>
      </c>
      <c r="J206" s="77" t="str">
        <f>IF(IFERROR((COUNTIFS(Таблица2[1],B206,Таблица2[T],"t")+SUMIFS(Таблица2[R],Таблица2[1],B206,Таблица2[T],"t"))/D206*100,"-")=0,"-",IFERROR((COUNTIFS(Таблица2[1],B206,Таблица2[T],"t")+SUMIFS(Таблица2[R],Таблица2[1],B206,Таблица2[T],"t"))/D206*100,"-"))</f>
        <v>-</v>
      </c>
      <c r="K206" s="76" t="str">
        <f>IF(SUMIFS(Таблица2[KO$],Таблица2[1],B206)=0,"-",SUMIFS(Таблица2[KO$],Таблица2[1],B206))</f>
        <v>-</v>
      </c>
      <c r="L206" s="76" t="str">
        <f>IF(SUMIFS(Таблица2[WIN$],Таблица2[1],B206)=0,"-",SUMIFS(Таблица2[WIN$],Таблица2[1],B206))</f>
        <v>-</v>
      </c>
      <c r="M206" s="76" t="str">
        <f t="shared" si="9"/>
        <v>-</v>
      </c>
      <c r="N206" s="78" t="str">
        <f>IFERROR(Таблица46[[#This Row],[PROF]]/Таблица46[[#This Row],[Games]],"-")</f>
        <v>-</v>
      </c>
    </row>
    <row r="207" spans="1:14" ht="11.1" customHeight="1" x14ac:dyDescent="0.25">
      <c r="A207" s="93">
        <f t="shared" si="7"/>
        <v>121</v>
      </c>
      <c r="B207" s="113"/>
      <c r="C207"/>
      <c r="D207" s="75" t="str">
        <f>IF(COUNTIFS(Таблица2[1],B207)+SUMIFS(Таблица2[R],Таблица2[1],B207)=0,"",COUNTIFS(Таблица2[1],B207)+SUMIFS(Таблица2[R],Таблица2[1],B207))</f>
        <v/>
      </c>
      <c r="E207" s="76" t="str">
        <f>IF(SUMIFS(Таблица2[B$],Таблица2[1],B207)=0,"-",SUMIFS(Таблица2[B$],Таблица2[1],B207))</f>
        <v>-</v>
      </c>
      <c r="F207" s="77" t="str">
        <f>IFERROR(AVERAGEIFS(Таблица2[AFS],Таблица2[1],B207)+(AVERAGEIFS(Таблица2[AFS],Таблица2[1],B207)*0.2),"-")</f>
        <v>-</v>
      </c>
      <c r="G207" s="77" t="str">
        <f t="shared" si="8"/>
        <v>-</v>
      </c>
      <c r="H207" s="77" t="str">
        <f>IFERROR(COUNTIFS(Таблица2[1],B207,Таблица2[WIN$],"&gt;0")/D207*100,"-")</f>
        <v>-</v>
      </c>
      <c r="I207" s="77" t="str">
        <f>IF(IFERROR((COUNTIFS(Таблица2[1],B207,Таблица2[K],"K")+SUMIFS(Таблица2[R],Таблица2[1],B207,Таблица2[K],"K"))/D207*100,"-")=0,"-",IFERROR((COUNTIFS(Таблица2[1],B207,Таблица2[K],"K")+SUMIFS(Таблица2[R],Таблица2[1],B207,Таблица2[K],"K"))/D207*100,"-"))</f>
        <v>-</v>
      </c>
      <c r="J207" s="77" t="str">
        <f>IF(IFERROR((COUNTIFS(Таблица2[1],B207,Таблица2[T],"t")+SUMIFS(Таблица2[R],Таблица2[1],B207,Таблица2[T],"t"))/D207*100,"-")=0,"-",IFERROR((COUNTIFS(Таблица2[1],B207,Таблица2[T],"t")+SUMIFS(Таблица2[R],Таблица2[1],B207,Таблица2[T],"t"))/D207*100,"-"))</f>
        <v>-</v>
      </c>
      <c r="K207" s="76" t="str">
        <f>IF(SUMIFS(Таблица2[KO$],Таблица2[1],B207)=0,"-",SUMIFS(Таблица2[KO$],Таблица2[1],B207))</f>
        <v>-</v>
      </c>
      <c r="L207" s="76" t="str">
        <f>IF(SUMIFS(Таблица2[WIN$],Таблица2[1],B207)=0,"-",SUMIFS(Таблица2[WIN$],Таблица2[1],B207))</f>
        <v>-</v>
      </c>
      <c r="M207" s="76" t="str">
        <f t="shared" si="9"/>
        <v>-</v>
      </c>
      <c r="N207" s="78" t="str">
        <f>IFERROR(Таблица46[[#This Row],[PROF]]/Таблица46[[#This Row],[Games]],"-")</f>
        <v>-</v>
      </c>
    </row>
    <row r="208" spans="1:14" ht="11.1" customHeight="1" x14ac:dyDescent="0.25">
      <c r="A208" s="93">
        <f t="shared" si="7"/>
        <v>122</v>
      </c>
      <c r="B208" s="113"/>
      <c r="C208"/>
      <c r="D208" s="75" t="str">
        <f>IF(COUNTIFS(Таблица2[1],B208)+SUMIFS(Таблица2[R],Таблица2[1],B208)=0,"",COUNTIFS(Таблица2[1],B208)+SUMIFS(Таблица2[R],Таблица2[1],B208))</f>
        <v/>
      </c>
      <c r="E208" s="76" t="str">
        <f>IF(SUMIFS(Таблица2[B$],Таблица2[1],B208)=0,"-",SUMIFS(Таблица2[B$],Таблица2[1],B208))</f>
        <v>-</v>
      </c>
      <c r="F208" s="77" t="str">
        <f>IFERROR(AVERAGEIFS(Таблица2[AFS],Таблица2[1],B208)+(AVERAGEIFS(Таблица2[AFS],Таблица2[1],B208)*0.2),"-")</f>
        <v>-</v>
      </c>
      <c r="G208" s="77" t="str">
        <f t="shared" si="8"/>
        <v>-</v>
      </c>
      <c r="H208" s="77" t="str">
        <f>IFERROR(COUNTIFS(Таблица2[1],B208,Таблица2[WIN$],"&gt;0")/D208*100,"-")</f>
        <v>-</v>
      </c>
      <c r="I208" s="77" t="str">
        <f>IF(IFERROR((COUNTIFS(Таблица2[1],B208,Таблица2[K],"K")+SUMIFS(Таблица2[R],Таблица2[1],B208,Таблица2[K],"K"))/D208*100,"-")=0,"-",IFERROR((COUNTIFS(Таблица2[1],B208,Таблица2[K],"K")+SUMIFS(Таблица2[R],Таблица2[1],B208,Таблица2[K],"K"))/D208*100,"-"))</f>
        <v>-</v>
      </c>
      <c r="J208" s="77" t="str">
        <f>IF(IFERROR((COUNTIFS(Таблица2[1],B208,Таблица2[T],"t")+SUMIFS(Таблица2[R],Таблица2[1],B208,Таблица2[T],"t"))/D208*100,"-")=0,"-",IFERROR((COUNTIFS(Таблица2[1],B208,Таблица2[T],"t")+SUMIFS(Таблица2[R],Таблица2[1],B208,Таблица2[T],"t"))/D208*100,"-"))</f>
        <v>-</v>
      </c>
      <c r="K208" s="76" t="str">
        <f>IF(SUMIFS(Таблица2[KO$],Таблица2[1],B208)=0,"-",SUMIFS(Таблица2[KO$],Таблица2[1],B208))</f>
        <v>-</v>
      </c>
      <c r="L208" s="76" t="str">
        <f>IF(SUMIFS(Таблица2[WIN$],Таблица2[1],B208)=0,"-",SUMIFS(Таблица2[WIN$],Таблица2[1],B208))</f>
        <v>-</v>
      </c>
      <c r="M208" s="76" t="str">
        <f t="shared" si="9"/>
        <v>-</v>
      </c>
      <c r="N208" s="78" t="str">
        <f>IFERROR(Таблица46[[#This Row],[PROF]]/Таблица46[[#This Row],[Games]],"-")</f>
        <v>-</v>
      </c>
    </row>
    <row r="209" spans="1:14" ht="11.1" customHeight="1" x14ac:dyDescent="0.25">
      <c r="A209" s="93">
        <f t="shared" si="7"/>
        <v>123</v>
      </c>
      <c r="B209" s="113"/>
      <c r="C209"/>
      <c r="D209" s="75" t="str">
        <f>IF(COUNTIFS(Таблица2[1],B209)+SUMIFS(Таблица2[R],Таблица2[1],B209)=0,"",COUNTIFS(Таблица2[1],B209)+SUMIFS(Таблица2[R],Таблица2[1],B209))</f>
        <v/>
      </c>
      <c r="E209" s="76" t="str">
        <f>IF(SUMIFS(Таблица2[B$],Таблица2[1],B209)=0,"-",SUMIFS(Таблица2[B$],Таблица2[1],B209))</f>
        <v>-</v>
      </c>
      <c r="F209" s="77" t="str">
        <f>IFERROR(AVERAGEIFS(Таблица2[AFS],Таблица2[1],B209)+(AVERAGEIFS(Таблица2[AFS],Таблица2[1],B209)*0.2),"-")</f>
        <v>-</v>
      </c>
      <c r="G209" s="77" t="str">
        <f t="shared" si="8"/>
        <v>-</v>
      </c>
      <c r="H209" s="77" t="str">
        <f>IFERROR(COUNTIFS(Таблица2[1],B209,Таблица2[WIN$],"&gt;0")/D209*100,"-")</f>
        <v>-</v>
      </c>
      <c r="I209" s="77" t="str">
        <f>IF(IFERROR((COUNTIFS(Таблица2[1],B209,Таблица2[K],"K")+SUMIFS(Таблица2[R],Таблица2[1],B209,Таблица2[K],"K"))/D209*100,"-")=0,"-",IFERROR((COUNTIFS(Таблица2[1],B209,Таблица2[K],"K")+SUMIFS(Таблица2[R],Таблица2[1],B209,Таблица2[K],"K"))/D209*100,"-"))</f>
        <v>-</v>
      </c>
      <c r="J209" s="77" t="str">
        <f>IF(IFERROR((COUNTIFS(Таблица2[1],B209,Таблица2[T],"t")+SUMIFS(Таблица2[R],Таблица2[1],B209,Таблица2[T],"t"))/D209*100,"-")=0,"-",IFERROR((COUNTIFS(Таблица2[1],B209,Таблица2[T],"t")+SUMIFS(Таблица2[R],Таблица2[1],B209,Таблица2[T],"t"))/D209*100,"-"))</f>
        <v>-</v>
      </c>
      <c r="K209" s="76" t="str">
        <f>IF(SUMIFS(Таблица2[KO$],Таблица2[1],B209)=0,"-",SUMIFS(Таблица2[KO$],Таблица2[1],B209))</f>
        <v>-</v>
      </c>
      <c r="L209" s="76" t="str">
        <f>IF(SUMIFS(Таблица2[WIN$],Таблица2[1],B209)=0,"-",SUMIFS(Таблица2[WIN$],Таблица2[1],B209))</f>
        <v>-</v>
      </c>
      <c r="M209" s="76" t="str">
        <f t="shared" si="9"/>
        <v>-</v>
      </c>
      <c r="N209" s="78" t="str">
        <f>IFERROR(Таблица46[[#This Row],[PROF]]/Таблица46[[#This Row],[Games]],"-")</f>
        <v>-</v>
      </c>
    </row>
    <row r="210" spans="1:14" ht="11.1" customHeight="1" x14ac:dyDescent="0.25">
      <c r="A210" s="93">
        <f t="shared" si="7"/>
        <v>124</v>
      </c>
      <c r="B210" s="113"/>
      <c r="C210"/>
      <c r="D210" s="75" t="str">
        <f>IF(COUNTIFS(Таблица2[1],B210)+SUMIFS(Таблица2[R],Таблица2[1],B210)=0,"",COUNTIFS(Таблица2[1],B210)+SUMIFS(Таблица2[R],Таблица2[1],B210))</f>
        <v/>
      </c>
      <c r="E210" s="76" t="str">
        <f>IF(SUMIFS(Таблица2[B$],Таблица2[1],B210)=0,"-",SUMIFS(Таблица2[B$],Таблица2[1],B210))</f>
        <v>-</v>
      </c>
      <c r="F210" s="77" t="str">
        <f>IFERROR(AVERAGEIFS(Таблица2[AFS],Таблица2[1],B210)+(AVERAGEIFS(Таблица2[AFS],Таблица2[1],B210)*0.2),"-")</f>
        <v>-</v>
      </c>
      <c r="G210" s="77" t="str">
        <f t="shared" si="8"/>
        <v>-</v>
      </c>
      <c r="H210" s="77" t="str">
        <f>IFERROR(COUNTIFS(Таблица2[1],B210,Таблица2[WIN$],"&gt;0")/D210*100,"-")</f>
        <v>-</v>
      </c>
      <c r="I210" s="77" t="str">
        <f>IF(IFERROR((COUNTIFS(Таблица2[1],B210,Таблица2[K],"K")+SUMIFS(Таблица2[R],Таблица2[1],B210,Таблица2[K],"K"))/D210*100,"-")=0,"-",IFERROR((COUNTIFS(Таблица2[1],B210,Таблица2[K],"K")+SUMIFS(Таблица2[R],Таблица2[1],B210,Таблица2[K],"K"))/D210*100,"-"))</f>
        <v>-</v>
      </c>
      <c r="J210" s="77" t="str">
        <f>IF(IFERROR((COUNTIFS(Таблица2[1],B210,Таблица2[T],"t")+SUMIFS(Таблица2[R],Таблица2[1],B210,Таблица2[T],"t"))/D210*100,"-")=0,"-",IFERROR((COUNTIFS(Таблица2[1],B210,Таблица2[T],"t")+SUMIFS(Таблица2[R],Таблица2[1],B210,Таблица2[T],"t"))/D210*100,"-"))</f>
        <v>-</v>
      </c>
      <c r="K210" s="76" t="str">
        <f>IF(SUMIFS(Таблица2[KO$],Таблица2[1],B210)=0,"-",SUMIFS(Таблица2[KO$],Таблица2[1],B210))</f>
        <v>-</v>
      </c>
      <c r="L210" s="76" t="str">
        <f>IF(SUMIFS(Таблица2[WIN$],Таблица2[1],B210)=0,"-",SUMIFS(Таблица2[WIN$],Таблица2[1],B210))</f>
        <v>-</v>
      </c>
      <c r="M210" s="76" t="str">
        <f t="shared" si="9"/>
        <v>-</v>
      </c>
      <c r="N210" s="78" t="str">
        <f>IFERROR(Таблица46[[#This Row],[PROF]]/Таблица46[[#This Row],[Games]],"-")</f>
        <v>-</v>
      </c>
    </row>
    <row r="211" spans="1:14" ht="11.1" customHeight="1" x14ac:dyDescent="0.25">
      <c r="A211" s="93">
        <f t="shared" si="7"/>
        <v>125</v>
      </c>
      <c r="B211" s="113"/>
      <c r="C211"/>
      <c r="D211" s="75" t="str">
        <f>IF(COUNTIFS(Таблица2[1],B211)+SUMIFS(Таблица2[R],Таблица2[1],B211)=0,"",COUNTIFS(Таблица2[1],B211)+SUMIFS(Таблица2[R],Таблица2[1],B211))</f>
        <v/>
      </c>
      <c r="E211" s="76" t="str">
        <f>IF(SUMIFS(Таблица2[B$],Таблица2[1],B211)=0,"-",SUMIFS(Таблица2[B$],Таблица2[1],B211))</f>
        <v>-</v>
      </c>
      <c r="F211" s="77" t="str">
        <f>IFERROR(AVERAGEIFS(Таблица2[AFS],Таблица2[1],B211)+(AVERAGEIFS(Таблица2[AFS],Таблица2[1],B211)*0.2),"-")</f>
        <v>-</v>
      </c>
      <c r="G211" s="77" t="str">
        <f t="shared" si="8"/>
        <v>-</v>
      </c>
      <c r="H211" s="77" t="str">
        <f>IFERROR(COUNTIFS(Таблица2[1],B211,Таблица2[WIN$],"&gt;0")/D211*100,"-")</f>
        <v>-</v>
      </c>
      <c r="I211" s="77" t="str">
        <f>IF(IFERROR((COUNTIFS(Таблица2[1],B211,Таблица2[K],"K")+SUMIFS(Таблица2[R],Таблица2[1],B211,Таблица2[K],"K"))/D211*100,"-")=0,"-",IFERROR((COUNTIFS(Таблица2[1],B211,Таблица2[K],"K")+SUMIFS(Таблица2[R],Таблица2[1],B211,Таблица2[K],"K"))/D211*100,"-"))</f>
        <v>-</v>
      </c>
      <c r="J211" s="77" t="str">
        <f>IF(IFERROR((COUNTIFS(Таблица2[1],B211,Таблица2[T],"t")+SUMIFS(Таблица2[R],Таблица2[1],B211,Таблица2[T],"t"))/D211*100,"-")=0,"-",IFERROR((COUNTIFS(Таблица2[1],B211,Таблица2[T],"t")+SUMIFS(Таблица2[R],Таблица2[1],B211,Таблица2[T],"t"))/D211*100,"-"))</f>
        <v>-</v>
      </c>
      <c r="K211" s="76" t="str">
        <f>IF(SUMIFS(Таблица2[KO$],Таблица2[1],B211)=0,"-",SUMIFS(Таблица2[KO$],Таблица2[1],B211))</f>
        <v>-</v>
      </c>
      <c r="L211" s="76" t="str">
        <f>IF(SUMIFS(Таблица2[WIN$],Таблица2[1],B211)=0,"-",SUMIFS(Таблица2[WIN$],Таблица2[1],B211))</f>
        <v>-</v>
      </c>
      <c r="M211" s="76" t="str">
        <f t="shared" si="9"/>
        <v>-</v>
      </c>
      <c r="N211" s="78" t="str">
        <f>IFERROR(Таблица46[[#This Row],[PROF]]/Таблица46[[#This Row],[Games]],"-")</f>
        <v>-</v>
      </c>
    </row>
    <row r="212" spans="1:14" ht="11.1" customHeight="1" x14ac:dyDescent="0.25">
      <c r="A212" s="93">
        <f t="shared" si="7"/>
        <v>126</v>
      </c>
      <c r="B212" s="113"/>
      <c r="C212"/>
      <c r="D212" s="75" t="str">
        <f>IF(COUNTIFS(Таблица2[1],B212)+SUMIFS(Таблица2[R],Таблица2[1],B212)=0,"",COUNTIFS(Таблица2[1],B212)+SUMIFS(Таблица2[R],Таблица2[1],B212))</f>
        <v/>
      </c>
      <c r="E212" s="76" t="str">
        <f>IF(SUMIFS(Таблица2[B$],Таблица2[1],B212)=0,"-",SUMIFS(Таблица2[B$],Таблица2[1],B212))</f>
        <v>-</v>
      </c>
      <c r="F212" s="77" t="str">
        <f>IFERROR(AVERAGEIFS(Таблица2[AFS],Таблица2[1],B212)+(AVERAGEIFS(Таблица2[AFS],Таблица2[1],B212)*0.2),"-")</f>
        <v>-</v>
      </c>
      <c r="G212" s="77" t="str">
        <f t="shared" si="8"/>
        <v>-</v>
      </c>
      <c r="H212" s="77" t="str">
        <f>IFERROR(COUNTIFS(Таблица2[1],B212,Таблица2[WIN$],"&gt;0")/D212*100,"-")</f>
        <v>-</v>
      </c>
      <c r="I212" s="77" t="str">
        <f>IF(IFERROR((COUNTIFS(Таблица2[1],B212,Таблица2[K],"K")+SUMIFS(Таблица2[R],Таблица2[1],B212,Таблица2[K],"K"))/D212*100,"-")=0,"-",IFERROR((COUNTIFS(Таблица2[1],B212,Таблица2[K],"K")+SUMIFS(Таблица2[R],Таблица2[1],B212,Таблица2[K],"K"))/D212*100,"-"))</f>
        <v>-</v>
      </c>
      <c r="J212" s="77" t="str">
        <f>IF(IFERROR((COUNTIFS(Таблица2[1],B212,Таблица2[T],"t")+SUMIFS(Таблица2[R],Таблица2[1],B212,Таблица2[T],"t"))/D212*100,"-")=0,"-",IFERROR((COUNTIFS(Таблица2[1],B212,Таблица2[T],"t")+SUMIFS(Таблица2[R],Таблица2[1],B212,Таблица2[T],"t"))/D212*100,"-"))</f>
        <v>-</v>
      </c>
      <c r="K212" s="76" t="str">
        <f>IF(SUMIFS(Таблица2[KO$],Таблица2[1],B212)=0,"-",SUMIFS(Таблица2[KO$],Таблица2[1],B212))</f>
        <v>-</v>
      </c>
      <c r="L212" s="76" t="str">
        <f>IF(SUMIFS(Таблица2[WIN$],Таблица2[1],B212)=0,"-",SUMIFS(Таблица2[WIN$],Таблица2[1],B212))</f>
        <v>-</v>
      </c>
      <c r="M212" s="76" t="str">
        <f t="shared" si="9"/>
        <v>-</v>
      </c>
      <c r="N212" s="78" t="str">
        <f>IFERROR(Таблица46[[#This Row],[PROF]]/Таблица46[[#This Row],[Games]],"-")</f>
        <v>-</v>
      </c>
    </row>
    <row r="213" spans="1:14" ht="11.1" customHeight="1" x14ac:dyDescent="0.25">
      <c r="A213" s="93">
        <f t="shared" si="7"/>
        <v>127</v>
      </c>
      <c r="B213" s="113"/>
      <c r="C213"/>
      <c r="D213" s="75" t="str">
        <f>IF(COUNTIFS(Таблица2[1],B213)+SUMIFS(Таблица2[R],Таблица2[1],B213)=0,"",COUNTIFS(Таблица2[1],B213)+SUMIFS(Таблица2[R],Таблица2[1],B213))</f>
        <v/>
      </c>
      <c r="E213" s="76" t="str">
        <f>IF(SUMIFS(Таблица2[B$],Таблица2[1],B213)=0,"-",SUMIFS(Таблица2[B$],Таблица2[1],B213))</f>
        <v>-</v>
      </c>
      <c r="F213" s="77" t="str">
        <f>IFERROR(AVERAGEIFS(Таблица2[AFS],Таблица2[1],B213)+(AVERAGEIFS(Таблица2[AFS],Таблица2[1],B213)*0.2),"-")</f>
        <v>-</v>
      </c>
      <c r="G213" s="77" t="str">
        <f t="shared" si="8"/>
        <v>-</v>
      </c>
      <c r="H213" s="77" t="str">
        <f>IFERROR(COUNTIFS(Таблица2[1],B213,Таблица2[WIN$],"&gt;0")/D213*100,"-")</f>
        <v>-</v>
      </c>
      <c r="I213" s="77" t="str">
        <f>IF(IFERROR((COUNTIFS(Таблица2[1],B213,Таблица2[K],"K")+SUMIFS(Таблица2[R],Таблица2[1],B213,Таблица2[K],"K"))/D213*100,"-")=0,"-",IFERROR((COUNTIFS(Таблица2[1],B213,Таблица2[K],"K")+SUMIFS(Таблица2[R],Таблица2[1],B213,Таблица2[K],"K"))/D213*100,"-"))</f>
        <v>-</v>
      </c>
      <c r="J213" s="77" t="str">
        <f>IF(IFERROR((COUNTIFS(Таблица2[1],B213,Таблица2[T],"t")+SUMIFS(Таблица2[R],Таблица2[1],B213,Таблица2[T],"t"))/D213*100,"-")=0,"-",IFERROR((COUNTIFS(Таблица2[1],B213,Таблица2[T],"t")+SUMIFS(Таблица2[R],Таблица2[1],B213,Таблица2[T],"t"))/D213*100,"-"))</f>
        <v>-</v>
      </c>
      <c r="K213" s="76" t="str">
        <f>IF(SUMIFS(Таблица2[KO$],Таблица2[1],B213)=0,"-",SUMIFS(Таблица2[KO$],Таблица2[1],B213))</f>
        <v>-</v>
      </c>
      <c r="L213" s="76" t="str">
        <f>IF(SUMIFS(Таблица2[WIN$],Таблица2[1],B213)=0,"-",SUMIFS(Таблица2[WIN$],Таблица2[1],B213))</f>
        <v>-</v>
      </c>
      <c r="M213" s="76" t="str">
        <f t="shared" si="9"/>
        <v>-</v>
      </c>
      <c r="N213" s="78" t="str">
        <f>IFERROR(Таблица46[[#This Row],[PROF]]/Таблица46[[#This Row],[Games]],"-")</f>
        <v>-</v>
      </c>
    </row>
    <row r="214" spans="1:14" ht="11.1" customHeight="1" x14ac:dyDescent="0.25">
      <c r="A214" s="93">
        <f t="shared" si="7"/>
        <v>128</v>
      </c>
      <c r="B214" s="113"/>
      <c r="C214"/>
      <c r="D214" s="75" t="str">
        <f>IF(COUNTIFS(Таблица2[1],B214)+SUMIFS(Таблица2[R],Таблица2[1],B214)=0,"",COUNTIFS(Таблица2[1],B214)+SUMIFS(Таблица2[R],Таблица2[1],B214))</f>
        <v/>
      </c>
      <c r="E214" s="76" t="str">
        <f>IF(SUMIFS(Таблица2[B$],Таблица2[1],B214)=0,"-",SUMIFS(Таблица2[B$],Таблица2[1],B214))</f>
        <v>-</v>
      </c>
      <c r="F214" s="77" t="str">
        <f>IFERROR(AVERAGEIFS(Таблица2[AFS],Таблица2[1],B214)+(AVERAGEIFS(Таблица2[AFS],Таблица2[1],B214)*0.2),"-")</f>
        <v>-</v>
      </c>
      <c r="G214" s="77" t="str">
        <f t="shared" si="8"/>
        <v>-</v>
      </c>
      <c r="H214" s="77" t="str">
        <f>IFERROR(COUNTIFS(Таблица2[1],B214,Таблица2[WIN$],"&gt;0")/D214*100,"-")</f>
        <v>-</v>
      </c>
      <c r="I214" s="77" t="str">
        <f>IF(IFERROR((COUNTIFS(Таблица2[1],B214,Таблица2[K],"K")+SUMIFS(Таблица2[R],Таблица2[1],B214,Таблица2[K],"K"))/D214*100,"-")=0,"-",IFERROR((COUNTIFS(Таблица2[1],B214,Таблица2[K],"K")+SUMIFS(Таблица2[R],Таблица2[1],B214,Таблица2[K],"K"))/D214*100,"-"))</f>
        <v>-</v>
      </c>
      <c r="J214" s="77" t="str">
        <f>IF(IFERROR((COUNTIFS(Таблица2[1],B214,Таблица2[T],"t")+SUMIFS(Таблица2[R],Таблица2[1],B214,Таблица2[T],"t"))/D214*100,"-")=0,"-",IFERROR((COUNTIFS(Таблица2[1],B214,Таблица2[T],"t")+SUMIFS(Таблица2[R],Таблица2[1],B214,Таблица2[T],"t"))/D214*100,"-"))</f>
        <v>-</v>
      </c>
      <c r="K214" s="76" t="str">
        <f>IF(SUMIFS(Таблица2[KO$],Таблица2[1],B214)=0,"-",SUMIFS(Таблица2[KO$],Таблица2[1],B214))</f>
        <v>-</v>
      </c>
      <c r="L214" s="76" t="str">
        <f>IF(SUMIFS(Таблица2[WIN$],Таблица2[1],B214)=0,"-",SUMIFS(Таблица2[WIN$],Таблица2[1],B214))</f>
        <v>-</v>
      </c>
      <c r="M214" s="76" t="str">
        <f t="shared" si="9"/>
        <v>-</v>
      </c>
      <c r="N214" s="78" t="str">
        <f>IFERROR(Таблица46[[#This Row],[PROF]]/Таблица46[[#This Row],[Games]],"-")</f>
        <v>-</v>
      </c>
    </row>
    <row r="215" spans="1:14" ht="11.1" customHeight="1" x14ac:dyDescent="0.25">
      <c r="A215" s="93">
        <f t="shared" si="7"/>
        <v>129</v>
      </c>
      <c r="B215" s="113"/>
      <c r="C215"/>
      <c r="D215" s="75" t="str">
        <f>IF(COUNTIFS(Таблица2[1],B215)+SUMIFS(Таблица2[R],Таблица2[1],B215)=0,"",COUNTIFS(Таблица2[1],B215)+SUMIFS(Таблица2[R],Таблица2[1],B215))</f>
        <v/>
      </c>
      <c r="E215" s="76" t="str">
        <f>IF(SUMIFS(Таблица2[B$],Таблица2[1],B215)=0,"-",SUMIFS(Таблица2[B$],Таблица2[1],B215))</f>
        <v>-</v>
      </c>
      <c r="F215" s="77" t="str">
        <f>IFERROR(AVERAGEIFS(Таблица2[AFS],Таблица2[1],B215)+(AVERAGEIFS(Таблица2[AFS],Таблица2[1],B215)*0.2),"-")</f>
        <v>-</v>
      </c>
      <c r="G215" s="77" t="str">
        <f t="shared" ref="G215:G222" si="10">IFERROR(M215/E215*100,"-")</f>
        <v>-</v>
      </c>
      <c r="H215" s="77" t="str">
        <f>IFERROR(COUNTIFS(Таблица2[1],B215,Таблица2[WIN$],"&gt;0")/D215*100,"-")</f>
        <v>-</v>
      </c>
      <c r="I215" s="77" t="str">
        <f>IF(IFERROR((COUNTIFS(Таблица2[1],B215,Таблица2[K],"K")+SUMIFS(Таблица2[R],Таблица2[1],B215,Таблица2[K],"K"))/D215*100,"-")=0,"-",IFERROR((COUNTIFS(Таблица2[1],B215,Таблица2[K],"K")+SUMIFS(Таблица2[R],Таблица2[1],B215,Таблица2[K],"K"))/D215*100,"-"))</f>
        <v>-</v>
      </c>
      <c r="J215" s="77" t="str">
        <f>IF(IFERROR((COUNTIFS(Таблица2[1],B215,Таблица2[T],"t")+SUMIFS(Таблица2[R],Таблица2[1],B215,Таблица2[T],"t"))/D215*100,"-")=0,"-",IFERROR((COUNTIFS(Таблица2[1],B215,Таблица2[T],"t")+SUMIFS(Таблица2[R],Таблица2[1],B215,Таблица2[T],"t"))/D215*100,"-"))</f>
        <v>-</v>
      </c>
      <c r="K215" s="76" t="str">
        <f>IF(SUMIFS(Таблица2[KO$],Таблица2[1],B215)=0,"-",SUMIFS(Таблица2[KO$],Таблица2[1],B215))</f>
        <v>-</v>
      </c>
      <c r="L215" s="76" t="str">
        <f>IF(SUMIFS(Таблица2[WIN$],Таблица2[1],B215)=0,"-",SUMIFS(Таблица2[WIN$],Таблица2[1],B215))</f>
        <v>-</v>
      </c>
      <c r="M215" s="76" t="str">
        <f t="shared" ref="M215:M222" si="11">IFERROR(IF(L215="-",0,L215)+IF(K215="-",0,K215)-E215,"-")</f>
        <v>-</v>
      </c>
      <c r="N215" s="78" t="str">
        <f>IFERROR(Таблица46[[#This Row],[PROF]]/Таблица46[[#This Row],[Games]],"-")</f>
        <v>-</v>
      </c>
    </row>
    <row r="216" spans="1:14" ht="11.1" customHeight="1" x14ac:dyDescent="0.25">
      <c r="A216" s="93">
        <f t="shared" ref="A216:A279" si="12">A215+1</f>
        <v>130</v>
      </c>
      <c r="B216" s="113"/>
      <c r="C216"/>
      <c r="D216" s="75" t="str">
        <f>IF(COUNTIFS(Таблица2[1],B216)+SUMIFS(Таблица2[R],Таблица2[1],B216)=0,"",COUNTIFS(Таблица2[1],B216)+SUMIFS(Таблица2[R],Таблица2[1],B216))</f>
        <v/>
      </c>
      <c r="E216" s="76" t="str">
        <f>IF(SUMIFS(Таблица2[B$],Таблица2[1],B216)=0,"-",SUMIFS(Таблица2[B$],Таблица2[1],B216))</f>
        <v>-</v>
      </c>
      <c r="F216" s="77" t="str">
        <f>IFERROR(AVERAGEIFS(Таблица2[AFS],Таблица2[1],B216)+(AVERAGEIFS(Таблица2[AFS],Таблица2[1],B216)*0.2),"-")</f>
        <v>-</v>
      </c>
      <c r="G216" s="77" t="str">
        <f t="shared" si="10"/>
        <v>-</v>
      </c>
      <c r="H216" s="77" t="str">
        <f>IFERROR(COUNTIFS(Таблица2[1],B216,Таблица2[WIN$],"&gt;0")/D216*100,"-")</f>
        <v>-</v>
      </c>
      <c r="I216" s="77" t="str">
        <f>IF(IFERROR((COUNTIFS(Таблица2[1],B216,Таблица2[K],"K")+SUMIFS(Таблица2[R],Таблица2[1],B216,Таблица2[K],"K"))/D216*100,"-")=0,"-",IFERROR((COUNTIFS(Таблица2[1],B216,Таблица2[K],"K")+SUMIFS(Таблица2[R],Таблица2[1],B216,Таблица2[K],"K"))/D216*100,"-"))</f>
        <v>-</v>
      </c>
      <c r="J216" s="77" t="str">
        <f>IF(IFERROR((COUNTIFS(Таблица2[1],B216,Таблица2[T],"t")+SUMIFS(Таблица2[R],Таблица2[1],B216,Таблица2[T],"t"))/D216*100,"-")=0,"-",IFERROR((COUNTIFS(Таблица2[1],B216,Таблица2[T],"t")+SUMIFS(Таблица2[R],Таблица2[1],B216,Таблица2[T],"t"))/D216*100,"-"))</f>
        <v>-</v>
      </c>
      <c r="K216" s="76" t="str">
        <f>IF(SUMIFS(Таблица2[KO$],Таблица2[1],B216)=0,"-",SUMIFS(Таблица2[KO$],Таблица2[1],B216))</f>
        <v>-</v>
      </c>
      <c r="L216" s="76" t="str">
        <f>IF(SUMIFS(Таблица2[WIN$],Таблица2[1],B216)=0,"-",SUMIFS(Таблица2[WIN$],Таблица2[1],B216))</f>
        <v>-</v>
      </c>
      <c r="M216" s="76" t="str">
        <f t="shared" si="11"/>
        <v>-</v>
      </c>
      <c r="N216" s="78" t="str">
        <f>IFERROR(Таблица46[[#This Row],[PROF]]/Таблица46[[#This Row],[Games]],"-")</f>
        <v>-</v>
      </c>
    </row>
    <row r="217" spans="1:14" ht="11.1" customHeight="1" x14ac:dyDescent="0.25">
      <c r="A217" s="93">
        <f t="shared" si="12"/>
        <v>131</v>
      </c>
      <c r="B217" s="113"/>
      <c r="C217"/>
      <c r="D217" s="75" t="str">
        <f>IF(COUNTIFS(Таблица2[1],B217)+SUMIFS(Таблица2[R],Таблица2[1],B217)=0,"",COUNTIFS(Таблица2[1],B217)+SUMIFS(Таблица2[R],Таблица2[1],B217))</f>
        <v/>
      </c>
      <c r="E217" s="76" t="str">
        <f>IF(SUMIFS(Таблица2[B$],Таблица2[1],B217)=0,"-",SUMIFS(Таблица2[B$],Таблица2[1],B217))</f>
        <v>-</v>
      </c>
      <c r="F217" s="77" t="str">
        <f>IFERROR(AVERAGEIFS(Таблица2[AFS],Таблица2[1],B217)+(AVERAGEIFS(Таблица2[AFS],Таблица2[1],B217)*0.2),"-")</f>
        <v>-</v>
      </c>
      <c r="G217" s="77" t="str">
        <f t="shared" si="10"/>
        <v>-</v>
      </c>
      <c r="H217" s="77" t="str">
        <f>IFERROR(COUNTIFS(Таблица2[1],B217,Таблица2[WIN$],"&gt;0")/D217*100,"-")</f>
        <v>-</v>
      </c>
      <c r="I217" s="77" t="str">
        <f>IF(IFERROR((COUNTIFS(Таблица2[1],B217,Таблица2[K],"K")+SUMIFS(Таблица2[R],Таблица2[1],B217,Таблица2[K],"K"))/D217*100,"-")=0,"-",IFERROR((COUNTIFS(Таблица2[1],B217,Таблица2[K],"K")+SUMIFS(Таблица2[R],Таблица2[1],B217,Таблица2[K],"K"))/D217*100,"-"))</f>
        <v>-</v>
      </c>
      <c r="J217" s="77" t="str">
        <f>IF(IFERROR((COUNTIFS(Таблица2[1],B217,Таблица2[T],"t")+SUMIFS(Таблица2[R],Таблица2[1],B217,Таблица2[T],"t"))/D217*100,"-")=0,"-",IFERROR((COUNTIFS(Таблица2[1],B217,Таблица2[T],"t")+SUMIFS(Таблица2[R],Таблица2[1],B217,Таблица2[T],"t"))/D217*100,"-"))</f>
        <v>-</v>
      </c>
      <c r="K217" s="76" t="str">
        <f>IF(SUMIFS(Таблица2[KO$],Таблица2[1],B217)=0,"-",SUMIFS(Таблица2[KO$],Таблица2[1],B217))</f>
        <v>-</v>
      </c>
      <c r="L217" s="76" t="str">
        <f>IF(SUMIFS(Таблица2[WIN$],Таблица2[1],B217)=0,"-",SUMIFS(Таблица2[WIN$],Таблица2[1],B217))</f>
        <v>-</v>
      </c>
      <c r="M217" s="76" t="str">
        <f t="shared" si="11"/>
        <v>-</v>
      </c>
      <c r="N217" s="78" t="str">
        <f>IFERROR(Таблица46[[#This Row],[PROF]]/Таблица46[[#This Row],[Games]],"-")</f>
        <v>-</v>
      </c>
    </row>
    <row r="218" spans="1:14" ht="11.1" customHeight="1" x14ac:dyDescent="0.25">
      <c r="A218" s="93">
        <f t="shared" si="12"/>
        <v>132</v>
      </c>
      <c r="B218" s="113"/>
      <c r="C218"/>
      <c r="D218" s="75" t="str">
        <f>IF(COUNTIFS(Таблица2[1],B218)+SUMIFS(Таблица2[R],Таблица2[1],B218)=0,"",COUNTIFS(Таблица2[1],B218)+SUMIFS(Таблица2[R],Таблица2[1],B218))</f>
        <v/>
      </c>
      <c r="E218" s="76" t="str">
        <f>IF(SUMIFS(Таблица2[B$],Таблица2[1],B218)=0,"-",SUMIFS(Таблица2[B$],Таблица2[1],B218))</f>
        <v>-</v>
      </c>
      <c r="F218" s="77" t="str">
        <f>IFERROR(AVERAGEIFS(Таблица2[AFS],Таблица2[1],B218)+(AVERAGEIFS(Таблица2[AFS],Таблица2[1],B218)*0.2),"-")</f>
        <v>-</v>
      </c>
      <c r="G218" s="77" t="str">
        <f t="shared" si="10"/>
        <v>-</v>
      </c>
      <c r="H218" s="77" t="str">
        <f>IFERROR(COUNTIFS(Таблица2[1],B218,Таблица2[WIN$],"&gt;0")/D218*100,"-")</f>
        <v>-</v>
      </c>
      <c r="I218" s="77" t="str">
        <f>IF(IFERROR((COUNTIFS(Таблица2[1],B218,Таблица2[K],"K")+SUMIFS(Таблица2[R],Таблица2[1],B218,Таблица2[K],"K"))/D218*100,"-")=0,"-",IFERROR((COUNTIFS(Таблица2[1],B218,Таблица2[K],"K")+SUMIFS(Таблица2[R],Таблица2[1],B218,Таблица2[K],"K"))/D218*100,"-"))</f>
        <v>-</v>
      </c>
      <c r="J218" s="77" t="str">
        <f>IF(IFERROR((COUNTIFS(Таблица2[1],B218,Таблица2[T],"t")+SUMIFS(Таблица2[R],Таблица2[1],B218,Таблица2[T],"t"))/D218*100,"-")=0,"-",IFERROR((COUNTIFS(Таблица2[1],B218,Таблица2[T],"t")+SUMIFS(Таблица2[R],Таблица2[1],B218,Таблица2[T],"t"))/D218*100,"-"))</f>
        <v>-</v>
      </c>
      <c r="K218" s="76" t="str">
        <f>IF(SUMIFS(Таблица2[KO$],Таблица2[1],B218)=0,"-",SUMIFS(Таблица2[KO$],Таблица2[1],B218))</f>
        <v>-</v>
      </c>
      <c r="L218" s="76" t="str">
        <f>IF(SUMIFS(Таблица2[WIN$],Таблица2[1],B218)=0,"-",SUMIFS(Таблица2[WIN$],Таблица2[1],B218))</f>
        <v>-</v>
      </c>
      <c r="M218" s="76" t="str">
        <f t="shared" si="11"/>
        <v>-</v>
      </c>
      <c r="N218" s="78" t="str">
        <f>IFERROR(Таблица46[[#This Row],[PROF]]/Таблица46[[#This Row],[Games]],"-")</f>
        <v>-</v>
      </c>
    </row>
    <row r="219" spans="1:14" ht="11.1" customHeight="1" x14ac:dyDescent="0.25">
      <c r="A219" s="93">
        <f t="shared" si="12"/>
        <v>133</v>
      </c>
      <c r="B219" s="113"/>
      <c r="C219"/>
      <c r="D219" s="75" t="str">
        <f>IF(COUNTIFS(Таблица2[1],B219)+SUMIFS(Таблица2[R],Таблица2[1],B219)=0,"",COUNTIFS(Таблица2[1],B219)+SUMIFS(Таблица2[R],Таблица2[1],B219))</f>
        <v/>
      </c>
      <c r="E219" s="76" t="str">
        <f>IF(SUMIFS(Таблица2[B$],Таблица2[1],B219)=0,"-",SUMIFS(Таблица2[B$],Таблица2[1],B219))</f>
        <v>-</v>
      </c>
      <c r="F219" s="77" t="str">
        <f>IFERROR(AVERAGEIFS(Таблица2[AFS],Таблица2[1],B219)+(AVERAGEIFS(Таблица2[AFS],Таблица2[1],B219)*0.2),"-")</f>
        <v>-</v>
      </c>
      <c r="G219" s="77" t="str">
        <f t="shared" si="10"/>
        <v>-</v>
      </c>
      <c r="H219" s="77" t="str">
        <f>IFERROR(COUNTIFS(Таблица2[1],B219,Таблица2[WIN$],"&gt;0")/D219*100,"-")</f>
        <v>-</v>
      </c>
      <c r="I219" s="77" t="str">
        <f>IF(IFERROR((COUNTIFS(Таблица2[1],B219,Таблица2[K],"K")+SUMIFS(Таблица2[R],Таблица2[1],B219,Таблица2[K],"K"))/D219*100,"-")=0,"-",IFERROR((COUNTIFS(Таблица2[1],B219,Таблица2[K],"K")+SUMIFS(Таблица2[R],Таблица2[1],B219,Таблица2[K],"K"))/D219*100,"-"))</f>
        <v>-</v>
      </c>
      <c r="J219" s="77" t="str">
        <f>IF(IFERROR((COUNTIFS(Таблица2[1],B219,Таблица2[T],"t")+SUMIFS(Таблица2[R],Таблица2[1],B219,Таблица2[T],"t"))/D219*100,"-")=0,"-",IFERROR((COUNTIFS(Таблица2[1],B219,Таблица2[T],"t")+SUMIFS(Таблица2[R],Таблица2[1],B219,Таблица2[T],"t"))/D219*100,"-"))</f>
        <v>-</v>
      </c>
      <c r="K219" s="76" t="str">
        <f>IF(SUMIFS(Таблица2[KO$],Таблица2[1],B219)=0,"-",SUMIFS(Таблица2[KO$],Таблица2[1],B219))</f>
        <v>-</v>
      </c>
      <c r="L219" s="76" t="str">
        <f>IF(SUMIFS(Таблица2[WIN$],Таблица2[1],B219)=0,"-",SUMIFS(Таблица2[WIN$],Таблица2[1],B219))</f>
        <v>-</v>
      </c>
      <c r="M219" s="76" t="str">
        <f t="shared" si="11"/>
        <v>-</v>
      </c>
      <c r="N219" s="78" t="str">
        <f>IFERROR(Таблица46[[#This Row],[PROF]]/Таблица46[[#This Row],[Games]],"-")</f>
        <v>-</v>
      </c>
    </row>
    <row r="220" spans="1:14" ht="11.1" customHeight="1" x14ac:dyDescent="0.25">
      <c r="A220" s="93">
        <f t="shared" si="12"/>
        <v>134</v>
      </c>
      <c r="B220" s="113"/>
      <c r="C220"/>
      <c r="D220" s="75" t="str">
        <f>IF(COUNTIFS(Таблица2[1],B220)+SUMIFS(Таблица2[R],Таблица2[1],B220)=0,"",COUNTIFS(Таблица2[1],B220)+SUMIFS(Таблица2[R],Таблица2[1],B220))</f>
        <v/>
      </c>
      <c r="E220" s="76" t="str">
        <f>IF(SUMIFS(Таблица2[B$],Таблица2[1],B220)=0,"-",SUMIFS(Таблица2[B$],Таблица2[1],B220))</f>
        <v>-</v>
      </c>
      <c r="F220" s="77" t="str">
        <f>IFERROR(AVERAGEIFS(Таблица2[AFS],Таблица2[1],B220)+(AVERAGEIFS(Таблица2[AFS],Таблица2[1],B220)*0.2),"-")</f>
        <v>-</v>
      </c>
      <c r="G220" s="77" t="str">
        <f t="shared" si="10"/>
        <v>-</v>
      </c>
      <c r="H220" s="77" t="str">
        <f>IFERROR(COUNTIFS(Таблица2[1],B220,Таблица2[WIN$],"&gt;0")/D220*100,"-")</f>
        <v>-</v>
      </c>
      <c r="I220" s="77" t="str">
        <f>IF(IFERROR((COUNTIFS(Таблица2[1],B220,Таблица2[K],"K")+SUMIFS(Таблица2[R],Таблица2[1],B220,Таблица2[K],"K"))/D220*100,"-")=0,"-",IFERROR((COUNTIFS(Таблица2[1],B220,Таблица2[K],"K")+SUMIFS(Таблица2[R],Таблица2[1],B220,Таблица2[K],"K"))/D220*100,"-"))</f>
        <v>-</v>
      </c>
      <c r="J220" s="77" t="str">
        <f>IF(IFERROR((COUNTIFS(Таблица2[1],B220,Таблица2[T],"t")+SUMIFS(Таблица2[R],Таблица2[1],B220,Таблица2[T],"t"))/D220*100,"-")=0,"-",IFERROR((COUNTIFS(Таблица2[1],B220,Таблица2[T],"t")+SUMIFS(Таблица2[R],Таблица2[1],B220,Таблица2[T],"t"))/D220*100,"-"))</f>
        <v>-</v>
      </c>
      <c r="K220" s="76" t="str">
        <f>IF(SUMIFS(Таблица2[KO$],Таблица2[1],B220)=0,"-",SUMIFS(Таблица2[KO$],Таблица2[1],B220))</f>
        <v>-</v>
      </c>
      <c r="L220" s="76" t="str">
        <f>IF(SUMIFS(Таблица2[WIN$],Таблица2[1],B220)=0,"-",SUMIFS(Таблица2[WIN$],Таблица2[1],B220))</f>
        <v>-</v>
      </c>
      <c r="M220" s="76" t="str">
        <f t="shared" si="11"/>
        <v>-</v>
      </c>
      <c r="N220" s="78" t="str">
        <f>IFERROR(Таблица46[[#This Row],[PROF]]/Таблица46[[#This Row],[Games]],"-")</f>
        <v>-</v>
      </c>
    </row>
    <row r="221" spans="1:14" ht="11.1" customHeight="1" x14ac:dyDescent="0.25">
      <c r="A221" s="93">
        <f t="shared" si="12"/>
        <v>135</v>
      </c>
      <c r="B221" s="113"/>
      <c r="C221"/>
      <c r="D221" s="75" t="str">
        <f>IF(COUNTIFS(Таблица2[1],B221)+SUMIFS(Таблица2[R],Таблица2[1],B221)=0,"",COUNTIFS(Таблица2[1],B221)+SUMIFS(Таблица2[R],Таблица2[1],B221))</f>
        <v/>
      </c>
      <c r="E221" s="76" t="str">
        <f>IF(SUMIFS(Таблица2[B$],Таблица2[1],B221)=0,"-",SUMIFS(Таблица2[B$],Таблица2[1],B221))</f>
        <v>-</v>
      </c>
      <c r="F221" s="77" t="str">
        <f>IFERROR(AVERAGEIFS(Таблица2[AFS],Таблица2[1],B221)+(AVERAGEIFS(Таблица2[AFS],Таблица2[1],B221)*0.2),"-")</f>
        <v>-</v>
      </c>
      <c r="G221" s="77" t="str">
        <f t="shared" si="10"/>
        <v>-</v>
      </c>
      <c r="H221" s="77" t="str">
        <f>IFERROR(COUNTIFS(Таблица2[1],B221,Таблица2[WIN$],"&gt;0")/D221*100,"-")</f>
        <v>-</v>
      </c>
      <c r="I221" s="77" t="str">
        <f>IF(IFERROR((COUNTIFS(Таблица2[1],B221,Таблица2[K],"K")+SUMIFS(Таблица2[R],Таблица2[1],B221,Таблица2[K],"K"))/D221*100,"-")=0,"-",IFERROR((COUNTIFS(Таблица2[1],B221,Таблица2[K],"K")+SUMIFS(Таблица2[R],Таблица2[1],B221,Таблица2[K],"K"))/D221*100,"-"))</f>
        <v>-</v>
      </c>
      <c r="J221" s="77" t="str">
        <f>IF(IFERROR((COUNTIFS(Таблица2[1],B221,Таблица2[T],"t")+SUMIFS(Таблица2[R],Таблица2[1],B221,Таблица2[T],"t"))/D221*100,"-")=0,"-",IFERROR((COUNTIFS(Таблица2[1],B221,Таблица2[T],"t")+SUMIFS(Таблица2[R],Таблица2[1],B221,Таблица2[T],"t"))/D221*100,"-"))</f>
        <v>-</v>
      </c>
      <c r="K221" s="76" t="str">
        <f>IF(SUMIFS(Таблица2[KO$],Таблица2[1],B221)=0,"-",SUMIFS(Таблица2[KO$],Таблица2[1],B221))</f>
        <v>-</v>
      </c>
      <c r="L221" s="76" t="str">
        <f>IF(SUMIFS(Таблица2[WIN$],Таблица2[1],B221)=0,"-",SUMIFS(Таблица2[WIN$],Таблица2[1],B221))</f>
        <v>-</v>
      </c>
      <c r="M221" s="76" t="str">
        <f t="shared" si="11"/>
        <v>-</v>
      </c>
      <c r="N221" s="78" t="str">
        <f>IFERROR(Таблица46[[#This Row],[PROF]]/Таблица46[[#This Row],[Games]],"-")</f>
        <v>-</v>
      </c>
    </row>
    <row r="222" spans="1:14" ht="11.1" customHeight="1" x14ac:dyDescent="0.25">
      <c r="A222" s="93">
        <f t="shared" si="12"/>
        <v>136</v>
      </c>
      <c r="B222" s="113"/>
      <c r="C222"/>
      <c r="D222" s="53" t="str">
        <f>IF(COUNTIFS(Таблица2[1],B222)+SUMIFS(Таблица2[R],Таблица2[1],B222)=0,"",COUNTIFS(Таблица2[1],B222)+SUMIFS(Таблица2[R],Таблица2[1],B222))</f>
        <v/>
      </c>
      <c r="E222" s="54" t="str">
        <f>IF(SUMIFS(Таблица2[B$],Таблица2[1],B222)=0,"-",SUMIFS(Таблица2[B$],Таблица2[1],B222))</f>
        <v>-</v>
      </c>
      <c r="F222" s="55" t="str">
        <f>IFERROR(AVERAGEIFS(Таблица2[AFS],Таблица2[1],B222)+(AVERAGEIFS(Таблица2[AFS],Таблица2[1],B222)*0.2),"-")</f>
        <v>-</v>
      </c>
      <c r="G222" s="55" t="str">
        <f t="shared" si="10"/>
        <v>-</v>
      </c>
      <c r="H222" s="55" t="str">
        <f>IFERROR(COUNTIFS(Таблица2[1],B222,Таблица2[WIN$],"&gt;0")/D222*100,"-")</f>
        <v>-</v>
      </c>
      <c r="I222" s="55" t="str">
        <f>IF(IFERROR((COUNTIFS(Таблица2[1],B222,Таблица2[K],"K")+SUMIFS(Таблица2[R],Таблица2[1],B222,Таблица2[K],"K"))/D222*100,"-")=0,"-",IFERROR((COUNTIFS(Таблица2[1],B222,Таблица2[K],"K")+SUMIFS(Таблица2[R],Таблица2[1],B222,Таблица2[K],"K"))/D222*100,"-"))</f>
        <v>-</v>
      </c>
      <c r="J222" s="55" t="str">
        <f>IF(IFERROR((COUNTIFS(Таблица2[1],B222,Таблица2[T],"t")+SUMIFS(Таблица2[R],Таблица2[1],B222,Таблица2[T],"t"))/D222*100,"-")=0,"-",IFERROR((COUNTIFS(Таблица2[1],B222,Таблица2[T],"t")+SUMIFS(Таблица2[R],Таблица2[1],B222,Таблица2[T],"t"))/D222*100,"-"))</f>
        <v>-</v>
      </c>
      <c r="K222" s="54" t="str">
        <f>IF(SUMIFS(Таблица2[KO$],Таблица2[1],B222)=0,"-",SUMIFS(Таблица2[KO$],Таблица2[1],B222))</f>
        <v>-</v>
      </c>
      <c r="L222" s="54" t="str">
        <f>IF(SUMIFS(Таблица2[WIN$],Таблица2[1],B222)=0,"-",SUMIFS(Таблица2[WIN$],Таблица2[1],B222))</f>
        <v>-</v>
      </c>
      <c r="M222" s="54" t="str">
        <f t="shared" si="11"/>
        <v>-</v>
      </c>
      <c r="N222" s="79" t="str">
        <f>IFERROR(Таблица46[[#This Row],[PROF]]/Таблица46[[#This Row],[Games]],"-")</f>
        <v>-</v>
      </c>
    </row>
    <row r="223" spans="1:14" ht="11.1" customHeight="1" x14ac:dyDescent="0.25">
      <c r="A223" s="93">
        <f t="shared" si="12"/>
        <v>137</v>
      </c>
      <c r="B223" s="113"/>
      <c r="C223"/>
      <c r="D223" s="117" t="str">
        <f>IF(COUNTIFS(Таблица2[1],B223)+SUMIFS(Таблица2[R],Таблица2[1],B223)=0,"",COUNTIFS(Таблица2[1],B223)+SUMIFS(Таблица2[R],Таблица2[1],B223))</f>
        <v/>
      </c>
      <c r="E223" s="76" t="str">
        <f>IF(SUMIFS(Таблица2[B$],Таблица2[1],B223)=0,"-",SUMIFS(Таблица2[B$],Таблица2[1],B223))</f>
        <v>-</v>
      </c>
      <c r="F223" s="77" t="str">
        <f>IFERROR(AVERAGEIFS(Таблица2[AFS],Таблица2[1],B223)+(AVERAGEIFS(Таблица2[AFS],Таблица2[1],B223)*0.2),"-")</f>
        <v>-</v>
      </c>
      <c r="G223" s="77" t="str">
        <f t="shared" ref="G223:G254" si="13">IFERROR(M223/E223*100,"-")</f>
        <v>-</v>
      </c>
      <c r="H223" s="77" t="str">
        <f>IFERROR(COUNTIFS(Таблица2[1],B223,Таблица2[WIN$],"&gt;0")/D223*100,"-")</f>
        <v>-</v>
      </c>
      <c r="I223" s="77" t="str">
        <f>IF(IFERROR((COUNTIFS(Таблица2[1],B223,Таблица2[K],"K")+SUMIFS(Таблица2[R],Таблица2[1],B223,Таблица2[K],"K"))/D223*100,"-")=0,"-",IFERROR((COUNTIFS(Таблица2[1],B223,Таблица2[K],"K")+SUMIFS(Таблица2[R],Таблица2[1],B223,Таблица2[K],"K"))/D223*100,"-"))</f>
        <v>-</v>
      </c>
      <c r="J223" s="77" t="str">
        <f>IF(IFERROR((COUNTIFS(Таблица2[1],B223,Таблица2[T],"t")+SUMIFS(Таблица2[R],Таблица2[1],B223,Таблица2[T],"t"))/D223*100,"-")=0,"-",IFERROR((COUNTIFS(Таблица2[1],B223,Таблица2[T],"t")+SUMIFS(Таблица2[R],Таблица2[1],B223,Таблица2[T],"t"))/D223*100,"-"))</f>
        <v>-</v>
      </c>
      <c r="K223" s="76" t="str">
        <f>IF(SUMIFS(Таблица2[KO$],Таблица2[1],B223)=0,"-",SUMIFS(Таблица2[KO$],Таблица2[1],B223))</f>
        <v>-</v>
      </c>
      <c r="L223" s="76" t="str">
        <f>IF(SUMIFS(Таблица2[WIN$],Таблица2[1],B223)=0,"-",SUMIFS(Таблица2[WIN$],Таблица2[1],B223))</f>
        <v>-</v>
      </c>
      <c r="M223" s="76" t="str">
        <f t="shared" ref="M223:M254" si="14">IFERROR(IF(L223="-",0,L223)+IF(K223="-",0,K223)-E223,"-")</f>
        <v>-</v>
      </c>
      <c r="N223" s="78" t="str">
        <f>IFERROR(Таблица46[[#This Row],[PROF]]/Таблица46[[#This Row],[Games]],"-")</f>
        <v>-</v>
      </c>
    </row>
    <row r="224" spans="1:14" ht="11.1" customHeight="1" x14ac:dyDescent="0.25">
      <c r="A224" s="93">
        <f t="shared" si="12"/>
        <v>138</v>
      </c>
      <c r="B224" s="113"/>
      <c r="C224"/>
      <c r="D224" s="117" t="str">
        <f>IF(COUNTIFS(Таблица2[1],B224)+SUMIFS(Таблица2[R],Таблица2[1],B224)=0,"",COUNTIFS(Таблица2[1],B224)+SUMIFS(Таблица2[R],Таблица2[1],B224))</f>
        <v/>
      </c>
      <c r="E224" s="76" t="str">
        <f>IF(SUMIFS(Таблица2[B$],Таблица2[1],B224)=0,"-",SUMIFS(Таблица2[B$],Таблица2[1],B224))</f>
        <v>-</v>
      </c>
      <c r="F224" s="77" t="str">
        <f>IFERROR(AVERAGEIFS(Таблица2[AFS],Таблица2[1],B224)+(AVERAGEIFS(Таблица2[AFS],Таблица2[1],B224)*0.2),"-")</f>
        <v>-</v>
      </c>
      <c r="G224" s="77" t="str">
        <f t="shared" si="13"/>
        <v>-</v>
      </c>
      <c r="H224" s="77" t="str">
        <f>IFERROR(COUNTIFS(Таблица2[1],B224,Таблица2[WIN$],"&gt;0")/D224*100,"-")</f>
        <v>-</v>
      </c>
      <c r="I224" s="77" t="str">
        <f>IF(IFERROR((COUNTIFS(Таблица2[1],B224,Таблица2[K],"K")+SUMIFS(Таблица2[R],Таблица2[1],B224,Таблица2[K],"K"))/D224*100,"-")=0,"-",IFERROR((COUNTIFS(Таблица2[1],B224,Таблица2[K],"K")+SUMIFS(Таблица2[R],Таблица2[1],B224,Таблица2[K],"K"))/D224*100,"-"))</f>
        <v>-</v>
      </c>
      <c r="J224" s="77" t="str">
        <f>IF(IFERROR((COUNTIFS(Таблица2[1],B224,Таблица2[T],"t")+SUMIFS(Таблица2[R],Таблица2[1],B224,Таблица2[T],"t"))/D224*100,"-")=0,"-",IFERROR((COUNTIFS(Таблица2[1],B224,Таблица2[T],"t")+SUMIFS(Таблица2[R],Таблица2[1],B224,Таблица2[T],"t"))/D224*100,"-"))</f>
        <v>-</v>
      </c>
      <c r="K224" s="76" t="str">
        <f>IF(SUMIFS(Таблица2[KO$],Таблица2[1],B224)=0,"-",SUMIFS(Таблица2[KO$],Таблица2[1],B224))</f>
        <v>-</v>
      </c>
      <c r="L224" s="76" t="str">
        <f>IF(SUMIFS(Таблица2[WIN$],Таблица2[1],B224)=0,"-",SUMIFS(Таблица2[WIN$],Таблица2[1],B224))</f>
        <v>-</v>
      </c>
      <c r="M224" s="76" t="str">
        <f t="shared" si="14"/>
        <v>-</v>
      </c>
      <c r="N224" s="78" t="str">
        <f>IFERROR(Таблица46[[#This Row],[PROF]]/Таблица46[[#This Row],[Games]],"-")</f>
        <v>-</v>
      </c>
    </row>
    <row r="225" spans="1:14" ht="11.1" customHeight="1" x14ac:dyDescent="0.25">
      <c r="A225" s="93">
        <f t="shared" si="12"/>
        <v>139</v>
      </c>
      <c r="B225" s="113"/>
      <c r="C225"/>
      <c r="D225" s="117" t="str">
        <f>IF(COUNTIFS(Таблица2[1],B225)+SUMIFS(Таблица2[R],Таблица2[1],B225)=0,"",COUNTIFS(Таблица2[1],B225)+SUMIFS(Таблица2[R],Таблица2[1],B225))</f>
        <v/>
      </c>
      <c r="E225" s="76" t="str">
        <f>IF(SUMIFS(Таблица2[B$],Таблица2[1],B225)=0,"-",SUMIFS(Таблица2[B$],Таблица2[1],B225))</f>
        <v>-</v>
      </c>
      <c r="F225" s="77" t="str">
        <f>IFERROR(AVERAGEIFS(Таблица2[AFS],Таблица2[1],B225)+(AVERAGEIFS(Таблица2[AFS],Таблица2[1],B225)*0.2),"-")</f>
        <v>-</v>
      </c>
      <c r="G225" s="77" t="str">
        <f t="shared" si="13"/>
        <v>-</v>
      </c>
      <c r="H225" s="77" t="str">
        <f>IFERROR(COUNTIFS(Таблица2[1],B225,Таблица2[WIN$],"&gt;0")/D225*100,"-")</f>
        <v>-</v>
      </c>
      <c r="I225" s="77" t="str">
        <f>IF(IFERROR((COUNTIFS(Таблица2[1],B225,Таблица2[K],"K")+SUMIFS(Таблица2[R],Таблица2[1],B225,Таблица2[K],"K"))/D225*100,"-")=0,"-",IFERROR((COUNTIFS(Таблица2[1],B225,Таблица2[K],"K")+SUMIFS(Таблица2[R],Таблица2[1],B225,Таблица2[K],"K"))/D225*100,"-"))</f>
        <v>-</v>
      </c>
      <c r="J225" s="77" t="str">
        <f>IF(IFERROR((COUNTIFS(Таблица2[1],B225,Таблица2[T],"t")+SUMIFS(Таблица2[R],Таблица2[1],B225,Таблица2[T],"t"))/D225*100,"-")=0,"-",IFERROR((COUNTIFS(Таблица2[1],B225,Таблица2[T],"t")+SUMIFS(Таблица2[R],Таблица2[1],B225,Таблица2[T],"t"))/D225*100,"-"))</f>
        <v>-</v>
      </c>
      <c r="K225" s="76" t="str">
        <f>IF(SUMIFS(Таблица2[KO$],Таблица2[1],B225)=0,"-",SUMIFS(Таблица2[KO$],Таблица2[1],B225))</f>
        <v>-</v>
      </c>
      <c r="L225" s="76" t="str">
        <f>IF(SUMIFS(Таблица2[WIN$],Таблица2[1],B225)=0,"-",SUMIFS(Таблица2[WIN$],Таблица2[1],B225))</f>
        <v>-</v>
      </c>
      <c r="M225" s="76" t="str">
        <f t="shared" si="14"/>
        <v>-</v>
      </c>
      <c r="N225" s="78" t="str">
        <f>IFERROR(Таблица46[[#This Row],[PROF]]/Таблица46[[#This Row],[Games]],"-")</f>
        <v>-</v>
      </c>
    </row>
    <row r="226" spans="1:14" ht="11.1" customHeight="1" x14ac:dyDescent="0.25">
      <c r="A226" s="93">
        <f t="shared" si="12"/>
        <v>140</v>
      </c>
      <c r="B226" s="113"/>
      <c r="C226"/>
      <c r="D226" s="117" t="str">
        <f>IF(COUNTIFS(Таблица2[1],B226)+SUMIFS(Таблица2[R],Таблица2[1],B226)=0,"",COUNTIFS(Таблица2[1],B226)+SUMIFS(Таблица2[R],Таблица2[1],B226))</f>
        <v/>
      </c>
      <c r="E226" s="76" t="str">
        <f>IF(SUMIFS(Таблица2[B$],Таблица2[1],B226)=0,"-",SUMIFS(Таблица2[B$],Таблица2[1],B226))</f>
        <v>-</v>
      </c>
      <c r="F226" s="77" t="str">
        <f>IFERROR(AVERAGEIFS(Таблица2[AFS],Таблица2[1],B226)+(AVERAGEIFS(Таблица2[AFS],Таблица2[1],B226)*0.2),"-")</f>
        <v>-</v>
      </c>
      <c r="G226" s="77" t="str">
        <f t="shared" si="13"/>
        <v>-</v>
      </c>
      <c r="H226" s="77" t="str">
        <f>IFERROR(COUNTIFS(Таблица2[1],B226,Таблица2[WIN$],"&gt;0")/D226*100,"-")</f>
        <v>-</v>
      </c>
      <c r="I226" s="77" t="str">
        <f>IF(IFERROR((COUNTIFS(Таблица2[1],B226,Таблица2[K],"K")+SUMIFS(Таблица2[R],Таблица2[1],B226,Таблица2[K],"K"))/D226*100,"-")=0,"-",IFERROR((COUNTIFS(Таблица2[1],B226,Таблица2[K],"K")+SUMIFS(Таблица2[R],Таблица2[1],B226,Таблица2[K],"K"))/D226*100,"-"))</f>
        <v>-</v>
      </c>
      <c r="J226" s="77" t="str">
        <f>IF(IFERROR((COUNTIFS(Таблица2[1],B226,Таблица2[T],"t")+SUMIFS(Таблица2[R],Таблица2[1],B226,Таблица2[T],"t"))/D226*100,"-")=0,"-",IFERROR((COUNTIFS(Таблица2[1],B226,Таблица2[T],"t")+SUMIFS(Таблица2[R],Таблица2[1],B226,Таблица2[T],"t"))/D226*100,"-"))</f>
        <v>-</v>
      </c>
      <c r="K226" s="76" t="str">
        <f>IF(SUMIFS(Таблица2[KO$],Таблица2[1],B226)=0,"-",SUMIFS(Таблица2[KO$],Таблица2[1],B226))</f>
        <v>-</v>
      </c>
      <c r="L226" s="76" t="str">
        <f>IF(SUMIFS(Таблица2[WIN$],Таблица2[1],B226)=0,"-",SUMIFS(Таблица2[WIN$],Таблица2[1],B226))</f>
        <v>-</v>
      </c>
      <c r="M226" s="76" t="str">
        <f t="shared" si="14"/>
        <v>-</v>
      </c>
      <c r="N226" s="78" t="str">
        <f>IFERROR(Таблица46[[#This Row],[PROF]]/Таблица46[[#This Row],[Games]],"-")</f>
        <v>-</v>
      </c>
    </row>
    <row r="227" spans="1:14" ht="11.1" customHeight="1" x14ac:dyDescent="0.25">
      <c r="A227" s="93">
        <f t="shared" si="12"/>
        <v>141</v>
      </c>
      <c r="B227" s="113"/>
      <c r="C227"/>
      <c r="D227" s="117" t="str">
        <f>IF(COUNTIFS(Таблица2[1],B227)+SUMIFS(Таблица2[R],Таблица2[1],B227)=0,"",COUNTIFS(Таблица2[1],B227)+SUMIFS(Таблица2[R],Таблица2[1],B227))</f>
        <v/>
      </c>
      <c r="E227" s="76" t="str">
        <f>IF(SUMIFS(Таблица2[B$],Таблица2[1],B227)=0,"-",SUMIFS(Таблица2[B$],Таблица2[1],B227))</f>
        <v>-</v>
      </c>
      <c r="F227" s="77" t="str">
        <f>IFERROR(AVERAGEIFS(Таблица2[AFS],Таблица2[1],B227)+(AVERAGEIFS(Таблица2[AFS],Таблица2[1],B227)*0.2),"-")</f>
        <v>-</v>
      </c>
      <c r="G227" s="77" t="str">
        <f t="shared" si="13"/>
        <v>-</v>
      </c>
      <c r="H227" s="77" t="str">
        <f>IFERROR(COUNTIFS(Таблица2[1],B227,Таблица2[WIN$],"&gt;0")/D227*100,"-")</f>
        <v>-</v>
      </c>
      <c r="I227" s="77" t="str">
        <f>IF(IFERROR((COUNTIFS(Таблица2[1],B227,Таблица2[K],"K")+SUMIFS(Таблица2[R],Таблица2[1],B227,Таблица2[K],"K"))/D227*100,"-")=0,"-",IFERROR((COUNTIFS(Таблица2[1],B227,Таблица2[K],"K")+SUMIFS(Таблица2[R],Таблица2[1],B227,Таблица2[K],"K"))/D227*100,"-"))</f>
        <v>-</v>
      </c>
      <c r="J227" s="77" t="str">
        <f>IF(IFERROR((COUNTIFS(Таблица2[1],B227,Таблица2[T],"t")+SUMIFS(Таблица2[R],Таблица2[1],B227,Таблица2[T],"t"))/D227*100,"-")=0,"-",IFERROR((COUNTIFS(Таблица2[1],B227,Таблица2[T],"t")+SUMIFS(Таблица2[R],Таблица2[1],B227,Таблица2[T],"t"))/D227*100,"-"))</f>
        <v>-</v>
      </c>
      <c r="K227" s="76" t="str">
        <f>IF(SUMIFS(Таблица2[KO$],Таблица2[1],B227)=0,"-",SUMIFS(Таблица2[KO$],Таблица2[1],B227))</f>
        <v>-</v>
      </c>
      <c r="L227" s="76" t="str">
        <f>IF(SUMIFS(Таблица2[WIN$],Таблица2[1],B227)=0,"-",SUMIFS(Таблица2[WIN$],Таблица2[1],B227))</f>
        <v>-</v>
      </c>
      <c r="M227" s="76" t="str">
        <f t="shared" si="14"/>
        <v>-</v>
      </c>
      <c r="N227" s="78" t="str">
        <f>IFERROR(Таблица46[[#This Row],[PROF]]/Таблица46[[#This Row],[Games]],"-")</f>
        <v>-</v>
      </c>
    </row>
    <row r="228" spans="1:14" ht="11.1" customHeight="1" x14ac:dyDescent="0.25">
      <c r="A228" s="93">
        <f t="shared" si="12"/>
        <v>142</v>
      </c>
      <c r="B228" s="113"/>
      <c r="C228"/>
      <c r="D228" s="117" t="str">
        <f>IF(COUNTIFS(Таблица2[1],B228)+SUMIFS(Таблица2[R],Таблица2[1],B228)=0,"",COUNTIFS(Таблица2[1],B228)+SUMIFS(Таблица2[R],Таблица2[1],B228))</f>
        <v/>
      </c>
      <c r="E228" s="76" t="str">
        <f>IF(SUMIFS(Таблица2[B$],Таблица2[1],B228)=0,"-",SUMIFS(Таблица2[B$],Таблица2[1],B228))</f>
        <v>-</v>
      </c>
      <c r="F228" s="77" t="str">
        <f>IFERROR(AVERAGEIFS(Таблица2[AFS],Таблица2[1],B228)+(AVERAGEIFS(Таблица2[AFS],Таблица2[1],B228)*0.2),"-")</f>
        <v>-</v>
      </c>
      <c r="G228" s="77" t="str">
        <f t="shared" si="13"/>
        <v>-</v>
      </c>
      <c r="H228" s="77" t="str">
        <f>IFERROR(COUNTIFS(Таблица2[1],B228,Таблица2[WIN$],"&gt;0")/D228*100,"-")</f>
        <v>-</v>
      </c>
      <c r="I228" s="77" t="str">
        <f>IF(IFERROR((COUNTIFS(Таблица2[1],B228,Таблица2[K],"K")+SUMIFS(Таблица2[R],Таблица2[1],B228,Таблица2[K],"K"))/D228*100,"-")=0,"-",IFERROR((COUNTIFS(Таблица2[1],B228,Таблица2[K],"K")+SUMIFS(Таблица2[R],Таблица2[1],B228,Таблица2[K],"K"))/D228*100,"-"))</f>
        <v>-</v>
      </c>
      <c r="J228" s="77" t="str">
        <f>IF(IFERROR((COUNTIFS(Таблица2[1],B228,Таблица2[T],"t")+SUMIFS(Таблица2[R],Таблица2[1],B228,Таблица2[T],"t"))/D228*100,"-")=0,"-",IFERROR((COUNTIFS(Таблица2[1],B228,Таблица2[T],"t")+SUMIFS(Таблица2[R],Таблица2[1],B228,Таблица2[T],"t"))/D228*100,"-"))</f>
        <v>-</v>
      </c>
      <c r="K228" s="76" t="str">
        <f>IF(SUMIFS(Таблица2[KO$],Таблица2[1],B228)=0,"-",SUMIFS(Таблица2[KO$],Таблица2[1],B228))</f>
        <v>-</v>
      </c>
      <c r="L228" s="76" t="str">
        <f>IF(SUMIFS(Таблица2[WIN$],Таблица2[1],B228)=0,"-",SUMIFS(Таблица2[WIN$],Таблица2[1],B228))</f>
        <v>-</v>
      </c>
      <c r="M228" s="76" t="str">
        <f t="shared" si="14"/>
        <v>-</v>
      </c>
      <c r="N228" s="78" t="str">
        <f>IFERROR(Таблица46[[#This Row],[PROF]]/Таблица46[[#This Row],[Games]],"-")</f>
        <v>-</v>
      </c>
    </row>
    <row r="229" spans="1:14" ht="11.1" customHeight="1" x14ac:dyDescent="0.25">
      <c r="A229" s="93">
        <f t="shared" si="12"/>
        <v>143</v>
      </c>
      <c r="B229" s="113"/>
      <c r="C229"/>
      <c r="D229" s="117" t="str">
        <f>IF(COUNTIFS(Таблица2[1],B229)+SUMIFS(Таблица2[R],Таблица2[1],B229)=0,"",COUNTIFS(Таблица2[1],B229)+SUMIFS(Таблица2[R],Таблица2[1],B229))</f>
        <v/>
      </c>
      <c r="E229" s="76" t="str">
        <f>IF(SUMIFS(Таблица2[B$],Таблица2[1],B229)=0,"-",SUMIFS(Таблица2[B$],Таблица2[1],B229))</f>
        <v>-</v>
      </c>
      <c r="F229" s="77" t="str">
        <f>IFERROR(AVERAGEIFS(Таблица2[AFS],Таблица2[1],B229)+(AVERAGEIFS(Таблица2[AFS],Таблица2[1],B229)*0.2),"-")</f>
        <v>-</v>
      </c>
      <c r="G229" s="77" t="str">
        <f t="shared" si="13"/>
        <v>-</v>
      </c>
      <c r="H229" s="77" t="str">
        <f>IFERROR(COUNTIFS(Таблица2[1],B229,Таблица2[WIN$],"&gt;0")/D229*100,"-")</f>
        <v>-</v>
      </c>
      <c r="I229" s="77" t="str">
        <f>IF(IFERROR((COUNTIFS(Таблица2[1],B229,Таблица2[K],"K")+SUMIFS(Таблица2[R],Таблица2[1],B229,Таблица2[K],"K"))/D229*100,"-")=0,"-",IFERROR((COUNTIFS(Таблица2[1],B229,Таблица2[K],"K")+SUMIFS(Таблица2[R],Таблица2[1],B229,Таблица2[K],"K"))/D229*100,"-"))</f>
        <v>-</v>
      </c>
      <c r="J229" s="77" t="str">
        <f>IF(IFERROR((COUNTIFS(Таблица2[1],B229,Таблица2[T],"t")+SUMIFS(Таблица2[R],Таблица2[1],B229,Таблица2[T],"t"))/D229*100,"-")=0,"-",IFERROR((COUNTIFS(Таблица2[1],B229,Таблица2[T],"t")+SUMIFS(Таблица2[R],Таблица2[1],B229,Таблица2[T],"t"))/D229*100,"-"))</f>
        <v>-</v>
      </c>
      <c r="K229" s="76" t="str">
        <f>IF(SUMIFS(Таблица2[KO$],Таблица2[1],B229)=0,"-",SUMIFS(Таблица2[KO$],Таблица2[1],B229))</f>
        <v>-</v>
      </c>
      <c r="L229" s="76" t="str">
        <f>IF(SUMIFS(Таблица2[WIN$],Таблица2[1],B229)=0,"-",SUMIFS(Таблица2[WIN$],Таблица2[1],B229))</f>
        <v>-</v>
      </c>
      <c r="M229" s="76" t="str">
        <f t="shared" si="14"/>
        <v>-</v>
      </c>
      <c r="N229" s="78" t="str">
        <f>IFERROR(Таблица46[[#This Row],[PROF]]/Таблица46[[#This Row],[Games]],"-")</f>
        <v>-</v>
      </c>
    </row>
    <row r="230" spans="1:14" ht="11.1" customHeight="1" x14ac:dyDescent="0.25">
      <c r="A230" s="93">
        <f t="shared" si="12"/>
        <v>144</v>
      </c>
      <c r="B230" s="113"/>
      <c r="C230"/>
      <c r="D230" s="117" t="str">
        <f>IF(COUNTIFS(Таблица2[1],B230)+SUMIFS(Таблица2[R],Таблица2[1],B230)=0,"",COUNTIFS(Таблица2[1],B230)+SUMIFS(Таблица2[R],Таблица2[1],B230))</f>
        <v/>
      </c>
      <c r="E230" s="76" t="str">
        <f>IF(SUMIFS(Таблица2[B$],Таблица2[1],B230)=0,"-",SUMIFS(Таблица2[B$],Таблица2[1],B230))</f>
        <v>-</v>
      </c>
      <c r="F230" s="77" t="str">
        <f>IFERROR(AVERAGEIFS(Таблица2[AFS],Таблица2[1],B230)+(AVERAGEIFS(Таблица2[AFS],Таблица2[1],B230)*0.2),"-")</f>
        <v>-</v>
      </c>
      <c r="G230" s="77" t="str">
        <f t="shared" si="13"/>
        <v>-</v>
      </c>
      <c r="H230" s="77" t="str">
        <f>IFERROR(COUNTIFS(Таблица2[1],B230,Таблица2[WIN$],"&gt;0")/D230*100,"-")</f>
        <v>-</v>
      </c>
      <c r="I230" s="77" t="str">
        <f>IF(IFERROR((COUNTIFS(Таблица2[1],B230,Таблица2[K],"K")+SUMIFS(Таблица2[R],Таблица2[1],B230,Таблица2[K],"K"))/D230*100,"-")=0,"-",IFERROR((COUNTIFS(Таблица2[1],B230,Таблица2[K],"K")+SUMIFS(Таблица2[R],Таблица2[1],B230,Таблица2[K],"K"))/D230*100,"-"))</f>
        <v>-</v>
      </c>
      <c r="J230" s="77" t="str">
        <f>IF(IFERROR((COUNTIFS(Таблица2[1],B230,Таблица2[T],"t")+SUMIFS(Таблица2[R],Таблица2[1],B230,Таблица2[T],"t"))/D230*100,"-")=0,"-",IFERROR((COUNTIFS(Таблица2[1],B230,Таблица2[T],"t")+SUMIFS(Таблица2[R],Таблица2[1],B230,Таблица2[T],"t"))/D230*100,"-"))</f>
        <v>-</v>
      </c>
      <c r="K230" s="76" t="str">
        <f>IF(SUMIFS(Таблица2[KO$],Таблица2[1],B230)=0,"-",SUMIFS(Таблица2[KO$],Таблица2[1],B230))</f>
        <v>-</v>
      </c>
      <c r="L230" s="76" t="str">
        <f>IF(SUMIFS(Таблица2[WIN$],Таблица2[1],B230)=0,"-",SUMIFS(Таблица2[WIN$],Таблица2[1],B230))</f>
        <v>-</v>
      </c>
      <c r="M230" s="76" t="str">
        <f t="shared" si="14"/>
        <v>-</v>
      </c>
      <c r="N230" s="78" t="str">
        <f>IFERROR(Таблица46[[#This Row],[PROF]]/Таблица46[[#This Row],[Games]],"-")</f>
        <v>-</v>
      </c>
    </row>
    <row r="231" spans="1:14" ht="11.1" customHeight="1" x14ac:dyDescent="0.25">
      <c r="A231" s="93">
        <f t="shared" si="12"/>
        <v>145</v>
      </c>
      <c r="B231" s="113"/>
      <c r="C231"/>
      <c r="D231" s="117" t="str">
        <f>IF(COUNTIFS(Таблица2[1],B231)+SUMIFS(Таблица2[R],Таблица2[1],B231)=0,"",COUNTIFS(Таблица2[1],B231)+SUMIFS(Таблица2[R],Таблица2[1],B231))</f>
        <v/>
      </c>
      <c r="E231" s="76" t="str">
        <f>IF(SUMIFS(Таблица2[B$],Таблица2[1],B231)=0,"-",SUMIFS(Таблица2[B$],Таблица2[1],B231))</f>
        <v>-</v>
      </c>
      <c r="F231" s="77" t="str">
        <f>IFERROR(AVERAGEIFS(Таблица2[AFS],Таблица2[1],B231)+(AVERAGEIFS(Таблица2[AFS],Таблица2[1],B231)*0.2),"-")</f>
        <v>-</v>
      </c>
      <c r="G231" s="77" t="str">
        <f t="shared" si="13"/>
        <v>-</v>
      </c>
      <c r="H231" s="77" t="str">
        <f>IFERROR(COUNTIFS(Таблица2[1],B231,Таблица2[WIN$],"&gt;0")/D231*100,"-")</f>
        <v>-</v>
      </c>
      <c r="I231" s="77" t="str">
        <f>IF(IFERROR((COUNTIFS(Таблица2[1],B231,Таблица2[K],"K")+SUMIFS(Таблица2[R],Таблица2[1],B231,Таблица2[K],"K"))/D231*100,"-")=0,"-",IFERROR((COUNTIFS(Таблица2[1],B231,Таблица2[K],"K")+SUMIFS(Таблица2[R],Таблица2[1],B231,Таблица2[K],"K"))/D231*100,"-"))</f>
        <v>-</v>
      </c>
      <c r="J231" s="77" t="str">
        <f>IF(IFERROR((COUNTIFS(Таблица2[1],B231,Таблица2[T],"t")+SUMIFS(Таблица2[R],Таблица2[1],B231,Таблица2[T],"t"))/D231*100,"-")=0,"-",IFERROR((COUNTIFS(Таблица2[1],B231,Таблица2[T],"t")+SUMIFS(Таблица2[R],Таблица2[1],B231,Таблица2[T],"t"))/D231*100,"-"))</f>
        <v>-</v>
      </c>
      <c r="K231" s="76" t="str">
        <f>IF(SUMIFS(Таблица2[KO$],Таблица2[1],B231)=0,"-",SUMIFS(Таблица2[KO$],Таблица2[1],B231))</f>
        <v>-</v>
      </c>
      <c r="L231" s="76" t="str">
        <f>IF(SUMIFS(Таблица2[WIN$],Таблица2[1],B231)=0,"-",SUMIFS(Таблица2[WIN$],Таблица2[1],B231))</f>
        <v>-</v>
      </c>
      <c r="M231" s="76" t="str">
        <f t="shared" si="14"/>
        <v>-</v>
      </c>
      <c r="N231" s="78" t="str">
        <f>IFERROR(Таблица46[[#This Row],[PROF]]/Таблица46[[#This Row],[Games]],"-")</f>
        <v>-</v>
      </c>
    </row>
    <row r="232" spans="1:14" ht="11.1" customHeight="1" x14ac:dyDescent="0.25">
      <c r="A232" s="93">
        <f t="shared" si="12"/>
        <v>146</v>
      </c>
      <c r="B232" s="113"/>
      <c r="C232"/>
      <c r="D232" s="117" t="str">
        <f>IF(COUNTIFS(Таблица2[1],B232)+SUMIFS(Таблица2[R],Таблица2[1],B232)=0,"",COUNTIFS(Таблица2[1],B232)+SUMIFS(Таблица2[R],Таблица2[1],B232))</f>
        <v/>
      </c>
      <c r="E232" s="76" t="str">
        <f>IF(SUMIFS(Таблица2[B$],Таблица2[1],B232)=0,"-",SUMIFS(Таблица2[B$],Таблица2[1],B232))</f>
        <v>-</v>
      </c>
      <c r="F232" s="77" t="str">
        <f>IFERROR(AVERAGEIFS(Таблица2[AFS],Таблица2[1],B232)+(AVERAGEIFS(Таблица2[AFS],Таблица2[1],B232)*0.2),"-")</f>
        <v>-</v>
      </c>
      <c r="G232" s="77" t="str">
        <f t="shared" si="13"/>
        <v>-</v>
      </c>
      <c r="H232" s="77" t="str">
        <f>IFERROR(COUNTIFS(Таблица2[1],B232,Таблица2[WIN$],"&gt;0")/D232*100,"-")</f>
        <v>-</v>
      </c>
      <c r="I232" s="77" t="str">
        <f>IF(IFERROR((COUNTIFS(Таблица2[1],B232,Таблица2[K],"K")+SUMIFS(Таблица2[R],Таблица2[1],B232,Таблица2[K],"K"))/D232*100,"-")=0,"-",IFERROR((COUNTIFS(Таблица2[1],B232,Таблица2[K],"K")+SUMIFS(Таблица2[R],Таблица2[1],B232,Таблица2[K],"K"))/D232*100,"-"))</f>
        <v>-</v>
      </c>
      <c r="J232" s="77" t="str">
        <f>IF(IFERROR((COUNTIFS(Таблица2[1],B232,Таблица2[T],"t")+SUMIFS(Таблица2[R],Таблица2[1],B232,Таблица2[T],"t"))/D232*100,"-")=0,"-",IFERROR((COUNTIFS(Таблица2[1],B232,Таблица2[T],"t")+SUMIFS(Таблица2[R],Таблица2[1],B232,Таблица2[T],"t"))/D232*100,"-"))</f>
        <v>-</v>
      </c>
      <c r="K232" s="76" t="str">
        <f>IF(SUMIFS(Таблица2[KO$],Таблица2[1],B232)=0,"-",SUMIFS(Таблица2[KO$],Таблица2[1],B232))</f>
        <v>-</v>
      </c>
      <c r="L232" s="76" t="str">
        <f>IF(SUMIFS(Таблица2[WIN$],Таблица2[1],B232)=0,"-",SUMIFS(Таблица2[WIN$],Таблица2[1],B232))</f>
        <v>-</v>
      </c>
      <c r="M232" s="76" t="str">
        <f t="shared" si="14"/>
        <v>-</v>
      </c>
      <c r="N232" s="78" t="str">
        <f>IFERROR(Таблица46[[#This Row],[PROF]]/Таблица46[[#This Row],[Games]],"-")</f>
        <v>-</v>
      </c>
    </row>
    <row r="233" spans="1:14" ht="11.1" customHeight="1" x14ac:dyDescent="0.25">
      <c r="A233" s="93">
        <f t="shared" si="12"/>
        <v>147</v>
      </c>
      <c r="B233" s="113"/>
      <c r="C233"/>
      <c r="D233" s="117" t="str">
        <f>IF(COUNTIFS(Таблица2[1],B233)+SUMIFS(Таблица2[R],Таблица2[1],B233)=0,"",COUNTIFS(Таблица2[1],B233)+SUMIFS(Таблица2[R],Таблица2[1],B233))</f>
        <v/>
      </c>
      <c r="E233" s="76" t="str">
        <f>IF(SUMIFS(Таблица2[B$],Таблица2[1],B233)=0,"-",SUMIFS(Таблица2[B$],Таблица2[1],B233))</f>
        <v>-</v>
      </c>
      <c r="F233" s="77" t="str">
        <f>IFERROR(AVERAGEIFS(Таблица2[AFS],Таблица2[1],B233)+(AVERAGEIFS(Таблица2[AFS],Таблица2[1],B233)*0.2),"-")</f>
        <v>-</v>
      </c>
      <c r="G233" s="77" t="str">
        <f t="shared" si="13"/>
        <v>-</v>
      </c>
      <c r="H233" s="77" t="str">
        <f>IFERROR(COUNTIFS(Таблица2[1],B233,Таблица2[WIN$],"&gt;0")/D233*100,"-")</f>
        <v>-</v>
      </c>
      <c r="I233" s="77" t="str">
        <f>IF(IFERROR((COUNTIFS(Таблица2[1],B233,Таблица2[K],"K")+SUMIFS(Таблица2[R],Таблица2[1],B233,Таблица2[K],"K"))/D233*100,"-")=0,"-",IFERROR((COUNTIFS(Таблица2[1],B233,Таблица2[K],"K")+SUMIFS(Таблица2[R],Таблица2[1],B233,Таблица2[K],"K"))/D233*100,"-"))</f>
        <v>-</v>
      </c>
      <c r="J233" s="77" t="str">
        <f>IF(IFERROR((COUNTIFS(Таблица2[1],B233,Таблица2[T],"t")+SUMIFS(Таблица2[R],Таблица2[1],B233,Таблица2[T],"t"))/D233*100,"-")=0,"-",IFERROR((COUNTIFS(Таблица2[1],B233,Таблица2[T],"t")+SUMIFS(Таблица2[R],Таблица2[1],B233,Таблица2[T],"t"))/D233*100,"-"))</f>
        <v>-</v>
      </c>
      <c r="K233" s="76" t="str">
        <f>IF(SUMIFS(Таблица2[KO$],Таблица2[1],B233)=0,"-",SUMIFS(Таблица2[KO$],Таблица2[1],B233))</f>
        <v>-</v>
      </c>
      <c r="L233" s="76" t="str">
        <f>IF(SUMIFS(Таблица2[WIN$],Таблица2[1],B233)=0,"-",SUMIFS(Таблица2[WIN$],Таблица2[1],B233))</f>
        <v>-</v>
      </c>
      <c r="M233" s="76" t="str">
        <f t="shared" si="14"/>
        <v>-</v>
      </c>
      <c r="N233" s="78" t="str">
        <f>IFERROR(Таблица46[[#This Row],[PROF]]/Таблица46[[#This Row],[Games]],"-")</f>
        <v>-</v>
      </c>
    </row>
    <row r="234" spans="1:14" ht="11.1" customHeight="1" x14ac:dyDescent="0.25">
      <c r="A234" s="93">
        <f t="shared" si="12"/>
        <v>148</v>
      </c>
      <c r="B234" s="113"/>
      <c r="C234"/>
      <c r="D234" s="117" t="str">
        <f>IF(COUNTIFS(Таблица2[1],B234)+SUMIFS(Таблица2[R],Таблица2[1],B234)=0,"",COUNTIFS(Таблица2[1],B234)+SUMIFS(Таблица2[R],Таблица2[1],B234))</f>
        <v/>
      </c>
      <c r="E234" s="76" t="str">
        <f>IF(SUMIFS(Таблица2[B$],Таблица2[1],B234)=0,"-",SUMIFS(Таблица2[B$],Таблица2[1],B234))</f>
        <v>-</v>
      </c>
      <c r="F234" s="77" t="str">
        <f>IFERROR(AVERAGEIFS(Таблица2[AFS],Таблица2[1],B234)+(AVERAGEIFS(Таблица2[AFS],Таблица2[1],B234)*0.2),"-")</f>
        <v>-</v>
      </c>
      <c r="G234" s="77" t="str">
        <f t="shared" si="13"/>
        <v>-</v>
      </c>
      <c r="H234" s="77" t="str">
        <f>IFERROR(COUNTIFS(Таблица2[1],B234,Таблица2[WIN$],"&gt;0")/D234*100,"-")</f>
        <v>-</v>
      </c>
      <c r="I234" s="77" t="str">
        <f>IF(IFERROR((COUNTIFS(Таблица2[1],B234,Таблица2[K],"K")+SUMIFS(Таблица2[R],Таблица2[1],B234,Таблица2[K],"K"))/D234*100,"-")=0,"-",IFERROR((COUNTIFS(Таблица2[1],B234,Таблица2[K],"K")+SUMIFS(Таблица2[R],Таблица2[1],B234,Таблица2[K],"K"))/D234*100,"-"))</f>
        <v>-</v>
      </c>
      <c r="J234" s="77" t="str">
        <f>IF(IFERROR((COUNTIFS(Таблица2[1],B234,Таблица2[T],"t")+SUMIFS(Таблица2[R],Таблица2[1],B234,Таблица2[T],"t"))/D234*100,"-")=0,"-",IFERROR((COUNTIFS(Таблица2[1],B234,Таблица2[T],"t")+SUMIFS(Таблица2[R],Таблица2[1],B234,Таблица2[T],"t"))/D234*100,"-"))</f>
        <v>-</v>
      </c>
      <c r="K234" s="76" t="str">
        <f>IF(SUMIFS(Таблица2[KO$],Таблица2[1],B234)=0,"-",SUMIFS(Таблица2[KO$],Таблица2[1],B234))</f>
        <v>-</v>
      </c>
      <c r="L234" s="76" t="str">
        <f>IF(SUMIFS(Таблица2[WIN$],Таблица2[1],B234)=0,"-",SUMIFS(Таблица2[WIN$],Таблица2[1],B234))</f>
        <v>-</v>
      </c>
      <c r="M234" s="76" t="str">
        <f t="shared" si="14"/>
        <v>-</v>
      </c>
      <c r="N234" s="78" t="str">
        <f>IFERROR(Таблица46[[#This Row],[PROF]]/Таблица46[[#This Row],[Games]],"-")</f>
        <v>-</v>
      </c>
    </row>
    <row r="235" spans="1:14" ht="11.1" customHeight="1" x14ac:dyDescent="0.25">
      <c r="A235" s="93">
        <f t="shared" si="12"/>
        <v>149</v>
      </c>
      <c r="B235" s="113"/>
      <c r="C235"/>
      <c r="D235" s="117" t="str">
        <f>IF(COUNTIFS(Таблица2[1],B235)+SUMIFS(Таблица2[R],Таблица2[1],B235)=0,"",COUNTIFS(Таблица2[1],B235)+SUMIFS(Таблица2[R],Таблица2[1],B235))</f>
        <v/>
      </c>
      <c r="E235" s="76" t="str">
        <f>IF(SUMIFS(Таблица2[B$],Таблица2[1],B235)=0,"-",SUMIFS(Таблица2[B$],Таблица2[1],B235))</f>
        <v>-</v>
      </c>
      <c r="F235" s="77" t="str">
        <f>IFERROR(AVERAGEIFS(Таблица2[AFS],Таблица2[1],B235)+(AVERAGEIFS(Таблица2[AFS],Таблица2[1],B235)*0.2),"-")</f>
        <v>-</v>
      </c>
      <c r="G235" s="77" t="str">
        <f t="shared" si="13"/>
        <v>-</v>
      </c>
      <c r="H235" s="77" t="str">
        <f>IFERROR(COUNTIFS(Таблица2[1],B235,Таблица2[WIN$],"&gt;0")/D235*100,"-")</f>
        <v>-</v>
      </c>
      <c r="I235" s="77" t="str">
        <f>IF(IFERROR((COUNTIFS(Таблица2[1],B235,Таблица2[K],"K")+SUMIFS(Таблица2[R],Таблица2[1],B235,Таблица2[K],"K"))/D235*100,"-")=0,"-",IFERROR((COUNTIFS(Таблица2[1],B235,Таблица2[K],"K")+SUMIFS(Таблица2[R],Таблица2[1],B235,Таблица2[K],"K"))/D235*100,"-"))</f>
        <v>-</v>
      </c>
      <c r="J235" s="77" t="str">
        <f>IF(IFERROR((COUNTIFS(Таблица2[1],B235,Таблица2[T],"t")+SUMIFS(Таблица2[R],Таблица2[1],B235,Таблица2[T],"t"))/D235*100,"-")=0,"-",IFERROR((COUNTIFS(Таблица2[1],B235,Таблица2[T],"t")+SUMIFS(Таблица2[R],Таблица2[1],B235,Таблица2[T],"t"))/D235*100,"-"))</f>
        <v>-</v>
      </c>
      <c r="K235" s="76" t="str">
        <f>IF(SUMIFS(Таблица2[KO$],Таблица2[1],B235)=0,"-",SUMIFS(Таблица2[KO$],Таблица2[1],B235))</f>
        <v>-</v>
      </c>
      <c r="L235" s="76" t="str">
        <f>IF(SUMIFS(Таблица2[WIN$],Таблица2[1],B235)=0,"-",SUMIFS(Таблица2[WIN$],Таблица2[1],B235))</f>
        <v>-</v>
      </c>
      <c r="M235" s="76" t="str">
        <f t="shared" si="14"/>
        <v>-</v>
      </c>
      <c r="N235" s="78" t="str">
        <f>IFERROR(Таблица46[[#This Row],[PROF]]/Таблица46[[#This Row],[Games]],"-")</f>
        <v>-</v>
      </c>
    </row>
    <row r="236" spans="1:14" ht="11.1" customHeight="1" x14ac:dyDescent="0.25">
      <c r="A236" s="93">
        <f t="shared" si="12"/>
        <v>150</v>
      </c>
      <c r="B236" s="113"/>
      <c r="C236"/>
      <c r="D236" s="117" t="str">
        <f>IF(COUNTIFS(Таблица2[1],B236)+SUMIFS(Таблица2[R],Таблица2[1],B236)=0,"",COUNTIFS(Таблица2[1],B236)+SUMIFS(Таблица2[R],Таблица2[1],B236))</f>
        <v/>
      </c>
      <c r="E236" s="76" t="str">
        <f>IF(SUMIFS(Таблица2[B$],Таблица2[1],B236)=0,"-",SUMIFS(Таблица2[B$],Таблица2[1],B236))</f>
        <v>-</v>
      </c>
      <c r="F236" s="77" t="str">
        <f>IFERROR(AVERAGEIFS(Таблица2[AFS],Таблица2[1],B236)+(AVERAGEIFS(Таблица2[AFS],Таблица2[1],B236)*0.2),"-")</f>
        <v>-</v>
      </c>
      <c r="G236" s="77" t="str">
        <f t="shared" si="13"/>
        <v>-</v>
      </c>
      <c r="H236" s="77" t="str">
        <f>IFERROR(COUNTIFS(Таблица2[1],B236,Таблица2[WIN$],"&gt;0")/D236*100,"-")</f>
        <v>-</v>
      </c>
      <c r="I236" s="77" t="str">
        <f>IF(IFERROR((COUNTIFS(Таблица2[1],B236,Таблица2[K],"K")+SUMIFS(Таблица2[R],Таблица2[1],B236,Таблица2[K],"K"))/D236*100,"-")=0,"-",IFERROR((COUNTIFS(Таблица2[1],B236,Таблица2[K],"K")+SUMIFS(Таблица2[R],Таблица2[1],B236,Таблица2[K],"K"))/D236*100,"-"))</f>
        <v>-</v>
      </c>
      <c r="J236" s="77" t="str">
        <f>IF(IFERROR((COUNTIFS(Таблица2[1],B236,Таблица2[T],"t")+SUMIFS(Таблица2[R],Таблица2[1],B236,Таблица2[T],"t"))/D236*100,"-")=0,"-",IFERROR((COUNTIFS(Таблица2[1],B236,Таблица2[T],"t")+SUMIFS(Таблица2[R],Таблица2[1],B236,Таблица2[T],"t"))/D236*100,"-"))</f>
        <v>-</v>
      </c>
      <c r="K236" s="76" t="str">
        <f>IF(SUMIFS(Таблица2[KO$],Таблица2[1],B236)=0,"-",SUMIFS(Таблица2[KO$],Таблица2[1],B236))</f>
        <v>-</v>
      </c>
      <c r="L236" s="76" t="str">
        <f>IF(SUMIFS(Таблица2[WIN$],Таблица2[1],B236)=0,"-",SUMIFS(Таблица2[WIN$],Таблица2[1],B236))</f>
        <v>-</v>
      </c>
      <c r="M236" s="76" t="str">
        <f t="shared" si="14"/>
        <v>-</v>
      </c>
      <c r="N236" s="78" t="str">
        <f>IFERROR(Таблица46[[#This Row],[PROF]]/Таблица46[[#This Row],[Games]],"-")</f>
        <v>-</v>
      </c>
    </row>
    <row r="237" spans="1:14" ht="11.1" customHeight="1" x14ac:dyDescent="0.25">
      <c r="A237" s="93">
        <f t="shared" si="12"/>
        <v>151</v>
      </c>
      <c r="B237" s="113"/>
      <c r="C237"/>
      <c r="D237" s="117" t="str">
        <f>IF(COUNTIFS(Таблица2[1],B237)+SUMIFS(Таблица2[R],Таблица2[1],B237)=0,"",COUNTIFS(Таблица2[1],B237)+SUMIFS(Таблица2[R],Таблица2[1],B237))</f>
        <v/>
      </c>
      <c r="E237" s="76" t="str">
        <f>IF(SUMIFS(Таблица2[B$],Таблица2[1],B237)=0,"-",SUMIFS(Таблица2[B$],Таблица2[1],B237))</f>
        <v>-</v>
      </c>
      <c r="F237" s="77" t="str">
        <f>IFERROR(AVERAGEIFS(Таблица2[AFS],Таблица2[1],B237)+(AVERAGEIFS(Таблица2[AFS],Таблица2[1],B237)*0.2),"-")</f>
        <v>-</v>
      </c>
      <c r="G237" s="77" t="str">
        <f t="shared" si="13"/>
        <v>-</v>
      </c>
      <c r="H237" s="77" t="str">
        <f>IFERROR(COUNTIFS(Таблица2[1],B237,Таблица2[WIN$],"&gt;0")/D237*100,"-")</f>
        <v>-</v>
      </c>
      <c r="I237" s="77" t="str">
        <f>IF(IFERROR((COUNTIFS(Таблица2[1],B237,Таблица2[K],"K")+SUMIFS(Таблица2[R],Таблица2[1],B237,Таблица2[K],"K"))/D237*100,"-")=0,"-",IFERROR((COUNTIFS(Таблица2[1],B237,Таблица2[K],"K")+SUMIFS(Таблица2[R],Таблица2[1],B237,Таблица2[K],"K"))/D237*100,"-"))</f>
        <v>-</v>
      </c>
      <c r="J237" s="77" t="str">
        <f>IF(IFERROR((COUNTIFS(Таблица2[1],B237,Таблица2[T],"t")+SUMIFS(Таблица2[R],Таблица2[1],B237,Таблица2[T],"t"))/D237*100,"-")=0,"-",IFERROR((COUNTIFS(Таблица2[1],B237,Таблица2[T],"t")+SUMIFS(Таблица2[R],Таблица2[1],B237,Таблица2[T],"t"))/D237*100,"-"))</f>
        <v>-</v>
      </c>
      <c r="K237" s="76" t="str">
        <f>IF(SUMIFS(Таблица2[KO$],Таблица2[1],B237)=0,"-",SUMIFS(Таблица2[KO$],Таблица2[1],B237))</f>
        <v>-</v>
      </c>
      <c r="L237" s="76" t="str">
        <f>IF(SUMIFS(Таблица2[WIN$],Таблица2[1],B237)=0,"-",SUMIFS(Таблица2[WIN$],Таблица2[1],B237))</f>
        <v>-</v>
      </c>
      <c r="M237" s="76" t="str">
        <f t="shared" si="14"/>
        <v>-</v>
      </c>
      <c r="N237" s="78" t="str">
        <f>IFERROR(Таблица46[[#This Row],[PROF]]/Таблица46[[#This Row],[Games]],"-")</f>
        <v>-</v>
      </c>
    </row>
    <row r="238" spans="1:14" ht="11.1" customHeight="1" x14ac:dyDescent="0.25">
      <c r="A238" s="93">
        <f t="shared" si="12"/>
        <v>152</v>
      </c>
      <c r="B238" s="113"/>
      <c r="C238"/>
      <c r="D238" s="117" t="str">
        <f>IF(COUNTIFS(Таблица2[1],B238)+SUMIFS(Таблица2[R],Таблица2[1],B238)=0,"",COUNTIFS(Таблица2[1],B238)+SUMIFS(Таблица2[R],Таблица2[1],B238))</f>
        <v/>
      </c>
      <c r="E238" s="76" t="str">
        <f>IF(SUMIFS(Таблица2[B$],Таблица2[1],B238)=0,"-",SUMIFS(Таблица2[B$],Таблица2[1],B238))</f>
        <v>-</v>
      </c>
      <c r="F238" s="77" t="str">
        <f>IFERROR(AVERAGEIFS(Таблица2[AFS],Таблица2[1],B238)+(AVERAGEIFS(Таблица2[AFS],Таблица2[1],B238)*0.2),"-")</f>
        <v>-</v>
      </c>
      <c r="G238" s="77" t="str">
        <f t="shared" si="13"/>
        <v>-</v>
      </c>
      <c r="H238" s="77" t="str">
        <f>IFERROR(COUNTIFS(Таблица2[1],B238,Таблица2[WIN$],"&gt;0")/D238*100,"-")</f>
        <v>-</v>
      </c>
      <c r="I238" s="77" t="str">
        <f>IF(IFERROR((COUNTIFS(Таблица2[1],B238,Таблица2[K],"K")+SUMIFS(Таблица2[R],Таблица2[1],B238,Таблица2[K],"K"))/D238*100,"-")=0,"-",IFERROR((COUNTIFS(Таблица2[1],B238,Таблица2[K],"K")+SUMIFS(Таблица2[R],Таблица2[1],B238,Таблица2[K],"K"))/D238*100,"-"))</f>
        <v>-</v>
      </c>
      <c r="J238" s="77" t="str">
        <f>IF(IFERROR((COUNTIFS(Таблица2[1],B238,Таблица2[T],"t")+SUMIFS(Таблица2[R],Таблица2[1],B238,Таблица2[T],"t"))/D238*100,"-")=0,"-",IFERROR((COUNTIFS(Таблица2[1],B238,Таблица2[T],"t")+SUMIFS(Таблица2[R],Таблица2[1],B238,Таблица2[T],"t"))/D238*100,"-"))</f>
        <v>-</v>
      </c>
      <c r="K238" s="76" t="str">
        <f>IF(SUMIFS(Таблица2[KO$],Таблица2[1],B238)=0,"-",SUMIFS(Таблица2[KO$],Таблица2[1],B238))</f>
        <v>-</v>
      </c>
      <c r="L238" s="76" t="str">
        <f>IF(SUMIFS(Таблица2[WIN$],Таблица2[1],B238)=0,"-",SUMIFS(Таблица2[WIN$],Таблица2[1],B238))</f>
        <v>-</v>
      </c>
      <c r="M238" s="76" t="str">
        <f t="shared" si="14"/>
        <v>-</v>
      </c>
      <c r="N238" s="78" t="str">
        <f>IFERROR(Таблица46[[#This Row],[PROF]]/Таблица46[[#This Row],[Games]],"-")</f>
        <v>-</v>
      </c>
    </row>
    <row r="239" spans="1:14" ht="11.1" customHeight="1" x14ac:dyDescent="0.25">
      <c r="A239" s="93">
        <f t="shared" si="12"/>
        <v>153</v>
      </c>
      <c r="B239" s="113"/>
      <c r="C239"/>
      <c r="D239" s="117" t="str">
        <f>IF(COUNTIFS(Таблица2[1],B239)+SUMIFS(Таблица2[R],Таблица2[1],B239)=0,"",COUNTIFS(Таблица2[1],B239)+SUMIFS(Таблица2[R],Таблица2[1],B239))</f>
        <v/>
      </c>
      <c r="E239" s="76" t="str">
        <f>IF(SUMIFS(Таблица2[B$],Таблица2[1],B239)=0,"-",SUMIFS(Таблица2[B$],Таблица2[1],B239))</f>
        <v>-</v>
      </c>
      <c r="F239" s="77" t="str">
        <f>IFERROR(AVERAGEIFS(Таблица2[AFS],Таблица2[1],B239)+(AVERAGEIFS(Таблица2[AFS],Таблица2[1],B239)*0.2),"-")</f>
        <v>-</v>
      </c>
      <c r="G239" s="77" t="str">
        <f t="shared" si="13"/>
        <v>-</v>
      </c>
      <c r="H239" s="77" t="str">
        <f>IFERROR(COUNTIFS(Таблица2[1],B239,Таблица2[WIN$],"&gt;0")/D239*100,"-")</f>
        <v>-</v>
      </c>
      <c r="I239" s="77" t="str">
        <f>IF(IFERROR((COUNTIFS(Таблица2[1],B239,Таблица2[K],"K")+SUMIFS(Таблица2[R],Таблица2[1],B239,Таблица2[K],"K"))/D239*100,"-")=0,"-",IFERROR((COUNTIFS(Таблица2[1],B239,Таблица2[K],"K")+SUMIFS(Таблица2[R],Таблица2[1],B239,Таблица2[K],"K"))/D239*100,"-"))</f>
        <v>-</v>
      </c>
      <c r="J239" s="77" t="str">
        <f>IF(IFERROR((COUNTIFS(Таблица2[1],B239,Таблица2[T],"t")+SUMIFS(Таблица2[R],Таблица2[1],B239,Таблица2[T],"t"))/D239*100,"-")=0,"-",IFERROR((COUNTIFS(Таблица2[1],B239,Таблица2[T],"t")+SUMIFS(Таблица2[R],Таблица2[1],B239,Таблица2[T],"t"))/D239*100,"-"))</f>
        <v>-</v>
      </c>
      <c r="K239" s="76" t="str">
        <f>IF(SUMIFS(Таблица2[KO$],Таблица2[1],B239)=0,"-",SUMIFS(Таблица2[KO$],Таблица2[1],B239))</f>
        <v>-</v>
      </c>
      <c r="L239" s="76" t="str">
        <f>IF(SUMIFS(Таблица2[WIN$],Таблица2[1],B239)=0,"-",SUMIFS(Таблица2[WIN$],Таблица2[1],B239))</f>
        <v>-</v>
      </c>
      <c r="M239" s="76" t="str">
        <f t="shared" si="14"/>
        <v>-</v>
      </c>
      <c r="N239" s="78" t="str">
        <f>IFERROR(Таблица46[[#This Row],[PROF]]/Таблица46[[#This Row],[Games]],"-")</f>
        <v>-</v>
      </c>
    </row>
    <row r="240" spans="1:14" ht="11.1" customHeight="1" x14ac:dyDescent="0.25">
      <c r="A240" s="93">
        <f t="shared" si="12"/>
        <v>154</v>
      </c>
      <c r="B240" s="113"/>
      <c r="C240"/>
      <c r="D240" s="117" t="str">
        <f>IF(COUNTIFS(Таблица2[1],B240)+SUMIFS(Таблица2[R],Таблица2[1],B240)=0,"",COUNTIFS(Таблица2[1],B240)+SUMIFS(Таблица2[R],Таблица2[1],B240))</f>
        <v/>
      </c>
      <c r="E240" s="76" t="str">
        <f>IF(SUMIFS(Таблица2[B$],Таблица2[1],B240)=0,"-",SUMIFS(Таблица2[B$],Таблица2[1],B240))</f>
        <v>-</v>
      </c>
      <c r="F240" s="77" t="str">
        <f>IFERROR(AVERAGEIFS(Таблица2[AFS],Таблица2[1],B240)+(AVERAGEIFS(Таблица2[AFS],Таблица2[1],B240)*0.2),"-")</f>
        <v>-</v>
      </c>
      <c r="G240" s="77" t="str">
        <f t="shared" si="13"/>
        <v>-</v>
      </c>
      <c r="H240" s="77" t="str">
        <f>IFERROR(COUNTIFS(Таблица2[1],B240,Таблица2[WIN$],"&gt;0")/D240*100,"-")</f>
        <v>-</v>
      </c>
      <c r="I240" s="77" t="str">
        <f>IF(IFERROR((COUNTIFS(Таблица2[1],B240,Таблица2[K],"K")+SUMIFS(Таблица2[R],Таблица2[1],B240,Таблица2[K],"K"))/D240*100,"-")=0,"-",IFERROR((COUNTIFS(Таблица2[1],B240,Таблица2[K],"K")+SUMIFS(Таблица2[R],Таблица2[1],B240,Таблица2[K],"K"))/D240*100,"-"))</f>
        <v>-</v>
      </c>
      <c r="J240" s="77" t="str">
        <f>IF(IFERROR((COUNTIFS(Таблица2[1],B240,Таблица2[T],"t")+SUMIFS(Таблица2[R],Таблица2[1],B240,Таблица2[T],"t"))/D240*100,"-")=0,"-",IFERROR((COUNTIFS(Таблица2[1],B240,Таблица2[T],"t")+SUMIFS(Таблица2[R],Таблица2[1],B240,Таблица2[T],"t"))/D240*100,"-"))</f>
        <v>-</v>
      </c>
      <c r="K240" s="76" t="str">
        <f>IF(SUMIFS(Таблица2[KO$],Таблица2[1],B240)=0,"-",SUMIFS(Таблица2[KO$],Таблица2[1],B240))</f>
        <v>-</v>
      </c>
      <c r="L240" s="76" t="str">
        <f>IF(SUMIFS(Таблица2[WIN$],Таблица2[1],B240)=0,"-",SUMIFS(Таблица2[WIN$],Таблица2[1],B240))</f>
        <v>-</v>
      </c>
      <c r="M240" s="76" t="str">
        <f t="shared" si="14"/>
        <v>-</v>
      </c>
      <c r="N240" s="78" t="str">
        <f>IFERROR(Таблица46[[#This Row],[PROF]]/Таблица46[[#This Row],[Games]],"-")</f>
        <v>-</v>
      </c>
    </row>
    <row r="241" spans="1:14" ht="11.1" customHeight="1" x14ac:dyDescent="0.25">
      <c r="A241" s="93">
        <f t="shared" si="12"/>
        <v>155</v>
      </c>
      <c r="B241" s="113"/>
      <c r="C241"/>
      <c r="D241" s="117" t="str">
        <f>IF(COUNTIFS(Таблица2[1],B241)+SUMIFS(Таблица2[R],Таблица2[1],B241)=0,"",COUNTIFS(Таблица2[1],B241)+SUMIFS(Таблица2[R],Таблица2[1],B241))</f>
        <v/>
      </c>
      <c r="E241" s="76" t="str">
        <f>IF(SUMIFS(Таблица2[B$],Таблица2[1],B241)=0,"-",SUMIFS(Таблица2[B$],Таблица2[1],B241))</f>
        <v>-</v>
      </c>
      <c r="F241" s="77" t="str">
        <f>IFERROR(AVERAGEIFS(Таблица2[AFS],Таблица2[1],B241)+(AVERAGEIFS(Таблица2[AFS],Таблица2[1],B241)*0.2),"-")</f>
        <v>-</v>
      </c>
      <c r="G241" s="77" t="str">
        <f t="shared" si="13"/>
        <v>-</v>
      </c>
      <c r="H241" s="77" t="str">
        <f>IFERROR(COUNTIFS(Таблица2[1],B241,Таблица2[WIN$],"&gt;0")/D241*100,"-")</f>
        <v>-</v>
      </c>
      <c r="I241" s="77" t="str">
        <f>IF(IFERROR((COUNTIFS(Таблица2[1],B241,Таблица2[K],"K")+SUMIFS(Таблица2[R],Таблица2[1],B241,Таблица2[K],"K"))/D241*100,"-")=0,"-",IFERROR((COUNTIFS(Таблица2[1],B241,Таблица2[K],"K")+SUMIFS(Таблица2[R],Таблица2[1],B241,Таблица2[K],"K"))/D241*100,"-"))</f>
        <v>-</v>
      </c>
      <c r="J241" s="77" t="str">
        <f>IF(IFERROR((COUNTIFS(Таблица2[1],B241,Таблица2[T],"t")+SUMIFS(Таблица2[R],Таблица2[1],B241,Таблица2[T],"t"))/D241*100,"-")=0,"-",IFERROR((COUNTIFS(Таблица2[1],B241,Таблица2[T],"t")+SUMIFS(Таблица2[R],Таблица2[1],B241,Таблица2[T],"t"))/D241*100,"-"))</f>
        <v>-</v>
      </c>
      <c r="K241" s="76" t="str">
        <f>IF(SUMIFS(Таблица2[KO$],Таблица2[1],B241)=0,"-",SUMIFS(Таблица2[KO$],Таблица2[1],B241))</f>
        <v>-</v>
      </c>
      <c r="L241" s="76" t="str">
        <f>IF(SUMIFS(Таблица2[WIN$],Таблица2[1],B241)=0,"-",SUMIFS(Таблица2[WIN$],Таблица2[1],B241))</f>
        <v>-</v>
      </c>
      <c r="M241" s="76" t="str">
        <f t="shared" si="14"/>
        <v>-</v>
      </c>
      <c r="N241" s="78" t="str">
        <f>IFERROR(Таблица46[[#This Row],[PROF]]/Таблица46[[#This Row],[Games]],"-")</f>
        <v>-</v>
      </c>
    </row>
    <row r="242" spans="1:14" ht="11.1" customHeight="1" x14ac:dyDescent="0.25">
      <c r="A242" s="93">
        <f t="shared" si="12"/>
        <v>156</v>
      </c>
      <c r="B242" s="113"/>
      <c r="C242"/>
      <c r="D242" s="117" t="str">
        <f>IF(COUNTIFS(Таблица2[1],B242)+SUMIFS(Таблица2[R],Таблица2[1],B242)=0,"",COUNTIFS(Таблица2[1],B242)+SUMIFS(Таблица2[R],Таблица2[1],B242))</f>
        <v/>
      </c>
      <c r="E242" s="76" t="str">
        <f>IF(SUMIFS(Таблица2[B$],Таблица2[1],B242)=0,"-",SUMIFS(Таблица2[B$],Таблица2[1],B242))</f>
        <v>-</v>
      </c>
      <c r="F242" s="77" t="str">
        <f>IFERROR(AVERAGEIFS(Таблица2[AFS],Таблица2[1],B242)+(AVERAGEIFS(Таблица2[AFS],Таблица2[1],B242)*0.2),"-")</f>
        <v>-</v>
      </c>
      <c r="G242" s="77" t="str">
        <f t="shared" si="13"/>
        <v>-</v>
      </c>
      <c r="H242" s="77" t="str">
        <f>IFERROR(COUNTIFS(Таблица2[1],B242,Таблица2[WIN$],"&gt;0")/D242*100,"-")</f>
        <v>-</v>
      </c>
      <c r="I242" s="77" t="str">
        <f>IF(IFERROR((COUNTIFS(Таблица2[1],B242,Таблица2[K],"K")+SUMIFS(Таблица2[R],Таблица2[1],B242,Таблица2[K],"K"))/D242*100,"-")=0,"-",IFERROR((COUNTIFS(Таблица2[1],B242,Таблица2[K],"K")+SUMIFS(Таблица2[R],Таблица2[1],B242,Таблица2[K],"K"))/D242*100,"-"))</f>
        <v>-</v>
      </c>
      <c r="J242" s="77" t="str">
        <f>IF(IFERROR((COUNTIFS(Таблица2[1],B242,Таблица2[T],"t")+SUMIFS(Таблица2[R],Таблица2[1],B242,Таблица2[T],"t"))/D242*100,"-")=0,"-",IFERROR((COUNTIFS(Таблица2[1],B242,Таблица2[T],"t")+SUMIFS(Таблица2[R],Таблица2[1],B242,Таблица2[T],"t"))/D242*100,"-"))</f>
        <v>-</v>
      </c>
      <c r="K242" s="76" t="str">
        <f>IF(SUMIFS(Таблица2[KO$],Таблица2[1],B242)=0,"-",SUMIFS(Таблица2[KO$],Таблица2[1],B242))</f>
        <v>-</v>
      </c>
      <c r="L242" s="76" t="str">
        <f>IF(SUMIFS(Таблица2[WIN$],Таблица2[1],B242)=0,"-",SUMIFS(Таблица2[WIN$],Таблица2[1],B242))</f>
        <v>-</v>
      </c>
      <c r="M242" s="76" t="str">
        <f t="shared" si="14"/>
        <v>-</v>
      </c>
      <c r="N242" s="78" t="str">
        <f>IFERROR(Таблица46[[#This Row],[PROF]]/Таблица46[[#This Row],[Games]],"-")</f>
        <v>-</v>
      </c>
    </row>
    <row r="243" spans="1:14" ht="11.1" customHeight="1" x14ac:dyDescent="0.25">
      <c r="A243" s="93">
        <f t="shared" si="12"/>
        <v>157</v>
      </c>
      <c r="B243" s="113"/>
      <c r="C243"/>
      <c r="D243" s="117" t="str">
        <f>IF(COUNTIFS(Таблица2[1],B243)+SUMIFS(Таблица2[R],Таблица2[1],B243)=0,"",COUNTIFS(Таблица2[1],B243)+SUMIFS(Таблица2[R],Таблица2[1],B243))</f>
        <v/>
      </c>
      <c r="E243" s="76" t="str">
        <f>IF(SUMIFS(Таблица2[B$],Таблица2[1],B243)=0,"-",SUMIFS(Таблица2[B$],Таблица2[1],B243))</f>
        <v>-</v>
      </c>
      <c r="F243" s="77" t="str">
        <f>IFERROR(AVERAGEIFS(Таблица2[AFS],Таблица2[1],B243)+(AVERAGEIFS(Таблица2[AFS],Таблица2[1],B243)*0.2),"-")</f>
        <v>-</v>
      </c>
      <c r="G243" s="77" t="str">
        <f t="shared" si="13"/>
        <v>-</v>
      </c>
      <c r="H243" s="77" t="str">
        <f>IFERROR(COUNTIFS(Таблица2[1],B243,Таблица2[WIN$],"&gt;0")/D243*100,"-")</f>
        <v>-</v>
      </c>
      <c r="I243" s="77" t="str">
        <f>IF(IFERROR((COUNTIFS(Таблица2[1],B243,Таблица2[K],"K")+SUMIFS(Таблица2[R],Таблица2[1],B243,Таблица2[K],"K"))/D243*100,"-")=0,"-",IFERROR((COUNTIFS(Таблица2[1],B243,Таблица2[K],"K")+SUMIFS(Таблица2[R],Таблица2[1],B243,Таблица2[K],"K"))/D243*100,"-"))</f>
        <v>-</v>
      </c>
      <c r="J243" s="77" t="str">
        <f>IF(IFERROR((COUNTIFS(Таблица2[1],B243,Таблица2[T],"t")+SUMIFS(Таблица2[R],Таблица2[1],B243,Таблица2[T],"t"))/D243*100,"-")=0,"-",IFERROR((COUNTIFS(Таблица2[1],B243,Таблица2[T],"t")+SUMIFS(Таблица2[R],Таблица2[1],B243,Таблица2[T],"t"))/D243*100,"-"))</f>
        <v>-</v>
      </c>
      <c r="K243" s="76" t="str">
        <f>IF(SUMIFS(Таблица2[KO$],Таблица2[1],B243)=0,"-",SUMIFS(Таблица2[KO$],Таблица2[1],B243))</f>
        <v>-</v>
      </c>
      <c r="L243" s="76" t="str">
        <f>IF(SUMIFS(Таблица2[WIN$],Таблица2[1],B243)=0,"-",SUMIFS(Таблица2[WIN$],Таблица2[1],B243))</f>
        <v>-</v>
      </c>
      <c r="M243" s="76" t="str">
        <f t="shared" si="14"/>
        <v>-</v>
      </c>
      <c r="N243" s="78" t="str">
        <f>IFERROR(Таблица46[[#This Row],[PROF]]/Таблица46[[#This Row],[Games]],"-")</f>
        <v>-</v>
      </c>
    </row>
    <row r="244" spans="1:14" ht="11.1" customHeight="1" x14ac:dyDescent="0.25">
      <c r="A244" s="93">
        <f t="shared" si="12"/>
        <v>158</v>
      </c>
      <c r="B244" s="113"/>
      <c r="C244"/>
      <c r="D244" s="117" t="str">
        <f>IF(COUNTIFS(Таблица2[1],B244)+SUMIFS(Таблица2[R],Таблица2[1],B244)=0,"",COUNTIFS(Таблица2[1],B244)+SUMIFS(Таблица2[R],Таблица2[1],B244))</f>
        <v/>
      </c>
      <c r="E244" s="76" t="str">
        <f>IF(SUMIFS(Таблица2[B$],Таблица2[1],B244)=0,"-",SUMIFS(Таблица2[B$],Таблица2[1],B244))</f>
        <v>-</v>
      </c>
      <c r="F244" s="77" t="str">
        <f>IFERROR(AVERAGEIFS(Таблица2[AFS],Таблица2[1],B244)+(AVERAGEIFS(Таблица2[AFS],Таблица2[1],B244)*0.2),"-")</f>
        <v>-</v>
      </c>
      <c r="G244" s="77" t="str">
        <f t="shared" si="13"/>
        <v>-</v>
      </c>
      <c r="H244" s="77" t="str">
        <f>IFERROR(COUNTIFS(Таблица2[1],B244,Таблица2[WIN$],"&gt;0")/D244*100,"-")</f>
        <v>-</v>
      </c>
      <c r="I244" s="77" t="str">
        <f>IF(IFERROR((COUNTIFS(Таблица2[1],B244,Таблица2[K],"K")+SUMIFS(Таблица2[R],Таблица2[1],B244,Таблица2[K],"K"))/D244*100,"-")=0,"-",IFERROR((COUNTIFS(Таблица2[1],B244,Таблица2[K],"K")+SUMIFS(Таблица2[R],Таблица2[1],B244,Таблица2[K],"K"))/D244*100,"-"))</f>
        <v>-</v>
      </c>
      <c r="J244" s="77" t="str">
        <f>IF(IFERROR((COUNTIFS(Таблица2[1],B244,Таблица2[T],"t")+SUMIFS(Таблица2[R],Таблица2[1],B244,Таблица2[T],"t"))/D244*100,"-")=0,"-",IFERROR((COUNTIFS(Таблица2[1],B244,Таблица2[T],"t")+SUMIFS(Таблица2[R],Таблица2[1],B244,Таблица2[T],"t"))/D244*100,"-"))</f>
        <v>-</v>
      </c>
      <c r="K244" s="76" t="str">
        <f>IF(SUMIFS(Таблица2[KO$],Таблица2[1],B244)=0,"-",SUMIFS(Таблица2[KO$],Таблица2[1],B244))</f>
        <v>-</v>
      </c>
      <c r="L244" s="76" t="str">
        <f>IF(SUMIFS(Таблица2[WIN$],Таблица2[1],B244)=0,"-",SUMIFS(Таблица2[WIN$],Таблица2[1],B244))</f>
        <v>-</v>
      </c>
      <c r="M244" s="76" t="str">
        <f t="shared" si="14"/>
        <v>-</v>
      </c>
      <c r="N244" s="78" t="str">
        <f>IFERROR(Таблица46[[#This Row],[PROF]]/Таблица46[[#This Row],[Games]],"-")</f>
        <v>-</v>
      </c>
    </row>
    <row r="245" spans="1:14" ht="11.1" customHeight="1" x14ac:dyDescent="0.25">
      <c r="A245" s="93">
        <f t="shared" si="12"/>
        <v>159</v>
      </c>
      <c r="B245" s="113"/>
      <c r="C245"/>
      <c r="D245" s="117" t="str">
        <f>IF(COUNTIFS(Таблица2[1],B245)+SUMIFS(Таблица2[R],Таблица2[1],B245)=0,"",COUNTIFS(Таблица2[1],B245)+SUMIFS(Таблица2[R],Таблица2[1],B245))</f>
        <v/>
      </c>
      <c r="E245" s="76" t="str">
        <f>IF(SUMIFS(Таблица2[B$],Таблица2[1],B245)=0,"-",SUMIFS(Таблица2[B$],Таблица2[1],B245))</f>
        <v>-</v>
      </c>
      <c r="F245" s="77" t="str">
        <f>IFERROR(AVERAGEIFS(Таблица2[AFS],Таблица2[1],B245)+(AVERAGEIFS(Таблица2[AFS],Таблица2[1],B245)*0.2),"-")</f>
        <v>-</v>
      </c>
      <c r="G245" s="77" t="str">
        <f t="shared" si="13"/>
        <v>-</v>
      </c>
      <c r="H245" s="77" t="str">
        <f>IFERROR(COUNTIFS(Таблица2[1],B245,Таблица2[WIN$],"&gt;0")/D245*100,"-")</f>
        <v>-</v>
      </c>
      <c r="I245" s="77" t="str">
        <f>IF(IFERROR((COUNTIFS(Таблица2[1],B245,Таблица2[K],"K")+SUMIFS(Таблица2[R],Таблица2[1],B245,Таблица2[K],"K"))/D245*100,"-")=0,"-",IFERROR((COUNTIFS(Таблица2[1],B245,Таблица2[K],"K")+SUMIFS(Таблица2[R],Таблица2[1],B245,Таблица2[K],"K"))/D245*100,"-"))</f>
        <v>-</v>
      </c>
      <c r="J245" s="77" t="str">
        <f>IF(IFERROR((COUNTIFS(Таблица2[1],B245,Таблица2[T],"t")+SUMIFS(Таблица2[R],Таблица2[1],B245,Таблица2[T],"t"))/D245*100,"-")=0,"-",IFERROR((COUNTIFS(Таблица2[1],B245,Таблица2[T],"t")+SUMIFS(Таблица2[R],Таблица2[1],B245,Таблица2[T],"t"))/D245*100,"-"))</f>
        <v>-</v>
      </c>
      <c r="K245" s="76" t="str">
        <f>IF(SUMIFS(Таблица2[KO$],Таблица2[1],B245)=0,"-",SUMIFS(Таблица2[KO$],Таблица2[1],B245))</f>
        <v>-</v>
      </c>
      <c r="L245" s="76" t="str">
        <f>IF(SUMIFS(Таблица2[WIN$],Таблица2[1],B245)=0,"-",SUMIFS(Таблица2[WIN$],Таблица2[1],B245))</f>
        <v>-</v>
      </c>
      <c r="M245" s="76" t="str">
        <f t="shared" si="14"/>
        <v>-</v>
      </c>
      <c r="N245" s="78" t="str">
        <f>IFERROR(Таблица46[[#This Row],[PROF]]/Таблица46[[#This Row],[Games]],"-")</f>
        <v>-</v>
      </c>
    </row>
    <row r="246" spans="1:14" ht="11.1" customHeight="1" x14ac:dyDescent="0.25">
      <c r="A246" s="93">
        <f t="shared" si="12"/>
        <v>160</v>
      </c>
      <c r="B246" s="113"/>
      <c r="C246"/>
      <c r="D246" s="117" t="str">
        <f>IF(COUNTIFS(Таблица2[1],B246)+SUMIFS(Таблица2[R],Таблица2[1],B246)=0,"",COUNTIFS(Таблица2[1],B246)+SUMIFS(Таблица2[R],Таблица2[1],B246))</f>
        <v/>
      </c>
      <c r="E246" s="76" t="str">
        <f>IF(SUMIFS(Таблица2[B$],Таблица2[1],B246)=0,"-",SUMIFS(Таблица2[B$],Таблица2[1],B246))</f>
        <v>-</v>
      </c>
      <c r="F246" s="77" t="str">
        <f>IFERROR(AVERAGEIFS(Таблица2[AFS],Таблица2[1],B246)+(AVERAGEIFS(Таблица2[AFS],Таблица2[1],B246)*0.2),"-")</f>
        <v>-</v>
      </c>
      <c r="G246" s="77" t="str">
        <f t="shared" si="13"/>
        <v>-</v>
      </c>
      <c r="H246" s="77" t="str">
        <f>IFERROR(COUNTIFS(Таблица2[1],B246,Таблица2[WIN$],"&gt;0")/D246*100,"-")</f>
        <v>-</v>
      </c>
      <c r="I246" s="77" t="str">
        <f>IF(IFERROR((COUNTIFS(Таблица2[1],B246,Таблица2[K],"K")+SUMIFS(Таблица2[R],Таблица2[1],B246,Таблица2[K],"K"))/D246*100,"-")=0,"-",IFERROR((COUNTIFS(Таблица2[1],B246,Таблица2[K],"K")+SUMIFS(Таблица2[R],Таблица2[1],B246,Таблица2[K],"K"))/D246*100,"-"))</f>
        <v>-</v>
      </c>
      <c r="J246" s="77" t="str">
        <f>IF(IFERROR((COUNTIFS(Таблица2[1],B246,Таблица2[T],"t")+SUMIFS(Таблица2[R],Таблица2[1],B246,Таблица2[T],"t"))/D246*100,"-")=0,"-",IFERROR((COUNTIFS(Таблица2[1],B246,Таблица2[T],"t")+SUMIFS(Таблица2[R],Таблица2[1],B246,Таблица2[T],"t"))/D246*100,"-"))</f>
        <v>-</v>
      </c>
      <c r="K246" s="76" t="str">
        <f>IF(SUMIFS(Таблица2[KO$],Таблица2[1],B246)=0,"-",SUMIFS(Таблица2[KO$],Таблица2[1],B246))</f>
        <v>-</v>
      </c>
      <c r="L246" s="76" t="str">
        <f>IF(SUMIFS(Таблица2[WIN$],Таблица2[1],B246)=0,"-",SUMIFS(Таблица2[WIN$],Таблица2[1],B246))</f>
        <v>-</v>
      </c>
      <c r="M246" s="76" t="str">
        <f t="shared" si="14"/>
        <v>-</v>
      </c>
      <c r="N246" s="78" t="str">
        <f>IFERROR(Таблица46[[#This Row],[PROF]]/Таблица46[[#This Row],[Games]],"-")</f>
        <v>-</v>
      </c>
    </row>
    <row r="247" spans="1:14" ht="11.1" customHeight="1" x14ac:dyDescent="0.25">
      <c r="A247" s="93">
        <f t="shared" si="12"/>
        <v>161</v>
      </c>
      <c r="B247" s="113"/>
      <c r="C247"/>
      <c r="D247" s="117" t="str">
        <f>IF(COUNTIFS(Таблица2[1],B247)+SUMIFS(Таблица2[R],Таблица2[1],B247)=0,"",COUNTIFS(Таблица2[1],B247)+SUMIFS(Таблица2[R],Таблица2[1],B247))</f>
        <v/>
      </c>
      <c r="E247" s="76" t="str">
        <f>IF(SUMIFS(Таблица2[B$],Таблица2[1],B247)=0,"-",SUMIFS(Таблица2[B$],Таблица2[1],B247))</f>
        <v>-</v>
      </c>
      <c r="F247" s="77" t="str">
        <f>IFERROR(AVERAGEIFS(Таблица2[AFS],Таблица2[1],B247)+(AVERAGEIFS(Таблица2[AFS],Таблица2[1],B247)*0.2),"-")</f>
        <v>-</v>
      </c>
      <c r="G247" s="77" t="str">
        <f t="shared" si="13"/>
        <v>-</v>
      </c>
      <c r="H247" s="77" t="str">
        <f>IFERROR(COUNTIFS(Таблица2[1],B247,Таблица2[WIN$],"&gt;0")/D247*100,"-")</f>
        <v>-</v>
      </c>
      <c r="I247" s="77" t="str">
        <f>IF(IFERROR((COUNTIFS(Таблица2[1],B247,Таблица2[K],"K")+SUMIFS(Таблица2[R],Таблица2[1],B247,Таблица2[K],"K"))/D247*100,"-")=0,"-",IFERROR((COUNTIFS(Таблица2[1],B247,Таблица2[K],"K")+SUMIFS(Таблица2[R],Таблица2[1],B247,Таблица2[K],"K"))/D247*100,"-"))</f>
        <v>-</v>
      </c>
      <c r="J247" s="77" t="str">
        <f>IF(IFERROR((COUNTIFS(Таблица2[1],B247,Таблица2[T],"t")+SUMIFS(Таблица2[R],Таблица2[1],B247,Таблица2[T],"t"))/D247*100,"-")=0,"-",IFERROR((COUNTIFS(Таблица2[1],B247,Таблица2[T],"t")+SUMIFS(Таблица2[R],Таблица2[1],B247,Таблица2[T],"t"))/D247*100,"-"))</f>
        <v>-</v>
      </c>
      <c r="K247" s="76" t="str">
        <f>IF(SUMIFS(Таблица2[KO$],Таблица2[1],B247)=0,"-",SUMIFS(Таблица2[KO$],Таблица2[1],B247))</f>
        <v>-</v>
      </c>
      <c r="L247" s="76" t="str">
        <f>IF(SUMIFS(Таблица2[WIN$],Таблица2[1],B247)=0,"-",SUMIFS(Таблица2[WIN$],Таблица2[1],B247))</f>
        <v>-</v>
      </c>
      <c r="M247" s="76" t="str">
        <f t="shared" si="14"/>
        <v>-</v>
      </c>
      <c r="N247" s="78" t="str">
        <f>IFERROR(Таблица46[[#This Row],[PROF]]/Таблица46[[#This Row],[Games]],"-")</f>
        <v>-</v>
      </c>
    </row>
    <row r="248" spans="1:14" ht="11.1" customHeight="1" x14ac:dyDescent="0.25">
      <c r="A248" s="93">
        <f t="shared" si="12"/>
        <v>162</v>
      </c>
      <c r="B248" s="113"/>
      <c r="C248"/>
      <c r="D248" s="117" t="str">
        <f>IF(COUNTIFS(Таблица2[1],B248)+SUMIFS(Таблица2[R],Таблица2[1],B248)=0,"",COUNTIFS(Таблица2[1],B248)+SUMIFS(Таблица2[R],Таблица2[1],B248))</f>
        <v/>
      </c>
      <c r="E248" s="76" t="str">
        <f>IF(SUMIFS(Таблица2[B$],Таблица2[1],B248)=0,"-",SUMIFS(Таблица2[B$],Таблица2[1],B248))</f>
        <v>-</v>
      </c>
      <c r="F248" s="77" t="str">
        <f>IFERROR(AVERAGEIFS(Таблица2[AFS],Таблица2[1],B248)+(AVERAGEIFS(Таблица2[AFS],Таблица2[1],B248)*0.2),"-")</f>
        <v>-</v>
      </c>
      <c r="G248" s="77" t="str">
        <f t="shared" si="13"/>
        <v>-</v>
      </c>
      <c r="H248" s="77" t="str">
        <f>IFERROR(COUNTIFS(Таблица2[1],B248,Таблица2[WIN$],"&gt;0")/D248*100,"-")</f>
        <v>-</v>
      </c>
      <c r="I248" s="77" t="str">
        <f>IF(IFERROR((COUNTIFS(Таблица2[1],B248,Таблица2[K],"K")+SUMIFS(Таблица2[R],Таблица2[1],B248,Таблица2[K],"K"))/D248*100,"-")=0,"-",IFERROR((COUNTIFS(Таблица2[1],B248,Таблица2[K],"K")+SUMIFS(Таблица2[R],Таблица2[1],B248,Таблица2[K],"K"))/D248*100,"-"))</f>
        <v>-</v>
      </c>
      <c r="J248" s="77" t="str">
        <f>IF(IFERROR((COUNTIFS(Таблица2[1],B248,Таблица2[T],"t")+SUMIFS(Таблица2[R],Таблица2[1],B248,Таблица2[T],"t"))/D248*100,"-")=0,"-",IFERROR((COUNTIFS(Таблица2[1],B248,Таблица2[T],"t")+SUMIFS(Таблица2[R],Таблица2[1],B248,Таблица2[T],"t"))/D248*100,"-"))</f>
        <v>-</v>
      </c>
      <c r="K248" s="76" t="str">
        <f>IF(SUMIFS(Таблица2[KO$],Таблица2[1],B248)=0,"-",SUMIFS(Таблица2[KO$],Таблица2[1],B248))</f>
        <v>-</v>
      </c>
      <c r="L248" s="76" t="str">
        <f>IF(SUMIFS(Таблица2[WIN$],Таблица2[1],B248)=0,"-",SUMIFS(Таблица2[WIN$],Таблица2[1],B248))</f>
        <v>-</v>
      </c>
      <c r="M248" s="76" t="str">
        <f t="shared" si="14"/>
        <v>-</v>
      </c>
      <c r="N248" s="78" t="str">
        <f>IFERROR(Таблица46[[#This Row],[PROF]]/Таблица46[[#This Row],[Games]],"-")</f>
        <v>-</v>
      </c>
    </row>
    <row r="249" spans="1:14" ht="11.1" customHeight="1" x14ac:dyDescent="0.25">
      <c r="A249" s="93">
        <f t="shared" si="12"/>
        <v>163</v>
      </c>
      <c r="B249" s="113"/>
      <c r="C249"/>
      <c r="D249" s="117" t="str">
        <f>IF(COUNTIFS(Таблица2[1],B249)+SUMIFS(Таблица2[R],Таблица2[1],B249)=0,"",COUNTIFS(Таблица2[1],B249)+SUMIFS(Таблица2[R],Таблица2[1],B249))</f>
        <v/>
      </c>
      <c r="E249" s="76" t="str">
        <f>IF(SUMIFS(Таблица2[B$],Таблица2[1],B249)=0,"-",SUMIFS(Таблица2[B$],Таблица2[1],B249))</f>
        <v>-</v>
      </c>
      <c r="F249" s="77" t="str">
        <f>IFERROR(AVERAGEIFS(Таблица2[AFS],Таблица2[1],B249)+(AVERAGEIFS(Таблица2[AFS],Таблица2[1],B249)*0.2),"-")</f>
        <v>-</v>
      </c>
      <c r="G249" s="77" t="str">
        <f t="shared" si="13"/>
        <v>-</v>
      </c>
      <c r="H249" s="77" t="str">
        <f>IFERROR(COUNTIFS(Таблица2[1],B249,Таблица2[WIN$],"&gt;0")/D249*100,"-")</f>
        <v>-</v>
      </c>
      <c r="I249" s="77" t="str">
        <f>IF(IFERROR((COUNTIFS(Таблица2[1],B249,Таблица2[K],"K")+SUMIFS(Таблица2[R],Таблица2[1],B249,Таблица2[K],"K"))/D249*100,"-")=0,"-",IFERROR((COUNTIFS(Таблица2[1],B249,Таблица2[K],"K")+SUMIFS(Таблица2[R],Таблица2[1],B249,Таблица2[K],"K"))/D249*100,"-"))</f>
        <v>-</v>
      </c>
      <c r="J249" s="77" t="str">
        <f>IF(IFERROR((COUNTIFS(Таблица2[1],B249,Таблица2[T],"t")+SUMIFS(Таблица2[R],Таблица2[1],B249,Таблица2[T],"t"))/D249*100,"-")=0,"-",IFERROR((COUNTIFS(Таблица2[1],B249,Таблица2[T],"t")+SUMIFS(Таблица2[R],Таблица2[1],B249,Таблица2[T],"t"))/D249*100,"-"))</f>
        <v>-</v>
      </c>
      <c r="K249" s="76" t="str">
        <f>IF(SUMIFS(Таблица2[KO$],Таблица2[1],B249)=0,"-",SUMIFS(Таблица2[KO$],Таблица2[1],B249))</f>
        <v>-</v>
      </c>
      <c r="L249" s="76" t="str">
        <f>IF(SUMIFS(Таблица2[WIN$],Таблица2[1],B249)=0,"-",SUMIFS(Таблица2[WIN$],Таблица2[1],B249))</f>
        <v>-</v>
      </c>
      <c r="M249" s="76" t="str">
        <f t="shared" si="14"/>
        <v>-</v>
      </c>
      <c r="N249" s="78" t="str">
        <f>IFERROR(Таблица46[[#This Row],[PROF]]/Таблица46[[#This Row],[Games]],"-")</f>
        <v>-</v>
      </c>
    </row>
    <row r="250" spans="1:14" ht="11.1" customHeight="1" x14ac:dyDescent="0.25">
      <c r="A250" s="93">
        <f t="shared" si="12"/>
        <v>164</v>
      </c>
      <c r="B250" s="113"/>
      <c r="C250"/>
      <c r="D250" s="117" t="str">
        <f>IF(COUNTIFS(Таблица2[1],B250)+SUMIFS(Таблица2[R],Таблица2[1],B250)=0,"",COUNTIFS(Таблица2[1],B250)+SUMIFS(Таблица2[R],Таблица2[1],B250))</f>
        <v/>
      </c>
      <c r="E250" s="76" t="str">
        <f>IF(SUMIFS(Таблица2[B$],Таблица2[1],B250)=0,"-",SUMIFS(Таблица2[B$],Таблица2[1],B250))</f>
        <v>-</v>
      </c>
      <c r="F250" s="77" t="str">
        <f>IFERROR(AVERAGEIFS(Таблица2[AFS],Таблица2[1],B250)+(AVERAGEIFS(Таблица2[AFS],Таблица2[1],B250)*0.2),"-")</f>
        <v>-</v>
      </c>
      <c r="G250" s="77" t="str">
        <f t="shared" si="13"/>
        <v>-</v>
      </c>
      <c r="H250" s="77" t="str">
        <f>IFERROR(COUNTIFS(Таблица2[1],B250,Таблица2[WIN$],"&gt;0")/D250*100,"-")</f>
        <v>-</v>
      </c>
      <c r="I250" s="77" t="str">
        <f>IF(IFERROR((COUNTIFS(Таблица2[1],B250,Таблица2[K],"K")+SUMIFS(Таблица2[R],Таблица2[1],B250,Таблица2[K],"K"))/D250*100,"-")=0,"-",IFERROR((COUNTIFS(Таблица2[1],B250,Таблица2[K],"K")+SUMIFS(Таблица2[R],Таблица2[1],B250,Таблица2[K],"K"))/D250*100,"-"))</f>
        <v>-</v>
      </c>
      <c r="J250" s="77" t="str">
        <f>IF(IFERROR((COUNTIFS(Таблица2[1],B250,Таблица2[T],"t")+SUMIFS(Таблица2[R],Таблица2[1],B250,Таблица2[T],"t"))/D250*100,"-")=0,"-",IFERROR((COUNTIFS(Таблица2[1],B250,Таблица2[T],"t")+SUMIFS(Таблица2[R],Таблица2[1],B250,Таблица2[T],"t"))/D250*100,"-"))</f>
        <v>-</v>
      </c>
      <c r="K250" s="76" t="str">
        <f>IF(SUMIFS(Таблица2[KO$],Таблица2[1],B250)=0,"-",SUMIFS(Таблица2[KO$],Таблица2[1],B250))</f>
        <v>-</v>
      </c>
      <c r="L250" s="76" t="str">
        <f>IF(SUMIFS(Таблица2[WIN$],Таблица2[1],B250)=0,"-",SUMIFS(Таблица2[WIN$],Таблица2[1],B250))</f>
        <v>-</v>
      </c>
      <c r="M250" s="76" t="str">
        <f t="shared" si="14"/>
        <v>-</v>
      </c>
      <c r="N250" s="78" t="str">
        <f>IFERROR(Таблица46[[#This Row],[PROF]]/Таблица46[[#This Row],[Games]],"-")</f>
        <v>-</v>
      </c>
    </row>
    <row r="251" spans="1:14" ht="11.1" customHeight="1" x14ac:dyDescent="0.25">
      <c r="A251" s="93">
        <f t="shared" si="12"/>
        <v>165</v>
      </c>
      <c r="B251" s="113"/>
      <c r="C251"/>
      <c r="D251" s="117" t="str">
        <f>IF(COUNTIFS(Таблица2[1],B251)+SUMIFS(Таблица2[R],Таблица2[1],B251)=0,"",COUNTIFS(Таблица2[1],B251)+SUMIFS(Таблица2[R],Таблица2[1],B251))</f>
        <v/>
      </c>
      <c r="E251" s="76" t="str">
        <f>IF(SUMIFS(Таблица2[B$],Таблица2[1],B251)=0,"-",SUMIFS(Таблица2[B$],Таблица2[1],B251))</f>
        <v>-</v>
      </c>
      <c r="F251" s="77" t="str">
        <f>IFERROR(AVERAGEIFS(Таблица2[AFS],Таблица2[1],B251)+(AVERAGEIFS(Таблица2[AFS],Таблица2[1],B251)*0.2),"-")</f>
        <v>-</v>
      </c>
      <c r="G251" s="77" t="str">
        <f t="shared" si="13"/>
        <v>-</v>
      </c>
      <c r="H251" s="77" t="str">
        <f>IFERROR(COUNTIFS(Таблица2[1],B251,Таблица2[WIN$],"&gt;0")/D251*100,"-")</f>
        <v>-</v>
      </c>
      <c r="I251" s="77" t="str">
        <f>IF(IFERROR((COUNTIFS(Таблица2[1],B251,Таблица2[K],"K")+SUMIFS(Таблица2[R],Таблица2[1],B251,Таблица2[K],"K"))/D251*100,"-")=0,"-",IFERROR((COUNTIFS(Таблица2[1],B251,Таблица2[K],"K")+SUMIFS(Таблица2[R],Таблица2[1],B251,Таблица2[K],"K"))/D251*100,"-"))</f>
        <v>-</v>
      </c>
      <c r="J251" s="77" t="str">
        <f>IF(IFERROR((COUNTIFS(Таблица2[1],B251,Таблица2[T],"t")+SUMIFS(Таблица2[R],Таблица2[1],B251,Таблица2[T],"t"))/D251*100,"-")=0,"-",IFERROR((COUNTIFS(Таблица2[1],B251,Таблица2[T],"t")+SUMIFS(Таблица2[R],Таблица2[1],B251,Таблица2[T],"t"))/D251*100,"-"))</f>
        <v>-</v>
      </c>
      <c r="K251" s="76" t="str">
        <f>IF(SUMIFS(Таблица2[KO$],Таблица2[1],B251)=0,"-",SUMIFS(Таблица2[KO$],Таблица2[1],B251))</f>
        <v>-</v>
      </c>
      <c r="L251" s="76" t="str">
        <f>IF(SUMIFS(Таблица2[WIN$],Таблица2[1],B251)=0,"-",SUMIFS(Таблица2[WIN$],Таблица2[1],B251))</f>
        <v>-</v>
      </c>
      <c r="M251" s="76" t="str">
        <f t="shared" si="14"/>
        <v>-</v>
      </c>
      <c r="N251" s="78" t="str">
        <f>IFERROR(Таблица46[[#This Row],[PROF]]/Таблица46[[#This Row],[Games]],"-")</f>
        <v>-</v>
      </c>
    </row>
    <row r="252" spans="1:14" ht="11.1" customHeight="1" x14ac:dyDescent="0.25">
      <c r="A252" s="93">
        <f t="shared" si="12"/>
        <v>166</v>
      </c>
      <c r="B252" s="113"/>
      <c r="C252"/>
      <c r="D252" s="117" t="str">
        <f>IF(COUNTIFS(Таблица2[1],B252)+SUMIFS(Таблица2[R],Таблица2[1],B252)=0,"",COUNTIFS(Таблица2[1],B252)+SUMIFS(Таблица2[R],Таблица2[1],B252))</f>
        <v/>
      </c>
      <c r="E252" s="76" t="str">
        <f>IF(SUMIFS(Таблица2[B$],Таблица2[1],B252)=0,"-",SUMIFS(Таблица2[B$],Таблица2[1],B252))</f>
        <v>-</v>
      </c>
      <c r="F252" s="77" t="str">
        <f>IFERROR(AVERAGEIFS(Таблица2[AFS],Таблица2[1],B252)+(AVERAGEIFS(Таблица2[AFS],Таблица2[1],B252)*0.2),"-")</f>
        <v>-</v>
      </c>
      <c r="G252" s="77" t="str">
        <f t="shared" si="13"/>
        <v>-</v>
      </c>
      <c r="H252" s="77" t="str">
        <f>IFERROR(COUNTIFS(Таблица2[1],B252,Таблица2[WIN$],"&gt;0")/D252*100,"-")</f>
        <v>-</v>
      </c>
      <c r="I252" s="77" t="str">
        <f>IF(IFERROR((COUNTIFS(Таблица2[1],B252,Таблица2[K],"K")+SUMIFS(Таблица2[R],Таблица2[1],B252,Таблица2[K],"K"))/D252*100,"-")=0,"-",IFERROR((COUNTIFS(Таблица2[1],B252,Таблица2[K],"K")+SUMIFS(Таблица2[R],Таблица2[1],B252,Таблица2[K],"K"))/D252*100,"-"))</f>
        <v>-</v>
      </c>
      <c r="J252" s="77" t="str">
        <f>IF(IFERROR((COUNTIFS(Таблица2[1],B252,Таблица2[T],"t")+SUMIFS(Таблица2[R],Таблица2[1],B252,Таблица2[T],"t"))/D252*100,"-")=0,"-",IFERROR((COUNTIFS(Таблица2[1],B252,Таблица2[T],"t")+SUMIFS(Таблица2[R],Таблица2[1],B252,Таблица2[T],"t"))/D252*100,"-"))</f>
        <v>-</v>
      </c>
      <c r="K252" s="76" t="str">
        <f>IF(SUMIFS(Таблица2[KO$],Таблица2[1],B252)=0,"-",SUMIFS(Таблица2[KO$],Таблица2[1],B252))</f>
        <v>-</v>
      </c>
      <c r="L252" s="76" t="str">
        <f>IF(SUMIFS(Таблица2[WIN$],Таблица2[1],B252)=0,"-",SUMIFS(Таблица2[WIN$],Таблица2[1],B252))</f>
        <v>-</v>
      </c>
      <c r="M252" s="76" t="str">
        <f t="shared" si="14"/>
        <v>-</v>
      </c>
      <c r="N252" s="78" t="str">
        <f>IFERROR(Таблица46[[#This Row],[PROF]]/Таблица46[[#This Row],[Games]],"-")</f>
        <v>-</v>
      </c>
    </row>
    <row r="253" spans="1:14" ht="11.1" customHeight="1" x14ac:dyDescent="0.25">
      <c r="A253" s="93">
        <f t="shared" si="12"/>
        <v>167</v>
      </c>
      <c r="B253" s="113"/>
      <c r="C253"/>
      <c r="D253" s="117" t="str">
        <f>IF(COUNTIFS(Таблица2[1],B253)+SUMIFS(Таблица2[R],Таблица2[1],B253)=0,"",COUNTIFS(Таблица2[1],B253)+SUMIFS(Таблица2[R],Таблица2[1],B253))</f>
        <v/>
      </c>
      <c r="E253" s="76" t="str">
        <f>IF(SUMIFS(Таблица2[B$],Таблица2[1],B253)=0,"-",SUMIFS(Таблица2[B$],Таблица2[1],B253))</f>
        <v>-</v>
      </c>
      <c r="F253" s="77" t="str">
        <f>IFERROR(AVERAGEIFS(Таблица2[AFS],Таблица2[1],B253)+(AVERAGEIFS(Таблица2[AFS],Таблица2[1],B253)*0.2),"-")</f>
        <v>-</v>
      </c>
      <c r="G253" s="77" t="str">
        <f t="shared" si="13"/>
        <v>-</v>
      </c>
      <c r="H253" s="77" t="str">
        <f>IFERROR(COUNTIFS(Таблица2[1],B253,Таблица2[WIN$],"&gt;0")/D253*100,"-")</f>
        <v>-</v>
      </c>
      <c r="I253" s="77" t="str">
        <f>IF(IFERROR((COUNTIFS(Таблица2[1],B253,Таблица2[K],"K")+SUMIFS(Таблица2[R],Таблица2[1],B253,Таблица2[K],"K"))/D253*100,"-")=0,"-",IFERROR((COUNTIFS(Таблица2[1],B253,Таблица2[K],"K")+SUMIFS(Таблица2[R],Таблица2[1],B253,Таблица2[K],"K"))/D253*100,"-"))</f>
        <v>-</v>
      </c>
      <c r="J253" s="77" t="str">
        <f>IF(IFERROR((COUNTIFS(Таблица2[1],B253,Таблица2[T],"t")+SUMIFS(Таблица2[R],Таблица2[1],B253,Таблица2[T],"t"))/D253*100,"-")=0,"-",IFERROR((COUNTIFS(Таблица2[1],B253,Таблица2[T],"t")+SUMIFS(Таблица2[R],Таблица2[1],B253,Таблица2[T],"t"))/D253*100,"-"))</f>
        <v>-</v>
      </c>
      <c r="K253" s="76" t="str">
        <f>IF(SUMIFS(Таблица2[KO$],Таблица2[1],B253)=0,"-",SUMIFS(Таблица2[KO$],Таблица2[1],B253))</f>
        <v>-</v>
      </c>
      <c r="L253" s="76" t="str">
        <f>IF(SUMIFS(Таблица2[WIN$],Таблица2[1],B253)=0,"-",SUMIFS(Таблица2[WIN$],Таблица2[1],B253))</f>
        <v>-</v>
      </c>
      <c r="M253" s="76" t="str">
        <f t="shared" si="14"/>
        <v>-</v>
      </c>
      <c r="N253" s="78" t="str">
        <f>IFERROR(Таблица46[[#This Row],[PROF]]/Таблица46[[#This Row],[Games]],"-")</f>
        <v>-</v>
      </c>
    </row>
    <row r="254" spans="1:14" ht="11.1" customHeight="1" x14ac:dyDescent="0.25">
      <c r="A254" s="93">
        <f t="shared" si="12"/>
        <v>168</v>
      </c>
      <c r="B254" s="113"/>
      <c r="C254"/>
      <c r="D254" s="117" t="str">
        <f>IF(COUNTIFS(Таблица2[1],B254)+SUMIFS(Таблица2[R],Таблица2[1],B254)=0,"",COUNTIFS(Таблица2[1],B254)+SUMIFS(Таблица2[R],Таблица2[1],B254))</f>
        <v/>
      </c>
      <c r="E254" s="76" t="str">
        <f>IF(SUMIFS(Таблица2[B$],Таблица2[1],B254)=0,"-",SUMIFS(Таблица2[B$],Таблица2[1],B254))</f>
        <v>-</v>
      </c>
      <c r="F254" s="77" t="str">
        <f>IFERROR(AVERAGEIFS(Таблица2[AFS],Таблица2[1],B254)+(AVERAGEIFS(Таблица2[AFS],Таблица2[1],B254)*0.2),"-")</f>
        <v>-</v>
      </c>
      <c r="G254" s="77" t="str">
        <f t="shared" si="13"/>
        <v>-</v>
      </c>
      <c r="H254" s="77" t="str">
        <f>IFERROR(COUNTIFS(Таблица2[1],B254,Таблица2[WIN$],"&gt;0")/D254*100,"-")</f>
        <v>-</v>
      </c>
      <c r="I254" s="77" t="str">
        <f>IF(IFERROR((COUNTIFS(Таблица2[1],B254,Таблица2[K],"K")+SUMIFS(Таблица2[R],Таблица2[1],B254,Таблица2[K],"K"))/D254*100,"-")=0,"-",IFERROR((COUNTIFS(Таблица2[1],B254,Таблица2[K],"K")+SUMIFS(Таблица2[R],Таблица2[1],B254,Таблица2[K],"K"))/D254*100,"-"))</f>
        <v>-</v>
      </c>
      <c r="J254" s="77" t="str">
        <f>IF(IFERROR((COUNTIFS(Таблица2[1],B254,Таблица2[T],"t")+SUMIFS(Таблица2[R],Таблица2[1],B254,Таблица2[T],"t"))/D254*100,"-")=0,"-",IFERROR((COUNTIFS(Таблица2[1],B254,Таблица2[T],"t")+SUMIFS(Таблица2[R],Таблица2[1],B254,Таблица2[T],"t"))/D254*100,"-"))</f>
        <v>-</v>
      </c>
      <c r="K254" s="76" t="str">
        <f>IF(SUMIFS(Таблица2[KO$],Таблица2[1],B254)=0,"-",SUMIFS(Таблица2[KO$],Таблица2[1],B254))</f>
        <v>-</v>
      </c>
      <c r="L254" s="76" t="str">
        <f>IF(SUMIFS(Таблица2[WIN$],Таблица2[1],B254)=0,"-",SUMIFS(Таблица2[WIN$],Таблица2[1],B254))</f>
        <v>-</v>
      </c>
      <c r="M254" s="76" t="str">
        <f t="shared" si="14"/>
        <v>-</v>
      </c>
      <c r="N254" s="78" t="str">
        <f>IFERROR(Таблица46[[#This Row],[PROF]]/Таблица46[[#This Row],[Games]],"-")</f>
        <v>-</v>
      </c>
    </row>
    <row r="255" spans="1:14" ht="11.1" customHeight="1" x14ac:dyDescent="0.25">
      <c r="A255" s="93">
        <f t="shared" si="12"/>
        <v>169</v>
      </c>
      <c r="B255" s="113"/>
      <c r="C255"/>
      <c r="D255" s="117" t="str">
        <f>IF(COUNTIFS(Таблица2[1],B255)+SUMIFS(Таблица2[R],Таблица2[1],B255)=0,"",COUNTIFS(Таблица2[1],B255)+SUMIFS(Таблица2[R],Таблица2[1],B255))</f>
        <v/>
      </c>
      <c r="E255" s="76" t="str">
        <f>IF(SUMIFS(Таблица2[B$],Таблица2[1],B255)=0,"-",SUMIFS(Таблица2[B$],Таблица2[1],B255))</f>
        <v>-</v>
      </c>
      <c r="F255" s="77" t="str">
        <f>IFERROR(AVERAGEIFS(Таблица2[AFS],Таблица2[1],B255)+(AVERAGEIFS(Таблица2[AFS],Таблица2[1],B255)*0.2),"-")</f>
        <v>-</v>
      </c>
      <c r="G255" s="77" t="str">
        <f t="shared" ref="G255:G286" si="15">IFERROR(M255/E255*100,"-")</f>
        <v>-</v>
      </c>
      <c r="H255" s="77" t="str">
        <f>IFERROR(COUNTIFS(Таблица2[1],B255,Таблица2[WIN$],"&gt;0")/D255*100,"-")</f>
        <v>-</v>
      </c>
      <c r="I255" s="77" t="str">
        <f>IF(IFERROR((COUNTIFS(Таблица2[1],B255,Таблица2[K],"K")+SUMIFS(Таблица2[R],Таблица2[1],B255,Таблица2[K],"K"))/D255*100,"-")=0,"-",IFERROR((COUNTIFS(Таблица2[1],B255,Таблица2[K],"K")+SUMIFS(Таблица2[R],Таблица2[1],B255,Таблица2[K],"K"))/D255*100,"-"))</f>
        <v>-</v>
      </c>
      <c r="J255" s="77" t="str">
        <f>IF(IFERROR((COUNTIFS(Таблица2[1],B255,Таблица2[T],"t")+SUMIFS(Таблица2[R],Таблица2[1],B255,Таблица2[T],"t"))/D255*100,"-")=0,"-",IFERROR((COUNTIFS(Таблица2[1],B255,Таблица2[T],"t")+SUMIFS(Таблица2[R],Таблица2[1],B255,Таблица2[T],"t"))/D255*100,"-"))</f>
        <v>-</v>
      </c>
      <c r="K255" s="76" t="str">
        <f>IF(SUMIFS(Таблица2[KO$],Таблица2[1],B255)=0,"-",SUMIFS(Таблица2[KO$],Таблица2[1],B255))</f>
        <v>-</v>
      </c>
      <c r="L255" s="76" t="str">
        <f>IF(SUMIFS(Таблица2[WIN$],Таблица2[1],B255)=0,"-",SUMIFS(Таблица2[WIN$],Таблица2[1],B255))</f>
        <v>-</v>
      </c>
      <c r="M255" s="76" t="str">
        <f t="shared" ref="M255:M286" si="16">IFERROR(IF(L255="-",0,L255)+IF(K255="-",0,K255)-E255,"-")</f>
        <v>-</v>
      </c>
      <c r="N255" s="78" t="str">
        <f>IFERROR(Таблица46[[#This Row],[PROF]]/Таблица46[[#This Row],[Games]],"-")</f>
        <v>-</v>
      </c>
    </row>
    <row r="256" spans="1:14" ht="11.1" customHeight="1" x14ac:dyDescent="0.25">
      <c r="A256" s="93">
        <f t="shared" si="12"/>
        <v>170</v>
      </c>
      <c r="B256" s="113"/>
      <c r="C256"/>
      <c r="D256" s="117" t="str">
        <f>IF(COUNTIFS(Таблица2[1],B256)+SUMIFS(Таблица2[R],Таблица2[1],B256)=0,"",COUNTIFS(Таблица2[1],B256)+SUMIFS(Таблица2[R],Таблица2[1],B256))</f>
        <v/>
      </c>
      <c r="E256" s="76" t="str">
        <f>IF(SUMIFS(Таблица2[B$],Таблица2[1],B256)=0,"-",SUMIFS(Таблица2[B$],Таблица2[1],B256))</f>
        <v>-</v>
      </c>
      <c r="F256" s="77" t="str">
        <f>IFERROR(AVERAGEIFS(Таблица2[AFS],Таблица2[1],B256)+(AVERAGEIFS(Таблица2[AFS],Таблица2[1],B256)*0.2),"-")</f>
        <v>-</v>
      </c>
      <c r="G256" s="77" t="str">
        <f t="shared" si="15"/>
        <v>-</v>
      </c>
      <c r="H256" s="77" t="str">
        <f>IFERROR(COUNTIFS(Таблица2[1],B256,Таблица2[WIN$],"&gt;0")/D256*100,"-")</f>
        <v>-</v>
      </c>
      <c r="I256" s="77" t="str">
        <f>IF(IFERROR((COUNTIFS(Таблица2[1],B256,Таблица2[K],"K")+SUMIFS(Таблица2[R],Таблица2[1],B256,Таблица2[K],"K"))/D256*100,"-")=0,"-",IFERROR((COUNTIFS(Таблица2[1],B256,Таблица2[K],"K")+SUMIFS(Таблица2[R],Таблица2[1],B256,Таблица2[K],"K"))/D256*100,"-"))</f>
        <v>-</v>
      </c>
      <c r="J256" s="77" t="str">
        <f>IF(IFERROR((COUNTIFS(Таблица2[1],B256,Таблица2[T],"t")+SUMIFS(Таблица2[R],Таблица2[1],B256,Таблица2[T],"t"))/D256*100,"-")=0,"-",IFERROR((COUNTIFS(Таблица2[1],B256,Таблица2[T],"t")+SUMIFS(Таблица2[R],Таблица2[1],B256,Таблица2[T],"t"))/D256*100,"-"))</f>
        <v>-</v>
      </c>
      <c r="K256" s="76" t="str">
        <f>IF(SUMIFS(Таблица2[KO$],Таблица2[1],B256)=0,"-",SUMIFS(Таблица2[KO$],Таблица2[1],B256))</f>
        <v>-</v>
      </c>
      <c r="L256" s="76" t="str">
        <f>IF(SUMIFS(Таблица2[WIN$],Таблица2[1],B256)=0,"-",SUMIFS(Таблица2[WIN$],Таблица2[1],B256))</f>
        <v>-</v>
      </c>
      <c r="M256" s="76" t="str">
        <f t="shared" si="16"/>
        <v>-</v>
      </c>
      <c r="N256" s="78" t="str">
        <f>IFERROR(Таблица46[[#This Row],[PROF]]/Таблица46[[#This Row],[Games]],"-")</f>
        <v>-</v>
      </c>
    </row>
    <row r="257" spans="1:14" ht="11.1" customHeight="1" x14ac:dyDescent="0.25">
      <c r="A257" s="93">
        <f t="shared" si="12"/>
        <v>171</v>
      </c>
      <c r="B257" s="113"/>
      <c r="C257"/>
      <c r="D257" s="117" t="str">
        <f>IF(COUNTIFS(Таблица2[1],B257)+SUMIFS(Таблица2[R],Таблица2[1],B257)=0,"",COUNTIFS(Таблица2[1],B257)+SUMIFS(Таблица2[R],Таблица2[1],B257))</f>
        <v/>
      </c>
      <c r="E257" s="76" t="str">
        <f>IF(SUMIFS(Таблица2[B$],Таблица2[1],B257)=0,"-",SUMIFS(Таблица2[B$],Таблица2[1],B257))</f>
        <v>-</v>
      </c>
      <c r="F257" s="77" t="str">
        <f>IFERROR(AVERAGEIFS(Таблица2[AFS],Таблица2[1],B257)+(AVERAGEIFS(Таблица2[AFS],Таблица2[1],B257)*0.2),"-")</f>
        <v>-</v>
      </c>
      <c r="G257" s="77" t="str">
        <f t="shared" si="15"/>
        <v>-</v>
      </c>
      <c r="H257" s="77" t="str">
        <f>IFERROR(COUNTIFS(Таблица2[1],B257,Таблица2[WIN$],"&gt;0")/D257*100,"-")</f>
        <v>-</v>
      </c>
      <c r="I257" s="77" t="str">
        <f>IF(IFERROR((COUNTIFS(Таблица2[1],B257,Таблица2[K],"K")+SUMIFS(Таблица2[R],Таблица2[1],B257,Таблица2[K],"K"))/D257*100,"-")=0,"-",IFERROR((COUNTIFS(Таблица2[1],B257,Таблица2[K],"K")+SUMIFS(Таблица2[R],Таблица2[1],B257,Таблица2[K],"K"))/D257*100,"-"))</f>
        <v>-</v>
      </c>
      <c r="J257" s="77" t="str">
        <f>IF(IFERROR((COUNTIFS(Таблица2[1],B257,Таблица2[T],"t")+SUMIFS(Таблица2[R],Таблица2[1],B257,Таблица2[T],"t"))/D257*100,"-")=0,"-",IFERROR((COUNTIFS(Таблица2[1],B257,Таблица2[T],"t")+SUMIFS(Таблица2[R],Таблица2[1],B257,Таблица2[T],"t"))/D257*100,"-"))</f>
        <v>-</v>
      </c>
      <c r="K257" s="76" t="str">
        <f>IF(SUMIFS(Таблица2[KO$],Таблица2[1],B257)=0,"-",SUMIFS(Таблица2[KO$],Таблица2[1],B257))</f>
        <v>-</v>
      </c>
      <c r="L257" s="76" t="str">
        <f>IF(SUMIFS(Таблица2[WIN$],Таблица2[1],B257)=0,"-",SUMIFS(Таблица2[WIN$],Таблица2[1],B257))</f>
        <v>-</v>
      </c>
      <c r="M257" s="76" t="str">
        <f t="shared" si="16"/>
        <v>-</v>
      </c>
      <c r="N257" s="78" t="str">
        <f>IFERROR(Таблица46[[#This Row],[PROF]]/Таблица46[[#This Row],[Games]],"-")</f>
        <v>-</v>
      </c>
    </row>
    <row r="258" spans="1:14" ht="11.1" customHeight="1" x14ac:dyDescent="0.25">
      <c r="A258" s="93">
        <f t="shared" si="12"/>
        <v>172</v>
      </c>
      <c r="B258" s="113"/>
      <c r="C258"/>
      <c r="D258" s="117" t="str">
        <f>IF(COUNTIFS(Таблица2[1],B258)+SUMIFS(Таблица2[R],Таблица2[1],B258)=0,"",COUNTIFS(Таблица2[1],B258)+SUMIFS(Таблица2[R],Таблица2[1],B258))</f>
        <v/>
      </c>
      <c r="E258" s="76" t="str">
        <f>IF(SUMIFS(Таблица2[B$],Таблица2[1],B258)=0,"-",SUMIFS(Таблица2[B$],Таблица2[1],B258))</f>
        <v>-</v>
      </c>
      <c r="F258" s="77" t="str">
        <f>IFERROR(AVERAGEIFS(Таблица2[AFS],Таблица2[1],B258)+(AVERAGEIFS(Таблица2[AFS],Таблица2[1],B258)*0.2),"-")</f>
        <v>-</v>
      </c>
      <c r="G258" s="77" t="str">
        <f t="shared" si="15"/>
        <v>-</v>
      </c>
      <c r="H258" s="77" t="str">
        <f>IFERROR(COUNTIFS(Таблица2[1],B258,Таблица2[WIN$],"&gt;0")/D258*100,"-")</f>
        <v>-</v>
      </c>
      <c r="I258" s="77" t="str">
        <f>IF(IFERROR((COUNTIFS(Таблица2[1],B258,Таблица2[K],"K")+SUMIFS(Таблица2[R],Таблица2[1],B258,Таблица2[K],"K"))/D258*100,"-")=0,"-",IFERROR((COUNTIFS(Таблица2[1],B258,Таблица2[K],"K")+SUMIFS(Таблица2[R],Таблица2[1],B258,Таблица2[K],"K"))/D258*100,"-"))</f>
        <v>-</v>
      </c>
      <c r="J258" s="77" t="str">
        <f>IF(IFERROR((COUNTIFS(Таблица2[1],B258,Таблица2[T],"t")+SUMIFS(Таблица2[R],Таблица2[1],B258,Таблица2[T],"t"))/D258*100,"-")=0,"-",IFERROR((COUNTIFS(Таблица2[1],B258,Таблица2[T],"t")+SUMIFS(Таблица2[R],Таблица2[1],B258,Таблица2[T],"t"))/D258*100,"-"))</f>
        <v>-</v>
      </c>
      <c r="K258" s="76" t="str">
        <f>IF(SUMIFS(Таблица2[KO$],Таблица2[1],B258)=0,"-",SUMIFS(Таблица2[KO$],Таблица2[1],B258))</f>
        <v>-</v>
      </c>
      <c r="L258" s="76" t="str">
        <f>IF(SUMIFS(Таблица2[WIN$],Таблица2[1],B258)=0,"-",SUMIFS(Таблица2[WIN$],Таблица2[1],B258))</f>
        <v>-</v>
      </c>
      <c r="M258" s="76" t="str">
        <f t="shared" si="16"/>
        <v>-</v>
      </c>
      <c r="N258" s="78" t="str">
        <f>IFERROR(Таблица46[[#This Row],[PROF]]/Таблица46[[#This Row],[Games]],"-")</f>
        <v>-</v>
      </c>
    </row>
    <row r="259" spans="1:14" ht="11.1" customHeight="1" x14ac:dyDescent="0.25">
      <c r="A259" s="93">
        <f t="shared" si="12"/>
        <v>173</v>
      </c>
      <c r="B259" s="113"/>
      <c r="C259"/>
      <c r="D259" s="117" t="str">
        <f>IF(COUNTIFS(Таблица2[1],B259)+SUMIFS(Таблица2[R],Таблица2[1],B259)=0,"",COUNTIFS(Таблица2[1],B259)+SUMIFS(Таблица2[R],Таблица2[1],B259))</f>
        <v/>
      </c>
      <c r="E259" s="76" t="str">
        <f>IF(SUMIFS(Таблица2[B$],Таблица2[1],B259)=0,"-",SUMIFS(Таблица2[B$],Таблица2[1],B259))</f>
        <v>-</v>
      </c>
      <c r="F259" s="77" t="str">
        <f>IFERROR(AVERAGEIFS(Таблица2[AFS],Таблица2[1],B259)+(AVERAGEIFS(Таблица2[AFS],Таблица2[1],B259)*0.2),"-")</f>
        <v>-</v>
      </c>
      <c r="G259" s="77" t="str">
        <f t="shared" si="15"/>
        <v>-</v>
      </c>
      <c r="H259" s="77" t="str">
        <f>IFERROR(COUNTIFS(Таблица2[1],B259,Таблица2[WIN$],"&gt;0")/D259*100,"-")</f>
        <v>-</v>
      </c>
      <c r="I259" s="77" t="str">
        <f>IF(IFERROR((COUNTIFS(Таблица2[1],B259,Таблица2[K],"K")+SUMIFS(Таблица2[R],Таблица2[1],B259,Таблица2[K],"K"))/D259*100,"-")=0,"-",IFERROR((COUNTIFS(Таблица2[1],B259,Таблица2[K],"K")+SUMIFS(Таблица2[R],Таблица2[1],B259,Таблица2[K],"K"))/D259*100,"-"))</f>
        <v>-</v>
      </c>
      <c r="J259" s="77" t="str">
        <f>IF(IFERROR((COUNTIFS(Таблица2[1],B259,Таблица2[T],"t")+SUMIFS(Таблица2[R],Таблица2[1],B259,Таблица2[T],"t"))/D259*100,"-")=0,"-",IFERROR((COUNTIFS(Таблица2[1],B259,Таблица2[T],"t")+SUMIFS(Таблица2[R],Таблица2[1],B259,Таблица2[T],"t"))/D259*100,"-"))</f>
        <v>-</v>
      </c>
      <c r="K259" s="76" t="str">
        <f>IF(SUMIFS(Таблица2[KO$],Таблица2[1],B259)=0,"-",SUMIFS(Таблица2[KO$],Таблица2[1],B259))</f>
        <v>-</v>
      </c>
      <c r="L259" s="76" t="str">
        <f>IF(SUMIFS(Таблица2[WIN$],Таблица2[1],B259)=0,"-",SUMIFS(Таблица2[WIN$],Таблица2[1],B259))</f>
        <v>-</v>
      </c>
      <c r="M259" s="76" t="str">
        <f t="shared" si="16"/>
        <v>-</v>
      </c>
      <c r="N259" s="78" t="str">
        <f>IFERROR(Таблица46[[#This Row],[PROF]]/Таблица46[[#This Row],[Games]],"-")</f>
        <v>-</v>
      </c>
    </row>
    <row r="260" spans="1:14" ht="11.1" customHeight="1" x14ac:dyDescent="0.25">
      <c r="A260" s="93">
        <f t="shared" si="12"/>
        <v>174</v>
      </c>
      <c r="B260" s="113"/>
      <c r="C260"/>
      <c r="D260" s="117" t="str">
        <f>IF(COUNTIFS(Таблица2[1],B260)+SUMIFS(Таблица2[R],Таблица2[1],B260)=0,"",COUNTIFS(Таблица2[1],B260)+SUMIFS(Таблица2[R],Таблица2[1],B260))</f>
        <v/>
      </c>
      <c r="E260" s="76" t="str">
        <f>IF(SUMIFS(Таблица2[B$],Таблица2[1],B260)=0,"-",SUMIFS(Таблица2[B$],Таблица2[1],B260))</f>
        <v>-</v>
      </c>
      <c r="F260" s="77" t="str">
        <f>IFERROR(AVERAGEIFS(Таблица2[AFS],Таблица2[1],B260)+(AVERAGEIFS(Таблица2[AFS],Таблица2[1],B260)*0.2),"-")</f>
        <v>-</v>
      </c>
      <c r="G260" s="77" t="str">
        <f t="shared" si="15"/>
        <v>-</v>
      </c>
      <c r="H260" s="77" t="str">
        <f>IFERROR(COUNTIFS(Таблица2[1],B260,Таблица2[WIN$],"&gt;0")/D260*100,"-")</f>
        <v>-</v>
      </c>
      <c r="I260" s="77" t="str">
        <f>IF(IFERROR((COUNTIFS(Таблица2[1],B260,Таблица2[K],"K")+SUMIFS(Таблица2[R],Таблица2[1],B260,Таблица2[K],"K"))/D260*100,"-")=0,"-",IFERROR((COUNTIFS(Таблица2[1],B260,Таблица2[K],"K")+SUMIFS(Таблица2[R],Таблица2[1],B260,Таблица2[K],"K"))/D260*100,"-"))</f>
        <v>-</v>
      </c>
      <c r="J260" s="77" t="str">
        <f>IF(IFERROR((COUNTIFS(Таблица2[1],B260,Таблица2[T],"t")+SUMIFS(Таблица2[R],Таблица2[1],B260,Таблица2[T],"t"))/D260*100,"-")=0,"-",IFERROR((COUNTIFS(Таблица2[1],B260,Таблица2[T],"t")+SUMIFS(Таблица2[R],Таблица2[1],B260,Таблица2[T],"t"))/D260*100,"-"))</f>
        <v>-</v>
      </c>
      <c r="K260" s="76" t="str">
        <f>IF(SUMIFS(Таблица2[KO$],Таблица2[1],B260)=0,"-",SUMIFS(Таблица2[KO$],Таблица2[1],B260))</f>
        <v>-</v>
      </c>
      <c r="L260" s="76" t="str">
        <f>IF(SUMIFS(Таблица2[WIN$],Таблица2[1],B260)=0,"-",SUMIFS(Таблица2[WIN$],Таблица2[1],B260))</f>
        <v>-</v>
      </c>
      <c r="M260" s="76" t="str">
        <f t="shared" si="16"/>
        <v>-</v>
      </c>
      <c r="N260" s="78" t="str">
        <f>IFERROR(Таблица46[[#This Row],[PROF]]/Таблица46[[#This Row],[Games]],"-")</f>
        <v>-</v>
      </c>
    </row>
    <row r="261" spans="1:14" ht="11.1" customHeight="1" x14ac:dyDescent="0.25">
      <c r="A261" s="93">
        <f t="shared" si="12"/>
        <v>175</v>
      </c>
      <c r="B261" s="113"/>
      <c r="C261"/>
      <c r="D261" s="117" t="str">
        <f>IF(COUNTIFS(Таблица2[1],B261)+SUMIFS(Таблица2[R],Таблица2[1],B261)=0,"",COUNTIFS(Таблица2[1],B261)+SUMIFS(Таблица2[R],Таблица2[1],B261))</f>
        <v/>
      </c>
      <c r="E261" s="76" t="str">
        <f>IF(SUMIFS(Таблица2[B$],Таблица2[1],B261)=0,"-",SUMIFS(Таблица2[B$],Таблица2[1],B261))</f>
        <v>-</v>
      </c>
      <c r="F261" s="77" t="str">
        <f>IFERROR(AVERAGEIFS(Таблица2[AFS],Таблица2[1],B261)+(AVERAGEIFS(Таблица2[AFS],Таблица2[1],B261)*0.2),"-")</f>
        <v>-</v>
      </c>
      <c r="G261" s="77" t="str">
        <f t="shared" si="15"/>
        <v>-</v>
      </c>
      <c r="H261" s="77" t="str">
        <f>IFERROR(COUNTIFS(Таблица2[1],B261,Таблица2[WIN$],"&gt;0")/D261*100,"-")</f>
        <v>-</v>
      </c>
      <c r="I261" s="77" t="str">
        <f>IF(IFERROR((COUNTIFS(Таблица2[1],B261,Таблица2[K],"K")+SUMIFS(Таблица2[R],Таблица2[1],B261,Таблица2[K],"K"))/D261*100,"-")=0,"-",IFERROR((COUNTIFS(Таблица2[1],B261,Таблица2[K],"K")+SUMIFS(Таблица2[R],Таблица2[1],B261,Таблица2[K],"K"))/D261*100,"-"))</f>
        <v>-</v>
      </c>
      <c r="J261" s="77" t="str">
        <f>IF(IFERROR((COUNTIFS(Таблица2[1],B261,Таблица2[T],"t")+SUMIFS(Таблица2[R],Таблица2[1],B261,Таблица2[T],"t"))/D261*100,"-")=0,"-",IFERROR((COUNTIFS(Таблица2[1],B261,Таблица2[T],"t")+SUMIFS(Таблица2[R],Таблица2[1],B261,Таблица2[T],"t"))/D261*100,"-"))</f>
        <v>-</v>
      </c>
      <c r="K261" s="76" t="str">
        <f>IF(SUMIFS(Таблица2[KO$],Таблица2[1],B261)=0,"-",SUMIFS(Таблица2[KO$],Таблица2[1],B261))</f>
        <v>-</v>
      </c>
      <c r="L261" s="76" t="str">
        <f>IF(SUMIFS(Таблица2[WIN$],Таблица2[1],B261)=0,"-",SUMIFS(Таблица2[WIN$],Таблица2[1],B261))</f>
        <v>-</v>
      </c>
      <c r="M261" s="76" t="str">
        <f t="shared" si="16"/>
        <v>-</v>
      </c>
      <c r="N261" s="78" t="str">
        <f>IFERROR(Таблица46[[#This Row],[PROF]]/Таблица46[[#This Row],[Games]],"-")</f>
        <v>-</v>
      </c>
    </row>
    <row r="262" spans="1:14" ht="11.1" customHeight="1" x14ac:dyDescent="0.25">
      <c r="A262" s="93">
        <f t="shared" si="12"/>
        <v>176</v>
      </c>
      <c r="B262" s="113"/>
      <c r="C262"/>
      <c r="D262" s="117" t="str">
        <f>IF(COUNTIFS(Таблица2[1],B262)+SUMIFS(Таблица2[R],Таблица2[1],B262)=0,"",COUNTIFS(Таблица2[1],B262)+SUMIFS(Таблица2[R],Таблица2[1],B262))</f>
        <v/>
      </c>
      <c r="E262" s="76" t="str">
        <f>IF(SUMIFS(Таблица2[B$],Таблица2[1],B262)=0,"-",SUMIFS(Таблица2[B$],Таблица2[1],B262))</f>
        <v>-</v>
      </c>
      <c r="F262" s="77" t="str">
        <f>IFERROR(AVERAGEIFS(Таблица2[AFS],Таблица2[1],B262)+(AVERAGEIFS(Таблица2[AFS],Таблица2[1],B262)*0.2),"-")</f>
        <v>-</v>
      </c>
      <c r="G262" s="77" t="str">
        <f t="shared" si="15"/>
        <v>-</v>
      </c>
      <c r="H262" s="77" t="str">
        <f>IFERROR(COUNTIFS(Таблица2[1],B262,Таблица2[WIN$],"&gt;0")/D262*100,"-")</f>
        <v>-</v>
      </c>
      <c r="I262" s="77" t="str">
        <f>IF(IFERROR((COUNTIFS(Таблица2[1],B262,Таблица2[K],"K")+SUMIFS(Таблица2[R],Таблица2[1],B262,Таблица2[K],"K"))/D262*100,"-")=0,"-",IFERROR((COUNTIFS(Таблица2[1],B262,Таблица2[K],"K")+SUMIFS(Таблица2[R],Таблица2[1],B262,Таблица2[K],"K"))/D262*100,"-"))</f>
        <v>-</v>
      </c>
      <c r="J262" s="77" t="str">
        <f>IF(IFERROR((COUNTIFS(Таблица2[1],B262,Таблица2[T],"t")+SUMIFS(Таблица2[R],Таблица2[1],B262,Таблица2[T],"t"))/D262*100,"-")=0,"-",IFERROR((COUNTIFS(Таблица2[1],B262,Таблица2[T],"t")+SUMIFS(Таблица2[R],Таблица2[1],B262,Таблица2[T],"t"))/D262*100,"-"))</f>
        <v>-</v>
      </c>
      <c r="K262" s="76" t="str">
        <f>IF(SUMIFS(Таблица2[KO$],Таблица2[1],B262)=0,"-",SUMIFS(Таблица2[KO$],Таблица2[1],B262))</f>
        <v>-</v>
      </c>
      <c r="L262" s="76" t="str">
        <f>IF(SUMIFS(Таблица2[WIN$],Таблица2[1],B262)=0,"-",SUMIFS(Таблица2[WIN$],Таблица2[1],B262))</f>
        <v>-</v>
      </c>
      <c r="M262" s="76" t="str">
        <f t="shared" si="16"/>
        <v>-</v>
      </c>
      <c r="N262" s="78" t="str">
        <f>IFERROR(Таблица46[[#This Row],[PROF]]/Таблица46[[#This Row],[Games]],"-")</f>
        <v>-</v>
      </c>
    </row>
    <row r="263" spans="1:14" ht="11.1" customHeight="1" x14ac:dyDescent="0.25">
      <c r="A263" s="93">
        <f t="shared" si="12"/>
        <v>177</v>
      </c>
      <c r="B263" s="113"/>
      <c r="C263"/>
      <c r="D263" s="117" t="str">
        <f>IF(COUNTIFS(Таблица2[1],B263)+SUMIFS(Таблица2[R],Таблица2[1],B263)=0,"",COUNTIFS(Таблица2[1],B263)+SUMIFS(Таблица2[R],Таблица2[1],B263))</f>
        <v/>
      </c>
      <c r="E263" s="76" t="str">
        <f>IF(SUMIFS(Таблица2[B$],Таблица2[1],B263)=0,"-",SUMIFS(Таблица2[B$],Таблица2[1],B263))</f>
        <v>-</v>
      </c>
      <c r="F263" s="77" t="str">
        <f>IFERROR(AVERAGEIFS(Таблица2[AFS],Таблица2[1],B263)+(AVERAGEIFS(Таблица2[AFS],Таблица2[1],B263)*0.2),"-")</f>
        <v>-</v>
      </c>
      <c r="G263" s="77" t="str">
        <f t="shared" si="15"/>
        <v>-</v>
      </c>
      <c r="H263" s="77" t="str">
        <f>IFERROR(COUNTIFS(Таблица2[1],B263,Таблица2[WIN$],"&gt;0")/D263*100,"-")</f>
        <v>-</v>
      </c>
      <c r="I263" s="77" t="str">
        <f>IF(IFERROR((COUNTIFS(Таблица2[1],B263,Таблица2[K],"K")+SUMIFS(Таблица2[R],Таблица2[1],B263,Таблица2[K],"K"))/D263*100,"-")=0,"-",IFERROR((COUNTIFS(Таблица2[1],B263,Таблица2[K],"K")+SUMIFS(Таблица2[R],Таблица2[1],B263,Таблица2[K],"K"))/D263*100,"-"))</f>
        <v>-</v>
      </c>
      <c r="J263" s="77" t="str">
        <f>IF(IFERROR((COUNTIFS(Таблица2[1],B263,Таблица2[T],"t")+SUMIFS(Таблица2[R],Таблица2[1],B263,Таблица2[T],"t"))/D263*100,"-")=0,"-",IFERROR((COUNTIFS(Таблица2[1],B263,Таблица2[T],"t")+SUMIFS(Таблица2[R],Таблица2[1],B263,Таблица2[T],"t"))/D263*100,"-"))</f>
        <v>-</v>
      </c>
      <c r="K263" s="76" t="str">
        <f>IF(SUMIFS(Таблица2[KO$],Таблица2[1],B263)=0,"-",SUMIFS(Таблица2[KO$],Таблица2[1],B263))</f>
        <v>-</v>
      </c>
      <c r="L263" s="76" t="str">
        <f>IF(SUMIFS(Таблица2[WIN$],Таблица2[1],B263)=0,"-",SUMIFS(Таблица2[WIN$],Таблица2[1],B263))</f>
        <v>-</v>
      </c>
      <c r="M263" s="76" t="str">
        <f t="shared" si="16"/>
        <v>-</v>
      </c>
      <c r="N263" s="78" t="str">
        <f>IFERROR(Таблица46[[#This Row],[PROF]]/Таблица46[[#This Row],[Games]],"-")</f>
        <v>-</v>
      </c>
    </row>
    <row r="264" spans="1:14" ht="11.1" customHeight="1" x14ac:dyDescent="0.25">
      <c r="A264" s="93">
        <f t="shared" si="12"/>
        <v>178</v>
      </c>
      <c r="B264" s="113"/>
      <c r="C264"/>
      <c r="D264" s="117" t="str">
        <f>IF(COUNTIFS(Таблица2[1],B264)+SUMIFS(Таблица2[R],Таблица2[1],B264)=0,"",COUNTIFS(Таблица2[1],B264)+SUMIFS(Таблица2[R],Таблица2[1],B264))</f>
        <v/>
      </c>
      <c r="E264" s="76" t="str">
        <f>IF(SUMIFS(Таблица2[B$],Таблица2[1],B264)=0,"-",SUMIFS(Таблица2[B$],Таблица2[1],B264))</f>
        <v>-</v>
      </c>
      <c r="F264" s="77" t="str">
        <f>IFERROR(AVERAGEIFS(Таблица2[AFS],Таблица2[1],B264)+(AVERAGEIFS(Таблица2[AFS],Таблица2[1],B264)*0.2),"-")</f>
        <v>-</v>
      </c>
      <c r="G264" s="77" t="str">
        <f t="shared" si="15"/>
        <v>-</v>
      </c>
      <c r="H264" s="77" t="str">
        <f>IFERROR(COUNTIFS(Таблица2[1],B264,Таблица2[WIN$],"&gt;0")/D264*100,"-")</f>
        <v>-</v>
      </c>
      <c r="I264" s="77" t="str">
        <f>IF(IFERROR((COUNTIFS(Таблица2[1],B264,Таблица2[K],"K")+SUMIFS(Таблица2[R],Таблица2[1],B264,Таблица2[K],"K"))/D264*100,"-")=0,"-",IFERROR((COUNTIFS(Таблица2[1],B264,Таблица2[K],"K")+SUMIFS(Таблица2[R],Таблица2[1],B264,Таблица2[K],"K"))/D264*100,"-"))</f>
        <v>-</v>
      </c>
      <c r="J264" s="77" t="str">
        <f>IF(IFERROR((COUNTIFS(Таблица2[1],B264,Таблица2[T],"t")+SUMIFS(Таблица2[R],Таблица2[1],B264,Таблица2[T],"t"))/D264*100,"-")=0,"-",IFERROR((COUNTIFS(Таблица2[1],B264,Таблица2[T],"t")+SUMIFS(Таблица2[R],Таблица2[1],B264,Таблица2[T],"t"))/D264*100,"-"))</f>
        <v>-</v>
      </c>
      <c r="K264" s="76" t="str">
        <f>IF(SUMIFS(Таблица2[KO$],Таблица2[1],B264)=0,"-",SUMIFS(Таблица2[KO$],Таблица2[1],B264))</f>
        <v>-</v>
      </c>
      <c r="L264" s="76" t="str">
        <f>IF(SUMIFS(Таблица2[WIN$],Таблица2[1],B264)=0,"-",SUMIFS(Таблица2[WIN$],Таблица2[1],B264))</f>
        <v>-</v>
      </c>
      <c r="M264" s="76" t="str">
        <f t="shared" si="16"/>
        <v>-</v>
      </c>
      <c r="N264" s="78" t="str">
        <f>IFERROR(Таблица46[[#This Row],[PROF]]/Таблица46[[#This Row],[Games]],"-")</f>
        <v>-</v>
      </c>
    </row>
    <row r="265" spans="1:14" ht="11.1" customHeight="1" x14ac:dyDescent="0.25">
      <c r="A265" s="93">
        <f t="shared" si="12"/>
        <v>179</v>
      </c>
      <c r="B265" s="113"/>
      <c r="C265"/>
      <c r="D265" s="117" t="str">
        <f>IF(COUNTIFS(Таблица2[1],B265)+SUMIFS(Таблица2[R],Таблица2[1],B265)=0,"",COUNTIFS(Таблица2[1],B265)+SUMIFS(Таблица2[R],Таблица2[1],B265))</f>
        <v/>
      </c>
      <c r="E265" s="76" t="str">
        <f>IF(SUMIFS(Таблица2[B$],Таблица2[1],B265)=0,"-",SUMIFS(Таблица2[B$],Таблица2[1],B265))</f>
        <v>-</v>
      </c>
      <c r="F265" s="77" t="str">
        <f>IFERROR(AVERAGEIFS(Таблица2[AFS],Таблица2[1],B265)+(AVERAGEIFS(Таблица2[AFS],Таблица2[1],B265)*0.2),"-")</f>
        <v>-</v>
      </c>
      <c r="G265" s="77" t="str">
        <f t="shared" si="15"/>
        <v>-</v>
      </c>
      <c r="H265" s="77" t="str">
        <f>IFERROR(COUNTIFS(Таблица2[1],B265,Таблица2[WIN$],"&gt;0")/D265*100,"-")</f>
        <v>-</v>
      </c>
      <c r="I265" s="77" t="str">
        <f>IF(IFERROR((COUNTIFS(Таблица2[1],B265,Таблица2[K],"K")+SUMIFS(Таблица2[R],Таблица2[1],B265,Таблица2[K],"K"))/D265*100,"-")=0,"-",IFERROR((COUNTIFS(Таблица2[1],B265,Таблица2[K],"K")+SUMIFS(Таблица2[R],Таблица2[1],B265,Таблица2[K],"K"))/D265*100,"-"))</f>
        <v>-</v>
      </c>
      <c r="J265" s="77" t="str">
        <f>IF(IFERROR((COUNTIFS(Таблица2[1],B265,Таблица2[T],"t")+SUMIFS(Таблица2[R],Таблица2[1],B265,Таблица2[T],"t"))/D265*100,"-")=0,"-",IFERROR((COUNTIFS(Таблица2[1],B265,Таблица2[T],"t")+SUMIFS(Таблица2[R],Таблица2[1],B265,Таблица2[T],"t"))/D265*100,"-"))</f>
        <v>-</v>
      </c>
      <c r="K265" s="76" t="str">
        <f>IF(SUMIFS(Таблица2[KO$],Таблица2[1],B265)=0,"-",SUMIFS(Таблица2[KO$],Таблица2[1],B265))</f>
        <v>-</v>
      </c>
      <c r="L265" s="76" t="str">
        <f>IF(SUMIFS(Таблица2[WIN$],Таблица2[1],B265)=0,"-",SUMIFS(Таблица2[WIN$],Таблица2[1],B265))</f>
        <v>-</v>
      </c>
      <c r="M265" s="76" t="str">
        <f t="shared" si="16"/>
        <v>-</v>
      </c>
      <c r="N265" s="78" t="str">
        <f>IFERROR(Таблица46[[#This Row],[PROF]]/Таблица46[[#This Row],[Games]],"-")</f>
        <v>-</v>
      </c>
    </row>
    <row r="266" spans="1:14" ht="11.1" customHeight="1" x14ac:dyDescent="0.25">
      <c r="A266" s="93">
        <f t="shared" si="12"/>
        <v>180</v>
      </c>
      <c r="B266" s="113"/>
      <c r="C266"/>
      <c r="D266" s="117" t="str">
        <f>IF(COUNTIFS(Таблица2[1],B266)+SUMIFS(Таблица2[R],Таблица2[1],B266)=0,"",COUNTIFS(Таблица2[1],B266)+SUMIFS(Таблица2[R],Таблица2[1],B266))</f>
        <v/>
      </c>
      <c r="E266" s="76" t="str">
        <f>IF(SUMIFS(Таблица2[B$],Таблица2[1],B266)=0,"-",SUMIFS(Таблица2[B$],Таблица2[1],B266))</f>
        <v>-</v>
      </c>
      <c r="F266" s="77" t="str">
        <f>IFERROR(AVERAGEIFS(Таблица2[AFS],Таблица2[1],B266)+(AVERAGEIFS(Таблица2[AFS],Таблица2[1],B266)*0.2),"-")</f>
        <v>-</v>
      </c>
      <c r="G266" s="77" t="str">
        <f t="shared" si="15"/>
        <v>-</v>
      </c>
      <c r="H266" s="77" t="str">
        <f>IFERROR(COUNTIFS(Таблица2[1],B266,Таблица2[WIN$],"&gt;0")/D266*100,"-")</f>
        <v>-</v>
      </c>
      <c r="I266" s="77" t="str">
        <f>IF(IFERROR((COUNTIFS(Таблица2[1],B266,Таблица2[K],"K")+SUMIFS(Таблица2[R],Таблица2[1],B266,Таблица2[K],"K"))/D266*100,"-")=0,"-",IFERROR((COUNTIFS(Таблица2[1],B266,Таблица2[K],"K")+SUMIFS(Таблица2[R],Таблица2[1],B266,Таблица2[K],"K"))/D266*100,"-"))</f>
        <v>-</v>
      </c>
      <c r="J266" s="77" t="str">
        <f>IF(IFERROR((COUNTIFS(Таблица2[1],B266,Таблица2[T],"t")+SUMIFS(Таблица2[R],Таблица2[1],B266,Таблица2[T],"t"))/D266*100,"-")=0,"-",IFERROR((COUNTIFS(Таблица2[1],B266,Таблица2[T],"t")+SUMIFS(Таблица2[R],Таблица2[1],B266,Таблица2[T],"t"))/D266*100,"-"))</f>
        <v>-</v>
      </c>
      <c r="K266" s="76" t="str">
        <f>IF(SUMIFS(Таблица2[KO$],Таблица2[1],B266)=0,"-",SUMIFS(Таблица2[KO$],Таблица2[1],B266))</f>
        <v>-</v>
      </c>
      <c r="L266" s="76" t="str">
        <f>IF(SUMIFS(Таблица2[WIN$],Таблица2[1],B266)=0,"-",SUMIFS(Таблица2[WIN$],Таблица2[1],B266))</f>
        <v>-</v>
      </c>
      <c r="M266" s="76" t="str">
        <f t="shared" si="16"/>
        <v>-</v>
      </c>
      <c r="N266" s="78" t="str">
        <f>IFERROR(Таблица46[[#This Row],[PROF]]/Таблица46[[#This Row],[Games]],"-")</f>
        <v>-</v>
      </c>
    </row>
    <row r="267" spans="1:14" ht="11.1" customHeight="1" x14ac:dyDescent="0.25">
      <c r="A267" s="93">
        <f t="shared" si="12"/>
        <v>181</v>
      </c>
      <c r="B267" s="113"/>
      <c r="C267"/>
      <c r="D267" s="117" t="str">
        <f>IF(COUNTIFS(Таблица2[1],B267)+SUMIFS(Таблица2[R],Таблица2[1],B267)=0,"",COUNTIFS(Таблица2[1],B267)+SUMIFS(Таблица2[R],Таблица2[1],B267))</f>
        <v/>
      </c>
      <c r="E267" s="76" t="str">
        <f>IF(SUMIFS(Таблица2[B$],Таблица2[1],B267)=0,"-",SUMIFS(Таблица2[B$],Таблица2[1],B267))</f>
        <v>-</v>
      </c>
      <c r="F267" s="77" t="str">
        <f>IFERROR(AVERAGEIFS(Таблица2[AFS],Таблица2[1],B267)+(AVERAGEIFS(Таблица2[AFS],Таблица2[1],B267)*0.2),"-")</f>
        <v>-</v>
      </c>
      <c r="G267" s="77" t="str">
        <f t="shared" si="15"/>
        <v>-</v>
      </c>
      <c r="H267" s="77" t="str">
        <f>IFERROR(COUNTIFS(Таблица2[1],B267,Таблица2[WIN$],"&gt;0")/D267*100,"-")</f>
        <v>-</v>
      </c>
      <c r="I267" s="77" t="str">
        <f>IF(IFERROR((COUNTIFS(Таблица2[1],B267,Таблица2[K],"K")+SUMIFS(Таблица2[R],Таблица2[1],B267,Таблица2[K],"K"))/D267*100,"-")=0,"-",IFERROR((COUNTIFS(Таблица2[1],B267,Таблица2[K],"K")+SUMIFS(Таблица2[R],Таблица2[1],B267,Таблица2[K],"K"))/D267*100,"-"))</f>
        <v>-</v>
      </c>
      <c r="J267" s="77" t="str">
        <f>IF(IFERROR((COUNTIFS(Таблица2[1],B267,Таблица2[T],"t")+SUMIFS(Таблица2[R],Таблица2[1],B267,Таблица2[T],"t"))/D267*100,"-")=0,"-",IFERROR((COUNTIFS(Таблица2[1],B267,Таблица2[T],"t")+SUMIFS(Таблица2[R],Таблица2[1],B267,Таблица2[T],"t"))/D267*100,"-"))</f>
        <v>-</v>
      </c>
      <c r="K267" s="76" t="str">
        <f>IF(SUMIFS(Таблица2[KO$],Таблица2[1],B267)=0,"-",SUMIFS(Таблица2[KO$],Таблица2[1],B267))</f>
        <v>-</v>
      </c>
      <c r="L267" s="76" t="str">
        <f>IF(SUMIFS(Таблица2[WIN$],Таблица2[1],B267)=0,"-",SUMIFS(Таблица2[WIN$],Таблица2[1],B267))</f>
        <v>-</v>
      </c>
      <c r="M267" s="76" t="str">
        <f t="shared" si="16"/>
        <v>-</v>
      </c>
      <c r="N267" s="78" t="str">
        <f>IFERROR(Таблица46[[#This Row],[PROF]]/Таблица46[[#This Row],[Games]],"-")</f>
        <v>-</v>
      </c>
    </row>
    <row r="268" spans="1:14" ht="11.1" customHeight="1" x14ac:dyDescent="0.25">
      <c r="A268" s="93">
        <f t="shared" si="12"/>
        <v>182</v>
      </c>
      <c r="B268" s="113"/>
      <c r="C268"/>
      <c r="D268" s="117" t="str">
        <f>IF(COUNTIFS(Таблица2[1],B268)+SUMIFS(Таблица2[R],Таблица2[1],B268)=0,"",COUNTIFS(Таблица2[1],B268)+SUMIFS(Таблица2[R],Таблица2[1],B268))</f>
        <v/>
      </c>
      <c r="E268" s="76" t="str">
        <f>IF(SUMIFS(Таблица2[B$],Таблица2[1],B268)=0,"-",SUMIFS(Таблица2[B$],Таблица2[1],B268))</f>
        <v>-</v>
      </c>
      <c r="F268" s="77" t="str">
        <f>IFERROR(AVERAGEIFS(Таблица2[AFS],Таблица2[1],B268)+(AVERAGEIFS(Таблица2[AFS],Таблица2[1],B268)*0.2),"-")</f>
        <v>-</v>
      </c>
      <c r="G268" s="77" t="str">
        <f t="shared" si="15"/>
        <v>-</v>
      </c>
      <c r="H268" s="77" t="str">
        <f>IFERROR(COUNTIFS(Таблица2[1],B268,Таблица2[WIN$],"&gt;0")/D268*100,"-")</f>
        <v>-</v>
      </c>
      <c r="I268" s="77" t="str">
        <f>IF(IFERROR((COUNTIFS(Таблица2[1],B268,Таблица2[K],"K")+SUMIFS(Таблица2[R],Таблица2[1],B268,Таблица2[K],"K"))/D268*100,"-")=0,"-",IFERROR((COUNTIFS(Таблица2[1],B268,Таблица2[K],"K")+SUMIFS(Таблица2[R],Таблица2[1],B268,Таблица2[K],"K"))/D268*100,"-"))</f>
        <v>-</v>
      </c>
      <c r="J268" s="77" t="str">
        <f>IF(IFERROR((COUNTIFS(Таблица2[1],B268,Таблица2[T],"t")+SUMIFS(Таблица2[R],Таблица2[1],B268,Таблица2[T],"t"))/D268*100,"-")=0,"-",IFERROR((COUNTIFS(Таблица2[1],B268,Таблица2[T],"t")+SUMIFS(Таблица2[R],Таблица2[1],B268,Таблица2[T],"t"))/D268*100,"-"))</f>
        <v>-</v>
      </c>
      <c r="K268" s="76" t="str">
        <f>IF(SUMIFS(Таблица2[KO$],Таблица2[1],B268)=0,"-",SUMIFS(Таблица2[KO$],Таблица2[1],B268))</f>
        <v>-</v>
      </c>
      <c r="L268" s="76" t="str">
        <f>IF(SUMIFS(Таблица2[WIN$],Таблица2[1],B268)=0,"-",SUMIFS(Таблица2[WIN$],Таблица2[1],B268))</f>
        <v>-</v>
      </c>
      <c r="M268" s="76" t="str">
        <f t="shared" si="16"/>
        <v>-</v>
      </c>
      <c r="N268" s="78" t="str">
        <f>IFERROR(Таблица46[[#This Row],[PROF]]/Таблица46[[#This Row],[Games]],"-")</f>
        <v>-</v>
      </c>
    </row>
    <row r="269" spans="1:14" ht="11.1" customHeight="1" x14ac:dyDescent="0.25">
      <c r="A269" s="93">
        <f t="shared" si="12"/>
        <v>183</v>
      </c>
      <c r="B269" s="113"/>
      <c r="C269"/>
      <c r="D269" s="117" t="str">
        <f>IF(COUNTIFS(Таблица2[1],B269)+SUMIFS(Таблица2[R],Таблица2[1],B269)=0,"",COUNTIFS(Таблица2[1],B269)+SUMIFS(Таблица2[R],Таблица2[1],B269))</f>
        <v/>
      </c>
      <c r="E269" s="76" t="str">
        <f>IF(SUMIFS(Таблица2[B$],Таблица2[1],B269)=0,"-",SUMIFS(Таблица2[B$],Таблица2[1],B269))</f>
        <v>-</v>
      </c>
      <c r="F269" s="77" t="str">
        <f>IFERROR(AVERAGEIFS(Таблица2[AFS],Таблица2[1],B269)+(AVERAGEIFS(Таблица2[AFS],Таблица2[1],B269)*0.2),"-")</f>
        <v>-</v>
      </c>
      <c r="G269" s="77" t="str">
        <f t="shared" si="15"/>
        <v>-</v>
      </c>
      <c r="H269" s="77" t="str">
        <f>IFERROR(COUNTIFS(Таблица2[1],B269,Таблица2[WIN$],"&gt;0")/D269*100,"-")</f>
        <v>-</v>
      </c>
      <c r="I269" s="77" t="str">
        <f>IF(IFERROR((COUNTIFS(Таблица2[1],B269,Таблица2[K],"K")+SUMIFS(Таблица2[R],Таблица2[1],B269,Таблица2[K],"K"))/D269*100,"-")=0,"-",IFERROR((COUNTIFS(Таблица2[1],B269,Таблица2[K],"K")+SUMIFS(Таблица2[R],Таблица2[1],B269,Таблица2[K],"K"))/D269*100,"-"))</f>
        <v>-</v>
      </c>
      <c r="J269" s="77" t="str">
        <f>IF(IFERROR((COUNTIFS(Таблица2[1],B269,Таблица2[T],"t")+SUMIFS(Таблица2[R],Таблица2[1],B269,Таблица2[T],"t"))/D269*100,"-")=0,"-",IFERROR((COUNTIFS(Таблица2[1],B269,Таблица2[T],"t")+SUMIFS(Таблица2[R],Таблица2[1],B269,Таблица2[T],"t"))/D269*100,"-"))</f>
        <v>-</v>
      </c>
      <c r="K269" s="76" t="str">
        <f>IF(SUMIFS(Таблица2[KO$],Таблица2[1],B269)=0,"-",SUMIFS(Таблица2[KO$],Таблица2[1],B269))</f>
        <v>-</v>
      </c>
      <c r="L269" s="76" t="str">
        <f>IF(SUMIFS(Таблица2[WIN$],Таблица2[1],B269)=0,"-",SUMIFS(Таблица2[WIN$],Таблица2[1],B269))</f>
        <v>-</v>
      </c>
      <c r="M269" s="76" t="str">
        <f t="shared" si="16"/>
        <v>-</v>
      </c>
      <c r="N269" s="78" t="str">
        <f>IFERROR(Таблица46[[#This Row],[PROF]]/Таблица46[[#This Row],[Games]],"-")</f>
        <v>-</v>
      </c>
    </row>
    <row r="270" spans="1:14" ht="11.1" customHeight="1" x14ac:dyDescent="0.25">
      <c r="A270" s="93">
        <f t="shared" si="12"/>
        <v>184</v>
      </c>
      <c r="B270" s="113"/>
      <c r="C270"/>
      <c r="D270" s="117" t="str">
        <f>IF(COUNTIFS(Таблица2[1],B270)+SUMIFS(Таблица2[R],Таблица2[1],B270)=0,"",COUNTIFS(Таблица2[1],B270)+SUMIFS(Таблица2[R],Таблица2[1],B270))</f>
        <v/>
      </c>
      <c r="E270" s="76" t="str">
        <f>IF(SUMIFS(Таблица2[B$],Таблица2[1],B270)=0,"-",SUMIFS(Таблица2[B$],Таблица2[1],B270))</f>
        <v>-</v>
      </c>
      <c r="F270" s="77" t="str">
        <f>IFERROR(AVERAGEIFS(Таблица2[AFS],Таблица2[1],B270)+(AVERAGEIFS(Таблица2[AFS],Таблица2[1],B270)*0.2),"-")</f>
        <v>-</v>
      </c>
      <c r="G270" s="77" t="str">
        <f t="shared" si="15"/>
        <v>-</v>
      </c>
      <c r="H270" s="77" t="str">
        <f>IFERROR(COUNTIFS(Таблица2[1],B270,Таблица2[WIN$],"&gt;0")/D270*100,"-")</f>
        <v>-</v>
      </c>
      <c r="I270" s="77" t="str">
        <f>IF(IFERROR((COUNTIFS(Таблица2[1],B270,Таблица2[K],"K")+SUMIFS(Таблица2[R],Таблица2[1],B270,Таблица2[K],"K"))/D270*100,"-")=0,"-",IFERROR((COUNTIFS(Таблица2[1],B270,Таблица2[K],"K")+SUMIFS(Таблица2[R],Таблица2[1],B270,Таблица2[K],"K"))/D270*100,"-"))</f>
        <v>-</v>
      </c>
      <c r="J270" s="77" t="str">
        <f>IF(IFERROR((COUNTIFS(Таблица2[1],B270,Таблица2[T],"t")+SUMIFS(Таблица2[R],Таблица2[1],B270,Таблица2[T],"t"))/D270*100,"-")=0,"-",IFERROR((COUNTIFS(Таблица2[1],B270,Таблица2[T],"t")+SUMIFS(Таблица2[R],Таблица2[1],B270,Таблица2[T],"t"))/D270*100,"-"))</f>
        <v>-</v>
      </c>
      <c r="K270" s="76" t="str">
        <f>IF(SUMIFS(Таблица2[KO$],Таблица2[1],B270)=0,"-",SUMIFS(Таблица2[KO$],Таблица2[1],B270))</f>
        <v>-</v>
      </c>
      <c r="L270" s="76" t="str">
        <f>IF(SUMIFS(Таблица2[WIN$],Таблица2[1],B270)=0,"-",SUMIFS(Таблица2[WIN$],Таблица2[1],B270))</f>
        <v>-</v>
      </c>
      <c r="M270" s="76" t="str">
        <f t="shared" si="16"/>
        <v>-</v>
      </c>
      <c r="N270" s="78" t="str">
        <f>IFERROR(Таблица46[[#This Row],[PROF]]/Таблица46[[#This Row],[Games]],"-")</f>
        <v>-</v>
      </c>
    </row>
    <row r="271" spans="1:14" ht="11.1" customHeight="1" x14ac:dyDescent="0.25">
      <c r="A271" s="93">
        <f t="shared" si="12"/>
        <v>185</v>
      </c>
      <c r="B271" s="113"/>
      <c r="C271"/>
      <c r="D271" s="117" t="str">
        <f>IF(COUNTIFS(Таблица2[1],B271)+SUMIFS(Таблица2[R],Таблица2[1],B271)=0,"",COUNTIFS(Таблица2[1],B271)+SUMIFS(Таблица2[R],Таблица2[1],B271))</f>
        <v/>
      </c>
      <c r="E271" s="76" t="str">
        <f>IF(SUMIFS(Таблица2[B$],Таблица2[1],B271)=0,"-",SUMIFS(Таблица2[B$],Таблица2[1],B271))</f>
        <v>-</v>
      </c>
      <c r="F271" s="77" t="str">
        <f>IFERROR(AVERAGEIFS(Таблица2[AFS],Таблица2[1],B271)+(AVERAGEIFS(Таблица2[AFS],Таблица2[1],B271)*0.2),"-")</f>
        <v>-</v>
      </c>
      <c r="G271" s="77" t="str">
        <f t="shared" si="15"/>
        <v>-</v>
      </c>
      <c r="H271" s="77" t="str">
        <f>IFERROR(COUNTIFS(Таблица2[1],B271,Таблица2[WIN$],"&gt;0")/D271*100,"-")</f>
        <v>-</v>
      </c>
      <c r="I271" s="77" t="str">
        <f>IF(IFERROR((COUNTIFS(Таблица2[1],B271,Таблица2[K],"K")+SUMIFS(Таблица2[R],Таблица2[1],B271,Таблица2[K],"K"))/D271*100,"-")=0,"-",IFERROR((COUNTIFS(Таблица2[1],B271,Таблица2[K],"K")+SUMIFS(Таблица2[R],Таблица2[1],B271,Таблица2[K],"K"))/D271*100,"-"))</f>
        <v>-</v>
      </c>
      <c r="J271" s="77" t="str">
        <f>IF(IFERROR((COUNTIFS(Таблица2[1],B271,Таблица2[T],"t")+SUMIFS(Таблица2[R],Таблица2[1],B271,Таблица2[T],"t"))/D271*100,"-")=0,"-",IFERROR((COUNTIFS(Таблица2[1],B271,Таблица2[T],"t")+SUMIFS(Таблица2[R],Таблица2[1],B271,Таблица2[T],"t"))/D271*100,"-"))</f>
        <v>-</v>
      </c>
      <c r="K271" s="76" t="str">
        <f>IF(SUMIFS(Таблица2[KO$],Таблица2[1],B271)=0,"-",SUMIFS(Таблица2[KO$],Таблица2[1],B271))</f>
        <v>-</v>
      </c>
      <c r="L271" s="76" t="str">
        <f>IF(SUMIFS(Таблица2[WIN$],Таблица2[1],B271)=0,"-",SUMIFS(Таблица2[WIN$],Таблица2[1],B271))</f>
        <v>-</v>
      </c>
      <c r="M271" s="76" t="str">
        <f t="shared" si="16"/>
        <v>-</v>
      </c>
      <c r="N271" s="78" t="str">
        <f>IFERROR(Таблица46[[#This Row],[PROF]]/Таблица46[[#This Row],[Games]],"-")</f>
        <v>-</v>
      </c>
    </row>
    <row r="272" spans="1:14" ht="11.1" customHeight="1" x14ac:dyDescent="0.25">
      <c r="A272" s="93">
        <f t="shared" si="12"/>
        <v>186</v>
      </c>
      <c r="B272" s="113"/>
      <c r="C272"/>
      <c r="D272" s="117" t="str">
        <f>IF(COUNTIFS(Таблица2[1],B272)+SUMIFS(Таблица2[R],Таблица2[1],B272)=0,"",COUNTIFS(Таблица2[1],B272)+SUMIFS(Таблица2[R],Таблица2[1],B272))</f>
        <v/>
      </c>
      <c r="E272" s="76" t="str">
        <f>IF(SUMIFS(Таблица2[B$],Таблица2[1],B272)=0,"-",SUMIFS(Таблица2[B$],Таблица2[1],B272))</f>
        <v>-</v>
      </c>
      <c r="F272" s="77" t="str">
        <f>IFERROR(AVERAGEIFS(Таблица2[AFS],Таблица2[1],B272)+(AVERAGEIFS(Таблица2[AFS],Таблица2[1],B272)*0.2),"-")</f>
        <v>-</v>
      </c>
      <c r="G272" s="77" t="str">
        <f t="shared" si="15"/>
        <v>-</v>
      </c>
      <c r="H272" s="77" t="str">
        <f>IFERROR(COUNTIFS(Таблица2[1],B272,Таблица2[WIN$],"&gt;0")/D272*100,"-")</f>
        <v>-</v>
      </c>
      <c r="I272" s="77" t="str">
        <f>IF(IFERROR((COUNTIFS(Таблица2[1],B272,Таблица2[K],"K")+SUMIFS(Таблица2[R],Таблица2[1],B272,Таблица2[K],"K"))/D272*100,"-")=0,"-",IFERROR((COUNTIFS(Таблица2[1],B272,Таблица2[K],"K")+SUMIFS(Таблица2[R],Таблица2[1],B272,Таблица2[K],"K"))/D272*100,"-"))</f>
        <v>-</v>
      </c>
      <c r="J272" s="77" t="str">
        <f>IF(IFERROR((COUNTIFS(Таблица2[1],B272,Таблица2[T],"t")+SUMIFS(Таблица2[R],Таблица2[1],B272,Таблица2[T],"t"))/D272*100,"-")=0,"-",IFERROR((COUNTIFS(Таблица2[1],B272,Таблица2[T],"t")+SUMIFS(Таблица2[R],Таблица2[1],B272,Таблица2[T],"t"))/D272*100,"-"))</f>
        <v>-</v>
      </c>
      <c r="K272" s="76" t="str">
        <f>IF(SUMIFS(Таблица2[KO$],Таблица2[1],B272)=0,"-",SUMIFS(Таблица2[KO$],Таблица2[1],B272))</f>
        <v>-</v>
      </c>
      <c r="L272" s="76" t="str">
        <f>IF(SUMIFS(Таблица2[WIN$],Таблица2[1],B272)=0,"-",SUMIFS(Таблица2[WIN$],Таблица2[1],B272))</f>
        <v>-</v>
      </c>
      <c r="M272" s="76" t="str">
        <f t="shared" si="16"/>
        <v>-</v>
      </c>
      <c r="N272" s="78" t="str">
        <f>IFERROR(Таблица46[[#This Row],[PROF]]/Таблица46[[#This Row],[Games]],"-")</f>
        <v>-</v>
      </c>
    </row>
    <row r="273" spans="1:14" ht="11.1" customHeight="1" x14ac:dyDescent="0.25">
      <c r="A273" s="93">
        <f t="shared" si="12"/>
        <v>187</v>
      </c>
      <c r="B273" s="113"/>
      <c r="C273"/>
      <c r="D273" s="117" t="str">
        <f>IF(COUNTIFS(Таблица2[1],B273)+SUMIFS(Таблица2[R],Таблица2[1],B273)=0,"",COUNTIFS(Таблица2[1],B273)+SUMIFS(Таблица2[R],Таблица2[1],B273))</f>
        <v/>
      </c>
      <c r="E273" s="76" t="str">
        <f>IF(SUMIFS(Таблица2[B$],Таблица2[1],B273)=0,"-",SUMIFS(Таблица2[B$],Таблица2[1],B273))</f>
        <v>-</v>
      </c>
      <c r="F273" s="77" t="str">
        <f>IFERROR(AVERAGEIFS(Таблица2[AFS],Таблица2[1],B273)+(AVERAGEIFS(Таблица2[AFS],Таблица2[1],B273)*0.2),"-")</f>
        <v>-</v>
      </c>
      <c r="G273" s="77" t="str">
        <f t="shared" si="15"/>
        <v>-</v>
      </c>
      <c r="H273" s="77" t="str">
        <f>IFERROR(COUNTIFS(Таблица2[1],B273,Таблица2[WIN$],"&gt;0")/D273*100,"-")</f>
        <v>-</v>
      </c>
      <c r="I273" s="77" t="str">
        <f>IF(IFERROR((COUNTIFS(Таблица2[1],B273,Таблица2[K],"K")+SUMIFS(Таблица2[R],Таблица2[1],B273,Таблица2[K],"K"))/D273*100,"-")=0,"-",IFERROR((COUNTIFS(Таблица2[1],B273,Таблица2[K],"K")+SUMIFS(Таблица2[R],Таблица2[1],B273,Таблица2[K],"K"))/D273*100,"-"))</f>
        <v>-</v>
      </c>
      <c r="J273" s="77" t="str">
        <f>IF(IFERROR((COUNTIFS(Таблица2[1],B273,Таблица2[T],"t")+SUMIFS(Таблица2[R],Таблица2[1],B273,Таблица2[T],"t"))/D273*100,"-")=0,"-",IFERROR((COUNTIFS(Таблица2[1],B273,Таблица2[T],"t")+SUMIFS(Таблица2[R],Таблица2[1],B273,Таблица2[T],"t"))/D273*100,"-"))</f>
        <v>-</v>
      </c>
      <c r="K273" s="76" t="str">
        <f>IF(SUMIFS(Таблица2[KO$],Таблица2[1],B273)=0,"-",SUMIFS(Таблица2[KO$],Таблица2[1],B273))</f>
        <v>-</v>
      </c>
      <c r="L273" s="76" t="str">
        <f>IF(SUMIFS(Таблица2[WIN$],Таблица2[1],B273)=0,"-",SUMIFS(Таблица2[WIN$],Таблица2[1],B273))</f>
        <v>-</v>
      </c>
      <c r="M273" s="76" t="str">
        <f t="shared" si="16"/>
        <v>-</v>
      </c>
      <c r="N273" s="78" t="str">
        <f>IFERROR(Таблица46[[#This Row],[PROF]]/Таблица46[[#This Row],[Games]],"-")</f>
        <v>-</v>
      </c>
    </row>
    <row r="274" spans="1:14" ht="11.1" customHeight="1" x14ac:dyDescent="0.25">
      <c r="A274" s="93">
        <f t="shared" si="12"/>
        <v>188</v>
      </c>
      <c r="B274" s="113"/>
      <c r="C274"/>
      <c r="D274" s="117" t="str">
        <f>IF(COUNTIFS(Таблица2[1],B274)+SUMIFS(Таблица2[R],Таблица2[1],B274)=0,"",COUNTIFS(Таблица2[1],B274)+SUMIFS(Таблица2[R],Таблица2[1],B274))</f>
        <v/>
      </c>
      <c r="E274" s="76" t="str">
        <f>IF(SUMIFS(Таблица2[B$],Таблица2[1],B274)=0,"-",SUMIFS(Таблица2[B$],Таблица2[1],B274))</f>
        <v>-</v>
      </c>
      <c r="F274" s="77" t="str">
        <f>IFERROR(AVERAGEIFS(Таблица2[AFS],Таблица2[1],B274)+(AVERAGEIFS(Таблица2[AFS],Таблица2[1],B274)*0.2),"-")</f>
        <v>-</v>
      </c>
      <c r="G274" s="77" t="str">
        <f t="shared" si="15"/>
        <v>-</v>
      </c>
      <c r="H274" s="77" t="str">
        <f>IFERROR(COUNTIFS(Таблица2[1],B274,Таблица2[WIN$],"&gt;0")/D274*100,"-")</f>
        <v>-</v>
      </c>
      <c r="I274" s="77" t="str">
        <f>IF(IFERROR((COUNTIFS(Таблица2[1],B274,Таблица2[K],"K")+SUMIFS(Таблица2[R],Таблица2[1],B274,Таблица2[K],"K"))/D274*100,"-")=0,"-",IFERROR((COUNTIFS(Таблица2[1],B274,Таблица2[K],"K")+SUMIFS(Таблица2[R],Таблица2[1],B274,Таблица2[K],"K"))/D274*100,"-"))</f>
        <v>-</v>
      </c>
      <c r="J274" s="77" t="str">
        <f>IF(IFERROR((COUNTIFS(Таблица2[1],B274,Таблица2[T],"t")+SUMIFS(Таблица2[R],Таблица2[1],B274,Таблица2[T],"t"))/D274*100,"-")=0,"-",IFERROR((COUNTIFS(Таблица2[1],B274,Таблица2[T],"t")+SUMIFS(Таблица2[R],Таблица2[1],B274,Таблица2[T],"t"))/D274*100,"-"))</f>
        <v>-</v>
      </c>
      <c r="K274" s="76" t="str">
        <f>IF(SUMIFS(Таблица2[KO$],Таблица2[1],B274)=0,"-",SUMIFS(Таблица2[KO$],Таблица2[1],B274))</f>
        <v>-</v>
      </c>
      <c r="L274" s="76" t="str">
        <f>IF(SUMIFS(Таблица2[WIN$],Таблица2[1],B274)=0,"-",SUMIFS(Таблица2[WIN$],Таблица2[1],B274))</f>
        <v>-</v>
      </c>
      <c r="M274" s="76" t="str">
        <f t="shared" si="16"/>
        <v>-</v>
      </c>
      <c r="N274" s="78" t="str">
        <f>IFERROR(Таблица46[[#This Row],[PROF]]/Таблица46[[#This Row],[Games]],"-")</f>
        <v>-</v>
      </c>
    </row>
    <row r="275" spans="1:14" ht="11.1" customHeight="1" x14ac:dyDescent="0.25">
      <c r="A275" s="93">
        <f t="shared" si="12"/>
        <v>189</v>
      </c>
      <c r="B275" s="113"/>
      <c r="C275"/>
      <c r="D275" s="117" t="str">
        <f>IF(COUNTIFS(Таблица2[1],B275)+SUMIFS(Таблица2[R],Таблица2[1],B275)=0,"",COUNTIFS(Таблица2[1],B275)+SUMIFS(Таблица2[R],Таблица2[1],B275))</f>
        <v/>
      </c>
      <c r="E275" s="76" t="str">
        <f>IF(SUMIFS(Таблица2[B$],Таблица2[1],B275)=0,"-",SUMIFS(Таблица2[B$],Таблица2[1],B275))</f>
        <v>-</v>
      </c>
      <c r="F275" s="77" t="str">
        <f>IFERROR(AVERAGEIFS(Таблица2[AFS],Таблица2[1],B275)+(AVERAGEIFS(Таблица2[AFS],Таблица2[1],B275)*0.2),"-")</f>
        <v>-</v>
      </c>
      <c r="G275" s="77" t="str">
        <f t="shared" si="15"/>
        <v>-</v>
      </c>
      <c r="H275" s="77" t="str">
        <f>IFERROR(COUNTIFS(Таблица2[1],B275,Таблица2[WIN$],"&gt;0")/D275*100,"-")</f>
        <v>-</v>
      </c>
      <c r="I275" s="77" t="str">
        <f>IF(IFERROR((COUNTIFS(Таблица2[1],B275,Таблица2[K],"K")+SUMIFS(Таблица2[R],Таблица2[1],B275,Таблица2[K],"K"))/D275*100,"-")=0,"-",IFERROR((COUNTIFS(Таблица2[1],B275,Таблица2[K],"K")+SUMIFS(Таблица2[R],Таблица2[1],B275,Таблица2[K],"K"))/D275*100,"-"))</f>
        <v>-</v>
      </c>
      <c r="J275" s="77" t="str">
        <f>IF(IFERROR((COUNTIFS(Таблица2[1],B275,Таблица2[T],"t")+SUMIFS(Таблица2[R],Таблица2[1],B275,Таблица2[T],"t"))/D275*100,"-")=0,"-",IFERROR((COUNTIFS(Таблица2[1],B275,Таблица2[T],"t")+SUMIFS(Таблица2[R],Таблица2[1],B275,Таблица2[T],"t"))/D275*100,"-"))</f>
        <v>-</v>
      </c>
      <c r="K275" s="76" t="str">
        <f>IF(SUMIFS(Таблица2[KO$],Таблица2[1],B275)=0,"-",SUMIFS(Таблица2[KO$],Таблица2[1],B275))</f>
        <v>-</v>
      </c>
      <c r="L275" s="76" t="str">
        <f>IF(SUMIFS(Таблица2[WIN$],Таблица2[1],B275)=0,"-",SUMIFS(Таблица2[WIN$],Таблица2[1],B275))</f>
        <v>-</v>
      </c>
      <c r="M275" s="76" t="str">
        <f t="shared" si="16"/>
        <v>-</v>
      </c>
      <c r="N275" s="78" t="str">
        <f>IFERROR(Таблица46[[#This Row],[PROF]]/Таблица46[[#This Row],[Games]],"-")</f>
        <v>-</v>
      </c>
    </row>
    <row r="276" spans="1:14" ht="11.1" customHeight="1" x14ac:dyDescent="0.25">
      <c r="A276" s="93">
        <f t="shared" si="12"/>
        <v>190</v>
      </c>
      <c r="B276" s="113"/>
      <c r="C276"/>
      <c r="D276" s="117" t="str">
        <f>IF(COUNTIFS(Таблица2[1],B276)+SUMIFS(Таблица2[R],Таблица2[1],B276)=0,"",COUNTIFS(Таблица2[1],B276)+SUMIFS(Таблица2[R],Таблица2[1],B276))</f>
        <v/>
      </c>
      <c r="E276" s="76" t="str">
        <f>IF(SUMIFS(Таблица2[B$],Таблица2[1],B276)=0,"-",SUMIFS(Таблица2[B$],Таблица2[1],B276))</f>
        <v>-</v>
      </c>
      <c r="F276" s="77" t="str">
        <f>IFERROR(AVERAGEIFS(Таблица2[AFS],Таблица2[1],B276)+(AVERAGEIFS(Таблица2[AFS],Таблица2[1],B276)*0.2),"-")</f>
        <v>-</v>
      </c>
      <c r="G276" s="77" t="str">
        <f t="shared" si="15"/>
        <v>-</v>
      </c>
      <c r="H276" s="77" t="str">
        <f>IFERROR(COUNTIFS(Таблица2[1],B276,Таблица2[WIN$],"&gt;0")/D276*100,"-")</f>
        <v>-</v>
      </c>
      <c r="I276" s="77" t="str">
        <f>IF(IFERROR((COUNTIFS(Таблица2[1],B276,Таблица2[K],"K")+SUMIFS(Таблица2[R],Таблица2[1],B276,Таблица2[K],"K"))/D276*100,"-")=0,"-",IFERROR((COUNTIFS(Таблица2[1],B276,Таблица2[K],"K")+SUMIFS(Таблица2[R],Таблица2[1],B276,Таблица2[K],"K"))/D276*100,"-"))</f>
        <v>-</v>
      </c>
      <c r="J276" s="77" t="str">
        <f>IF(IFERROR((COUNTIFS(Таблица2[1],B276,Таблица2[T],"t")+SUMIFS(Таблица2[R],Таблица2[1],B276,Таблица2[T],"t"))/D276*100,"-")=0,"-",IFERROR((COUNTIFS(Таблица2[1],B276,Таблица2[T],"t")+SUMIFS(Таблица2[R],Таблица2[1],B276,Таблица2[T],"t"))/D276*100,"-"))</f>
        <v>-</v>
      </c>
      <c r="K276" s="76" t="str">
        <f>IF(SUMIFS(Таблица2[KO$],Таблица2[1],B276)=0,"-",SUMIFS(Таблица2[KO$],Таблица2[1],B276))</f>
        <v>-</v>
      </c>
      <c r="L276" s="76" t="str">
        <f>IF(SUMIFS(Таблица2[WIN$],Таблица2[1],B276)=0,"-",SUMIFS(Таблица2[WIN$],Таблица2[1],B276))</f>
        <v>-</v>
      </c>
      <c r="M276" s="76" t="str">
        <f t="shared" si="16"/>
        <v>-</v>
      </c>
      <c r="N276" s="78" t="str">
        <f>IFERROR(Таблица46[[#This Row],[PROF]]/Таблица46[[#This Row],[Games]],"-")</f>
        <v>-</v>
      </c>
    </row>
    <row r="277" spans="1:14" ht="11.1" customHeight="1" x14ac:dyDescent="0.25">
      <c r="A277" s="93">
        <f t="shared" si="12"/>
        <v>191</v>
      </c>
      <c r="B277" s="113"/>
      <c r="C277"/>
      <c r="D277" s="117" t="str">
        <f>IF(COUNTIFS(Таблица2[1],B277)+SUMIFS(Таблица2[R],Таблица2[1],B277)=0,"",COUNTIFS(Таблица2[1],B277)+SUMIFS(Таблица2[R],Таблица2[1],B277))</f>
        <v/>
      </c>
      <c r="E277" s="76" t="str">
        <f>IF(SUMIFS(Таблица2[B$],Таблица2[1],B277)=0,"-",SUMIFS(Таблица2[B$],Таблица2[1],B277))</f>
        <v>-</v>
      </c>
      <c r="F277" s="77" t="str">
        <f>IFERROR(AVERAGEIFS(Таблица2[AFS],Таблица2[1],B277)+(AVERAGEIFS(Таблица2[AFS],Таблица2[1],B277)*0.2),"-")</f>
        <v>-</v>
      </c>
      <c r="G277" s="77" t="str">
        <f t="shared" si="15"/>
        <v>-</v>
      </c>
      <c r="H277" s="77" t="str">
        <f>IFERROR(COUNTIFS(Таблица2[1],B277,Таблица2[WIN$],"&gt;0")/D277*100,"-")</f>
        <v>-</v>
      </c>
      <c r="I277" s="77" t="str">
        <f>IF(IFERROR((COUNTIFS(Таблица2[1],B277,Таблица2[K],"K")+SUMIFS(Таблица2[R],Таблица2[1],B277,Таблица2[K],"K"))/D277*100,"-")=0,"-",IFERROR((COUNTIFS(Таблица2[1],B277,Таблица2[K],"K")+SUMIFS(Таблица2[R],Таблица2[1],B277,Таблица2[K],"K"))/D277*100,"-"))</f>
        <v>-</v>
      </c>
      <c r="J277" s="77" t="str">
        <f>IF(IFERROR((COUNTIFS(Таблица2[1],B277,Таблица2[T],"t")+SUMIFS(Таблица2[R],Таблица2[1],B277,Таблица2[T],"t"))/D277*100,"-")=0,"-",IFERROR((COUNTIFS(Таблица2[1],B277,Таблица2[T],"t")+SUMIFS(Таблица2[R],Таблица2[1],B277,Таблица2[T],"t"))/D277*100,"-"))</f>
        <v>-</v>
      </c>
      <c r="K277" s="76" t="str">
        <f>IF(SUMIFS(Таблица2[KO$],Таблица2[1],B277)=0,"-",SUMIFS(Таблица2[KO$],Таблица2[1],B277))</f>
        <v>-</v>
      </c>
      <c r="L277" s="76" t="str">
        <f>IF(SUMIFS(Таблица2[WIN$],Таблица2[1],B277)=0,"-",SUMIFS(Таблица2[WIN$],Таблица2[1],B277))</f>
        <v>-</v>
      </c>
      <c r="M277" s="76" t="str">
        <f t="shared" si="16"/>
        <v>-</v>
      </c>
      <c r="N277" s="78" t="str">
        <f>IFERROR(Таблица46[[#This Row],[PROF]]/Таблица46[[#This Row],[Games]],"-")</f>
        <v>-</v>
      </c>
    </row>
    <row r="278" spans="1:14" ht="11.1" customHeight="1" x14ac:dyDescent="0.25">
      <c r="A278" s="93">
        <f t="shared" si="12"/>
        <v>192</v>
      </c>
      <c r="B278" s="113"/>
      <c r="C278"/>
      <c r="D278" s="117" t="str">
        <f>IF(COUNTIFS(Таблица2[1],B278)+SUMIFS(Таблица2[R],Таблица2[1],B278)=0,"",COUNTIFS(Таблица2[1],B278)+SUMIFS(Таблица2[R],Таблица2[1],B278))</f>
        <v/>
      </c>
      <c r="E278" s="76" t="str">
        <f>IF(SUMIFS(Таблица2[B$],Таблица2[1],B278)=0,"-",SUMIFS(Таблица2[B$],Таблица2[1],B278))</f>
        <v>-</v>
      </c>
      <c r="F278" s="77" t="str">
        <f>IFERROR(AVERAGEIFS(Таблица2[AFS],Таблица2[1],B278)+(AVERAGEIFS(Таблица2[AFS],Таблица2[1],B278)*0.2),"-")</f>
        <v>-</v>
      </c>
      <c r="G278" s="77" t="str">
        <f t="shared" si="15"/>
        <v>-</v>
      </c>
      <c r="H278" s="77" t="str">
        <f>IFERROR(COUNTIFS(Таблица2[1],B278,Таблица2[WIN$],"&gt;0")/D278*100,"-")</f>
        <v>-</v>
      </c>
      <c r="I278" s="77" t="str">
        <f>IF(IFERROR((COUNTIFS(Таблица2[1],B278,Таблица2[K],"K")+SUMIFS(Таблица2[R],Таблица2[1],B278,Таблица2[K],"K"))/D278*100,"-")=0,"-",IFERROR((COUNTIFS(Таблица2[1],B278,Таблица2[K],"K")+SUMIFS(Таблица2[R],Таблица2[1],B278,Таблица2[K],"K"))/D278*100,"-"))</f>
        <v>-</v>
      </c>
      <c r="J278" s="77" t="str">
        <f>IF(IFERROR((COUNTIFS(Таблица2[1],B278,Таблица2[T],"t")+SUMIFS(Таблица2[R],Таблица2[1],B278,Таблица2[T],"t"))/D278*100,"-")=0,"-",IFERROR((COUNTIFS(Таблица2[1],B278,Таблица2[T],"t")+SUMIFS(Таблица2[R],Таблица2[1],B278,Таблица2[T],"t"))/D278*100,"-"))</f>
        <v>-</v>
      </c>
      <c r="K278" s="76" t="str">
        <f>IF(SUMIFS(Таблица2[KO$],Таблица2[1],B278)=0,"-",SUMIFS(Таблица2[KO$],Таблица2[1],B278))</f>
        <v>-</v>
      </c>
      <c r="L278" s="76" t="str">
        <f>IF(SUMIFS(Таблица2[WIN$],Таблица2[1],B278)=0,"-",SUMIFS(Таблица2[WIN$],Таблица2[1],B278))</f>
        <v>-</v>
      </c>
      <c r="M278" s="76" t="str">
        <f t="shared" si="16"/>
        <v>-</v>
      </c>
      <c r="N278" s="78" t="str">
        <f>IFERROR(Таблица46[[#This Row],[PROF]]/Таблица46[[#This Row],[Games]],"-")</f>
        <v>-</v>
      </c>
    </row>
    <row r="279" spans="1:14" ht="11.1" customHeight="1" x14ac:dyDescent="0.25">
      <c r="A279" s="93">
        <f t="shared" si="12"/>
        <v>193</v>
      </c>
      <c r="B279" s="113"/>
      <c r="C279"/>
      <c r="D279" s="117" t="str">
        <f>IF(COUNTIFS(Таблица2[1],B279)+SUMIFS(Таблица2[R],Таблица2[1],B279)=0,"",COUNTIFS(Таблица2[1],B279)+SUMIFS(Таблица2[R],Таблица2[1],B279))</f>
        <v/>
      </c>
      <c r="E279" s="76" t="str">
        <f>IF(SUMIFS(Таблица2[B$],Таблица2[1],B279)=0,"-",SUMIFS(Таблица2[B$],Таблица2[1],B279))</f>
        <v>-</v>
      </c>
      <c r="F279" s="77" t="str">
        <f>IFERROR(AVERAGEIFS(Таблица2[AFS],Таблица2[1],B279)+(AVERAGEIFS(Таблица2[AFS],Таблица2[1],B279)*0.2),"-")</f>
        <v>-</v>
      </c>
      <c r="G279" s="77" t="str">
        <f t="shared" si="15"/>
        <v>-</v>
      </c>
      <c r="H279" s="77" t="str">
        <f>IFERROR(COUNTIFS(Таблица2[1],B279,Таблица2[WIN$],"&gt;0")/D279*100,"-")</f>
        <v>-</v>
      </c>
      <c r="I279" s="77" t="str">
        <f>IF(IFERROR((COUNTIFS(Таблица2[1],B279,Таблица2[K],"K")+SUMIFS(Таблица2[R],Таблица2[1],B279,Таблица2[K],"K"))/D279*100,"-")=0,"-",IFERROR((COUNTIFS(Таблица2[1],B279,Таблица2[K],"K")+SUMIFS(Таблица2[R],Таблица2[1],B279,Таблица2[K],"K"))/D279*100,"-"))</f>
        <v>-</v>
      </c>
      <c r="J279" s="77" t="str">
        <f>IF(IFERROR((COUNTIFS(Таблица2[1],B279,Таблица2[T],"t")+SUMIFS(Таблица2[R],Таблица2[1],B279,Таблица2[T],"t"))/D279*100,"-")=0,"-",IFERROR((COUNTIFS(Таблица2[1],B279,Таблица2[T],"t")+SUMIFS(Таблица2[R],Таблица2[1],B279,Таблица2[T],"t"))/D279*100,"-"))</f>
        <v>-</v>
      </c>
      <c r="K279" s="76" t="str">
        <f>IF(SUMIFS(Таблица2[KO$],Таблица2[1],B279)=0,"-",SUMIFS(Таблица2[KO$],Таблица2[1],B279))</f>
        <v>-</v>
      </c>
      <c r="L279" s="76" t="str">
        <f>IF(SUMIFS(Таблица2[WIN$],Таблица2[1],B279)=0,"-",SUMIFS(Таблица2[WIN$],Таблица2[1],B279))</f>
        <v>-</v>
      </c>
      <c r="M279" s="76" t="str">
        <f t="shared" si="16"/>
        <v>-</v>
      </c>
      <c r="N279" s="78" t="str">
        <f>IFERROR(Таблица46[[#This Row],[PROF]]/Таблица46[[#This Row],[Games]],"-")</f>
        <v>-</v>
      </c>
    </row>
    <row r="280" spans="1:14" ht="11.1" customHeight="1" x14ac:dyDescent="0.25">
      <c r="A280" s="93">
        <f t="shared" ref="A280:A343" si="17">A279+1</f>
        <v>194</v>
      </c>
      <c r="B280" s="113"/>
      <c r="C280"/>
      <c r="D280" s="117" t="str">
        <f>IF(COUNTIFS(Таблица2[1],B280)+SUMIFS(Таблица2[R],Таблица2[1],B280)=0,"",COUNTIFS(Таблица2[1],B280)+SUMIFS(Таблица2[R],Таблица2[1],B280))</f>
        <v/>
      </c>
      <c r="E280" s="76" t="str">
        <f>IF(SUMIFS(Таблица2[B$],Таблица2[1],B280)=0,"-",SUMIFS(Таблица2[B$],Таблица2[1],B280))</f>
        <v>-</v>
      </c>
      <c r="F280" s="77" t="str">
        <f>IFERROR(AVERAGEIFS(Таблица2[AFS],Таблица2[1],B280)+(AVERAGEIFS(Таблица2[AFS],Таблица2[1],B280)*0.2),"-")</f>
        <v>-</v>
      </c>
      <c r="G280" s="77" t="str">
        <f t="shared" si="15"/>
        <v>-</v>
      </c>
      <c r="H280" s="77" t="str">
        <f>IFERROR(COUNTIFS(Таблица2[1],B280,Таблица2[WIN$],"&gt;0")/D280*100,"-")</f>
        <v>-</v>
      </c>
      <c r="I280" s="77" t="str">
        <f>IF(IFERROR((COUNTIFS(Таблица2[1],B280,Таблица2[K],"K")+SUMIFS(Таблица2[R],Таблица2[1],B280,Таблица2[K],"K"))/D280*100,"-")=0,"-",IFERROR((COUNTIFS(Таблица2[1],B280,Таблица2[K],"K")+SUMIFS(Таблица2[R],Таблица2[1],B280,Таблица2[K],"K"))/D280*100,"-"))</f>
        <v>-</v>
      </c>
      <c r="J280" s="77" t="str">
        <f>IF(IFERROR((COUNTIFS(Таблица2[1],B280,Таблица2[T],"t")+SUMIFS(Таблица2[R],Таблица2[1],B280,Таблица2[T],"t"))/D280*100,"-")=0,"-",IFERROR((COUNTIFS(Таблица2[1],B280,Таблица2[T],"t")+SUMIFS(Таблица2[R],Таблица2[1],B280,Таблица2[T],"t"))/D280*100,"-"))</f>
        <v>-</v>
      </c>
      <c r="K280" s="76" t="str">
        <f>IF(SUMIFS(Таблица2[KO$],Таблица2[1],B280)=0,"-",SUMIFS(Таблица2[KO$],Таблица2[1],B280))</f>
        <v>-</v>
      </c>
      <c r="L280" s="76" t="str">
        <f>IF(SUMIFS(Таблица2[WIN$],Таблица2[1],B280)=0,"-",SUMIFS(Таблица2[WIN$],Таблица2[1],B280))</f>
        <v>-</v>
      </c>
      <c r="M280" s="76" t="str">
        <f t="shared" si="16"/>
        <v>-</v>
      </c>
      <c r="N280" s="78" t="str">
        <f>IFERROR(Таблица46[[#This Row],[PROF]]/Таблица46[[#This Row],[Games]],"-")</f>
        <v>-</v>
      </c>
    </row>
    <row r="281" spans="1:14" ht="11.1" customHeight="1" x14ac:dyDescent="0.25">
      <c r="A281" s="93">
        <f t="shared" si="17"/>
        <v>195</v>
      </c>
      <c r="B281" s="113"/>
      <c r="C281"/>
      <c r="D281" s="117" t="str">
        <f>IF(COUNTIFS(Таблица2[1],B281)+SUMIFS(Таблица2[R],Таблица2[1],B281)=0,"",COUNTIFS(Таблица2[1],B281)+SUMIFS(Таблица2[R],Таблица2[1],B281))</f>
        <v/>
      </c>
      <c r="E281" s="76" t="str">
        <f>IF(SUMIFS(Таблица2[B$],Таблица2[1],B281)=0,"-",SUMIFS(Таблица2[B$],Таблица2[1],B281))</f>
        <v>-</v>
      </c>
      <c r="F281" s="77" t="str">
        <f>IFERROR(AVERAGEIFS(Таблица2[AFS],Таблица2[1],B281)+(AVERAGEIFS(Таблица2[AFS],Таблица2[1],B281)*0.2),"-")</f>
        <v>-</v>
      </c>
      <c r="G281" s="77" t="str">
        <f t="shared" si="15"/>
        <v>-</v>
      </c>
      <c r="H281" s="77" t="str">
        <f>IFERROR(COUNTIFS(Таблица2[1],B281,Таблица2[WIN$],"&gt;0")/D281*100,"-")</f>
        <v>-</v>
      </c>
      <c r="I281" s="77" t="str">
        <f>IF(IFERROR((COUNTIFS(Таблица2[1],B281,Таблица2[K],"K")+SUMIFS(Таблица2[R],Таблица2[1],B281,Таблица2[K],"K"))/D281*100,"-")=0,"-",IFERROR((COUNTIFS(Таблица2[1],B281,Таблица2[K],"K")+SUMIFS(Таблица2[R],Таблица2[1],B281,Таблица2[K],"K"))/D281*100,"-"))</f>
        <v>-</v>
      </c>
      <c r="J281" s="77" t="str">
        <f>IF(IFERROR((COUNTIFS(Таблица2[1],B281,Таблица2[T],"t")+SUMIFS(Таблица2[R],Таблица2[1],B281,Таблица2[T],"t"))/D281*100,"-")=0,"-",IFERROR((COUNTIFS(Таблица2[1],B281,Таблица2[T],"t")+SUMIFS(Таблица2[R],Таблица2[1],B281,Таблица2[T],"t"))/D281*100,"-"))</f>
        <v>-</v>
      </c>
      <c r="K281" s="76" t="str">
        <f>IF(SUMIFS(Таблица2[KO$],Таблица2[1],B281)=0,"-",SUMIFS(Таблица2[KO$],Таблица2[1],B281))</f>
        <v>-</v>
      </c>
      <c r="L281" s="76" t="str">
        <f>IF(SUMIFS(Таблица2[WIN$],Таблица2[1],B281)=0,"-",SUMIFS(Таблица2[WIN$],Таблица2[1],B281))</f>
        <v>-</v>
      </c>
      <c r="M281" s="76" t="str">
        <f t="shared" si="16"/>
        <v>-</v>
      </c>
      <c r="N281" s="78" t="str">
        <f>IFERROR(Таблица46[[#This Row],[PROF]]/Таблица46[[#This Row],[Games]],"-")</f>
        <v>-</v>
      </c>
    </row>
    <row r="282" spans="1:14" ht="11.1" customHeight="1" x14ac:dyDescent="0.25">
      <c r="A282" s="93">
        <f t="shared" si="17"/>
        <v>196</v>
      </c>
      <c r="B282" s="113"/>
      <c r="C282"/>
      <c r="D282" s="117" t="str">
        <f>IF(COUNTIFS(Таблица2[1],B282)+SUMIFS(Таблица2[R],Таблица2[1],B282)=0,"",COUNTIFS(Таблица2[1],B282)+SUMIFS(Таблица2[R],Таблица2[1],B282))</f>
        <v/>
      </c>
      <c r="E282" s="76" t="str">
        <f>IF(SUMIFS(Таблица2[B$],Таблица2[1],B282)=0,"-",SUMIFS(Таблица2[B$],Таблица2[1],B282))</f>
        <v>-</v>
      </c>
      <c r="F282" s="77" t="str">
        <f>IFERROR(AVERAGEIFS(Таблица2[AFS],Таблица2[1],B282)+(AVERAGEIFS(Таблица2[AFS],Таблица2[1],B282)*0.2),"-")</f>
        <v>-</v>
      </c>
      <c r="G282" s="77" t="str">
        <f t="shared" si="15"/>
        <v>-</v>
      </c>
      <c r="H282" s="77" t="str">
        <f>IFERROR(COUNTIFS(Таблица2[1],B282,Таблица2[WIN$],"&gt;0")/D282*100,"-")</f>
        <v>-</v>
      </c>
      <c r="I282" s="77" t="str">
        <f>IF(IFERROR((COUNTIFS(Таблица2[1],B282,Таблица2[K],"K")+SUMIFS(Таблица2[R],Таблица2[1],B282,Таблица2[K],"K"))/D282*100,"-")=0,"-",IFERROR((COUNTIFS(Таблица2[1],B282,Таблица2[K],"K")+SUMIFS(Таблица2[R],Таблица2[1],B282,Таблица2[K],"K"))/D282*100,"-"))</f>
        <v>-</v>
      </c>
      <c r="J282" s="77" t="str">
        <f>IF(IFERROR((COUNTIFS(Таблица2[1],B282,Таблица2[T],"t")+SUMIFS(Таблица2[R],Таблица2[1],B282,Таблица2[T],"t"))/D282*100,"-")=0,"-",IFERROR((COUNTIFS(Таблица2[1],B282,Таблица2[T],"t")+SUMIFS(Таблица2[R],Таблица2[1],B282,Таблица2[T],"t"))/D282*100,"-"))</f>
        <v>-</v>
      </c>
      <c r="K282" s="76" t="str">
        <f>IF(SUMIFS(Таблица2[KO$],Таблица2[1],B282)=0,"-",SUMIFS(Таблица2[KO$],Таблица2[1],B282))</f>
        <v>-</v>
      </c>
      <c r="L282" s="76" t="str">
        <f>IF(SUMIFS(Таблица2[WIN$],Таблица2[1],B282)=0,"-",SUMIFS(Таблица2[WIN$],Таблица2[1],B282))</f>
        <v>-</v>
      </c>
      <c r="M282" s="76" t="str">
        <f t="shared" si="16"/>
        <v>-</v>
      </c>
      <c r="N282" s="78" t="str">
        <f>IFERROR(Таблица46[[#This Row],[PROF]]/Таблица46[[#This Row],[Games]],"-")</f>
        <v>-</v>
      </c>
    </row>
    <row r="283" spans="1:14" ht="11.1" customHeight="1" x14ac:dyDescent="0.25">
      <c r="A283" s="93">
        <f t="shared" si="17"/>
        <v>197</v>
      </c>
      <c r="B283" s="113"/>
      <c r="C283"/>
      <c r="D283" s="117" t="str">
        <f>IF(COUNTIFS(Таблица2[1],B283)+SUMIFS(Таблица2[R],Таблица2[1],B283)=0,"",COUNTIFS(Таблица2[1],B283)+SUMIFS(Таблица2[R],Таблица2[1],B283))</f>
        <v/>
      </c>
      <c r="E283" s="76" t="str">
        <f>IF(SUMIFS(Таблица2[B$],Таблица2[1],B283)=0,"-",SUMIFS(Таблица2[B$],Таблица2[1],B283))</f>
        <v>-</v>
      </c>
      <c r="F283" s="77" t="str">
        <f>IFERROR(AVERAGEIFS(Таблица2[AFS],Таблица2[1],B283)+(AVERAGEIFS(Таблица2[AFS],Таблица2[1],B283)*0.2),"-")</f>
        <v>-</v>
      </c>
      <c r="G283" s="77" t="str">
        <f t="shared" si="15"/>
        <v>-</v>
      </c>
      <c r="H283" s="77" t="str">
        <f>IFERROR(COUNTIFS(Таблица2[1],B283,Таблица2[WIN$],"&gt;0")/D283*100,"-")</f>
        <v>-</v>
      </c>
      <c r="I283" s="77" t="str">
        <f>IF(IFERROR((COUNTIFS(Таблица2[1],B283,Таблица2[K],"K")+SUMIFS(Таблица2[R],Таблица2[1],B283,Таблица2[K],"K"))/D283*100,"-")=0,"-",IFERROR((COUNTIFS(Таблица2[1],B283,Таблица2[K],"K")+SUMIFS(Таблица2[R],Таблица2[1],B283,Таблица2[K],"K"))/D283*100,"-"))</f>
        <v>-</v>
      </c>
      <c r="J283" s="77" t="str">
        <f>IF(IFERROR((COUNTIFS(Таблица2[1],B283,Таблица2[T],"t")+SUMIFS(Таблица2[R],Таблица2[1],B283,Таблица2[T],"t"))/D283*100,"-")=0,"-",IFERROR((COUNTIFS(Таблица2[1],B283,Таблица2[T],"t")+SUMIFS(Таблица2[R],Таблица2[1],B283,Таблица2[T],"t"))/D283*100,"-"))</f>
        <v>-</v>
      </c>
      <c r="K283" s="76" t="str">
        <f>IF(SUMIFS(Таблица2[KO$],Таблица2[1],B283)=0,"-",SUMIFS(Таблица2[KO$],Таблица2[1],B283))</f>
        <v>-</v>
      </c>
      <c r="L283" s="76" t="str">
        <f>IF(SUMIFS(Таблица2[WIN$],Таблица2[1],B283)=0,"-",SUMIFS(Таблица2[WIN$],Таблица2[1],B283))</f>
        <v>-</v>
      </c>
      <c r="M283" s="76" t="str">
        <f t="shared" si="16"/>
        <v>-</v>
      </c>
      <c r="N283" s="78" t="str">
        <f>IFERROR(Таблица46[[#This Row],[PROF]]/Таблица46[[#This Row],[Games]],"-")</f>
        <v>-</v>
      </c>
    </row>
    <row r="284" spans="1:14" ht="11.1" customHeight="1" x14ac:dyDescent="0.25">
      <c r="A284" s="93">
        <f t="shared" si="17"/>
        <v>198</v>
      </c>
      <c r="B284" s="113"/>
      <c r="C284"/>
      <c r="D284" s="117" t="str">
        <f>IF(COUNTIFS(Таблица2[1],B284)+SUMIFS(Таблица2[R],Таблица2[1],B284)=0,"",COUNTIFS(Таблица2[1],B284)+SUMIFS(Таблица2[R],Таблица2[1],B284))</f>
        <v/>
      </c>
      <c r="E284" s="76" t="str">
        <f>IF(SUMIFS(Таблица2[B$],Таблица2[1],B284)=0,"-",SUMIFS(Таблица2[B$],Таблица2[1],B284))</f>
        <v>-</v>
      </c>
      <c r="F284" s="77" t="str">
        <f>IFERROR(AVERAGEIFS(Таблица2[AFS],Таблица2[1],B284)+(AVERAGEIFS(Таблица2[AFS],Таблица2[1],B284)*0.2),"-")</f>
        <v>-</v>
      </c>
      <c r="G284" s="77" t="str">
        <f t="shared" si="15"/>
        <v>-</v>
      </c>
      <c r="H284" s="77" t="str">
        <f>IFERROR(COUNTIFS(Таблица2[1],B284,Таблица2[WIN$],"&gt;0")/D284*100,"-")</f>
        <v>-</v>
      </c>
      <c r="I284" s="77" t="str">
        <f>IF(IFERROR((COUNTIFS(Таблица2[1],B284,Таблица2[K],"K")+SUMIFS(Таблица2[R],Таблица2[1],B284,Таблица2[K],"K"))/D284*100,"-")=0,"-",IFERROR((COUNTIFS(Таблица2[1],B284,Таблица2[K],"K")+SUMIFS(Таблица2[R],Таблица2[1],B284,Таблица2[K],"K"))/D284*100,"-"))</f>
        <v>-</v>
      </c>
      <c r="J284" s="77" t="str">
        <f>IF(IFERROR((COUNTIFS(Таблица2[1],B284,Таблица2[T],"t")+SUMIFS(Таблица2[R],Таблица2[1],B284,Таблица2[T],"t"))/D284*100,"-")=0,"-",IFERROR((COUNTIFS(Таблица2[1],B284,Таблица2[T],"t")+SUMIFS(Таблица2[R],Таблица2[1],B284,Таблица2[T],"t"))/D284*100,"-"))</f>
        <v>-</v>
      </c>
      <c r="K284" s="76" t="str">
        <f>IF(SUMIFS(Таблица2[KO$],Таблица2[1],B284)=0,"-",SUMIFS(Таблица2[KO$],Таблица2[1],B284))</f>
        <v>-</v>
      </c>
      <c r="L284" s="76" t="str">
        <f>IF(SUMIFS(Таблица2[WIN$],Таблица2[1],B284)=0,"-",SUMIFS(Таблица2[WIN$],Таблица2[1],B284))</f>
        <v>-</v>
      </c>
      <c r="M284" s="76" t="str">
        <f t="shared" si="16"/>
        <v>-</v>
      </c>
      <c r="N284" s="78" t="str">
        <f>IFERROR(Таблица46[[#This Row],[PROF]]/Таблица46[[#This Row],[Games]],"-")</f>
        <v>-</v>
      </c>
    </row>
    <row r="285" spans="1:14" ht="11.1" customHeight="1" x14ac:dyDescent="0.25">
      <c r="A285" s="93">
        <f t="shared" si="17"/>
        <v>199</v>
      </c>
      <c r="B285" s="113"/>
      <c r="C285"/>
      <c r="D285" s="117" t="str">
        <f>IF(COUNTIFS(Таблица2[1],B285)+SUMIFS(Таблица2[R],Таблица2[1],B285)=0,"",COUNTIFS(Таблица2[1],B285)+SUMIFS(Таблица2[R],Таблица2[1],B285))</f>
        <v/>
      </c>
      <c r="E285" s="76" t="str">
        <f>IF(SUMIFS(Таблица2[B$],Таблица2[1],B285)=0,"-",SUMIFS(Таблица2[B$],Таблица2[1],B285))</f>
        <v>-</v>
      </c>
      <c r="F285" s="77" t="str">
        <f>IFERROR(AVERAGEIFS(Таблица2[AFS],Таблица2[1],B285)+(AVERAGEIFS(Таблица2[AFS],Таблица2[1],B285)*0.2),"-")</f>
        <v>-</v>
      </c>
      <c r="G285" s="77" t="str">
        <f t="shared" si="15"/>
        <v>-</v>
      </c>
      <c r="H285" s="77" t="str">
        <f>IFERROR(COUNTIFS(Таблица2[1],B285,Таблица2[WIN$],"&gt;0")/D285*100,"-")</f>
        <v>-</v>
      </c>
      <c r="I285" s="77" t="str">
        <f>IF(IFERROR((COUNTIFS(Таблица2[1],B285,Таблица2[K],"K")+SUMIFS(Таблица2[R],Таблица2[1],B285,Таблица2[K],"K"))/D285*100,"-")=0,"-",IFERROR((COUNTIFS(Таблица2[1],B285,Таблица2[K],"K")+SUMIFS(Таблица2[R],Таблица2[1],B285,Таблица2[K],"K"))/D285*100,"-"))</f>
        <v>-</v>
      </c>
      <c r="J285" s="77" t="str">
        <f>IF(IFERROR((COUNTIFS(Таблица2[1],B285,Таблица2[T],"t")+SUMIFS(Таблица2[R],Таблица2[1],B285,Таблица2[T],"t"))/D285*100,"-")=0,"-",IFERROR((COUNTIFS(Таблица2[1],B285,Таблица2[T],"t")+SUMIFS(Таблица2[R],Таблица2[1],B285,Таблица2[T],"t"))/D285*100,"-"))</f>
        <v>-</v>
      </c>
      <c r="K285" s="76" t="str">
        <f>IF(SUMIFS(Таблица2[KO$],Таблица2[1],B285)=0,"-",SUMIFS(Таблица2[KO$],Таблица2[1],B285))</f>
        <v>-</v>
      </c>
      <c r="L285" s="76" t="str">
        <f>IF(SUMIFS(Таблица2[WIN$],Таблица2[1],B285)=0,"-",SUMIFS(Таблица2[WIN$],Таблица2[1],B285))</f>
        <v>-</v>
      </c>
      <c r="M285" s="76" t="str">
        <f t="shared" si="16"/>
        <v>-</v>
      </c>
      <c r="N285" s="78" t="str">
        <f>IFERROR(Таблица46[[#This Row],[PROF]]/Таблица46[[#This Row],[Games]],"-")</f>
        <v>-</v>
      </c>
    </row>
    <row r="286" spans="1:14" ht="11.1" customHeight="1" x14ac:dyDescent="0.25">
      <c r="A286" s="93">
        <f t="shared" si="17"/>
        <v>200</v>
      </c>
      <c r="B286" s="113"/>
      <c r="C286"/>
      <c r="D286" s="117" t="str">
        <f>IF(COUNTIFS(Таблица2[1],B286)+SUMIFS(Таблица2[R],Таблица2[1],B286)=0,"",COUNTIFS(Таблица2[1],B286)+SUMIFS(Таблица2[R],Таблица2[1],B286))</f>
        <v/>
      </c>
      <c r="E286" s="76" t="str">
        <f>IF(SUMIFS(Таблица2[B$],Таблица2[1],B286)=0,"-",SUMIFS(Таблица2[B$],Таблица2[1],B286))</f>
        <v>-</v>
      </c>
      <c r="F286" s="77" t="str">
        <f>IFERROR(AVERAGEIFS(Таблица2[AFS],Таблица2[1],B286)+(AVERAGEIFS(Таблица2[AFS],Таблица2[1],B286)*0.2),"-")</f>
        <v>-</v>
      </c>
      <c r="G286" s="77" t="str">
        <f t="shared" si="15"/>
        <v>-</v>
      </c>
      <c r="H286" s="77" t="str">
        <f>IFERROR(COUNTIFS(Таблица2[1],B286,Таблица2[WIN$],"&gt;0")/D286*100,"-")</f>
        <v>-</v>
      </c>
      <c r="I286" s="77" t="str">
        <f>IF(IFERROR((COUNTIFS(Таблица2[1],B286,Таблица2[K],"K")+SUMIFS(Таблица2[R],Таблица2[1],B286,Таблица2[K],"K"))/D286*100,"-")=0,"-",IFERROR((COUNTIFS(Таблица2[1],B286,Таблица2[K],"K")+SUMIFS(Таблица2[R],Таблица2[1],B286,Таблица2[K],"K"))/D286*100,"-"))</f>
        <v>-</v>
      </c>
      <c r="J286" s="77" t="str">
        <f>IF(IFERROR((COUNTIFS(Таблица2[1],B286,Таблица2[T],"t")+SUMIFS(Таблица2[R],Таблица2[1],B286,Таблица2[T],"t"))/D286*100,"-")=0,"-",IFERROR((COUNTIFS(Таблица2[1],B286,Таблица2[T],"t")+SUMIFS(Таблица2[R],Таблица2[1],B286,Таблица2[T],"t"))/D286*100,"-"))</f>
        <v>-</v>
      </c>
      <c r="K286" s="76" t="str">
        <f>IF(SUMIFS(Таблица2[KO$],Таблица2[1],B286)=0,"-",SUMIFS(Таблица2[KO$],Таблица2[1],B286))</f>
        <v>-</v>
      </c>
      <c r="L286" s="76" t="str">
        <f>IF(SUMIFS(Таблица2[WIN$],Таблица2[1],B286)=0,"-",SUMIFS(Таблица2[WIN$],Таблица2[1],B286))</f>
        <v>-</v>
      </c>
      <c r="M286" s="76" t="str">
        <f t="shared" si="16"/>
        <v>-</v>
      </c>
      <c r="N286" s="78" t="str">
        <f>IFERROR(Таблица46[[#This Row],[PROF]]/Таблица46[[#This Row],[Games]],"-")</f>
        <v>-</v>
      </c>
    </row>
    <row r="287" spans="1:14" ht="11.1" customHeight="1" x14ac:dyDescent="0.25">
      <c r="A287" s="93">
        <f t="shared" si="17"/>
        <v>201</v>
      </c>
      <c r="B287" s="113"/>
      <c r="C287"/>
      <c r="D287" s="117" t="str">
        <f>IF(COUNTIFS(Таблица2[1],B287)+SUMIFS(Таблица2[R],Таблица2[1],B287)=0,"",COUNTIFS(Таблица2[1],B287)+SUMIFS(Таблица2[R],Таблица2[1],B287))</f>
        <v/>
      </c>
      <c r="E287" s="76" t="str">
        <f>IF(SUMIFS(Таблица2[B$],Таблица2[1],B287)=0,"-",SUMIFS(Таблица2[B$],Таблица2[1],B287))</f>
        <v>-</v>
      </c>
      <c r="F287" s="77" t="str">
        <f>IFERROR(AVERAGEIFS(Таблица2[AFS],Таблица2[1],B287)+(AVERAGEIFS(Таблица2[AFS],Таблица2[1],B287)*0.2),"-")</f>
        <v>-</v>
      </c>
      <c r="G287" s="77" t="str">
        <f t="shared" ref="G287:G318" si="18">IFERROR(M287/E287*100,"-")</f>
        <v>-</v>
      </c>
      <c r="H287" s="77" t="str">
        <f>IFERROR(COUNTIFS(Таблица2[1],B287,Таблица2[WIN$],"&gt;0")/D287*100,"-")</f>
        <v>-</v>
      </c>
      <c r="I287" s="77" t="str">
        <f>IF(IFERROR((COUNTIFS(Таблица2[1],B287,Таблица2[K],"K")+SUMIFS(Таблица2[R],Таблица2[1],B287,Таблица2[K],"K"))/D287*100,"-")=0,"-",IFERROR((COUNTIFS(Таблица2[1],B287,Таблица2[K],"K")+SUMIFS(Таблица2[R],Таблица2[1],B287,Таблица2[K],"K"))/D287*100,"-"))</f>
        <v>-</v>
      </c>
      <c r="J287" s="77" t="str">
        <f>IF(IFERROR((COUNTIFS(Таблица2[1],B287,Таблица2[T],"t")+SUMIFS(Таблица2[R],Таблица2[1],B287,Таблица2[T],"t"))/D287*100,"-")=0,"-",IFERROR((COUNTIFS(Таблица2[1],B287,Таблица2[T],"t")+SUMIFS(Таблица2[R],Таблица2[1],B287,Таблица2[T],"t"))/D287*100,"-"))</f>
        <v>-</v>
      </c>
      <c r="K287" s="76" t="str">
        <f>IF(SUMIFS(Таблица2[KO$],Таблица2[1],B287)=0,"-",SUMIFS(Таблица2[KO$],Таблица2[1],B287))</f>
        <v>-</v>
      </c>
      <c r="L287" s="76" t="str">
        <f>IF(SUMIFS(Таблица2[WIN$],Таблица2[1],B287)=0,"-",SUMIFS(Таблица2[WIN$],Таблица2[1],B287))</f>
        <v>-</v>
      </c>
      <c r="M287" s="76" t="str">
        <f t="shared" ref="M287:M318" si="19">IFERROR(IF(L287="-",0,L287)+IF(K287="-",0,K287)-E287,"-")</f>
        <v>-</v>
      </c>
      <c r="N287" s="78" t="str">
        <f>IFERROR(Таблица46[[#This Row],[PROF]]/Таблица46[[#This Row],[Games]],"-")</f>
        <v>-</v>
      </c>
    </row>
    <row r="288" spans="1:14" ht="11.1" customHeight="1" x14ac:dyDescent="0.25">
      <c r="A288" s="93">
        <f t="shared" si="17"/>
        <v>202</v>
      </c>
      <c r="B288" s="113"/>
      <c r="C288"/>
      <c r="D288" s="117" t="str">
        <f>IF(COUNTIFS(Таблица2[1],B288)+SUMIFS(Таблица2[R],Таблица2[1],B288)=0,"",COUNTIFS(Таблица2[1],B288)+SUMIFS(Таблица2[R],Таблица2[1],B288))</f>
        <v/>
      </c>
      <c r="E288" s="76" t="str">
        <f>IF(SUMIFS(Таблица2[B$],Таблица2[1],B288)=0,"-",SUMIFS(Таблица2[B$],Таблица2[1],B288))</f>
        <v>-</v>
      </c>
      <c r="F288" s="77" t="str">
        <f>IFERROR(AVERAGEIFS(Таблица2[AFS],Таблица2[1],B288)+(AVERAGEIFS(Таблица2[AFS],Таблица2[1],B288)*0.2),"-")</f>
        <v>-</v>
      </c>
      <c r="G288" s="77" t="str">
        <f t="shared" si="18"/>
        <v>-</v>
      </c>
      <c r="H288" s="77" t="str">
        <f>IFERROR(COUNTIFS(Таблица2[1],B288,Таблица2[WIN$],"&gt;0")/D288*100,"-")</f>
        <v>-</v>
      </c>
      <c r="I288" s="77" t="str">
        <f>IF(IFERROR((COUNTIFS(Таблица2[1],B288,Таблица2[K],"K")+SUMIFS(Таблица2[R],Таблица2[1],B288,Таблица2[K],"K"))/D288*100,"-")=0,"-",IFERROR((COUNTIFS(Таблица2[1],B288,Таблица2[K],"K")+SUMIFS(Таблица2[R],Таблица2[1],B288,Таблица2[K],"K"))/D288*100,"-"))</f>
        <v>-</v>
      </c>
      <c r="J288" s="77" t="str">
        <f>IF(IFERROR((COUNTIFS(Таблица2[1],B288,Таблица2[T],"t")+SUMIFS(Таблица2[R],Таблица2[1],B288,Таблица2[T],"t"))/D288*100,"-")=0,"-",IFERROR((COUNTIFS(Таблица2[1],B288,Таблица2[T],"t")+SUMIFS(Таблица2[R],Таблица2[1],B288,Таблица2[T],"t"))/D288*100,"-"))</f>
        <v>-</v>
      </c>
      <c r="K288" s="76" t="str">
        <f>IF(SUMIFS(Таблица2[KO$],Таблица2[1],B288)=0,"-",SUMIFS(Таблица2[KO$],Таблица2[1],B288))</f>
        <v>-</v>
      </c>
      <c r="L288" s="76" t="str">
        <f>IF(SUMIFS(Таблица2[WIN$],Таблица2[1],B288)=0,"-",SUMIFS(Таблица2[WIN$],Таблица2[1],B288))</f>
        <v>-</v>
      </c>
      <c r="M288" s="76" t="str">
        <f t="shared" si="19"/>
        <v>-</v>
      </c>
      <c r="N288" s="78" t="str">
        <f>IFERROR(Таблица46[[#This Row],[PROF]]/Таблица46[[#This Row],[Games]],"-")</f>
        <v>-</v>
      </c>
    </row>
    <row r="289" spans="1:14" ht="11.1" customHeight="1" x14ac:dyDescent="0.25">
      <c r="A289" s="93">
        <f t="shared" si="17"/>
        <v>203</v>
      </c>
      <c r="B289" s="113"/>
      <c r="C289"/>
      <c r="D289" s="117" t="str">
        <f>IF(COUNTIFS(Таблица2[1],B289)+SUMIFS(Таблица2[R],Таблица2[1],B289)=0,"",COUNTIFS(Таблица2[1],B289)+SUMIFS(Таблица2[R],Таблица2[1],B289))</f>
        <v/>
      </c>
      <c r="E289" s="76" t="str">
        <f>IF(SUMIFS(Таблица2[B$],Таблица2[1],B289)=0,"-",SUMIFS(Таблица2[B$],Таблица2[1],B289))</f>
        <v>-</v>
      </c>
      <c r="F289" s="77" t="str">
        <f>IFERROR(AVERAGEIFS(Таблица2[AFS],Таблица2[1],B289)+(AVERAGEIFS(Таблица2[AFS],Таблица2[1],B289)*0.2),"-")</f>
        <v>-</v>
      </c>
      <c r="G289" s="77" t="str">
        <f t="shared" si="18"/>
        <v>-</v>
      </c>
      <c r="H289" s="77" t="str">
        <f>IFERROR(COUNTIFS(Таблица2[1],B289,Таблица2[WIN$],"&gt;0")/D289*100,"-")</f>
        <v>-</v>
      </c>
      <c r="I289" s="77" t="str">
        <f>IF(IFERROR((COUNTIFS(Таблица2[1],B289,Таблица2[K],"K")+SUMIFS(Таблица2[R],Таблица2[1],B289,Таблица2[K],"K"))/D289*100,"-")=0,"-",IFERROR((COUNTIFS(Таблица2[1],B289,Таблица2[K],"K")+SUMIFS(Таблица2[R],Таблица2[1],B289,Таблица2[K],"K"))/D289*100,"-"))</f>
        <v>-</v>
      </c>
      <c r="J289" s="77" t="str">
        <f>IF(IFERROR((COUNTIFS(Таблица2[1],B289,Таблица2[T],"t")+SUMIFS(Таблица2[R],Таблица2[1],B289,Таблица2[T],"t"))/D289*100,"-")=0,"-",IFERROR((COUNTIFS(Таблица2[1],B289,Таблица2[T],"t")+SUMIFS(Таблица2[R],Таблица2[1],B289,Таблица2[T],"t"))/D289*100,"-"))</f>
        <v>-</v>
      </c>
      <c r="K289" s="76" t="str">
        <f>IF(SUMIFS(Таблица2[KO$],Таблица2[1],B289)=0,"-",SUMIFS(Таблица2[KO$],Таблица2[1],B289))</f>
        <v>-</v>
      </c>
      <c r="L289" s="76" t="str">
        <f>IF(SUMIFS(Таблица2[WIN$],Таблица2[1],B289)=0,"-",SUMIFS(Таблица2[WIN$],Таблица2[1],B289))</f>
        <v>-</v>
      </c>
      <c r="M289" s="76" t="str">
        <f t="shared" si="19"/>
        <v>-</v>
      </c>
      <c r="N289" s="78" t="str">
        <f>IFERROR(Таблица46[[#This Row],[PROF]]/Таблица46[[#This Row],[Games]],"-")</f>
        <v>-</v>
      </c>
    </row>
    <row r="290" spans="1:14" ht="11.1" customHeight="1" x14ac:dyDescent="0.25">
      <c r="A290" s="93">
        <f t="shared" si="17"/>
        <v>204</v>
      </c>
      <c r="B290" s="113"/>
      <c r="C290"/>
      <c r="D290" s="117" t="str">
        <f>IF(COUNTIFS(Таблица2[1],B290)+SUMIFS(Таблица2[R],Таблица2[1],B290)=0,"",COUNTIFS(Таблица2[1],B290)+SUMIFS(Таблица2[R],Таблица2[1],B290))</f>
        <v/>
      </c>
      <c r="E290" s="76" t="str">
        <f>IF(SUMIFS(Таблица2[B$],Таблица2[1],B290)=0,"-",SUMIFS(Таблица2[B$],Таблица2[1],B290))</f>
        <v>-</v>
      </c>
      <c r="F290" s="77" t="str">
        <f>IFERROR(AVERAGEIFS(Таблица2[AFS],Таблица2[1],B290)+(AVERAGEIFS(Таблица2[AFS],Таблица2[1],B290)*0.2),"-")</f>
        <v>-</v>
      </c>
      <c r="G290" s="77" t="str">
        <f t="shared" si="18"/>
        <v>-</v>
      </c>
      <c r="H290" s="77" t="str">
        <f>IFERROR(COUNTIFS(Таблица2[1],B290,Таблица2[WIN$],"&gt;0")/D290*100,"-")</f>
        <v>-</v>
      </c>
      <c r="I290" s="77" t="str">
        <f>IF(IFERROR((COUNTIFS(Таблица2[1],B290,Таблица2[K],"K")+SUMIFS(Таблица2[R],Таблица2[1],B290,Таблица2[K],"K"))/D290*100,"-")=0,"-",IFERROR((COUNTIFS(Таблица2[1],B290,Таблица2[K],"K")+SUMIFS(Таблица2[R],Таблица2[1],B290,Таблица2[K],"K"))/D290*100,"-"))</f>
        <v>-</v>
      </c>
      <c r="J290" s="77" t="str">
        <f>IF(IFERROR((COUNTIFS(Таблица2[1],B290,Таблица2[T],"t")+SUMIFS(Таблица2[R],Таблица2[1],B290,Таблица2[T],"t"))/D290*100,"-")=0,"-",IFERROR((COUNTIFS(Таблица2[1],B290,Таблица2[T],"t")+SUMIFS(Таблица2[R],Таблица2[1],B290,Таблица2[T],"t"))/D290*100,"-"))</f>
        <v>-</v>
      </c>
      <c r="K290" s="76" t="str">
        <f>IF(SUMIFS(Таблица2[KO$],Таблица2[1],B290)=0,"-",SUMIFS(Таблица2[KO$],Таблица2[1],B290))</f>
        <v>-</v>
      </c>
      <c r="L290" s="76" t="str">
        <f>IF(SUMIFS(Таблица2[WIN$],Таблица2[1],B290)=0,"-",SUMIFS(Таблица2[WIN$],Таблица2[1],B290))</f>
        <v>-</v>
      </c>
      <c r="M290" s="76" t="str">
        <f t="shared" si="19"/>
        <v>-</v>
      </c>
      <c r="N290" s="78" t="str">
        <f>IFERROR(Таблица46[[#This Row],[PROF]]/Таблица46[[#This Row],[Games]],"-")</f>
        <v>-</v>
      </c>
    </row>
    <row r="291" spans="1:14" ht="11.1" customHeight="1" x14ac:dyDescent="0.25">
      <c r="A291" s="93">
        <f t="shared" si="17"/>
        <v>205</v>
      </c>
      <c r="B291" s="113"/>
      <c r="C291"/>
      <c r="D291" s="117" t="str">
        <f>IF(COUNTIFS(Таблица2[1],B291)+SUMIFS(Таблица2[R],Таблица2[1],B291)=0,"",COUNTIFS(Таблица2[1],B291)+SUMIFS(Таблица2[R],Таблица2[1],B291))</f>
        <v/>
      </c>
      <c r="E291" s="76" t="str">
        <f>IF(SUMIFS(Таблица2[B$],Таблица2[1],B291)=0,"-",SUMIFS(Таблица2[B$],Таблица2[1],B291))</f>
        <v>-</v>
      </c>
      <c r="F291" s="77" t="str">
        <f>IFERROR(AVERAGEIFS(Таблица2[AFS],Таблица2[1],B291)+(AVERAGEIFS(Таблица2[AFS],Таблица2[1],B291)*0.2),"-")</f>
        <v>-</v>
      </c>
      <c r="G291" s="77" t="str">
        <f t="shared" si="18"/>
        <v>-</v>
      </c>
      <c r="H291" s="77" t="str">
        <f>IFERROR(COUNTIFS(Таблица2[1],B291,Таблица2[WIN$],"&gt;0")/D291*100,"-")</f>
        <v>-</v>
      </c>
      <c r="I291" s="77" t="str">
        <f>IF(IFERROR((COUNTIFS(Таблица2[1],B291,Таблица2[K],"K")+SUMIFS(Таблица2[R],Таблица2[1],B291,Таблица2[K],"K"))/D291*100,"-")=0,"-",IFERROR((COUNTIFS(Таблица2[1],B291,Таблица2[K],"K")+SUMIFS(Таблица2[R],Таблица2[1],B291,Таблица2[K],"K"))/D291*100,"-"))</f>
        <v>-</v>
      </c>
      <c r="J291" s="77" t="str">
        <f>IF(IFERROR((COUNTIFS(Таблица2[1],B291,Таблица2[T],"t")+SUMIFS(Таблица2[R],Таблица2[1],B291,Таблица2[T],"t"))/D291*100,"-")=0,"-",IFERROR((COUNTIFS(Таблица2[1],B291,Таблица2[T],"t")+SUMIFS(Таблица2[R],Таблица2[1],B291,Таблица2[T],"t"))/D291*100,"-"))</f>
        <v>-</v>
      </c>
      <c r="K291" s="76" t="str">
        <f>IF(SUMIFS(Таблица2[KO$],Таблица2[1],B291)=0,"-",SUMIFS(Таблица2[KO$],Таблица2[1],B291))</f>
        <v>-</v>
      </c>
      <c r="L291" s="76" t="str">
        <f>IF(SUMIFS(Таблица2[WIN$],Таблица2[1],B291)=0,"-",SUMIFS(Таблица2[WIN$],Таблица2[1],B291))</f>
        <v>-</v>
      </c>
      <c r="M291" s="76" t="str">
        <f t="shared" si="19"/>
        <v>-</v>
      </c>
      <c r="N291" s="78" t="str">
        <f>IFERROR(Таблица46[[#This Row],[PROF]]/Таблица46[[#This Row],[Games]],"-")</f>
        <v>-</v>
      </c>
    </row>
    <row r="292" spans="1:14" ht="11.1" customHeight="1" x14ac:dyDescent="0.25">
      <c r="A292" s="93">
        <f t="shared" si="17"/>
        <v>206</v>
      </c>
      <c r="B292" s="113"/>
      <c r="C292"/>
      <c r="D292" s="117" t="str">
        <f>IF(COUNTIFS(Таблица2[1],B292)+SUMIFS(Таблица2[R],Таблица2[1],B292)=0,"",COUNTIFS(Таблица2[1],B292)+SUMIFS(Таблица2[R],Таблица2[1],B292))</f>
        <v/>
      </c>
      <c r="E292" s="76" t="str">
        <f>IF(SUMIFS(Таблица2[B$],Таблица2[1],B292)=0,"-",SUMIFS(Таблица2[B$],Таблица2[1],B292))</f>
        <v>-</v>
      </c>
      <c r="F292" s="77" t="str">
        <f>IFERROR(AVERAGEIFS(Таблица2[AFS],Таблица2[1],B292)+(AVERAGEIFS(Таблица2[AFS],Таблица2[1],B292)*0.2),"-")</f>
        <v>-</v>
      </c>
      <c r="G292" s="77" t="str">
        <f t="shared" si="18"/>
        <v>-</v>
      </c>
      <c r="H292" s="77" t="str">
        <f>IFERROR(COUNTIFS(Таблица2[1],B292,Таблица2[WIN$],"&gt;0")/D292*100,"-")</f>
        <v>-</v>
      </c>
      <c r="I292" s="77" t="str">
        <f>IF(IFERROR((COUNTIFS(Таблица2[1],B292,Таблица2[K],"K")+SUMIFS(Таблица2[R],Таблица2[1],B292,Таблица2[K],"K"))/D292*100,"-")=0,"-",IFERROR((COUNTIFS(Таблица2[1],B292,Таблица2[K],"K")+SUMIFS(Таблица2[R],Таблица2[1],B292,Таблица2[K],"K"))/D292*100,"-"))</f>
        <v>-</v>
      </c>
      <c r="J292" s="77" t="str">
        <f>IF(IFERROR((COUNTIFS(Таблица2[1],B292,Таблица2[T],"t")+SUMIFS(Таблица2[R],Таблица2[1],B292,Таблица2[T],"t"))/D292*100,"-")=0,"-",IFERROR((COUNTIFS(Таблица2[1],B292,Таблица2[T],"t")+SUMIFS(Таблица2[R],Таблица2[1],B292,Таблица2[T],"t"))/D292*100,"-"))</f>
        <v>-</v>
      </c>
      <c r="K292" s="76" t="str">
        <f>IF(SUMIFS(Таблица2[KO$],Таблица2[1],B292)=0,"-",SUMIFS(Таблица2[KO$],Таблица2[1],B292))</f>
        <v>-</v>
      </c>
      <c r="L292" s="76" t="str">
        <f>IF(SUMIFS(Таблица2[WIN$],Таблица2[1],B292)=0,"-",SUMIFS(Таблица2[WIN$],Таблица2[1],B292))</f>
        <v>-</v>
      </c>
      <c r="M292" s="76" t="str">
        <f t="shared" si="19"/>
        <v>-</v>
      </c>
      <c r="N292" s="78" t="str">
        <f>IFERROR(Таблица46[[#This Row],[PROF]]/Таблица46[[#This Row],[Games]],"-")</f>
        <v>-</v>
      </c>
    </row>
    <row r="293" spans="1:14" ht="11.1" customHeight="1" x14ac:dyDescent="0.25">
      <c r="A293" s="93">
        <f t="shared" si="17"/>
        <v>207</v>
      </c>
      <c r="B293" s="113"/>
      <c r="C293"/>
      <c r="D293" s="117" t="str">
        <f>IF(COUNTIFS(Таблица2[1],B293)+SUMIFS(Таблица2[R],Таблица2[1],B293)=0,"",COUNTIFS(Таблица2[1],B293)+SUMIFS(Таблица2[R],Таблица2[1],B293))</f>
        <v/>
      </c>
      <c r="E293" s="76" t="str">
        <f>IF(SUMIFS(Таблица2[B$],Таблица2[1],B293)=0,"-",SUMIFS(Таблица2[B$],Таблица2[1],B293))</f>
        <v>-</v>
      </c>
      <c r="F293" s="77" t="str">
        <f>IFERROR(AVERAGEIFS(Таблица2[AFS],Таблица2[1],B293)+(AVERAGEIFS(Таблица2[AFS],Таблица2[1],B293)*0.2),"-")</f>
        <v>-</v>
      </c>
      <c r="G293" s="77" t="str">
        <f t="shared" si="18"/>
        <v>-</v>
      </c>
      <c r="H293" s="77" t="str">
        <f>IFERROR(COUNTIFS(Таблица2[1],B293,Таблица2[WIN$],"&gt;0")/D293*100,"-")</f>
        <v>-</v>
      </c>
      <c r="I293" s="77" t="str">
        <f>IF(IFERROR((COUNTIFS(Таблица2[1],B293,Таблица2[K],"K")+SUMIFS(Таблица2[R],Таблица2[1],B293,Таблица2[K],"K"))/D293*100,"-")=0,"-",IFERROR((COUNTIFS(Таблица2[1],B293,Таблица2[K],"K")+SUMIFS(Таблица2[R],Таблица2[1],B293,Таблица2[K],"K"))/D293*100,"-"))</f>
        <v>-</v>
      </c>
      <c r="J293" s="77" t="str">
        <f>IF(IFERROR((COUNTIFS(Таблица2[1],B293,Таблица2[T],"t")+SUMIFS(Таблица2[R],Таблица2[1],B293,Таблица2[T],"t"))/D293*100,"-")=0,"-",IFERROR((COUNTIFS(Таблица2[1],B293,Таблица2[T],"t")+SUMIFS(Таблица2[R],Таблица2[1],B293,Таблица2[T],"t"))/D293*100,"-"))</f>
        <v>-</v>
      </c>
      <c r="K293" s="76" t="str">
        <f>IF(SUMIFS(Таблица2[KO$],Таблица2[1],B293)=0,"-",SUMIFS(Таблица2[KO$],Таблица2[1],B293))</f>
        <v>-</v>
      </c>
      <c r="L293" s="76" t="str">
        <f>IF(SUMIFS(Таблица2[WIN$],Таблица2[1],B293)=0,"-",SUMIFS(Таблица2[WIN$],Таблица2[1],B293))</f>
        <v>-</v>
      </c>
      <c r="M293" s="76" t="str">
        <f t="shared" si="19"/>
        <v>-</v>
      </c>
      <c r="N293" s="78" t="str">
        <f>IFERROR(Таблица46[[#This Row],[PROF]]/Таблица46[[#This Row],[Games]],"-")</f>
        <v>-</v>
      </c>
    </row>
    <row r="294" spans="1:14" ht="11.1" customHeight="1" x14ac:dyDescent="0.25">
      <c r="A294" s="93">
        <f t="shared" si="17"/>
        <v>208</v>
      </c>
      <c r="B294" s="113"/>
      <c r="C294"/>
      <c r="D294" s="117" t="str">
        <f>IF(COUNTIFS(Таблица2[1],B294)+SUMIFS(Таблица2[R],Таблица2[1],B294)=0,"",COUNTIFS(Таблица2[1],B294)+SUMIFS(Таблица2[R],Таблица2[1],B294))</f>
        <v/>
      </c>
      <c r="E294" s="76" t="str">
        <f>IF(SUMIFS(Таблица2[B$],Таблица2[1],B294)=0,"-",SUMIFS(Таблица2[B$],Таблица2[1],B294))</f>
        <v>-</v>
      </c>
      <c r="F294" s="77" t="str">
        <f>IFERROR(AVERAGEIFS(Таблица2[AFS],Таблица2[1],B294)+(AVERAGEIFS(Таблица2[AFS],Таблица2[1],B294)*0.2),"-")</f>
        <v>-</v>
      </c>
      <c r="G294" s="77" t="str">
        <f t="shared" si="18"/>
        <v>-</v>
      </c>
      <c r="H294" s="77" t="str">
        <f>IFERROR(COUNTIFS(Таблица2[1],B294,Таблица2[WIN$],"&gt;0")/D294*100,"-")</f>
        <v>-</v>
      </c>
      <c r="I294" s="77" t="str">
        <f>IF(IFERROR((COUNTIFS(Таблица2[1],B294,Таблица2[K],"K")+SUMIFS(Таблица2[R],Таблица2[1],B294,Таблица2[K],"K"))/D294*100,"-")=0,"-",IFERROR((COUNTIFS(Таблица2[1],B294,Таблица2[K],"K")+SUMIFS(Таблица2[R],Таблица2[1],B294,Таблица2[K],"K"))/D294*100,"-"))</f>
        <v>-</v>
      </c>
      <c r="J294" s="77" t="str">
        <f>IF(IFERROR((COUNTIFS(Таблица2[1],B294,Таблица2[T],"t")+SUMIFS(Таблица2[R],Таблица2[1],B294,Таблица2[T],"t"))/D294*100,"-")=0,"-",IFERROR((COUNTIFS(Таблица2[1],B294,Таблица2[T],"t")+SUMIFS(Таблица2[R],Таблица2[1],B294,Таблица2[T],"t"))/D294*100,"-"))</f>
        <v>-</v>
      </c>
      <c r="K294" s="76" t="str">
        <f>IF(SUMIFS(Таблица2[KO$],Таблица2[1],B294)=0,"-",SUMIFS(Таблица2[KO$],Таблица2[1],B294))</f>
        <v>-</v>
      </c>
      <c r="L294" s="76" t="str">
        <f>IF(SUMIFS(Таблица2[WIN$],Таблица2[1],B294)=0,"-",SUMIFS(Таблица2[WIN$],Таблица2[1],B294))</f>
        <v>-</v>
      </c>
      <c r="M294" s="76" t="str">
        <f t="shared" si="19"/>
        <v>-</v>
      </c>
      <c r="N294" s="78" t="str">
        <f>IFERROR(Таблица46[[#This Row],[PROF]]/Таблица46[[#This Row],[Games]],"-")</f>
        <v>-</v>
      </c>
    </row>
    <row r="295" spans="1:14" ht="11.1" customHeight="1" x14ac:dyDescent="0.25">
      <c r="A295" s="93">
        <f t="shared" si="17"/>
        <v>209</v>
      </c>
      <c r="B295" s="113"/>
      <c r="C295"/>
      <c r="D295" s="117" t="str">
        <f>IF(COUNTIFS(Таблица2[1],B295)+SUMIFS(Таблица2[R],Таблица2[1],B295)=0,"",COUNTIFS(Таблица2[1],B295)+SUMIFS(Таблица2[R],Таблица2[1],B295))</f>
        <v/>
      </c>
      <c r="E295" s="76" t="str">
        <f>IF(SUMIFS(Таблица2[B$],Таблица2[1],B295)=0,"-",SUMIFS(Таблица2[B$],Таблица2[1],B295))</f>
        <v>-</v>
      </c>
      <c r="F295" s="77" t="str">
        <f>IFERROR(AVERAGEIFS(Таблица2[AFS],Таблица2[1],B295)+(AVERAGEIFS(Таблица2[AFS],Таблица2[1],B295)*0.2),"-")</f>
        <v>-</v>
      </c>
      <c r="G295" s="77" t="str">
        <f t="shared" si="18"/>
        <v>-</v>
      </c>
      <c r="H295" s="77" t="str">
        <f>IFERROR(COUNTIFS(Таблица2[1],B295,Таблица2[WIN$],"&gt;0")/D295*100,"-")</f>
        <v>-</v>
      </c>
      <c r="I295" s="77" t="str">
        <f>IF(IFERROR((COUNTIFS(Таблица2[1],B295,Таблица2[K],"K")+SUMIFS(Таблица2[R],Таблица2[1],B295,Таблица2[K],"K"))/D295*100,"-")=0,"-",IFERROR((COUNTIFS(Таблица2[1],B295,Таблица2[K],"K")+SUMIFS(Таблица2[R],Таблица2[1],B295,Таблица2[K],"K"))/D295*100,"-"))</f>
        <v>-</v>
      </c>
      <c r="J295" s="77" t="str">
        <f>IF(IFERROR((COUNTIFS(Таблица2[1],B295,Таблица2[T],"t")+SUMIFS(Таблица2[R],Таблица2[1],B295,Таблица2[T],"t"))/D295*100,"-")=0,"-",IFERROR((COUNTIFS(Таблица2[1],B295,Таблица2[T],"t")+SUMIFS(Таблица2[R],Таблица2[1],B295,Таблица2[T],"t"))/D295*100,"-"))</f>
        <v>-</v>
      </c>
      <c r="K295" s="76" t="str">
        <f>IF(SUMIFS(Таблица2[KO$],Таблица2[1],B295)=0,"-",SUMIFS(Таблица2[KO$],Таблица2[1],B295))</f>
        <v>-</v>
      </c>
      <c r="L295" s="76" t="str">
        <f>IF(SUMIFS(Таблица2[WIN$],Таблица2[1],B295)=0,"-",SUMIFS(Таблица2[WIN$],Таблица2[1],B295))</f>
        <v>-</v>
      </c>
      <c r="M295" s="76" t="str">
        <f t="shared" si="19"/>
        <v>-</v>
      </c>
      <c r="N295" s="78" t="str">
        <f>IFERROR(Таблица46[[#This Row],[PROF]]/Таблица46[[#This Row],[Games]],"-")</f>
        <v>-</v>
      </c>
    </row>
    <row r="296" spans="1:14" ht="11.1" customHeight="1" x14ac:dyDescent="0.25">
      <c r="A296" s="93">
        <f t="shared" si="17"/>
        <v>210</v>
      </c>
      <c r="B296" s="113"/>
      <c r="C296"/>
      <c r="D296" s="117" t="str">
        <f>IF(COUNTIFS(Таблица2[1],B296)+SUMIFS(Таблица2[R],Таблица2[1],B296)=0,"",COUNTIFS(Таблица2[1],B296)+SUMIFS(Таблица2[R],Таблица2[1],B296))</f>
        <v/>
      </c>
      <c r="E296" s="76" t="str">
        <f>IF(SUMIFS(Таблица2[B$],Таблица2[1],B296)=0,"-",SUMIFS(Таблица2[B$],Таблица2[1],B296))</f>
        <v>-</v>
      </c>
      <c r="F296" s="77" t="str">
        <f>IFERROR(AVERAGEIFS(Таблица2[AFS],Таблица2[1],B296)+(AVERAGEIFS(Таблица2[AFS],Таблица2[1],B296)*0.2),"-")</f>
        <v>-</v>
      </c>
      <c r="G296" s="77" t="str">
        <f t="shared" si="18"/>
        <v>-</v>
      </c>
      <c r="H296" s="77" t="str">
        <f>IFERROR(COUNTIFS(Таблица2[1],B296,Таблица2[WIN$],"&gt;0")/D296*100,"-")</f>
        <v>-</v>
      </c>
      <c r="I296" s="77" t="str">
        <f>IF(IFERROR((COUNTIFS(Таблица2[1],B296,Таблица2[K],"K")+SUMIFS(Таблица2[R],Таблица2[1],B296,Таблица2[K],"K"))/D296*100,"-")=0,"-",IFERROR((COUNTIFS(Таблица2[1],B296,Таблица2[K],"K")+SUMIFS(Таблица2[R],Таблица2[1],B296,Таблица2[K],"K"))/D296*100,"-"))</f>
        <v>-</v>
      </c>
      <c r="J296" s="77" t="str">
        <f>IF(IFERROR((COUNTIFS(Таблица2[1],B296,Таблица2[T],"t")+SUMIFS(Таблица2[R],Таблица2[1],B296,Таблица2[T],"t"))/D296*100,"-")=0,"-",IFERROR((COUNTIFS(Таблица2[1],B296,Таблица2[T],"t")+SUMIFS(Таблица2[R],Таблица2[1],B296,Таблица2[T],"t"))/D296*100,"-"))</f>
        <v>-</v>
      </c>
      <c r="K296" s="76" t="str">
        <f>IF(SUMIFS(Таблица2[KO$],Таблица2[1],B296)=0,"-",SUMIFS(Таблица2[KO$],Таблица2[1],B296))</f>
        <v>-</v>
      </c>
      <c r="L296" s="76" t="str">
        <f>IF(SUMIFS(Таблица2[WIN$],Таблица2[1],B296)=0,"-",SUMIFS(Таблица2[WIN$],Таблица2[1],B296))</f>
        <v>-</v>
      </c>
      <c r="M296" s="76" t="str">
        <f t="shared" si="19"/>
        <v>-</v>
      </c>
      <c r="N296" s="78" t="str">
        <f>IFERROR(Таблица46[[#This Row],[PROF]]/Таблица46[[#This Row],[Games]],"-")</f>
        <v>-</v>
      </c>
    </row>
    <row r="297" spans="1:14" ht="11.1" customHeight="1" x14ac:dyDescent="0.25">
      <c r="A297" s="93">
        <f t="shared" si="17"/>
        <v>211</v>
      </c>
      <c r="B297" s="113"/>
      <c r="C297"/>
      <c r="D297" s="117" t="str">
        <f>IF(COUNTIFS(Таблица2[1],B297)+SUMIFS(Таблица2[R],Таблица2[1],B297)=0,"",COUNTIFS(Таблица2[1],B297)+SUMIFS(Таблица2[R],Таблица2[1],B297))</f>
        <v/>
      </c>
      <c r="E297" s="76" t="str">
        <f>IF(SUMIFS(Таблица2[B$],Таблица2[1],B297)=0,"-",SUMIFS(Таблица2[B$],Таблица2[1],B297))</f>
        <v>-</v>
      </c>
      <c r="F297" s="77" t="str">
        <f>IFERROR(AVERAGEIFS(Таблица2[AFS],Таблица2[1],B297)+(AVERAGEIFS(Таблица2[AFS],Таблица2[1],B297)*0.2),"-")</f>
        <v>-</v>
      </c>
      <c r="G297" s="77" t="str">
        <f t="shared" si="18"/>
        <v>-</v>
      </c>
      <c r="H297" s="77" t="str">
        <f>IFERROR(COUNTIFS(Таблица2[1],B297,Таблица2[WIN$],"&gt;0")/D297*100,"-")</f>
        <v>-</v>
      </c>
      <c r="I297" s="77" t="str">
        <f>IF(IFERROR((COUNTIFS(Таблица2[1],B297,Таблица2[K],"K")+SUMIFS(Таблица2[R],Таблица2[1],B297,Таблица2[K],"K"))/D297*100,"-")=0,"-",IFERROR((COUNTIFS(Таблица2[1],B297,Таблица2[K],"K")+SUMIFS(Таблица2[R],Таблица2[1],B297,Таблица2[K],"K"))/D297*100,"-"))</f>
        <v>-</v>
      </c>
      <c r="J297" s="77" t="str">
        <f>IF(IFERROR((COUNTIFS(Таблица2[1],B297,Таблица2[T],"t")+SUMIFS(Таблица2[R],Таблица2[1],B297,Таблица2[T],"t"))/D297*100,"-")=0,"-",IFERROR((COUNTIFS(Таблица2[1],B297,Таблица2[T],"t")+SUMIFS(Таблица2[R],Таблица2[1],B297,Таблица2[T],"t"))/D297*100,"-"))</f>
        <v>-</v>
      </c>
      <c r="K297" s="76" t="str">
        <f>IF(SUMIFS(Таблица2[KO$],Таблица2[1],B297)=0,"-",SUMIFS(Таблица2[KO$],Таблица2[1],B297))</f>
        <v>-</v>
      </c>
      <c r="L297" s="76" t="str">
        <f>IF(SUMIFS(Таблица2[WIN$],Таблица2[1],B297)=0,"-",SUMIFS(Таблица2[WIN$],Таблица2[1],B297))</f>
        <v>-</v>
      </c>
      <c r="M297" s="76" t="str">
        <f t="shared" si="19"/>
        <v>-</v>
      </c>
      <c r="N297" s="78" t="str">
        <f>IFERROR(Таблица46[[#This Row],[PROF]]/Таблица46[[#This Row],[Games]],"-")</f>
        <v>-</v>
      </c>
    </row>
    <row r="298" spans="1:14" ht="11.1" customHeight="1" x14ac:dyDescent="0.25">
      <c r="A298" s="93">
        <f t="shared" si="17"/>
        <v>212</v>
      </c>
      <c r="B298" s="113"/>
      <c r="C298"/>
      <c r="D298" s="117" t="str">
        <f>IF(COUNTIFS(Таблица2[1],B298)+SUMIFS(Таблица2[R],Таблица2[1],B298)=0,"",COUNTIFS(Таблица2[1],B298)+SUMIFS(Таблица2[R],Таблица2[1],B298))</f>
        <v/>
      </c>
      <c r="E298" s="76" t="str">
        <f>IF(SUMIFS(Таблица2[B$],Таблица2[1],B298)=0,"-",SUMIFS(Таблица2[B$],Таблица2[1],B298))</f>
        <v>-</v>
      </c>
      <c r="F298" s="77" t="str">
        <f>IFERROR(AVERAGEIFS(Таблица2[AFS],Таблица2[1],B298)+(AVERAGEIFS(Таблица2[AFS],Таблица2[1],B298)*0.2),"-")</f>
        <v>-</v>
      </c>
      <c r="G298" s="77" t="str">
        <f t="shared" si="18"/>
        <v>-</v>
      </c>
      <c r="H298" s="77" t="str">
        <f>IFERROR(COUNTIFS(Таблица2[1],B298,Таблица2[WIN$],"&gt;0")/D298*100,"-")</f>
        <v>-</v>
      </c>
      <c r="I298" s="77" t="str">
        <f>IF(IFERROR((COUNTIFS(Таблица2[1],B298,Таблица2[K],"K")+SUMIFS(Таблица2[R],Таблица2[1],B298,Таблица2[K],"K"))/D298*100,"-")=0,"-",IFERROR((COUNTIFS(Таблица2[1],B298,Таблица2[K],"K")+SUMIFS(Таблица2[R],Таблица2[1],B298,Таблица2[K],"K"))/D298*100,"-"))</f>
        <v>-</v>
      </c>
      <c r="J298" s="77" t="str">
        <f>IF(IFERROR((COUNTIFS(Таблица2[1],B298,Таблица2[T],"t")+SUMIFS(Таблица2[R],Таблица2[1],B298,Таблица2[T],"t"))/D298*100,"-")=0,"-",IFERROR((COUNTIFS(Таблица2[1],B298,Таблица2[T],"t")+SUMIFS(Таблица2[R],Таблица2[1],B298,Таблица2[T],"t"))/D298*100,"-"))</f>
        <v>-</v>
      </c>
      <c r="K298" s="76" t="str">
        <f>IF(SUMIFS(Таблица2[KO$],Таблица2[1],B298)=0,"-",SUMIFS(Таблица2[KO$],Таблица2[1],B298))</f>
        <v>-</v>
      </c>
      <c r="L298" s="76" t="str">
        <f>IF(SUMIFS(Таблица2[WIN$],Таблица2[1],B298)=0,"-",SUMIFS(Таблица2[WIN$],Таблица2[1],B298))</f>
        <v>-</v>
      </c>
      <c r="M298" s="76" t="str">
        <f t="shared" si="19"/>
        <v>-</v>
      </c>
      <c r="N298" s="78" t="str">
        <f>IFERROR(Таблица46[[#This Row],[PROF]]/Таблица46[[#This Row],[Games]],"-")</f>
        <v>-</v>
      </c>
    </row>
    <row r="299" spans="1:14" ht="11.1" customHeight="1" x14ac:dyDescent="0.25">
      <c r="A299" s="93">
        <f t="shared" si="17"/>
        <v>213</v>
      </c>
      <c r="B299" s="113"/>
      <c r="C299"/>
      <c r="D299" s="117" t="str">
        <f>IF(COUNTIFS(Таблица2[1],B299)+SUMIFS(Таблица2[R],Таблица2[1],B299)=0,"",COUNTIFS(Таблица2[1],B299)+SUMIFS(Таблица2[R],Таблица2[1],B299))</f>
        <v/>
      </c>
      <c r="E299" s="76" t="str">
        <f>IF(SUMIFS(Таблица2[B$],Таблица2[1],B299)=0,"-",SUMIFS(Таблица2[B$],Таблица2[1],B299))</f>
        <v>-</v>
      </c>
      <c r="F299" s="77" t="str">
        <f>IFERROR(AVERAGEIFS(Таблица2[AFS],Таблица2[1],B299)+(AVERAGEIFS(Таблица2[AFS],Таблица2[1],B299)*0.2),"-")</f>
        <v>-</v>
      </c>
      <c r="G299" s="77" t="str">
        <f t="shared" si="18"/>
        <v>-</v>
      </c>
      <c r="H299" s="77" t="str">
        <f>IFERROR(COUNTIFS(Таблица2[1],B299,Таблица2[WIN$],"&gt;0")/D299*100,"-")</f>
        <v>-</v>
      </c>
      <c r="I299" s="77" t="str">
        <f>IF(IFERROR((COUNTIFS(Таблица2[1],B299,Таблица2[K],"K")+SUMIFS(Таблица2[R],Таблица2[1],B299,Таблица2[K],"K"))/D299*100,"-")=0,"-",IFERROR((COUNTIFS(Таблица2[1],B299,Таблица2[K],"K")+SUMIFS(Таблица2[R],Таблица2[1],B299,Таблица2[K],"K"))/D299*100,"-"))</f>
        <v>-</v>
      </c>
      <c r="J299" s="77" t="str">
        <f>IF(IFERROR((COUNTIFS(Таблица2[1],B299,Таблица2[T],"t")+SUMIFS(Таблица2[R],Таблица2[1],B299,Таблица2[T],"t"))/D299*100,"-")=0,"-",IFERROR((COUNTIFS(Таблица2[1],B299,Таблица2[T],"t")+SUMIFS(Таблица2[R],Таблица2[1],B299,Таблица2[T],"t"))/D299*100,"-"))</f>
        <v>-</v>
      </c>
      <c r="K299" s="76" t="str">
        <f>IF(SUMIFS(Таблица2[KO$],Таблица2[1],B299)=0,"-",SUMIFS(Таблица2[KO$],Таблица2[1],B299))</f>
        <v>-</v>
      </c>
      <c r="L299" s="76" t="str">
        <f>IF(SUMIFS(Таблица2[WIN$],Таблица2[1],B299)=0,"-",SUMIFS(Таблица2[WIN$],Таблица2[1],B299))</f>
        <v>-</v>
      </c>
      <c r="M299" s="76" t="str">
        <f t="shared" si="19"/>
        <v>-</v>
      </c>
      <c r="N299" s="78" t="str">
        <f>IFERROR(Таблица46[[#This Row],[PROF]]/Таблица46[[#This Row],[Games]],"-")</f>
        <v>-</v>
      </c>
    </row>
    <row r="300" spans="1:14" ht="11.1" customHeight="1" x14ac:dyDescent="0.25">
      <c r="A300" s="93">
        <f t="shared" si="17"/>
        <v>214</v>
      </c>
      <c r="B300" s="113"/>
      <c r="C300"/>
      <c r="D300" s="117" t="str">
        <f>IF(COUNTIFS(Таблица2[1],B300)+SUMIFS(Таблица2[R],Таблица2[1],B300)=0,"",COUNTIFS(Таблица2[1],B300)+SUMIFS(Таблица2[R],Таблица2[1],B300))</f>
        <v/>
      </c>
      <c r="E300" s="76" t="str">
        <f>IF(SUMIFS(Таблица2[B$],Таблица2[1],B300)=0,"-",SUMIFS(Таблица2[B$],Таблица2[1],B300))</f>
        <v>-</v>
      </c>
      <c r="F300" s="77" t="str">
        <f>IFERROR(AVERAGEIFS(Таблица2[AFS],Таблица2[1],B300)+(AVERAGEIFS(Таблица2[AFS],Таблица2[1],B300)*0.2),"-")</f>
        <v>-</v>
      </c>
      <c r="G300" s="77" t="str">
        <f t="shared" si="18"/>
        <v>-</v>
      </c>
      <c r="H300" s="77" t="str">
        <f>IFERROR(COUNTIFS(Таблица2[1],B300,Таблица2[WIN$],"&gt;0")/D300*100,"-")</f>
        <v>-</v>
      </c>
      <c r="I300" s="77" t="str">
        <f>IF(IFERROR((COUNTIFS(Таблица2[1],B300,Таблица2[K],"K")+SUMIFS(Таблица2[R],Таблица2[1],B300,Таблица2[K],"K"))/D300*100,"-")=0,"-",IFERROR((COUNTIFS(Таблица2[1],B300,Таблица2[K],"K")+SUMIFS(Таблица2[R],Таблица2[1],B300,Таблица2[K],"K"))/D300*100,"-"))</f>
        <v>-</v>
      </c>
      <c r="J300" s="77" t="str">
        <f>IF(IFERROR((COUNTIFS(Таблица2[1],B300,Таблица2[T],"t")+SUMIFS(Таблица2[R],Таблица2[1],B300,Таблица2[T],"t"))/D300*100,"-")=0,"-",IFERROR((COUNTIFS(Таблица2[1],B300,Таблица2[T],"t")+SUMIFS(Таблица2[R],Таблица2[1],B300,Таблица2[T],"t"))/D300*100,"-"))</f>
        <v>-</v>
      </c>
      <c r="K300" s="76" t="str">
        <f>IF(SUMIFS(Таблица2[KO$],Таблица2[1],B300)=0,"-",SUMIFS(Таблица2[KO$],Таблица2[1],B300))</f>
        <v>-</v>
      </c>
      <c r="L300" s="76" t="str">
        <f>IF(SUMIFS(Таблица2[WIN$],Таблица2[1],B300)=0,"-",SUMIFS(Таблица2[WIN$],Таблица2[1],B300))</f>
        <v>-</v>
      </c>
      <c r="M300" s="76" t="str">
        <f t="shared" si="19"/>
        <v>-</v>
      </c>
      <c r="N300" s="78" t="str">
        <f>IFERROR(Таблица46[[#This Row],[PROF]]/Таблица46[[#This Row],[Games]],"-")</f>
        <v>-</v>
      </c>
    </row>
    <row r="301" spans="1:14" ht="11.1" customHeight="1" x14ac:dyDescent="0.25">
      <c r="A301" s="93">
        <f t="shared" si="17"/>
        <v>215</v>
      </c>
      <c r="B301" s="113"/>
      <c r="C301"/>
      <c r="D301" s="117" t="str">
        <f>IF(COUNTIFS(Таблица2[1],B301)+SUMIFS(Таблица2[R],Таблица2[1],B301)=0,"",COUNTIFS(Таблица2[1],B301)+SUMIFS(Таблица2[R],Таблица2[1],B301))</f>
        <v/>
      </c>
      <c r="E301" s="76" t="str">
        <f>IF(SUMIFS(Таблица2[B$],Таблица2[1],B301)=0,"-",SUMIFS(Таблица2[B$],Таблица2[1],B301))</f>
        <v>-</v>
      </c>
      <c r="F301" s="77" t="str">
        <f>IFERROR(AVERAGEIFS(Таблица2[AFS],Таблица2[1],B301)+(AVERAGEIFS(Таблица2[AFS],Таблица2[1],B301)*0.2),"-")</f>
        <v>-</v>
      </c>
      <c r="G301" s="77" t="str">
        <f t="shared" si="18"/>
        <v>-</v>
      </c>
      <c r="H301" s="77" t="str">
        <f>IFERROR(COUNTIFS(Таблица2[1],B301,Таблица2[WIN$],"&gt;0")/D301*100,"-")</f>
        <v>-</v>
      </c>
      <c r="I301" s="77" t="str">
        <f>IF(IFERROR((COUNTIFS(Таблица2[1],B301,Таблица2[K],"K")+SUMIFS(Таблица2[R],Таблица2[1],B301,Таблица2[K],"K"))/D301*100,"-")=0,"-",IFERROR((COUNTIFS(Таблица2[1],B301,Таблица2[K],"K")+SUMIFS(Таблица2[R],Таблица2[1],B301,Таблица2[K],"K"))/D301*100,"-"))</f>
        <v>-</v>
      </c>
      <c r="J301" s="77" t="str">
        <f>IF(IFERROR((COUNTIFS(Таблица2[1],B301,Таблица2[T],"t")+SUMIFS(Таблица2[R],Таблица2[1],B301,Таблица2[T],"t"))/D301*100,"-")=0,"-",IFERROR((COUNTIFS(Таблица2[1],B301,Таблица2[T],"t")+SUMIFS(Таблица2[R],Таблица2[1],B301,Таблица2[T],"t"))/D301*100,"-"))</f>
        <v>-</v>
      </c>
      <c r="K301" s="76" t="str">
        <f>IF(SUMIFS(Таблица2[KO$],Таблица2[1],B301)=0,"-",SUMIFS(Таблица2[KO$],Таблица2[1],B301))</f>
        <v>-</v>
      </c>
      <c r="L301" s="76" t="str">
        <f>IF(SUMIFS(Таблица2[WIN$],Таблица2[1],B301)=0,"-",SUMIFS(Таблица2[WIN$],Таблица2[1],B301))</f>
        <v>-</v>
      </c>
      <c r="M301" s="76" t="str">
        <f t="shared" si="19"/>
        <v>-</v>
      </c>
      <c r="N301" s="78" t="str">
        <f>IFERROR(Таблица46[[#This Row],[PROF]]/Таблица46[[#This Row],[Games]],"-")</f>
        <v>-</v>
      </c>
    </row>
    <row r="302" spans="1:14" ht="11.1" customHeight="1" x14ac:dyDescent="0.25">
      <c r="A302" s="93">
        <f t="shared" si="17"/>
        <v>216</v>
      </c>
      <c r="B302" s="113"/>
      <c r="C302"/>
      <c r="D302" s="117" t="str">
        <f>IF(COUNTIFS(Таблица2[1],B302)+SUMIFS(Таблица2[R],Таблица2[1],B302)=0,"",COUNTIFS(Таблица2[1],B302)+SUMIFS(Таблица2[R],Таблица2[1],B302))</f>
        <v/>
      </c>
      <c r="E302" s="76" t="str">
        <f>IF(SUMIFS(Таблица2[B$],Таблица2[1],B302)=0,"-",SUMIFS(Таблица2[B$],Таблица2[1],B302))</f>
        <v>-</v>
      </c>
      <c r="F302" s="77" t="str">
        <f>IFERROR(AVERAGEIFS(Таблица2[AFS],Таблица2[1],B302)+(AVERAGEIFS(Таблица2[AFS],Таблица2[1],B302)*0.2),"-")</f>
        <v>-</v>
      </c>
      <c r="G302" s="77" t="str">
        <f t="shared" si="18"/>
        <v>-</v>
      </c>
      <c r="H302" s="77" t="str">
        <f>IFERROR(COUNTIFS(Таблица2[1],B302,Таблица2[WIN$],"&gt;0")/D302*100,"-")</f>
        <v>-</v>
      </c>
      <c r="I302" s="77" t="str">
        <f>IF(IFERROR((COUNTIFS(Таблица2[1],B302,Таблица2[K],"K")+SUMIFS(Таблица2[R],Таблица2[1],B302,Таблица2[K],"K"))/D302*100,"-")=0,"-",IFERROR((COUNTIFS(Таблица2[1],B302,Таблица2[K],"K")+SUMIFS(Таблица2[R],Таблица2[1],B302,Таблица2[K],"K"))/D302*100,"-"))</f>
        <v>-</v>
      </c>
      <c r="J302" s="77" t="str">
        <f>IF(IFERROR((COUNTIFS(Таблица2[1],B302,Таблица2[T],"t")+SUMIFS(Таблица2[R],Таблица2[1],B302,Таблица2[T],"t"))/D302*100,"-")=0,"-",IFERROR((COUNTIFS(Таблица2[1],B302,Таблица2[T],"t")+SUMIFS(Таблица2[R],Таблица2[1],B302,Таблица2[T],"t"))/D302*100,"-"))</f>
        <v>-</v>
      </c>
      <c r="K302" s="76" t="str">
        <f>IF(SUMIFS(Таблица2[KO$],Таблица2[1],B302)=0,"-",SUMIFS(Таблица2[KO$],Таблица2[1],B302))</f>
        <v>-</v>
      </c>
      <c r="L302" s="76" t="str">
        <f>IF(SUMIFS(Таблица2[WIN$],Таблица2[1],B302)=0,"-",SUMIFS(Таблица2[WIN$],Таблица2[1],B302))</f>
        <v>-</v>
      </c>
      <c r="M302" s="76" t="str">
        <f t="shared" si="19"/>
        <v>-</v>
      </c>
      <c r="N302" s="78" t="str">
        <f>IFERROR(Таблица46[[#This Row],[PROF]]/Таблица46[[#This Row],[Games]],"-")</f>
        <v>-</v>
      </c>
    </row>
    <row r="303" spans="1:14" ht="11.1" customHeight="1" x14ac:dyDescent="0.25">
      <c r="A303" s="93">
        <f t="shared" si="17"/>
        <v>217</v>
      </c>
      <c r="B303" s="113"/>
      <c r="C303"/>
      <c r="D303" s="117" t="str">
        <f>IF(COUNTIFS(Таблица2[1],B303)+SUMIFS(Таблица2[R],Таблица2[1],B303)=0,"",COUNTIFS(Таблица2[1],B303)+SUMIFS(Таблица2[R],Таблица2[1],B303))</f>
        <v/>
      </c>
      <c r="E303" s="76" t="str">
        <f>IF(SUMIFS(Таблица2[B$],Таблица2[1],B303)=0,"-",SUMIFS(Таблица2[B$],Таблица2[1],B303))</f>
        <v>-</v>
      </c>
      <c r="F303" s="77" t="str">
        <f>IFERROR(AVERAGEIFS(Таблица2[AFS],Таблица2[1],B303)+(AVERAGEIFS(Таблица2[AFS],Таблица2[1],B303)*0.2),"-")</f>
        <v>-</v>
      </c>
      <c r="G303" s="77" t="str">
        <f t="shared" si="18"/>
        <v>-</v>
      </c>
      <c r="H303" s="77" t="str">
        <f>IFERROR(COUNTIFS(Таблица2[1],B303,Таблица2[WIN$],"&gt;0")/D303*100,"-")</f>
        <v>-</v>
      </c>
      <c r="I303" s="77" t="str">
        <f>IF(IFERROR((COUNTIFS(Таблица2[1],B303,Таблица2[K],"K")+SUMIFS(Таблица2[R],Таблица2[1],B303,Таблица2[K],"K"))/D303*100,"-")=0,"-",IFERROR((COUNTIFS(Таблица2[1],B303,Таблица2[K],"K")+SUMIFS(Таблица2[R],Таблица2[1],B303,Таблица2[K],"K"))/D303*100,"-"))</f>
        <v>-</v>
      </c>
      <c r="J303" s="77" t="str">
        <f>IF(IFERROR((COUNTIFS(Таблица2[1],B303,Таблица2[T],"t")+SUMIFS(Таблица2[R],Таблица2[1],B303,Таблица2[T],"t"))/D303*100,"-")=0,"-",IFERROR((COUNTIFS(Таблица2[1],B303,Таблица2[T],"t")+SUMIFS(Таблица2[R],Таблица2[1],B303,Таблица2[T],"t"))/D303*100,"-"))</f>
        <v>-</v>
      </c>
      <c r="K303" s="76" t="str">
        <f>IF(SUMIFS(Таблица2[KO$],Таблица2[1],B303)=0,"-",SUMIFS(Таблица2[KO$],Таблица2[1],B303))</f>
        <v>-</v>
      </c>
      <c r="L303" s="76" t="str">
        <f>IF(SUMIFS(Таблица2[WIN$],Таблица2[1],B303)=0,"-",SUMIFS(Таблица2[WIN$],Таблица2[1],B303))</f>
        <v>-</v>
      </c>
      <c r="M303" s="76" t="str">
        <f t="shared" si="19"/>
        <v>-</v>
      </c>
      <c r="N303" s="78" t="str">
        <f>IFERROR(Таблица46[[#This Row],[PROF]]/Таблица46[[#This Row],[Games]],"-")</f>
        <v>-</v>
      </c>
    </row>
    <row r="304" spans="1:14" ht="11.1" customHeight="1" x14ac:dyDescent="0.25">
      <c r="A304" s="93">
        <f t="shared" si="17"/>
        <v>218</v>
      </c>
      <c r="B304" s="113"/>
      <c r="C304"/>
      <c r="D304" s="117" t="str">
        <f>IF(COUNTIFS(Таблица2[1],B304)+SUMIFS(Таблица2[R],Таблица2[1],B304)=0,"",COUNTIFS(Таблица2[1],B304)+SUMIFS(Таблица2[R],Таблица2[1],B304))</f>
        <v/>
      </c>
      <c r="E304" s="76" t="str">
        <f>IF(SUMIFS(Таблица2[B$],Таблица2[1],B304)=0,"-",SUMIFS(Таблица2[B$],Таблица2[1],B304))</f>
        <v>-</v>
      </c>
      <c r="F304" s="77" t="str">
        <f>IFERROR(AVERAGEIFS(Таблица2[AFS],Таблица2[1],B304)+(AVERAGEIFS(Таблица2[AFS],Таблица2[1],B304)*0.2),"-")</f>
        <v>-</v>
      </c>
      <c r="G304" s="77" t="str">
        <f t="shared" si="18"/>
        <v>-</v>
      </c>
      <c r="H304" s="77" t="str">
        <f>IFERROR(COUNTIFS(Таблица2[1],B304,Таблица2[WIN$],"&gt;0")/D304*100,"-")</f>
        <v>-</v>
      </c>
      <c r="I304" s="77" t="str">
        <f>IF(IFERROR((COUNTIFS(Таблица2[1],B304,Таблица2[K],"K")+SUMIFS(Таблица2[R],Таблица2[1],B304,Таблица2[K],"K"))/D304*100,"-")=0,"-",IFERROR((COUNTIFS(Таблица2[1],B304,Таблица2[K],"K")+SUMIFS(Таблица2[R],Таблица2[1],B304,Таблица2[K],"K"))/D304*100,"-"))</f>
        <v>-</v>
      </c>
      <c r="J304" s="77" t="str">
        <f>IF(IFERROR((COUNTIFS(Таблица2[1],B304,Таблица2[T],"t")+SUMIFS(Таблица2[R],Таблица2[1],B304,Таблица2[T],"t"))/D304*100,"-")=0,"-",IFERROR((COUNTIFS(Таблица2[1],B304,Таблица2[T],"t")+SUMIFS(Таблица2[R],Таблица2[1],B304,Таблица2[T],"t"))/D304*100,"-"))</f>
        <v>-</v>
      </c>
      <c r="K304" s="76" t="str">
        <f>IF(SUMIFS(Таблица2[KO$],Таблица2[1],B304)=0,"-",SUMIFS(Таблица2[KO$],Таблица2[1],B304))</f>
        <v>-</v>
      </c>
      <c r="L304" s="76" t="str">
        <f>IF(SUMIFS(Таблица2[WIN$],Таблица2[1],B304)=0,"-",SUMIFS(Таблица2[WIN$],Таблица2[1],B304))</f>
        <v>-</v>
      </c>
      <c r="M304" s="76" t="str">
        <f t="shared" si="19"/>
        <v>-</v>
      </c>
      <c r="N304" s="78" t="str">
        <f>IFERROR(Таблица46[[#This Row],[PROF]]/Таблица46[[#This Row],[Games]],"-")</f>
        <v>-</v>
      </c>
    </row>
    <row r="305" spans="1:14" ht="11.1" customHeight="1" x14ac:dyDescent="0.25">
      <c r="A305" s="93">
        <f t="shared" si="17"/>
        <v>219</v>
      </c>
      <c r="B305" s="113"/>
      <c r="C305"/>
      <c r="D305" s="117" t="str">
        <f>IF(COUNTIFS(Таблица2[1],B305)+SUMIFS(Таблица2[R],Таблица2[1],B305)=0,"",COUNTIFS(Таблица2[1],B305)+SUMIFS(Таблица2[R],Таблица2[1],B305))</f>
        <v/>
      </c>
      <c r="E305" s="76" t="str">
        <f>IF(SUMIFS(Таблица2[B$],Таблица2[1],B305)=0,"-",SUMIFS(Таблица2[B$],Таблица2[1],B305))</f>
        <v>-</v>
      </c>
      <c r="F305" s="77" t="str">
        <f>IFERROR(AVERAGEIFS(Таблица2[AFS],Таблица2[1],B305)+(AVERAGEIFS(Таблица2[AFS],Таблица2[1],B305)*0.2),"-")</f>
        <v>-</v>
      </c>
      <c r="G305" s="77" t="str">
        <f t="shared" si="18"/>
        <v>-</v>
      </c>
      <c r="H305" s="77" t="str">
        <f>IFERROR(COUNTIFS(Таблица2[1],B305,Таблица2[WIN$],"&gt;0")/D305*100,"-")</f>
        <v>-</v>
      </c>
      <c r="I305" s="77" t="str">
        <f>IF(IFERROR((COUNTIFS(Таблица2[1],B305,Таблица2[K],"K")+SUMIFS(Таблица2[R],Таблица2[1],B305,Таблица2[K],"K"))/D305*100,"-")=0,"-",IFERROR((COUNTIFS(Таблица2[1],B305,Таблица2[K],"K")+SUMIFS(Таблица2[R],Таблица2[1],B305,Таблица2[K],"K"))/D305*100,"-"))</f>
        <v>-</v>
      </c>
      <c r="J305" s="77" t="str">
        <f>IF(IFERROR((COUNTIFS(Таблица2[1],B305,Таблица2[T],"t")+SUMIFS(Таблица2[R],Таблица2[1],B305,Таблица2[T],"t"))/D305*100,"-")=0,"-",IFERROR((COUNTIFS(Таблица2[1],B305,Таблица2[T],"t")+SUMIFS(Таблица2[R],Таблица2[1],B305,Таблица2[T],"t"))/D305*100,"-"))</f>
        <v>-</v>
      </c>
      <c r="K305" s="76" t="str">
        <f>IF(SUMIFS(Таблица2[KO$],Таблица2[1],B305)=0,"-",SUMIFS(Таблица2[KO$],Таблица2[1],B305))</f>
        <v>-</v>
      </c>
      <c r="L305" s="76" t="str">
        <f>IF(SUMIFS(Таблица2[WIN$],Таблица2[1],B305)=0,"-",SUMIFS(Таблица2[WIN$],Таблица2[1],B305))</f>
        <v>-</v>
      </c>
      <c r="M305" s="76" t="str">
        <f t="shared" si="19"/>
        <v>-</v>
      </c>
      <c r="N305" s="78" t="str">
        <f>IFERROR(Таблица46[[#This Row],[PROF]]/Таблица46[[#This Row],[Games]],"-")</f>
        <v>-</v>
      </c>
    </row>
    <row r="306" spans="1:14" ht="11.1" customHeight="1" x14ac:dyDescent="0.25">
      <c r="A306" s="93">
        <f t="shared" si="17"/>
        <v>220</v>
      </c>
      <c r="B306" s="113"/>
      <c r="C306"/>
      <c r="D306" s="117" t="str">
        <f>IF(COUNTIFS(Таблица2[1],B306)+SUMIFS(Таблица2[R],Таблица2[1],B306)=0,"",COUNTIFS(Таблица2[1],B306)+SUMIFS(Таблица2[R],Таблица2[1],B306))</f>
        <v/>
      </c>
      <c r="E306" s="76" t="str">
        <f>IF(SUMIFS(Таблица2[B$],Таблица2[1],B306)=0,"-",SUMIFS(Таблица2[B$],Таблица2[1],B306))</f>
        <v>-</v>
      </c>
      <c r="F306" s="77" t="str">
        <f>IFERROR(AVERAGEIFS(Таблица2[AFS],Таблица2[1],B306)+(AVERAGEIFS(Таблица2[AFS],Таблица2[1],B306)*0.2),"-")</f>
        <v>-</v>
      </c>
      <c r="G306" s="77" t="str">
        <f t="shared" si="18"/>
        <v>-</v>
      </c>
      <c r="H306" s="77" t="str">
        <f>IFERROR(COUNTIFS(Таблица2[1],B306,Таблица2[WIN$],"&gt;0")/D306*100,"-")</f>
        <v>-</v>
      </c>
      <c r="I306" s="77" t="str">
        <f>IF(IFERROR((COUNTIFS(Таблица2[1],B306,Таблица2[K],"K")+SUMIFS(Таблица2[R],Таблица2[1],B306,Таблица2[K],"K"))/D306*100,"-")=0,"-",IFERROR((COUNTIFS(Таблица2[1],B306,Таблица2[K],"K")+SUMIFS(Таблица2[R],Таблица2[1],B306,Таблица2[K],"K"))/D306*100,"-"))</f>
        <v>-</v>
      </c>
      <c r="J306" s="77" t="str">
        <f>IF(IFERROR((COUNTIFS(Таблица2[1],B306,Таблица2[T],"t")+SUMIFS(Таблица2[R],Таблица2[1],B306,Таблица2[T],"t"))/D306*100,"-")=0,"-",IFERROR((COUNTIFS(Таблица2[1],B306,Таблица2[T],"t")+SUMIFS(Таблица2[R],Таблица2[1],B306,Таблица2[T],"t"))/D306*100,"-"))</f>
        <v>-</v>
      </c>
      <c r="K306" s="76" t="str">
        <f>IF(SUMIFS(Таблица2[KO$],Таблица2[1],B306)=0,"-",SUMIFS(Таблица2[KO$],Таблица2[1],B306))</f>
        <v>-</v>
      </c>
      <c r="L306" s="76" t="str">
        <f>IF(SUMIFS(Таблица2[WIN$],Таблица2[1],B306)=0,"-",SUMIFS(Таблица2[WIN$],Таблица2[1],B306))</f>
        <v>-</v>
      </c>
      <c r="M306" s="76" t="str">
        <f t="shared" si="19"/>
        <v>-</v>
      </c>
      <c r="N306" s="78" t="str">
        <f>IFERROR(Таблица46[[#This Row],[PROF]]/Таблица46[[#This Row],[Games]],"-")</f>
        <v>-</v>
      </c>
    </row>
    <row r="307" spans="1:14" ht="11.1" customHeight="1" x14ac:dyDescent="0.25">
      <c r="A307" s="93">
        <f t="shared" si="17"/>
        <v>221</v>
      </c>
      <c r="B307" s="113"/>
      <c r="C307"/>
      <c r="D307" s="117" t="str">
        <f>IF(COUNTIFS(Таблица2[1],B307)+SUMIFS(Таблица2[R],Таблица2[1],B307)=0,"",COUNTIFS(Таблица2[1],B307)+SUMIFS(Таблица2[R],Таблица2[1],B307))</f>
        <v/>
      </c>
      <c r="E307" s="76" t="str">
        <f>IF(SUMIFS(Таблица2[B$],Таблица2[1],B307)=0,"-",SUMIFS(Таблица2[B$],Таблица2[1],B307))</f>
        <v>-</v>
      </c>
      <c r="F307" s="77" t="str">
        <f>IFERROR(AVERAGEIFS(Таблица2[AFS],Таблица2[1],B307)+(AVERAGEIFS(Таблица2[AFS],Таблица2[1],B307)*0.2),"-")</f>
        <v>-</v>
      </c>
      <c r="G307" s="77" t="str">
        <f t="shared" si="18"/>
        <v>-</v>
      </c>
      <c r="H307" s="77" t="str">
        <f>IFERROR(COUNTIFS(Таблица2[1],B307,Таблица2[WIN$],"&gt;0")/D307*100,"-")</f>
        <v>-</v>
      </c>
      <c r="I307" s="77" t="str">
        <f>IF(IFERROR((COUNTIFS(Таблица2[1],B307,Таблица2[K],"K")+SUMIFS(Таблица2[R],Таблица2[1],B307,Таблица2[K],"K"))/D307*100,"-")=0,"-",IFERROR((COUNTIFS(Таблица2[1],B307,Таблица2[K],"K")+SUMIFS(Таблица2[R],Таблица2[1],B307,Таблица2[K],"K"))/D307*100,"-"))</f>
        <v>-</v>
      </c>
      <c r="J307" s="77" t="str">
        <f>IF(IFERROR((COUNTIFS(Таблица2[1],B307,Таблица2[T],"t")+SUMIFS(Таблица2[R],Таблица2[1],B307,Таблица2[T],"t"))/D307*100,"-")=0,"-",IFERROR((COUNTIFS(Таблица2[1],B307,Таблица2[T],"t")+SUMIFS(Таблица2[R],Таблица2[1],B307,Таблица2[T],"t"))/D307*100,"-"))</f>
        <v>-</v>
      </c>
      <c r="K307" s="76" t="str">
        <f>IF(SUMIFS(Таблица2[KO$],Таблица2[1],B307)=0,"-",SUMIFS(Таблица2[KO$],Таблица2[1],B307))</f>
        <v>-</v>
      </c>
      <c r="L307" s="76" t="str">
        <f>IF(SUMIFS(Таблица2[WIN$],Таблица2[1],B307)=0,"-",SUMIFS(Таблица2[WIN$],Таблица2[1],B307))</f>
        <v>-</v>
      </c>
      <c r="M307" s="76" t="str">
        <f t="shared" si="19"/>
        <v>-</v>
      </c>
      <c r="N307" s="78" t="str">
        <f>IFERROR(Таблица46[[#This Row],[PROF]]/Таблица46[[#This Row],[Games]],"-")</f>
        <v>-</v>
      </c>
    </row>
    <row r="308" spans="1:14" ht="11.1" customHeight="1" x14ac:dyDescent="0.25">
      <c r="A308" s="93">
        <f t="shared" si="17"/>
        <v>222</v>
      </c>
      <c r="B308" s="113"/>
      <c r="C308"/>
      <c r="D308" s="117" t="str">
        <f>IF(COUNTIFS(Таблица2[1],B308)+SUMIFS(Таблица2[R],Таблица2[1],B308)=0,"",COUNTIFS(Таблица2[1],B308)+SUMIFS(Таблица2[R],Таблица2[1],B308))</f>
        <v/>
      </c>
      <c r="E308" s="76" t="str">
        <f>IF(SUMIFS(Таблица2[B$],Таблица2[1],B308)=0,"-",SUMIFS(Таблица2[B$],Таблица2[1],B308))</f>
        <v>-</v>
      </c>
      <c r="F308" s="77" t="str">
        <f>IFERROR(AVERAGEIFS(Таблица2[AFS],Таблица2[1],B308)+(AVERAGEIFS(Таблица2[AFS],Таблица2[1],B308)*0.2),"-")</f>
        <v>-</v>
      </c>
      <c r="G308" s="77" t="str">
        <f t="shared" si="18"/>
        <v>-</v>
      </c>
      <c r="H308" s="77" t="str">
        <f>IFERROR(COUNTIFS(Таблица2[1],B308,Таблица2[WIN$],"&gt;0")/D308*100,"-")</f>
        <v>-</v>
      </c>
      <c r="I308" s="77" t="str">
        <f>IF(IFERROR((COUNTIFS(Таблица2[1],B308,Таблица2[K],"K")+SUMIFS(Таблица2[R],Таблица2[1],B308,Таблица2[K],"K"))/D308*100,"-")=0,"-",IFERROR((COUNTIFS(Таблица2[1],B308,Таблица2[K],"K")+SUMIFS(Таблица2[R],Таблица2[1],B308,Таблица2[K],"K"))/D308*100,"-"))</f>
        <v>-</v>
      </c>
      <c r="J308" s="77" t="str">
        <f>IF(IFERROR((COUNTIFS(Таблица2[1],B308,Таблица2[T],"t")+SUMIFS(Таблица2[R],Таблица2[1],B308,Таблица2[T],"t"))/D308*100,"-")=0,"-",IFERROR((COUNTIFS(Таблица2[1],B308,Таблица2[T],"t")+SUMIFS(Таблица2[R],Таблица2[1],B308,Таблица2[T],"t"))/D308*100,"-"))</f>
        <v>-</v>
      </c>
      <c r="K308" s="76" t="str">
        <f>IF(SUMIFS(Таблица2[KO$],Таблица2[1],B308)=0,"-",SUMIFS(Таблица2[KO$],Таблица2[1],B308))</f>
        <v>-</v>
      </c>
      <c r="L308" s="76" t="str">
        <f>IF(SUMIFS(Таблица2[WIN$],Таблица2[1],B308)=0,"-",SUMIFS(Таблица2[WIN$],Таблица2[1],B308))</f>
        <v>-</v>
      </c>
      <c r="M308" s="76" t="str">
        <f t="shared" si="19"/>
        <v>-</v>
      </c>
      <c r="N308" s="78" t="str">
        <f>IFERROR(Таблица46[[#This Row],[PROF]]/Таблица46[[#This Row],[Games]],"-")</f>
        <v>-</v>
      </c>
    </row>
    <row r="309" spans="1:14" ht="11.1" customHeight="1" x14ac:dyDescent="0.25">
      <c r="A309" s="93">
        <f t="shared" si="17"/>
        <v>223</v>
      </c>
      <c r="D309" s="117" t="str">
        <f>IF(COUNTIFS(Таблица2[1],B309)+SUMIFS(Таблица2[R],Таблица2[1],B309)=0,"",COUNTIFS(Таблица2[1],B309)+SUMIFS(Таблица2[R],Таблица2[1],B309))</f>
        <v/>
      </c>
      <c r="E309" s="76" t="str">
        <f>IF(SUMIFS(Таблица2[B$],Таблица2[1],B309)=0,"-",SUMIFS(Таблица2[B$],Таблица2[1],B309))</f>
        <v>-</v>
      </c>
      <c r="F309" s="77" t="str">
        <f>IFERROR(AVERAGEIFS(Таблица2[AFS],Таблица2[1],B309)+(AVERAGEIFS(Таблица2[AFS],Таблица2[1],B309)*0.2),"-")</f>
        <v>-</v>
      </c>
      <c r="G309" s="77" t="str">
        <f t="shared" si="18"/>
        <v>-</v>
      </c>
      <c r="H309" s="77" t="str">
        <f>IFERROR(COUNTIFS(Таблица2[1],B309,Таблица2[WIN$],"&gt;0")/D309*100,"-")</f>
        <v>-</v>
      </c>
      <c r="I309" s="77" t="str">
        <f>IF(IFERROR((COUNTIFS(Таблица2[1],B309,Таблица2[K],"K")+SUMIFS(Таблица2[R],Таблица2[1],B309,Таблица2[K],"K"))/D309*100,"-")=0,"-",IFERROR((COUNTIFS(Таблица2[1],B309,Таблица2[K],"K")+SUMIFS(Таблица2[R],Таблица2[1],B309,Таблица2[K],"K"))/D309*100,"-"))</f>
        <v>-</v>
      </c>
      <c r="J309" s="77" t="str">
        <f>IF(IFERROR((COUNTIFS(Таблица2[1],B309,Таблица2[T],"t")+SUMIFS(Таблица2[R],Таблица2[1],B309,Таблица2[T],"t"))/D309*100,"-")=0,"-",IFERROR((COUNTIFS(Таблица2[1],B309,Таблица2[T],"t")+SUMIFS(Таблица2[R],Таблица2[1],B309,Таблица2[T],"t"))/D309*100,"-"))</f>
        <v>-</v>
      </c>
      <c r="K309" s="76" t="str">
        <f>IF(SUMIFS(Таблица2[KO$],Таблица2[1],B309)=0,"-",SUMIFS(Таблица2[KO$],Таблица2[1],B309))</f>
        <v>-</v>
      </c>
      <c r="L309" s="76" t="str">
        <f>IF(SUMIFS(Таблица2[WIN$],Таблица2[1],B309)=0,"-",SUMIFS(Таблица2[WIN$],Таблица2[1],B309))</f>
        <v>-</v>
      </c>
      <c r="M309" s="76" t="str">
        <f t="shared" si="19"/>
        <v>-</v>
      </c>
      <c r="N309" s="78" t="str">
        <f>IFERROR(Таблица46[[#This Row],[PROF]]/Таблица46[[#This Row],[Games]],"-")</f>
        <v>-</v>
      </c>
    </row>
    <row r="310" spans="1:14" ht="11.1" customHeight="1" x14ac:dyDescent="0.25">
      <c r="A310" s="93">
        <f t="shared" si="17"/>
        <v>224</v>
      </c>
      <c r="D310" s="117" t="str">
        <f>IF(COUNTIFS(Таблица2[1],B310)+SUMIFS(Таблица2[R],Таблица2[1],B310)=0,"",COUNTIFS(Таблица2[1],B310)+SUMIFS(Таблица2[R],Таблица2[1],B310))</f>
        <v/>
      </c>
      <c r="E310" s="76" t="str">
        <f>IF(SUMIFS(Таблица2[B$],Таблица2[1],B310)=0,"-",SUMIFS(Таблица2[B$],Таблица2[1],B310))</f>
        <v>-</v>
      </c>
      <c r="F310" s="77" t="str">
        <f>IFERROR(AVERAGEIFS(Таблица2[AFS],Таблица2[1],B310)+(AVERAGEIFS(Таблица2[AFS],Таблица2[1],B310)*0.2),"-")</f>
        <v>-</v>
      </c>
      <c r="G310" s="77" t="str">
        <f t="shared" si="18"/>
        <v>-</v>
      </c>
      <c r="H310" s="77" t="str">
        <f>IFERROR(COUNTIFS(Таблица2[1],B310,Таблица2[WIN$],"&gt;0")/D310*100,"-")</f>
        <v>-</v>
      </c>
      <c r="I310" s="77" t="str">
        <f>IF(IFERROR((COUNTIFS(Таблица2[1],B310,Таблица2[K],"K")+SUMIFS(Таблица2[R],Таблица2[1],B310,Таблица2[K],"K"))/D310*100,"-")=0,"-",IFERROR((COUNTIFS(Таблица2[1],B310,Таблица2[K],"K")+SUMIFS(Таблица2[R],Таблица2[1],B310,Таблица2[K],"K"))/D310*100,"-"))</f>
        <v>-</v>
      </c>
      <c r="J310" s="77" t="str">
        <f>IF(IFERROR((COUNTIFS(Таблица2[1],B310,Таблица2[T],"t")+SUMIFS(Таблица2[R],Таблица2[1],B310,Таблица2[T],"t"))/D310*100,"-")=0,"-",IFERROR((COUNTIFS(Таблица2[1],B310,Таблица2[T],"t")+SUMIFS(Таблица2[R],Таблица2[1],B310,Таблица2[T],"t"))/D310*100,"-"))</f>
        <v>-</v>
      </c>
      <c r="K310" s="76" t="str">
        <f>IF(SUMIFS(Таблица2[KO$],Таблица2[1],B310)=0,"-",SUMIFS(Таблица2[KO$],Таблица2[1],B310))</f>
        <v>-</v>
      </c>
      <c r="L310" s="76" t="str">
        <f>IF(SUMIFS(Таблица2[WIN$],Таблица2[1],B310)=0,"-",SUMIFS(Таблица2[WIN$],Таблица2[1],B310))</f>
        <v>-</v>
      </c>
      <c r="M310" s="76" t="str">
        <f t="shared" si="19"/>
        <v>-</v>
      </c>
      <c r="N310" s="78" t="str">
        <f>IFERROR(Таблица46[[#This Row],[PROF]]/Таблица46[[#This Row],[Games]],"-")</f>
        <v>-</v>
      </c>
    </row>
    <row r="311" spans="1:14" ht="11.1" customHeight="1" x14ac:dyDescent="0.25">
      <c r="A311" s="93">
        <f t="shared" si="17"/>
        <v>225</v>
      </c>
      <c r="D311" s="117" t="str">
        <f>IF(COUNTIFS(Таблица2[1],B311)+SUMIFS(Таблица2[R],Таблица2[1],B311)=0,"",COUNTIFS(Таблица2[1],B311)+SUMIFS(Таблица2[R],Таблица2[1],B311))</f>
        <v/>
      </c>
      <c r="E311" s="76" t="str">
        <f>IF(SUMIFS(Таблица2[B$],Таблица2[1],B311)=0,"-",SUMIFS(Таблица2[B$],Таблица2[1],B311))</f>
        <v>-</v>
      </c>
      <c r="F311" s="77" t="str">
        <f>IFERROR(AVERAGEIFS(Таблица2[AFS],Таблица2[1],B311)+(AVERAGEIFS(Таблица2[AFS],Таблица2[1],B311)*0.2),"-")</f>
        <v>-</v>
      </c>
      <c r="G311" s="77" t="str">
        <f t="shared" si="18"/>
        <v>-</v>
      </c>
      <c r="H311" s="77" t="str">
        <f>IFERROR(COUNTIFS(Таблица2[1],B311,Таблица2[WIN$],"&gt;0")/D311*100,"-")</f>
        <v>-</v>
      </c>
      <c r="I311" s="77" t="str">
        <f>IF(IFERROR((COUNTIFS(Таблица2[1],B311,Таблица2[K],"K")+SUMIFS(Таблица2[R],Таблица2[1],B311,Таблица2[K],"K"))/D311*100,"-")=0,"-",IFERROR((COUNTIFS(Таблица2[1],B311,Таблица2[K],"K")+SUMIFS(Таблица2[R],Таблица2[1],B311,Таблица2[K],"K"))/D311*100,"-"))</f>
        <v>-</v>
      </c>
      <c r="J311" s="77" t="str">
        <f>IF(IFERROR((COUNTIFS(Таблица2[1],B311,Таблица2[T],"t")+SUMIFS(Таблица2[R],Таблица2[1],B311,Таблица2[T],"t"))/D311*100,"-")=0,"-",IFERROR((COUNTIFS(Таблица2[1],B311,Таблица2[T],"t")+SUMIFS(Таблица2[R],Таблица2[1],B311,Таблица2[T],"t"))/D311*100,"-"))</f>
        <v>-</v>
      </c>
      <c r="K311" s="76" t="str">
        <f>IF(SUMIFS(Таблица2[KO$],Таблица2[1],B311)=0,"-",SUMIFS(Таблица2[KO$],Таблица2[1],B311))</f>
        <v>-</v>
      </c>
      <c r="L311" s="76" t="str">
        <f>IF(SUMIFS(Таблица2[WIN$],Таблица2[1],B311)=0,"-",SUMIFS(Таблица2[WIN$],Таблица2[1],B311))</f>
        <v>-</v>
      </c>
      <c r="M311" s="76" t="str">
        <f t="shared" si="19"/>
        <v>-</v>
      </c>
      <c r="N311" s="78" t="str">
        <f>IFERROR(Таблица46[[#This Row],[PROF]]/Таблица46[[#This Row],[Games]],"-")</f>
        <v>-</v>
      </c>
    </row>
    <row r="312" spans="1:14" ht="11.1" customHeight="1" x14ac:dyDescent="0.25">
      <c r="A312" s="93">
        <f t="shared" si="17"/>
        <v>226</v>
      </c>
      <c r="D312" s="117" t="str">
        <f>IF(COUNTIFS(Таблица2[1],B312)+SUMIFS(Таблица2[R],Таблица2[1],B312)=0,"",COUNTIFS(Таблица2[1],B312)+SUMIFS(Таблица2[R],Таблица2[1],B312))</f>
        <v/>
      </c>
      <c r="E312" s="76" t="str">
        <f>IF(SUMIFS(Таблица2[B$],Таблица2[1],B312)=0,"-",SUMIFS(Таблица2[B$],Таблица2[1],B312))</f>
        <v>-</v>
      </c>
      <c r="F312" s="77" t="str">
        <f>IFERROR(AVERAGEIFS(Таблица2[AFS],Таблица2[1],B312)+(AVERAGEIFS(Таблица2[AFS],Таблица2[1],B312)*0.2),"-")</f>
        <v>-</v>
      </c>
      <c r="G312" s="77" t="str">
        <f t="shared" si="18"/>
        <v>-</v>
      </c>
      <c r="H312" s="77" t="str">
        <f>IFERROR(COUNTIFS(Таблица2[1],B312,Таблица2[WIN$],"&gt;0")/D312*100,"-")</f>
        <v>-</v>
      </c>
      <c r="I312" s="77" t="str">
        <f>IF(IFERROR((COUNTIFS(Таблица2[1],B312,Таблица2[K],"K")+SUMIFS(Таблица2[R],Таблица2[1],B312,Таблица2[K],"K"))/D312*100,"-")=0,"-",IFERROR((COUNTIFS(Таблица2[1],B312,Таблица2[K],"K")+SUMIFS(Таблица2[R],Таблица2[1],B312,Таблица2[K],"K"))/D312*100,"-"))</f>
        <v>-</v>
      </c>
      <c r="J312" s="77" t="str">
        <f>IF(IFERROR((COUNTIFS(Таблица2[1],B312,Таблица2[T],"t")+SUMIFS(Таблица2[R],Таблица2[1],B312,Таблица2[T],"t"))/D312*100,"-")=0,"-",IFERROR((COUNTIFS(Таблица2[1],B312,Таблица2[T],"t")+SUMIFS(Таблица2[R],Таблица2[1],B312,Таблица2[T],"t"))/D312*100,"-"))</f>
        <v>-</v>
      </c>
      <c r="K312" s="76" t="str">
        <f>IF(SUMIFS(Таблица2[KO$],Таблица2[1],B312)=0,"-",SUMIFS(Таблица2[KO$],Таблица2[1],B312))</f>
        <v>-</v>
      </c>
      <c r="L312" s="76" t="str">
        <f>IF(SUMIFS(Таблица2[WIN$],Таблица2[1],B312)=0,"-",SUMIFS(Таблица2[WIN$],Таблица2[1],B312))</f>
        <v>-</v>
      </c>
      <c r="M312" s="76" t="str">
        <f t="shared" si="19"/>
        <v>-</v>
      </c>
      <c r="N312" s="78" t="str">
        <f>IFERROR(Таблица46[[#This Row],[PROF]]/Таблица46[[#This Row],[Games]],"-")</f>
        <v>-</v>
      </c>
    </row>
    <row r="313" spans="1:14" ht="11.1" customHeight="1" x14ac:dyDescent="0.25">
      <c r="A313" s="93">
        <f t="shared" si="17"/>
        <v>227</v>
      </c>
      <c r="D313" s="117" t="str">
        <f>IF(COUNTIFS(Таблица2[1],B313)+SUMIFS(Таблица2[R],Таблица2[1],B313)=0,"",COUNTIFS(Таблица2[1],B313)+SUMIFS(Таблица2[R],Таблица2[1],B313))</f>
        <v/>
      </c>
      <c r="E313" s="76" t="str">
        <f>IF(SUMIFS(Таблица2[B$],Таблица2[1],B313)=0,"-",SUMIFS(Таблица2[B$],Таблица2[1],B313))</f>
        <v>-</v>
      </c>
      <c r="F313" s="77" t="str">
        <f>IFERROR(AVERAGEIFS(Таблица2[AFS],Таблица2[1],B313)+(AVERAGEIFS(Таблица2[AFS],Таблица2[1],B313)*0.2),"-")</f>
        <v>-</v>
      </c>
      <c r="G313" s="77" t="str">
        <f t="shared" si="18"/>
        <v>-</v>
      </c>
      <c r="H313" s="77" t="str">
        <f>IFERROR(COUNTIFS(Таблица2[1],B313,Таблица2[WIN$],"&gt;0")/D313*100,"-")</f>
        <v>-</v>
      </c>
      <c r="I313" s="77" t="str">
        <f>IF(IFERROR((COUNTIFS(Таблица2[1],B313,Таблица2[K],"K")+SUMIFS(Таблица2[R],Таблица2[1],B313,Таблица2[K],"K"))/D313*100,"-")=0,"-",IFERROR((COUNTIFS(Таблица2[1],B313,Таблица2[K],"K")+SUMIFS(Таблица2[R],Таблица2[1],B313,Таблица2[K],"K"))/D313*100,"-"))</f>
        <v>-</v>
      </c>
      <c r="J313" s="77" t="str">
        <f>IF(IFERROR((COUNTIFS(Таблица2[1],B313,Таблица2[T],"t")+SUMIFS(Таблица2[R],Таблица2[1],B313,Таблица2[T],"t"))/D313*100,"-")=0,"-",IFERROR((COUNTIFS(Таблица2[1],B313,Таблица2[T],"t")+SUMIFS(Таблица2[R],Таблица2[1],B313,Таблица2[T],"t"))/D313*100,"-"))</f>
        <v>-</v>
      </c>
      <c r="K313" s="76" t="str">
        <f>IF(SUMIFS(Таблица2[KO$],Таблица2[1],B313)=0,"-",SUMIFS(Таблица2[KO$],Таблица2[1],B313))</f>
        <v>-</v>
      </c>
      <c r="L313" s="76" t="str">
        <f>IF(SUMIFS(Таблица2[WIN$],Таблица2[1],B313)=0,"-",SUMIFS(Таблица2[WIN$],Таблица2[1],B313))</f>
        <v>-</v>
      </c>
      <c r="M313" s="76" t="str">
        <f t="shared" si="19"/>
        <v>-</v>
      </c>
      <c r="N313" s="78" t="str">
        <f>IFERROR(Таблица46[[#This Row],[PROF]]/Таблица46[[#This Row],[Games]],"-")</f>
        <v>-</v>
      </c>
    </row>
    <row r="314" spans="1:14" ht="11.1" customHeight="1" x14ac:dyDescent="0.25">
      <c r="A314" s="93">
        <f t="shared" si="17"/>
        <v>228</v>
      </c>
      <c r="D314" s="117" t="str">
        <f>IF(COUNTIFS(Таблица2[1],B314)+SUMIFS(Таблица2[R],Таблица2[1],B314)=0,"",COUNTIFS(Таблица2[1],B314)+SUMIFS(Таблица2[R],Таблица2[1],B314))</f>
        <v/>
      </c>
      <c r="E314" s="76" t="str">
        <f>IF(SUMIFS(Таблица2[B$],Таблица2[1],B314)=0,"-",SUMIFS(Таблица2[B$],Таблица2[1],B314))</f>
        <v>-</v>
      </c>
      <c r="F314" s="77" t="str">
        <f>IFERROR(AVERAGEIFS(Таблица2[AFS],Таблица2[1],B314)+(AVERAGEIFS(Таблица2[AFS],Таблица2[1],B314)*0.2),"-")</f>
        <v>-</v>
      </c>
      <c r="G314" s="77" t="str">
        <f t="shared" si="18"/>
        <v>-</v>
      </c>
      <c r="H314" s="77" t="str">
        <f>IFERROR(COUNTIFS(Таблица2[1],B314,Таблица2[WIN$],"&gt;0")/D314*100,"-")</f>
        <v>-</v>
      </c>
      <c r="I314" s="77" t="str">
        <f>IF(IFERROR((COUNTIFS(Таблица2[1],B314,Таблица2[K],"K")+SUMIFS(Таблица2[R],Таблица2[1],B314,Таблица2[K],"K"))/D314*100,"-")=0,"-",IFERROR((COUNTIFS(Таблица2[1],B314,Таблица2[K],"K")+SUMIFS(Таблица2[R],Таблица2[1],B314,Таблица2[K],"K"))/D314*100,"-"))</f>
        <v>-</v>
      </c>
      <c r="J314" s="77" t="str">
        <f>IF(IFERROR((COUNTIFS(Таблица2[1],B314,Таблица2[T],"t")+SUMIFS(Таблица2[R],Таблица2[1],B314,Таблица2[T],"t"))/D314*100,"-")=0,"-",IFERROR((COUNTIFS(Таблица2[1],B314,Таблица2[T],"t")+SUMIFS(Таблица2[R],Таблица2[1],B314,Таблица2[T],"t"))/D314*100,"-"))</f>
        <v>-</v>
      </c>
      <c r="K314" s="76" t="str">
        <f>IF(SUMIFS(Таблица2[KO$],Таблица2[1],B314)=0,"-",SUMIFS(Таблица2[KO$],Таблица2[1],B314))</f>
        <v>-</v>
      </c>
      <c r="L314" s="76" t="str">
        <f>IF(SUMIFS(Таблица2[WIN$],Таблица2[1],B314)=0,"-",SUMIFS(Таблица2[WIN$],Таблица2[1],B314))</f>
        <v>-</v>
      </c>
      <c r="M314" s="76" t="str">
        <f t="shared" si="19"/>
        <v>-</v>
      </c>
      <c r="N314" s="78" t="str">
        <f>IFERROR(Таблица46[[#This Row],[PROF]]/Таблица46[[#This Row],[Games]],"-")</f>
        <v>-</v>
      </c>
    </row>
    <row r="315" spans="1:14" ht="11.1" customHeight="1" x14ac:dyDescent="0.25">
      <c r="A315" s="93">
        <f t="shared" si="17"/>
        <v>229</v>
      </c>
      <c r="D315" s="117" t="str">
        <f>IF(COUNTIFS(Таблица2[1],B315)+SUMIFS(Таблица2[R],Таблица2[1],B315)=0,"",COUNTIFS(Таблица2[1],B315)+SUMIFS(Таблица2[R],Таблица2[1],B315))</f>
        <v/>
      </c>
      <c r="E315" s="76" t="str">
        <f>IF(SUMIFS(Таблица2[B$],Таблица2[1],B315)=0,"-",SUMIFS(Таблица2[B$],Таблица2[1],B315))</f>
        <v>-</v>
      </c>
      <c r="F315" s="77" t="str">
        <f>IFERROR(AVERAGEIFS(Таблица2[AFS],Таблица2[1],B315)+(AVERAGEIFS(Таблица2[AFS],Таблица2[1],B315)*0.2),"-")</f>
        <v>-</v>
      </c>
      <c r="G315" s="77" t="str">
        <f t="shared" si="18"/>
        <v>-</v>
      </c>
      <c r="H315" s="77" t="str">
        <f>IFERROR(COUNTIFS(Таблица2[1],B315,Таблица2[WIN$],"&gt;0")/D315*100,"-")</f>
        <v>-</v>
      </c>
      <c r="I315" s="77" t="str">
        <f>IF(IFERROR((COUNTIFS(Таблица2[1],B315,Таблица2[K],"K")+SUMIFS(Таблица2[R],Таблица2[1],B315,Таблица2[K],"K"))/D315*100,"-")=0,"-",IFERROR((COUNTIFS(Таблица2[1],B315,Таблица2[K],"K")+SUMIFS(Таблица2[R],Таблица2[1],B315,Таблица2[K],"K"))/D315*100,"-"))</f>
        <v>-</v>
      </c>
      <c r="J315" s="77" t="str">
        <f>IF(IFERROR((COUNTIFS(Таблица2[1],B315,Таблица2[T],"t")+SUMIFS(Таблица2[R],Таблица2[1],B315,Таблица2[T],"t"))/D315*100,"-")=0,"-",IFERROR((COUNTIFS(Таблица2[1],B315,Таблица2[T],"t")+SUMIFS(Таблица2[R],Таблица2[1],B315,Таблица2[T],"t"))/D315*100,"-"))</f>
        <v>-</v>
      </c>
      <c r="K315" s="76" t="str">
        <f>IF(SUMIFS(Таблица2[KO$],Таблица2[1],B315)=0,"-",SUMIFS(Таблица2[KO$],Таблица2[1],B315))</f>
        <v>-</v>
      </c>
      <c r="L315" s="76" t="str">
        <f>IF(SUMIFS(Таблица2[WIN$],Таблица2[1],B315)=0,"-",SUMIFS(Таблица2[WIN$],Таблица2[1],B315))</f>
        <v>-</v>
      </c>
      <c r="M315" s="76" t="str">
        <f t="shared" si="19"/>
        <v>-</v>
      </c>
      <c r="N315" s="78" t="str">
        <f>IFERROR(Таблица46[[#This Row],[PROF]]/Таблица46[[#This Row],[Games]],"-")</f>
        <v>-</v>
      </c>
    </row>
    <row r="316" spans="1:14" ht="11.1" customHeight="1" x14ac:dyDescent="0.25">
      <c r="A316" s="93">
        <f t="shared" si="17"/>
        <v>230</v>
      </c>
      <c r="D316" s="117" t="str">
        <f>IF(COUNTIFS(Таблица2[1],B316)+SUMIFS(Таблица2[R],Таблица2[1],B316)=0,"",COUNTIFS(Таблица2[1],B316)+SUMIFS(Таблица2[R],Таблица2[1],B316))</f>
        <v/>
      </c>
      <c r="E316" s="76" t="str">
        <f>IF(SUMIFS(Таблица2[B$],Таблица2[1],B316)=0,"-",SUMIFS(Таблица2[B$],Таблица2[1],B316))</f>
        <v>-</v>
      </c>
      <c r="F316" s="77" t="str">
        <f>IFERROR(AVERAGEIFS(Таблица2[AFS],Таблица2[1],B316)+(AVERAGEIFS(Таблица2[AFS],Таблица2[1],B316)*0.2),"-")</f>
        <v>-</v>
      </c>
      <c r="G316" s="77" t="str">
        <f t="shared" si="18"/>
        <v>-</v>
      </c>
      <c r="H316" s="77" t="str">
        <f>IFERROR(COUNTIFS(Таблица2[1],B316,Таблица2[WIN$],"&gt;0")/D316*100,"-")</f>
        <v>-</v>
      </c>
      <c r="I316" s="77" t="str">
        <f>IF(IFERROR((COUNTIFS(Таблица2[1],B316,Таблица2[K],"K")+SUMIFS(Таблица2[R],Таблица2[1],B316,Таблица2[K],"K"))/D316*100,"-")=0,"-",IFERROR((COUNTIFS(Таблица2[1],B316,Таблица2[K],"K")+SUMIFS(Таблица2[R],Таблица2[1],B316,Таблица2[K],"K"))/D316*100,"-"))</f>
        <v>-</v>
      </c>
      <c r="J316" s="77" t="str">
        <f>IF(IFERROR((COUNTIFS(Таблица2[1],B316,Таблица2[T],"t")+SUMIFS(Таблица2[R],Таблица2[1],B316,Таблица2[T],"t"))/D316*100,"-")=0,"-",IFERROR((COUNTIFS(Таблица2[1],B316,Таблица2[T],"t")+SUMIFS(Таблица2[R],Таблица2[1],B316,Таблица2[T],"t"))/D316*100,"-"))</f>
        <v>-</v>
      </c>
      <c r="K316" s="76" t="str">
        <f>IF(SUMIFS(Таблица2[KO$],Таблица2[1],B316)=0,"-",SUMIFS(Таблица2[KO$],Таблица2[1],B316))</f>
        <v>-</v>
      </c>
      <c r="L316" s="76" t="str">
        <f>IF(SUMIFS(Таблица2[WIN$],Таблица2[1],B316)=0,"-",SUMIFS(Таблица2[WIN$],Таблица2[1],B316))</f>
        <v>-</v>
      </c>
      <c r="M316" s="76" t="str">
        <f t="shared" si="19"/>
        <v>-</v>
      </c>
      <c r="N316" s="78" t="str">
        <f>IFERROR(Таблица46[[#This Row],[PROF]]/Таблица46[[#This Row],[Games]],"-")</f>
        <v>-</v>
      </c>
    </row>
    <row r="317" spans="1:14" ht="11.1" customHeight="1" x14ac:dyDescent="0.25">
      <c r="A317" s="93">
        <f t="shared" si="17"/>
        <v>231</v>
      </c>
      <c r="D317" s="117" t="str">
        <f>IF(COUNTIFS(Таблица2[1],B317)+SUMIFS(Таблица2[R],Таблица2[1],B317)=0,"",COUNTIFS(Таблица2[1],B317)+SUMIFS(Таблица2[R],Таблица2[1],B317))</f>
        <v/>
      </c>
      <c r="E317" s="76" t="str">
        <f>IF(SUMIFS(Таблица2[B$],Таблица2[1],B317)=0,"-",SUMIFS(Таблица2[B$],Таблица2[1],B317))</f>
        <v>-</v>
      </c>
      <c r="F317" s="77" t="str">
        <f>IFERROR(AVERAGEIFS(Таблица2[AFS],Таблица2[1],B317)+(AVERAGEIFS(Таблица2[AFS],Таблица2[1],B317)*0.2),"-")</f>
        <v>-</v>
      </c>
      <c r="G317" s="77" t="str">
        <f t="shared" si="18"/>
        <v>-</v>
      </c>
      <c r="H317" s="77" t="str">
        <f>IFERROR(COUNTIFS(Таблица2[1],B317,Таблица2[WIN$],"&gt;0")/D317*100,"-")</f>
        <v>-</v>
      </c>
      <c r="I317" s="77" t="str">
        <f>IF(IFERROR((COUNTIFS(Таблица2[1],B317,Таблица2[K],"K")+SUMIFS(Таблица2[R],Таблица2[1],B317,Таблица2[K],"K"))/D317*100,"-")=0,"-",IFERROR((COUNTIFS(Таблица2[1],B317,Таблица2[K],"K")+SUMIFS(Таблица2[R],Таблица2[1],B317,Таблица2[K],"K"))/D317*100,"-"))</f>
        <v>-</v>
      </c>
      <c r="J317" s="77" t="str">
        <f>IF(IFERROR((COUNTIFS(Таблица2[1],B317,Таблица2[T],"t")+SUMIFS(Таблица2[R],Таблица2[1],B317,Таблица2[T],"t"))/D317*100,"-")=0,"-",IFERROR((COUNTIFS(Таблица2[1],B317,Таблица2[T],"t")+SUMIFS(Таблица2[R],Таблица2[1],B317,Таблица2[T],"t"))/D317*100,"-"))</f>
        <v>-</v>
      </c>
      <c r="K317" s="76" t="str">
        <f>IF(SUMIFS(Таблица2[KO$],Таблица2[1],B317)=0,"-",SUMIFS(Таблица2[KO$],Таблица2[1],B317))</f>
        <v>-</v>
      </c>
      <c r="L317" s="76" t="str">
        <f>IF(SUMIFS(Таблица2[WIN$],Таблица2[1],B317)=0,"-",SUMIFS(Таблица2[WIN$],Таблица2[1],B317))</f>
        <v>-</v>
      </c>
      <c r="M317" s="76" t="str">
        <f t="shared" si="19"/>
        <v>-</v>
      </c>
      <c r="N317" s="78" t="str">
        <f>IFERROR(Таблица46[[#This Row],[PROF]]/Таблица46[[#This Row],[Games]],"-")</f>
        <v>-</v>
      </c>
    </row>
    <row r="318" spans="1:14" ht="11.1" customHeight="1" x14ac:dyDescent="0.25">
      <c r="A318" s="93">
        <f t="shared" si="17"/>
        <v>232</v>
      </c>
      <c r="D318" s="117" t="str">
        <f>IF(COUNTIFS(Таблица2[1],B318)+SUMIFS(Таблица2[R],Таблица2[1],B318)=0,"",COUNTIFS(Таблица2[1],B318)+SUMIFS(Таблица2[R],Таблица2[1],B318))</f>
        <v/>
      </c>
      <c r="E318" s="76" t="str">
        <f>IF(SUMIFS(Таблица2[B$],Таблица2[1],B318)=0,"-",SUMIFS(Таблица2[B$],Таблица2[1],B318))</f>
        <v>-</v>
      </c>
      <c r="F318" s="77" t="str">
        <f>IFERROR(AVERAGEIFS(Таблица2[AFS],Таблица2[1],B318)+(AVERAGEIFS(Таблица2[AFS],Таблица2[1],B318)*0.2),"-")</f>
        <v>-</v>
      </c>
      <c r="G318" s="77" t="str">
        <f t="shared" si="18"/>
        <v>-</v>
      </c>
      <c r="H318" s="77" t="str">
        <f>IFERROR(COUNTIFS(Таблица2[1],B318,Таблица2[WIN$],"&gt;0")/D318*100,"-")</f>
        <v>-</v>
      </c>
      <c r="I318" s="77" t="str">
        <f>IF(IFERROR((COUNTIFS(Таблица2[1],B318,Таблица2[K],"K")+SUMIFS(Таблица2[R],Таблица2[1],B318,Таблица2[K],"K"))/D318*100,"-")=0,"-",IFERROR((COUNTIFS(Таблица2[1],B318,Таблица2[K],"K")+SUMIFS(Таблица2[R],Таблица2[1],B318,Таблица2[K],"K"))/D318*100,"-"))</f>
        <v>-</v>
      </c>
      <c r="J318" s="77" t="str">
        <f>IF(IFERROR((COUNTIFS(Таблица2[1],B318,Таблица2[T],"t")+SUMIFS(Таблица2[R],Таблица2[1],B318,Таблица2[T],"t"))/D318*100,"-")=0,"-",IFERROR((COUNTIFS(Таблица2[1],B318,Таблица2[T],"t")+SUMIFS(Таблица2[R],Таблица2[1],B318,Таблица2[T],"t"))/D318*100,"-"))</f>
        <v>-</v>
      </c>
      <c r="K318" s="76" t="str">
        <f>IF(SUMIFS(Таблица2[KO$],Таблица2[1],B318)=0,"-",SUMIFS(Таблица2[KO$],Таблица2[1],B318))</f>
        <v>-</v>
      </c>
      <c r="L318" s="76" t="str">
        <f>IF(SUMIFS(Таблица2[WIN$],Таблица2[1],B318)=0,"-",SUMIFS(Таблица2[WIN$],Таблица2[1],B318))</f>
        <v>-</v>
      </c>
      <c r="M318" s="76" t="str">
        <f t="shared" si="19"/>
        <v>-</v>
      </c>
      <c r="N318" s="78" t="str">
        <f>IFERROR(Таблица46[[#This Row],[PROF]]/Таблица46[[#This Row],[Games]],"-")</f>
        <v>-</v>
      </c>
    </row>
    <row r="319" spans="1:14" ht="11.1" customHeight="1" x14ac:dyDescent="0.25">
      <c r="A319" s="93">
        <f t="shared" si="17"/>
        <v>233</v>
      </c>
      <c r="D319" s="117" t="str">
        <f>IF(COUNTIFS(Таблица2[1],B319)+SUMIFS(Таблица2[R],Таблица2[1],B319)=0,"",COUNTIFS(Таблица2[1],B319)+SUMIFS(Таблица2[R],Таблица2[1],B319))</f>
        <v/>
      </c>
      <c r="E319" s="76" t="str">
        <f>IF(SUMIFS(Таблица2[B$],Таблица2[1],B319)=0,"-",SUMIFS(Таблица2[B$],Таблица2[1],B319))</f>
        <v>-</v>
      </c>
      <c r="F319" s="77" t="str">
        <f>IFERROR(AVERAGEIFS(Таблица2[AFS],Таблица2[1],B319)+(AVERAGEIFS(Таблица2[AFS],Таблица2[1],B319)*0.2),"-")</f>
        <v>-</v>
      </c>
      <c r="G319" s="77" t="str">
        <f t="shared" ref="G319:G350" si="20">IFERROR(M319/E319*100,"-")</f>
        <v>-</v>
      </c>
      <c r="H319" s="77" t="str">
        <f>IFERROR(COUNTIFS(Таблица2[1],B319,Таблица2[WIN$],"&gt;0")/D319*100,"-")</f>
        <v>-</v>
      </c>
      <c r="I319" s="77" t="str">
        <f>IF(IFERROR((COUNTIFS(Таблица2[1],B319,Таблица2[K],"K")+SUMIFS(Таблица2[R],Таблица2[1],B319,Таблица2[K],"K"))/D319*100,"-")=0,"-",IFERROR((COUNTIFS(Таблица2[1],B319,Таблица2[K],"K")+SUMIFS(Таблица2[R],Таблица2[1],B319,Таблица2[K],"K"))/D319*100,"-"))</f>
        <v>-</v>
      </c>
      <c r="J319" s="77" t="str">
        <f>IF(IFERROR((COUNTIFS(Таблица2[1],B319,Таблица2[T],"t")+SUMIFS(Таблица2[R],Таблица2[1],B319,Таблица2[T],"t"))/D319*100,"-")=0,"-",IFERROR((COUNTIFS(Таблица2[1],B319,Таблица2[T],"t")+SUMIFS(Таблица2[R],Таблица2[1],B319,Таблица2[T],"t"))/D319*100,"-"))</f>
        <v>-</v>
      </c>
      <c r="K319" s="76" t="str">
        <f>IF(SUMIFS(Таблица2[KO$],Таблица2[1],B319)=0,"-",SUMIFS(Таблица2[KO$],Таблица2[1],B319))</f>
        <v>-</v>
      </c>
      <c r="L319" s="76" t="str">
        <f>IF(SUMIFS(Таблица2[WIN$],Таблица2[1],B319)=0,"-",SUMIFS(Таблица2[WIN$],Таблица2[1],B319))</f>
        <v>-</v>
      </c>
      <c r="M319" s="76" t="str">
        <f t="shared" ref="M319:M350" si="21">IFERROR(IF(L319="-",0,L319)+IF(K319="-",0,K319)-E319,"-")</f>
        <v>-</v>
      </c>
      <c r="N319" s="78" t="str">
        <f>IFERROR(Таблица46[[#This Row],[PROF]]/Таблица46[[#This Row],[Games]],"-")</f>
        <v>-</v>
      </c>
    </row>
    <row r="320" spans="1:14" ht="11.1" customHeight="1" x14ac:dyDescent="0.25">
      <c r="A320" s="93">
        <f t="shared" si="17"/>
        <v>234</v>
      </c>
      <c r="D320" s="117" t="str">
        <f>IF(COUNTIFS(Таблица2[1],B320)+SUMIFS(Таблица2[R],Таблица2[1],B320)=0,"",COUNTIFS(Таблица2[1],B320)+SUMIFS(Таблица2[R],Таблица2[1],B320))</f>
        <v/>
      </c>
      <c r="E320" s="76" t="str">
        <f>IF(SUMIFS(Таблица2[B$],Таблица2[1],B320)=0,"-",SUMIFS(Таблица2[B$],Таблица2[1],B320))</f>
        <v>-</v>
      </c>
      <c r="F320" s="77" t="str">
        <f>IFERROR(AVERAGEIFS(Таблица2[AFS],Таблица2[1],B320)+(AVERAGEIFS(Таблица2[AFS],Таблица2[1],B320)*0.2),"-")</f>
        <v>-</v>
      </c>
      <c r="G320" s="77" t="str">
        <f t="shared" si="20"/>
        <v>-</v>
      </c>
      <c r="H320" s="77" t="str">
        <f>IFERROR(COUNTIFS(Таблица2[1],B320,Таблица2[WIN$],"&gt;0")/D320*100,"-")</f>
        <v>-</v>
      </c>
      <c r="I320" s="77" t="str">
        <f>IF(IFERROR((COUNTIFS(Таблица2[1],B320,Таблица2[K],"K")+SUMIFS(Таблица2[R],Таблица2[1],B320,Таблица2[K],"K"))/D320*100,"-")=0,"-",IFERROR((COUNTIFS(Таблица2[1],B320,Таблица2[K],"K")+SUMIFS(Таблица2[R],Таблица2[1],B320,Таблица2[K],"K"))/D320*100,"-"))</f>
        <v>-</v>
      </c>
      <c r="J320" s="77" t="str">
        <f>IF(IFERROR((COUNTIFS(Таблица2[1],B320,Таблица2[T],"t")+SUMIFS(Таблица2[R],Таблица2[1],B320,Таблица2[T],"t"))/D320*100,"-")=0,"-",IFERROR((COUNTIFS(Таблица2[1],B320,Таблица2[T],"t")+SUMIFS(Таблица2[R],Таблица2[1],B320,Таблица2[T],"t"))/D320*100,"-"))</f>
        <v>-</v>
      </c>
      <c r="K320" s="76" t="str">
        <f>IF(SUMIFS(Таблица2[KO$],Таблица2[1],B320)=0,"-",SUMIFS(Таблица2[KO$],Таблица2[1],B320))</f>
        <v>-</v>
      </c>
      <c r="L320" s="76" t="str">
        <f>IF(SUMIFS(Таблица2[WIN$],Таблица2[1],B320)=0,"-",SUMIFS(Таблица2[WIN$],Таблица2[1],B320))</f>
        <v>-</v>
      </c>
      <c r="M320" s="76" t="str">
        <f t="shared" si="21"/>
        <v>-</v>
      </c>
      <c r="N320" s="78" t="str">
        <f>IFERROR(Таблица46[[#This Row],[PROF]]/Таблица46[[#This Row],[Games]],"-")</f>
        <v>-</v>
      </c>
    </row>
    <row r="321" spans="1:14" ht="11.1" customHeight="1" x14ac:dyDescent="0.25">
      <c r="A321" s="93">
        <f t="shared" si="17"/>
        <v>235</v>
      </c>
      <c r="D321" s="117" t="str">
        <f>IF(COUNTIFS(Таблица2[1],B321)+SUMIFS(Таблица2[R],Таблица2[1],B321)=0,"",COUNTIFS(Таблица2[1],B321)+SUMIFS(Таблица2[R],Таблица2[1],B321))</f>
        <v/>
      </c>
      <c r="E321" s="76" t="str">
        <f>IF(SUMIFS(Таблица2[B$],Таблица2[1],B321)=0,"-",SUMIFS(Таблица2[B$],Таблица2[1],B321))</f>
        <v>-</v>
      </c>
      <c r="F321" s="77" t="str">
        <f>IFERROR(AVERAGEIFS(Таблица2[AFS],Таблица2[1],B321)+(AVERAGEIFS(Таблица2[AFS],Таблица2[1],B321)*0.2),"-")</f>
        <v>-</v>
      </c>
      <c r="G321" s="77" t="str">
        <f t="shared" si="20"/>
        <v>-</v>
      </c>
      <c r="H321" s="77" t="str">
        <f>IFERROR(COUNTIFS(Таблица2[1],B321,Таблица2[WIN$],"&gt;0")/D321*100,"-")</f>
        <v>-</v>
      </c>
      <c r="I321" s="77" t="str">
        <f>IF(IFERROR((COUNTIFS(Таблица2[1],B321,Таблица2[K],"K")+SUMIFS(Таблица2[R],Таблица2[1],B321,Таблица2[K],"K"))/D321*100,"-")=0,"-",IFERROR((COUNTIFS(Таблица2[1],B321,Таблица2[K],"K")+SUMIFS(Таблица2[R],Таблица2[1],B321,Таблица2[K],"K"))/D321*100,"-"))</f>
        <v>-</v>
      </c>
      <c r="J321" s="77" t="str">
        <f>IF(IFERROR((COUNTIFS(Таблица2[1],B321,Таблица2[T],"t")+SUMIFS(Таблица2[R],Таблица2[1],B321,Таблица2[T],"t"))/D321*100,"-")=0,"-",IFERROR((COUNTIFS(Таблица2[1],B321,Таблица2[T],"t")+SUMIFS(Таблица2[R],Таблица2[1],B321,Таблица2[T],"t"))/D321*100,"-"))</f>
        <v>-</v>
      </c>
      <c r="K321" s="76" t="str">
        <f>IF(SUMIFS(Таблица2[KO$],Таблица2[1],B321)=0,"-",SUMIFS(Таблица2[KO$],Таблица2[1],B321))</f>
        <v>-</v>
      </c>
      <c r="L321" s="76" t="str">
        <f>IF(SUMIFS(Таблица2[WIN$],Таблица2[1],B321)=0,"-",SUMIFS(Таблица2[WIN$],Таблица2[1],B321))</f>
        <v>-</v>
      </c>
      <c r="M321" s="76" t="str">
        <f t="shared" si="21"/>
        <v>-</v>
      </c>
      <c r="N321" s="78" t="str">
        <f>IFERROR(Таблица46[[#This Row],[PROF]]/Таблица46[[#This Row],[Games]],"-")</f>
        <v>-</v>
      </c>
    </row>
    <row r="322" spans="1:14" ht="11.1" customHeight="1" x14ac:dyDescent="0.25">
      <c r="A322" s="93">
        <f t="shared" si="17"/>
        <v>236</v>
      </c>
      <c r="D322" s="117" t="str">
        <f>IF(COUNTIFS(Таблица2[1],B322)+SUMIFS(Таблица2[R],Таблица2[1],B322)=0,"",COUNTIFS(Таблица2[1],B322)+SUMIFS(Таблица2[R],Таблица2[1],B322))</f>
        <v/>
      </c>
      <c r="E322" s="76" t="str">
        <f>IF(SUMIFS(Таблица2[B$],Таблица2[1],B322)=0,"-",SUMIFS(Таблица2[B$],Таблица2[1],B322))</f>
        <v>-</v>
      </c>
      <c r="F322" s="77" t="str">
        <f>IFERROR(AVERAGEIFS(Таблица2[AFS],Таблица2[1],B322)+(AVERAGEIFS(Таблица2[AFS],Таблица2[1],B322)*0.2),"-")</f>
        <v>-</v>
      </c>
      <c r="G322" s="77" t="str">
        <f t="shared" si="20"/>
        <v>-</v>
      </c>
      <c r="H322" s="77" t="str">
        <f>IFERROR(COUNTIFS(Таблица2[1],B322,Таблица2[WIN$],"&gt;0")/D322*100,"-")</f>
        <v>-</v>
      </c>
      <c r="I322" s="77" t="str">
        <f>IF(IFERROR((COUNTIFS(Таблица2[1],B322,Таблица2[K],"K")+SUMIFS(Таблица2[R],Таблица2[1],B322,Таблица2[K],"K"))/D322*100,"-")=0,"-",IFERROR((COUNTIFS(Таблица2[1],B322,Таблица2[K],"K")+SUMIFS(Таблица2[R],Таблица2[1],B322,Таблица2[K],"K"))/D322*100,"-"))</f>
        <v>-</v>
      </c>
      <c r="J322" s="77" t="str">
        <f>IF(IFERROR((COUNTIFS(Таблица2[1],B322,Таблица2[T],"t")+SUMIFS(Таблица2[R],Таблица2[1],B322,Таблица2[T],"t"))/D322*100,"-")=0,"-",IFERROR((COUNTIFS(Таблица2[1],B322,Таблица2[T],"t")+SUMIFS(Таблица2[R],Таблица2[1],B322,Таблица2[T],"t"))/D322*100,"-"))</f>
        <v>-</v>
      </c>
      <c r="K322" s="76" t="str">
        <f>IF(SUMIFS(Таблица2[KO$],Таблица2[1],B322)=0,"-",SUMIFS(Таблица2[KO$],Таблица2[1],B322))</f>
        <v>-</v>
      </c>
      <c r="L322" s="76" t="str">
        <f>IF(SUMIFS(Таблица2[WIN$],Таблица2[1],B322)=0,"-",SUMIFS(Таблица2[WIN$],Таблица2[1],B322))</f>
        <v>-</v>
      </c>
      <c r="M322" s="76" t="str">
        <f t="shared" si="21"/>
        <v>-</v>
      </c>
      <c r="N322" s="78" t="str">
        <f>IFERROR(Таблица46[[#This Row],[PROF]]/Таблица46[[#This Row],[Games]],"-")</f>
        <v>-</v>
      </c>
    </row>
    <row r="323" spans="1:14" ht="11.1" customHeight="1" x14ac:dyDescent="0.25">
      <c r="A323" s="93">
        <f t="shared" si="17"/>
        <v>237</v>
      </c>
      <c r="D323" s="117" t="str">
        <f>IF(COUNTIFS(Таблица2[1],B323)+SUMIFS(Таблица2[R],Таблица2[1],B323)=0,"",COUNTIFS(Таблица2[1],B323)+SUMIFS(Таблица2[R],Таблица2[1],B323))</f>
        <v/>
      </c>
      <c r="E323" s="76" t="str">
        <f>IF(SUMIFS(Таблица2[B$],Таблица2[1],B323)=0,"-",SUMIFS(Таблица2[B$],Таблица2[1],B323))</f>
        <v>-</v>
      </c>
      <c r="F323" s="77" t="str">
        <f>IFERROR(AVERAGEIFS(Таблица2[AFS],Таблица2[1],B323)+(AVERAGEIFS(Таблица2[AFS],Таблица2[1],B323)*0.2),"-")</f>
        <v>-</v>
      </c>
      <c r="G323" s="77" t="str">
        <f t="shared" si="20"/>
        <v>-</v>
      </c>
      <c r="H323" s="77" t="str">
        <f>IFERROR(COUNTIFS(Таблица2[1],B323,Таблица2[WIN$],"&gt;0")/D323*100,"-")</f>
        <v>-</v>
      </c>
      <c r="I323" s="77" t="str">
        <f>IF(IFERROR((COUNTIFS(Таблица2[1],B323,Таблица2[K],"K")+SUMIFS(Таблица2[R],Таблица2[1],B323,Таблица2[K],"K"))/D323*100,"-")=0,"-",IFERROR((COUNTIFS(Таблица2[1],B323,Таблица2[K],"K")+SUMIFS(Таблица2[R],Таблица2[1],B323,Таблица2[K],"K"))/D323*100,"-"))</f>
        <v>-</v>
      </c>
      <c r="J323" s="77" t="str">
        <f>IF(IFERROR((COUNTIFS(Таблица2[1],B323,Таблица2[T],"t")+SUMIFS(Таблица2[R],Таблица2[1],B323,Таблица2[T],"t"))/D323*100,"-")=0,"-",IFERROR((COUNTIFS(Таблица2[1],B323,Таблица2[T],"t")+SUMIFS(Таблица2[R],Таблица2[1],B323,Таблица2[T],"t"))/D323*100,"-"))</f>
        <v>-</v>
      </c>
      <c r="K323" s="76" t="str">
        <f>IF(SUMIFS(Таблица2[KO$],Таблица2[1],B323)=0,"-",SUMIFS(Таблица2[KO$],Таблица2[1],B323))</f>
        <v>-</v>
      </c>
      <c r="L323" s="76" t="str">
        <f>IF(SUMIFS(Таблица2[WIN$],Таблица2[1],B323)=0,"-",SUMIFS(Таблица2[WIN$],Таблица2[1],B323))</f>
        <v>-</v>
      </c>
      <c r="M323" s="76" t="str">
        <f t="shared" si="21"/>
        <v>-</v>
      </c>
      <c r="N323" s="78" t="str">
        <f>IFERROR(Таблица46[[#This Row],[PROF]]/Таблица46[[#This Row],[Games]],"-")</f>
        <v>-</v>
      </c>
    </row>
    <row r="324" spans="1:14" ht="11.1" customHeight="1" x14ac:dyDescent="0.25">
      <c r="A324" s="93">
        <f t="shared" si="17"/>
        <v>238</v>
      </c>
      <c r="D324" s="117" t="str">
        <f>IF(COUNTIFS(Таблица2[1],B324)+SUMIFS(Таблица2[R],Таблица2[1],B324)=0,"",COUNTIFS(Таблица2[1],B324)+SUMIFS(Таблица2[R],Таблица2[1],B324))</f>
        <v/>
      </c>
      <c r="E324" s="76" t="str">
        <f>IF(SUMIFS(Таблица2[B$],Таблица2[1],B324)=0,"-",SUMIFS(Таблица2[B$],Таблица2[1],B324))</f>
        <v>-</v>
      </c>
      <c r="F324" s="77" t="str">
        <f>IFERROR(AVERAGEIFS(Таблица2[AFS],Таблица2[1],B324)+(AVERAGEIFS(Таблица2[AFS],Таблица2[1],B324)*0.2),"-")</f>
        <v>-</v>
      </c>
      <c r="G324" s="77" t="str">
        <f t="shared" si="20"/>
        <v>-</v>
      </c>
      <c r="H324" s="77" t="str">
        <f>IFERROR(COUNTIFS(Таблица2[1],B324,Таблица2[WIN$],"&gt;0")/D324*100,"-")</f>
        <v>-</v>
      </c>
      <c r="I324" s="77" t="str">
        <f>IF(IFERROR((COUNTIFS(Таблица2[1],B324,Таблица2[K],"K")+SUMIFS(Таблица2[R],Таблица2[1],B324,Таблица2[K],"K"))/D324*100,"-")=0,"-",IFERROR((COUNTIFS(Таблица2[1],B324,Таблица2[K],"K")+SUMIFS(Таблица2[R],Таблица2[1],B324,Таблица2[K],"K"))/D324*100,"-"))</f>
        <v>-</v>
      </c>
      <c r="J324" s="77" t="str">
        <f>IF(IFERROR((COUNTIFS(Таблица2[1],B324,Таблица2[T],"t")+SUMIFS(Таблица2[R],Таблица2[1],B324,Таблица2[T],"t"))/D324*100,"-")=0,"-",IFERROR((COUNTIFS(Таблица2[1],B324,Таблица2[T],"t")+SUMIFS(Таблица2[R],Таблица2[1],B324,Таблица2[T],"t"))/D324*100,"-"))</f>
        <v>-</v>
      </c>
      <c r="K324" s="76" t="str">
        <f>IF(SUMIFS(Таблица2[KO$],Таблица2[1],B324)=0,"-",SUMIFS(Таблица2[KO$],Таблица2[1],B324))</f>
        <v>-</v>
      </c>
      <c r="L324" s="76" t="str">
        <f>IF(SUMIFS(Таблица2[WIN$],Таблица2[1],B324)=0,"-",SUMIFS(Таблица2[WIN$],Таблица2[1],B324))</f>
        <v>-</v>
      </c>
      <c r="M324" s="76" t="str">
        <f t="shared" si="21"/>
        <v>-</v>
      </c>
      <c r="N324" s="78" t="str">
        <f>IFERROR(Таблица46[[#This Row],[PROF]]/Таблица46[[#This Row],[Games]],"-")</f>
        <v>-</v>
      </c>
    </row>
    <row r="325" spans="1:14" ht="11.1" customHeight="1" x14ac:dyDescent="0.25">
      <c r="A325" s="93">
        <f t="shared" si="17"/>
        <v>239</v>
      </c>
      <c r="D325" s="117" t="str">
        <f>IF(COUNTIFS(Таблица2[1],B325)+SUMIFS(Таблица2[R],Таблица2[1],B325)=0,"",COUNTIFS(Таблица2[1],B325)+SUMIFS(Таблица2[R],Таблица2[1],B325))</f>
        <v/>
      </c>
      <c r="E325" s="76" t="str">
        <f>IF(SUMIFS(Таблица2[B$],Таблица2[1],B325)=0,"-",SUMIFS(Таблица2[B$],Таблица2[1],B325))</f>
        <v>-</v>
      </c>
      <c r="F325" s="77" t="str">
        <f>IFERROR(AVERAGEIFS(Таблица2[AFS],Таблица2[1],B325)+(AVERAGEIFS(Таблица2[AFS],Таблица2[1],B325)*0.2),"-")</f>
        <v>-</v>
      </c>
      <c r="G325" s="77" t="str">
        <f t="shared" si="20"/>
        <v>-</v>
      </c>
      <c r="H325" s="77" t="str">
        <f>IFERROR(COUNTIFS(Таблица2[1],B325,Таблица2[WIN$],"&gt;0")/D325*100,"-")</f>
        <v>-</v>
      </c>
      <c r="I325" s="77" t="str">
        <f>IF(IFERROR((COUNTIFS(Таблица2[1],B325,Таблица2[K],"K")+SUMIFS(Таблица2[R],Таблица2[1],B325,Таблица2[K],"K"))/D325*100,"-")=0,"-",IFERROR((COUNTIFS(Таблица2[1],B325,Таблица2[K],"K")+SUMIFS(Таблица2[R],Таблица2[1],B325,Таблица2[K],"K"))/D325*100,"-"))</f>
        <v>-</v>
      </c>
      <c r="J325" s="77" t="str">
        <f>IF(IFERROR((COUNTIFS(Таблица2[1],B325,Таблица2[T],"t")+SUMIFS(Таблица2[R],Таблица2[1],B325,Таблица2[T],"t"))/D325*100,"-")=0,"-",IFERROR((COUNTIFS(Таблица2[1],B325,Таблица2[T],"t")+SUMIFS(Таблица2[R],Таблица2[1],B325,Таблица2[T],"t"))/D325*100,"-"))</f>
        <v>-</v>
      </c>
      <c r="K325" s="76" t="str">
        <f>IF(SUMIFS(Таблица2[KO$],Таблица2[1],B325)=0,"-",SUMIFS(Таблица2[KO$],Таблица2[1],B325))</f>
        <v>-</v>
      </c>
      <c r="L325" s="76" t="str">
        <f>IF(SUMIFS(Таблица2[WIN$],Таблица2[1],B325)=0,"-",SUMIFS(Таблица2[WIN$],Таблица2[1],B325))</f>
        <v>-</v>
      </c>
      <c r="M325" s="76" t="str">
        <f t="shared" si="21"/>
        <v>-</v>
      </c>
      <c r="N325" s="78" t="str">
        <f>IFERROR(Таблица46[[#This Row],[PROF]]/Таблица46[[#This Row],[Games]],"-")</f>
        <v>-</v>
      </c>
    </row>
    <row r="326" spans="1:14" ht="11.1" customHeight="1" x14ac:dyDescent="0.25">
      <c r="A326" s="93">
        <f t="shared" si="17"/>
        <v>240</v>
      </c>
      <c r="D326" s="117" t="str">
        <f>IF(COUNTIFS(Таблица2[1],B326)+SUMIFS(Таблица2[R],Таблица2[1],B326)=0,"",COUNTIFS(Таблица2[1],B326)+SUMIFS(Таблица2[R],Таблица2[1],B326))</f>
        <v/>
      </c>
      <c r="E326" s="76" t="str">
        <f>IF(SUMIFS(Таблица2[B$],Таблица2[1],B326)=0,"-",SUMIFS(Таблица2[B$],Таблица2[1],B326))</f>
        <v>-</v>
      </c>
      <c r="F326" s="77" t="str">
        <f>IFERROR(AVERAGEIFS(Таблица2[AFS],Таблица2[1],B326)+(AVERAGEIFS(Таблица2[AFS],Таблица2[1],B326)*0.2),"-")</f>
        <v>-</v>
      </c>
      <c r="G326" s="77" t="str">
        <f t="shared" si="20"/>
        <v>-</v>
      </c>
      <c r="H326" s="77" t="str">
        <f>IFERROR(COUNTIFS(Таблица2[1],B326,Таблица2[WIN$],"&gt;0")/D326*100,"-")</f>
        <v>-</v>
      </c>
      <c r="I326" s="77" t="str">
        <f>IF(IFERROR((COUNTIFS(Таблица2[1],B326,Таблица2[K],"K")+SUMIFS(Таблица2[R],Таблица2[1],B326,Таблица2[K],"K"))/D326*100,"-")=0,"-",IFERROR((COUNTIFS(Таблица2[1],B326,Таблица2[K],"K")+SUMIFS(Таблица2[R],Таблица2[1],B326,Таблица2[K],"K"))/D326*100,"-"))</f>
        <v>-</v>
      </c>
      <c r="J326" s="77" t="str">
        <f>IF(IFERROR((COUNTIFS(Таблица2[1],B326,Таблица2[T],"t")+SUMIFS(Таблица2[R],Таблица2[1],B326,Таблица2[T],"t"))/D326*100,"-")=0,"-",IFERROR((COUNTIFS(Таблица2[1],B326,Таблица2[T],"t")+SUMIFS(Таблица2[R],Таблица2[1],B326,Таблица2[T],"t"))/D326*100,"-"))</f>
        <v>-</v>
      </c>
      <c r="K326" s="76" t="str">
        <f>IF(SUMIFS(Таблица2[KO$],Таблица2[1],B326)=0,"-",SUMIFS(Таблица2[KO$],Таблица2[1],B326))</f>
        <v>-</v>
      </c>
      <c r="L326" s="76" t="str">
        <f>IF(SUMIFS(Таблица2[WIN$],Таблица2[1],B326)=0,"-",SUMIFS(Таблица2[WIN$],Таблица2[1],B326))</f>
        <v>-</v>
      </c>
      <c r="M326" s="76" t="str">
        <f t="shared" si="21"/>
        <v>-</v>
      </c>
      <c r="N326" s="78" t="str">
        <f>IFERROR(Таблица46[[#This Row],[PROF]]/Таблица46[[#This Row],[Games]],"-")</f>
        <v>-</v>
      </c>
    </row>
    <row r="327" spans="1:14" ht="11.1" customHeight="1" x14ac:dyDescent="0.25">
      <c r="A327" s="93">
        <f t="shared" si="17"/>
        <v>241</v>
      </c>
      <c r="D327" s="117" t="str">
        <f>IF(COUNTIFS(Таблица2[1],B327)+SUMIFS(Таблица2[R],Таблица2[1],B327)=0,"",COUNTIFS(Таблица2[1],B327)+SUMIFS(Таблица2[R],Таблица2[1],B327))</f>
        <v/>
      </c>
      <c r="E327" s="76" t="str">
        <f>IF(SUMIFS(Таблица2[B$],Таблица2[1],B327)=0,"-",SUMIFS(Таблица2[B$],Таблица2[1],B327))</f>
        <v>-</v>
      </c>
      <c r="F327" s="77" t="str">
        <f>IFERROR(AVERAGEIFS(Таблица2[AFS],Таблица2[1],B327)+(AVERAGEIFS(Таблица2[AFS],Таблица2[1],B327)*0.2),"-")</f>
        <v>-</v>
      </c>
      <c r="G327" s="77" t="str">
        <f t="shared" si="20"/>
        <v>-</v>
      </c>
      <c r="H327" s="77" t="str">
        <f>IFERROR(COUNTIFS(Таблица2[1],B327,Таблица2[WIN$],"&gt;0")/D327*100,"-")</f>
        <v>-</v>
      </c>
      <c r="I327" s="77" t="str">
        <f>IF(IFERROR((COUNTIFS(Таблица2[1],B327,Таблица2[K],"K")+SUMIFS(Таблица2[R],Таблица2[1],B327,Таблица2[K],"K"))/D327*100,"-")=0,"-",IFERROR((COUNTIFS(Таблица2[1],B327,Таблица2[K],"K")+SUMIFS(Таблица2[R],Таблица2[1],B327,Таблица2[K],"K"))/D327*100,"-"))</f>
        <v>-</v>
      </c>
      <c r="J327" s="77" t="str">
        <f>IF(IFERROR((COUNTIFS(Таблица2[1],B327,Таблица2[T],"t")+SUMIFS(Таблица2[R],Таблица2[1],B327,Таблица2[T],"t"))/D327*100,"-")=0,"-",IFERROR((COUNTIFS(Таблица2[1],B327,Таблица2[T],"t")+SUMIFS(Таблица2[R],Таблица2[1],B327,Таблица2[T],"t"))/D327*100,"-"))</f>
        <v>-</v>
      </c>
      <c r="K327" s="76" t="str">
        <f>IF(SUMIFS(Таблица2[KO$],Таблица2[1],B327)=0,"-",SUMIFS(Таблица2[KO$],Таблица2[1],B327))</f>
        <v>-</v>
      </c>
      <c r="L327" s="76" t="str">
        <f>IF(SUMIFS(Таблица2[WIN$],Таблица2[1],B327)=0,"-",SUMIFS(Таблица2[WIN$],Таблица2[1],B327))</f>
        <v>-</v>
      </c>
      <c r="M327" s="76" t="str">
        <f t="shared" si="21"/>
        <v>-</v>
      </c>
      <c r="N327" s="78" t="str">
        <f>IFERROR(Таблица46[[#This Row],[PROF]]/Таблица46[[#This Row],[Games]],"-")</f>
        <v>-</v>
      </c>
    </row>
    <row r="328" spans="1:14" ht="11.1" customHeight="1" x14ac:dyDescent="0.25">
      <c r="A328" s="93">
        <f t="shared" si="17"/>
        <v>242</v>
      </c>
      <c r="D328" s="117" t="str">
        <f>IF(COUNTIFS(Таблица2[1],B328)+SUMIFS(Таблица2[R],Таблица2[1],B328)=0,"",COUNTIFS(Таблица2[1],B328)+SUMIFS(Таблица2[R],Таблица2[1],B328))</f>
        <v/>
      </c>
      <c r="E328" s="76" t="str">
        <f>IF(SUMIFS(Таблица2[B$],Таблица2[1],B328)=0,"-",SUMIFS(Таблица2[B$],Таблица2[1],B328))</f>
        <v>-</v>
      </c>
      <c r="F328" s="77" t="str">
        <f>IFERROR(AVERAGEIFS(Таблица2[AFS],Таблица2[1],B328)+(AVERAGEIFS(Таблица2[AFS],Таблица2[1],B328)*0.2),"-")</f>
        <v>-</v>
      </c>
      <c r="G328" s="77" t="str">
        <f t="shared" si="20"/>
        <v>-</v>
      </c>
      <c r="H328" s="77" t="str">
        <f>IFERROR(COUNTIFS(Таблица2[1],B328,Таблица2[WIN$],"&gt;0")/D328*100,"-")</f>
        <v>-</v>
      </c>
      <c r="I328" s="77" t="str">
        <f>IF(IFERROR((COUNTIFS(Таблица2[1],B328,Таблица2[K],"K")+SUMIFS(Таблица2[R],Таблица2[1],B328,Таблица2[K],"K"))/D328*100,"-")=0,"-",IFERROR((COUNTIFS(Таблица2[1],B328,Таблица2[K],"K")+SUMIFS(Таблица2[R],Таблица2[1],B328,Таблица2[K],"K"))/D328*100,"-"))</f>
        <v>-</v>
      </c>
      <c r="J328" s="77" t="str">
        <f>IF(IFERROR((COUNTIFS(Таблица2[1],B328,Таблица2[T],"t")+SUMIFS(Таблица2[R],Таблица2[1],B328,Таблица2[T],"t"))/D328*100,"-")=0,"-",IFERROR((COUNTIFS(Таблица2[1],B328,Таблица2[T],"t")+SUMIFS(Таблица2[R],Таблица2[1],B328,Таблица2[T],"t"))/D328*100,"-"))</f>
        <v>-</v>
      </c>
      <c r="K328" s="76" t="str">
        <f>IF(SUMIFS(Таблица2[KO$],Таблица2[1],B328)=0,"-",SUMIFS(Таблица2[KO$],Таблица2[1],B328))</f>
        <v>-</v>
      </c>
      <c r="L328" s="76" t="str">
        <f>IF(SUMIFS(Таблица2[WIN$],Таблица2[1],B328)=0,"-",SUMIFS(Таблица2[WIN$],Таблица2[1],B328))</f>
        <v>-</v>
      </c>
      <c r="M328" s="76" t="str">
        <f t="shared" si="21"/>
        <v>-</v>
      </c>
      <c r="N328" s="78" t="str">
        <f>IFERROR(Таблица46[[#This Row],[PROF]]/Таблица46[[#This Row],[Games]],"-")</f>
        <v>-</v>
      </c>
    </row>
    <row r="329" spans="1:14" ht="11.1" customHeight="1" x14ac:dyDescent="0.25">
      <c r="A329" s="93">
        <f t="shared" si="17"/>
        <v>243</v>
      </c>
      <c r="D329" s="117" t="str">
        <f>IF(COUNTIFS(Таблица2[1],B329)+SUMIFS(Таблица2[R],Таблица2[1],B329)=0,"",COUNTIFS(Таблица2[1],B329)+SUMIFS(Таблица2[R],Таблица2[1],B329))</f>
        <v/>
      </c>
      <c r="E329" s="76" t="str">
        <f>IF(SUMIFS(Таблица2[B$],Таблица2[1],B329)=0,"-",SUMIFS(Таблица2[B$],Таблица2[1],B329))</f>
        <v>-</v>
      </c>
      <c r="F329" s="77" t="str">
        <f>IFERROR(AVERAGEIFS(Таблица2[AFS],Таблица2[1],B329)+(AVERAGEIFS(Таблица2[AFS],Таблица2[1],B329)*0.2),"-")</f>
        <v>-</v>
      </c>
      <c r="G329" s="77" t="str">
        <f t="shared" si="20"/>
        <v>-</v>
      </c>
      <c r="H329" s="77" t="str">
        <f>IFERROR(COUNTIFS(Таблица2[1],B329,Таблица2[WIN$],"&gt;0")/D329*100,"-")</f>
        <v>-</v>
      </c>
      <c r="I329" s="77" t="str">
        <f>IF(IFERROR((COUNTIFS(Таблица2[1],B329,Таблица2[K],"K")+SUMIFS(Таблица2[R],Таблица2[1],B329,Таблица2[K],"K"))/D329*100,"-")=0,"-",IFERROR((COUNTIFS(Таблица2[1],B329,Таблица2[K],"K")+SUMIFS(Таблица2[R],Таблица2[1],B329,Таблица2[K],"K"))/D329*100,"-"))</f>
        <v>-</v>
      </c>
      <c r="J329" s="77" t="str">
        <f>IF(IFERROR((COUNTIFS(Таблица2[1],B329,Таблица2[T],"t")+SUMIFS(Таблица2[R],Таблица2[1],B329,Таблица2[T],"t"))/D329*100,"-")=0,"-",IFERROR((COUNTIFS(Таблица2[1],B329,Таблица2[T],"t")+SUMIFS(Таблица2[R],Таблица2[1],B329,Таблица2[T],"t"))/D329*100,"-"))</f>
        <v>-</v>
      </c>
      <c r="K329" s="76" t="str">
        <f>IF(SUMIFS(Таблица2[KO$],Таблица2[1],B329)=0,"-",SUMIFS(Таблица2[KO$],Таблица2[1],B329))</f>
        <v>-</v>
      </c>
      <c r="L329" s="76" t="str">
        <f>IF(SUMIFS(Таблица2[WIN$],Таблица2[1],B329)=0,"-",SUMIFS(Таблица2[WIN$],Таблица2[1],B329))</f>
        <v>-</v>
      </c>
      <c r="M329" s="76" t="str">
        <f t="shared" si="21"/>
        <v>-</v>
      </c>
      <c r="N329" s="78" t="str">
        <f>IFERROR(Таблица46[[#This Row],[PROF]]/Таблица46[[#This Row],[Games]],"-")</f>
        <v>-</v>
      </c>
    </row>
    <row r="330" spans="1:14" ht="11.1" customHeight="1" x14ac:dyDescent="0.25">
      <c r="A330" s="93">
        <f t="shared" si="17"/>
        <v>244</v>
      </c>
      <c r="D330" s="117" t="str">
        <f>IF(COUNTIFS(Таблица2[1],B330)+SUMIFS(Таблица2[R],Таблица2[1],B330)=0,"",COUNTIFS(Таблица2[1],B330)+SUMIFS(Таблица2[R],Таблица2[1],B330))</f>
        <v/>
      </c>
      <c r="E330" s="76" t="str">
        <f>IF(SUMIFS(Таблица2[B$],Таблица2[1],B330)=0,"-",SUMIFS(Таблица2[B$],Таблица2[1],B330))</f>
        <v>-</v>
      </c>
      <c r="F330" s="77" t="str">
        <f>IFERROR(AVERAGEIFS(Таблица2[AFS],Таблица2[1],B330)+(AVERAGEIFS(Таблица2[AFS],Таблица2[1],B330)*0.2),"-")</f>
        <v>-</v>
      </c>
      <c r="G330" s="77" t="str">
        <f t="shared" si="20"/>
        <v>-</v>
      </c>
      <c r="H330" s="77" t="str">
        <f>IFERROR(COUNTIFS(Таблица2[1],B330,Таблица2[WIN$],"&gt;0")/D330*100,"-")</f>
        <v>-</v>
      </c>
      <c r="I330" s="77" t="str">
        <f>IF(IFERROR((COUNTIFS(Таблица2[1],B330,Таблица2[K],"K")+SUMIFS(Таблица2[R],Таблица2[1],B330,Таблица2[K],"K"))/D330*100,"-")=0,"-",IFERROR((COUNTIFS(Таблица2[1],B330,Таблица2[K],"K")+SUMIFS(Таблица2[R],Таблица2[1],B330,Таблица2[K],"K"))/D330*100,"-"))</f>
        <v>-</v>
      </c>
      <c r="J330" s="77" t="str">
        <f>IF(IFERROR((COUNTIFS(Таблица2[1],B330,Таблица2[T],"t")+SUMIFS(Таблица2[R],Таблица2[1],B330,Таблица2[T],"t"))/D330*100,"-")=0,"-",IFERROR((COUNTIFS(Таблица2[1],B330,Таблица2[T],"t")+SUMIFS(Таблица2[R],Таблица2[1],B330,Таблица2[T],"t"))/D330*100,"-"))</f>
        <v>-</v>
      </c>
      <c r="K330" s="76" t="str">
        <f>IF(SUMIFS(Таблица2[KO$],Таблица2[1],B330)=0,"-",SUMIFS(Таблица2[KO$],Таблица2[1],B330))</f>
        <v>-</v>
      </c>
      <c r="L330" s="76" t="str">
        <f>IF(SUMIFS(Таблица2[WIN$],Таблица2[1],B330)=0,"-",SUMIFS(Таблица2[WIN$],Таблица2[1],B330))</f>
        <v>-</v>
      </c>
      <c r="M330" s="76" t="str">
        <f t="shared" si="21"/>
        <v>-</v>
      </c>
      <c r="N330" s="78" t="str">
        <f>IFERROR(Таблица46[[#This Row],[PROF]]/Таблица46[[#This Row],[Games]],"-")</f>
        <v>-</v>
      </c>
    </row>
    <row r="331" spans="1:14" ht="11.1" customHeight="1" x14ac:dyDescent="0.25">
      <c r="A331" s="93">
        <f t="shared" si="17"/>
        <v>245</v>
      </c>
      <c r="D331" s="117" t="str">
        <f>IF(COUNTIFS(Таблица2[1],B331)+SUMIFS(Таблица2[R],Таблица2[1],B331)=0,"",COUNTIFS(Таблица2[1],B331)+SUMIFS(Таблица2[R],Таблица2[1],B331))</f>
        <v/>
      </c>
      <c r="E331" s="76" t="str">
        <f>IF(SUMIFS(Таблица2[B$],Таблица2[1],B331)=0,"-",SUMIFS(Таблица2[B$],Таблица2[1],B331))</f>
        <v>-</v>
      </c>
      <c r="F331" s="77" t="str">
        <f>IFERROR(AVERAGEIFS(Таблица2[AFS],Таблица2[1],B331)+(AVERAGEIFS(Таблица2[AFS],Таблица2[1],B331)*0.2),"-")</f>
        <v>-</v>
      </c>
      <c r="G331" s="77" t="str">
        <f t="shared" si="20"/>
        <v>-</v>
      </c>
      <c r="H331" s="77" t="str">
        <f>IFERROR(COUNTIFS(Таблица2[1],B331,Таблица2[WIN$],"&gt;0")/D331*100,"-")</f>
        <v>-</v>
      </c>
      <c r="I331" s="77" t="str">
        <f>IF(IFERROR((COUNTIFS(Таблица2[1],B331,Таблица2[K],"K")+SUMIFS(Таблица2[R],Таблица2[1],B331,Таблица2[K],"K"))/D331*100,"-")=0,"-",IFERROR((COUNTIFS(Таблица2[1],B331,Таблица2[K],"K")+SUMIFS(Таблица2[R],Таблица2[1],B331,Таблица2[K],"K"))/D331*100,"-"))</f>
        <v>-</v>
      </c>
      <c r="J331" s="77" t="str">
        <f>IF(IFERROR((COUNTIFS(Таблица2[1],B331,Таблица2[T],"t")+SUMIFS(Таблица2[R],Таблица2[1],B331,Таблица2[T],"t"))/D331*100,"-")=0,"-",IFERROR((COUNTIFS(Таблица2[1],B331,Таблица2[T],"t")+SUMIFS(Таблица2[R],Таблица2[1],B331,Таблица2[T],"t"))/D331*100,"-"))</f>
        <v>-</v>
      </c>
      <c r="K331" s="76" t="str">
        <f>IF(SUMIFS(Таблица2[KO$],Таблица2[1],B331)=0,"-",SUMIFS(Таблица2[KO$],Таблица2[1],B331))</f>
        <v>-</v>
      </c>
      <c r="L331" s="76" t="str">
        <f>IF(SUMIFS(Таблица2[WIN$],Таблица2[1],B331)=0,"-",SUMIFS(Таблица2[WIN$],Таблица2[1],B331))</f>
        <v>-</v>
      </c>
      <c r="M331" s="76" t="str">
        <f t="shared" si="21"/>
        <v>-</v>
      </c>
      <c r="N331" s="78" t="str">
        <f>IFERROR(Таблица46[[#This Row],[PROF]]/Таблица46[[#This Row],[Games]],"-")</f>
        <v>-</v>
      </c>
    </row>
    <row r="332" spans="1:14" ht="11.1" customHeight="1" x14ac:dyDescent="0.25">
      <c r="A332" s="93">
        <f t="shared" si="17"/>
        <v>246</v>
      </c>
      <c r="D332" s="117" t="str">
        <f>IF(COUNTIFS(Таблица2[1],B332)+SUMIFS(Таблица2[R],Таблица2[1],B332)=0,"",COUNTIFS(Таблица2[1],B332)+SUMIFS(Таблица2[R],Таблица2[1],B332))</f>
        <v/>
      </c>
      <c r="E332" s="76" t="str">
        <f>IF(SUMIFS(Таблица2[B$],Таблица2[1],B332)=0,"-",SUMIFS(Таблица2[B$],Таблица2[1],B332))</f>
        <v>-</v>
      </c>
      <c r="F332" s="77" t="str">
        <f>IFERROR(AVERAGEIFS(Таблица2[AFS],Таблица2[1],B332)+(AVERAGEIFS(Таблица2[AFS],Таблица2[1],B332)*0.2),"-")</f>
        <v>-</v>
      </c>
      <c r="G332" s="77" t="str">
        <f t="shared" si="20"/>
        <v>-</v>
      </c>
      <c r="H332" s="77" t="str">
        <f>IFERROR(COUNTIFS(Таблица2[1],B332,Таблица2[WIN$],"&gt;0")/D332*100,"-")</f>
        <v>-</v>
      </c>
      <c r="I332" s="77" t="str">
        <f>IF(IFERROR((COUNTIFS(Таблица2[1],B332,Таблица2[K],"K")+SUMIFS(Таблица2[R],Таблица2[1],B332,Таблица2[K],"K"))/D332*100,"-")=0,"-",IFERROR((COUNTIFS(Таблица2[1],B332,Таблица2[K],"K")+SUMIFS(Таблица2[R],Таблица2[1],B332,Таблица2[K],"K"))/D332*100,"-"))</f>
        <v>-</v>
      </c>
      <c r="J332" s="77" t="str">
        <f>IF(IFERROR((COUNTIFS(Таблица2[1],B332,Таблица2[T],"t")+SUMIFS(Таблица2[R],Таблица2[1],B332,Таблица2[T],"t"))/D332*100,"-")=0,"-",IFERROR((COUNTIFS(Таблица2[1],B332,Таблица2[T],"t")+SUMIFS(Таблица2[R],Таблица2[1],B332,Таблица2[T],"t"))/D332*100,"-"))</f>
        <v>-</v>
      </c>
      <c r="K332" s="76" t="str">
        <f>IF(SUMIFS(Таблица2[KO$],Таблица2[1],B332)=0,"-",SUMIFS(Таблица2[KO$],Таблица2[1],B332))</f>
        <v>-</v>
      </c>
      <c r="L332" s="76" t="str">
        <f>IF(SUMIFS(Таблица2[WIN$],Таблица2[1],B332)=0,"-",SUMIFS(Таблица2[WIN$],Таблица2[1],B332))</f>
        <v>-</v>
      </c>
      <c r="M332" s="76" t="str">
        <f t="shared" si="21"/>
        <v>-</v>
      </c>
      <c r="N332" s="78" t="str">
        <f>IFERROR(Таблица46[[#This Row],[PROF]]/Таблица46[[#This Row],[Games]],"-")</f>
        <v>-</v>
      </c>
    </row>
    <row r="333" spans="1:14" ht="11.1" customHeight="1" x14ac:dyDescent="0.25">
      <c r="A333" s="93">
        <f t="shared" si="17"/>
        <v>247</v>
      </c>
      <c r="D333" s="117" t="str">
        <f>IF(COUNTIFS(Таблица2[1],B333)+SUMIFS(Таблица2[R],Таблица2[1],B333)=0,"",COUNTIFS(Таблица2[1],B333)+SUMIFS(Таблица2[R],Таблица2[1],B333))</f>
        <v/>
      </c>
      <c r="E333" s="76" t="str">
        <f>IF(SUMIFS(Таблица2[B$],Таблица2[1],B333)=0,"-",SUMIFS(Таблица2[B$],Таблица2[1],B333))</f>
        <v>-</v>
      </c>
      <c r="F333" s="77" t="str">
        <f>IFERROR(AVERAGEIFS(Таблица2[AFS],Таблица2[1],B333)+(AVERAGEIFS(Таблица2[AFS],Таблица2[1],B333)*0.2),"-")</f>
        <v>-</v>
      </c>
      <c r="G333" s="77" t="str">
        <f t="shared" si="20"/>
        <v>-</v>
      </c>
      <c r="H333" s="77" t="str">
        <f>IFERROR(COUNTIFS(Таблица2[1],B333,Таблица2[WIN$],"&gt;0")/D333*100,"-")</f>
        <v>-</v>
      </c>
      <c r="I333" s="77" t="str">
        <f>IF(IFERROR((COUNTIFS(Таблица2[1],B333,Таблица2[K],"K")+SUMIFS(Таблица2[R],Таблица2[1],B333,Таблица2[K],"K"))/D333*100,"-")=0,"-",IFERROR((COUNTIFS(Таблица2[1],B333,Таблица2[K],"K")+SUMIFS(Таблица2[R],Таблица2[1],B333,Таблица2[K],"K"))/D333*100,"-"))</f>
        <v>-</v>
      </c>
      <c r="J333" s="77" t="str">
        <f>IF(IFERROR((COUNTIFS(Таблица2[1],B333,Таблица2[T],"t")+SUMIFS(Таблица2[R],Таблица2[1],B333,Таблица2[T],"t"))/D333*100,"-")=0,"-",IFERROR((COUNTIFS(Таблица2[1],B333,Таблица2[T],"t")+SUMIFS(Таблица2[R],Таблица2[1],B333,Таблица2[T],"t"))/D333*100,"-"))</f>
        <v>-</v>
      </c>
      <c r="K333" s="76" t="str">
        <f>IF(SUMIFS(Таблица2[KO$],Таблица2[1],B333)=0,"-",SUMIFS(Таблица2[KO$],Таблица2[1],B333))</f>
        <v>-</v>
      </c>
      <c r="L333" s="76" t="str">
        <f>IF(SUMIFS(Таблица2[WIN$],Таблица2[1],B333)=0,"-",SUMIFS(Таблица2[WIN$],Таблица2[1],B333))</f>
        <v>-</v>
      </c>
      <c r="M333" s="76" t="str">
        <f t="shared" si="21"/>
        <v>-</v>
      </c>
      <c r="N333" s="78" t="str">
        <f>IFERROR(Таблица46[[#This Row],[PROF]]/Таблица46[[#This Row],[Games]],"-")</f>
        <v>-</v>
      </c>
    </row>
    <row r="334" spans="1:14" ht="11.1" customHeight="1" x14ac:dyDescent="0.25">
      <c r="A334" s="93">
        <f t="shared" si="17"/>
        <v>248</v>
      </c>
      <c r="D334" s="117" t="str">
        <f>IF(COUNTIFS(Таблица2[1],B334)+SUMIFS(Таблица2[R],Таблица2[1],B334)=0,"",COUNTIFS(Таблица2[1],B334)+SUMIFS(Таблица2[R],Таблица2[1],B334))</f>
        <v/>
      </c>
      <c r="E334" s="76" t="str">
        <f>IF(SUMIFS(Таблица2[B$],Таблица2[1],B334)=0,"-",SUMIFS(Таблица2[B$],Таблица2[1],B334))</f>
        <v>-</v>
      </c>
      <c r="F334" s="77" t="str">
        <f>IFERROR(AVERAGEIFS(Таблица2[AFS],Таблица2[1],B334)+(AVERAGEIFS(Таблица2[AFS],Таблица2[1],B334)*0.2),"-")</f>
        <v>-</v>
      </c>
      <c r="G334" s="77" t="str">
        <f t="shared" si="20"/>
        <v>-</v>
      </c>
      <c r="H334" s="77" t="str">
        <f>IFERROR(COUNTIFS(Таблица2[1],B334,Таблица2[WIN$],"&gt;0")/D334*100,"-")</f>
        <v>-</v>
      </c>
      <c r="I334" s="77" t="str">
        <f>IF(IFERROR((COUNTIFS(Таблица2[1],B334,Таблица2[K],"K")+SUMIFS(Таблица2[R],Таблица2[1],B334,Таблица2[K],"K"))/D334*100,"-")=0,"-",IFERROR((COUNTIFS(Таблица2[1],B334,Таблица2[K],"K")+SUMIFS(Таблица2[R],Таблица2[1],B334,Таблица2[K],"K"))/D334*100,"-"))</f>
        <v>-</v>
      </c>
      <c r="J334" s="77" t="str">
        <f>IF(IFERROR((COUNTIFS(Таблица2[1],B334,Таблица2[T],"t")+SUMIFS(Таблица2[R],Таблица2[1],B334,Таблица2[T],"t"))/D334*100,"-")=0,"-",IFERROR((COUNTIFS(Таблица2[1],B334,Таблица2[T],"t")+SUMIFS(Таблица2[R],Таблица2[1],B334,Таблица2[T],"t"))/D334*100,"-"))</f>
        <v>-</v>
      </c>
      <c r="K334" s="76" t="str">
        <f>IF(SUMIFS(Таблица2[KO$],Таблица2[1],B334)=0,"-",SUMIFS(Таблица2[KO$],Таблица2[1],B334))</f>
        <v>-</v>
      </c>
      <c r="L334" s="76" t="str">
        <f>IF(SUMIFS(Таблица2[WIN$],Таблица2[1],B334)=0,"-",SUMIFS(Таблица2[WIN$],Таблица2[1],B334))</f>
        <v>-</v>
      </c>
      <c r="M334" s="76" t="str">
        <f t="shared" si="21"/>
        <v>-</v>
      </c>
      <c r="N334" s="78" t="str">
        <f>IFERROR(Таблица46[[#This Row],[PROF]]/Таблица46[[#This Row],[Games]],"-")</f>
        <v>-</v>
      </c>
    </row>
    <row r="335" spans="1:14" ht="11.1" customHeight="1" x14ac:dyDescent="0.25">
      <c r="A335" s="93">
        <f t="shared" si="17"/>
        <v>249</v>
      </c>
      <c r="D335" s="117" t="str">
        <f>IF(COUNTIFS(Таблица2[1],B335)+SUMIFS(Таблица2[R],Таблица2[1],B335)=0,"",COUNTIFS(Таблица2[1],B335)+SUMIFS(Таблица2[R],Таблица2[1],B335))</f>
        <v/>
      </c>
      <c r="E335" s="76" t="str">
        <f>IF(SUMIFS(Таблица2[B$],Таблица2[1],B335)=0,"-",SUMIFS(Таблица2[B$],Таблица2[1],B335))</f>
        <v>-</v>
      </c>
      <c r="F335" s="77" t="str">
        <f>IFERROR(AVERAGEIFS(Таблица2[AFS],Таблица2[1],B335)+(AVERAGEIFS(Таблица2[AFS],Таблица2[1],B335)*0.2),"-")</f>
        <v>-</v>
      </c>
      <c r="G335" s="77" t="str">
        <f t="shared" si="20"/>
        <v>-</v>
      </c>
      <c r="H335" s="77" t="str">
        <f>IFERROR(COUNTIFS(Таблица2[1],B335,Таблица2[WIN$],"&gt;0")/D335*100,"-")</f>
        <v>-</v>
      </c>
      <c r="I335" s="77" t="str">
        <f>IF(IFERROR((COUNTIFS(Таблица2[1],B335,Таблица2[K],"K")+SUMIFS(Таблица2[R],Таблица2[1],B335,Таблица2[K],"K"))/D335*100,"-")=0,"-",IFERROR((COUNTIFS(Таблица2[1],B335,Таблица2[K],"K")+SUMIFS(Таблица2[R],Таблица2[1],B335,Таблица2[K],"K"))/D335*100,"-"))</f>
        <v>-</v>
      </c>
      <c r="J335" s="77" t="str">
        <f>IF(IFERROR((COUNTIFS(Таблица2[1],B335,Таблица2[T],"t")+SUMIFS(Таблица2[R],Таблица2[1],B335,Таблица2[T],"t"))/D335*100,"-")=0,"-",IFERROR((COUNTIFS(Таблица2[1],B335,Таблица2[T],"t")+SUMIFS(Таблица2[R],Таблица2[1],B335,Таблица2[T],"t"))/D335*100,"-"))</f>
        <v>-</v>
      </c>
      <c r="K335" s="76" t="str">
        <f>IF(SUMIFS(Таблица2[KO$],Таблица2[1],B335)=0,"-",SUMIFS(Таблица2[KO$],Таблица2[1],B335))</f>
        <v>-</v>
      </c>
      <c r="L335" s="76" t="str">
        <f>IF(SUMIFS(Таблица2[WIN$],Таблица2[1],B335)=0,"-",SUMIFS(Таблица2[WIN$],Таблица2[1],B335))</f>
        <v>-</v>
      </c>
      <c r="M335" s="76" t="str">
        <f t="shared" si="21"/>
        <v>-</v>
      </c>
      <c r="N335" s="78" t="str">
        <f>IFERROR(Таблица46[[#This Row],[PROF]]/Таблица46[[#This Row],[Games]],"-")</f>
        <v>-</v>
      </c>
    </row>
    <row r="336" spans="1:14" ht="11.1" customHeight="1" x14ac:dyDescent="0.25">
      <c r="A336" s="93">
        <f t="shared" si="17"/>
        <v>250</v>
      </c>
      <c r="D336" s="117" t="str">
        <f>IF(COUNTIFS(Таблица2[1],B336)+SUMIFS(Таблица2[R],Таблица2[1],B336)=0,"",COUNTIFS(Таблица2[1],B336)+SUMIFS(Таблица2[R],Таблица2[1],B336))</f>
        <v/>
      </c>
      <c r="E336" s="76" t="str">
        <f>IF(SUMIFS(Таблица2[B$],Таблица2[1],B336)=0,"-",SUMIFS(Таблица2[B$],Таблица2[1],B336))</f>
        <v>-</v>
      </c>
      <c r="F336" s="77" t="str">
        <f>IFERROR(AVERAGEIFS(Таблица2[AFS],Таблица2[1],B336)+(AVERAGEIFS(Таблица2[AFS],Таблица2[1],B336)*0.2),"-")</f>
        <v>-</v>
      </c>
      <c r="G336" s="77" t="str">
        <f t="shared" si="20"/>
        <v>-</v>
      </c>
      <c r="H336" s="77" t="str">
        <f>IFERROR(COUNTIFS(Таблица2[1],B336,Таблица2[WIN$],"&gt;0")/D336*100,"-")</f>
        <v>-</v>
      </c>
      <c r="I336" s="77" t="str">
        <f>IF(IFERROR((COUNTIFS(Таблица2[1],B336,Таблица2[K],"K")+SUMIFS(Таблица2[R],Таблица2[1],B336,Таблица2[K],"K"))/D336*100,"-")=0,"-",IFERROR((COUNTIFS(Таблица2[1],B336,Таблица2[K],"K")+SUMIFS(Таблица2[R],Таблица2[1],B336,Таблица2[K],"K"))/D336*100,"-"))</f>
        <v>-</v>
      </c>
      <c r="J336" s="77" t="str">
        <f>IF(IFERROR((COUNTIFS(Таблица2[1],B336,Таблица2[T],"t")+SUMIFS(Таблица2[R],Таблица2[1],B336,Таблица2[T],"t"))/D336*100,"-")=0,"-",IFERROR((COUNTIFS(Таблица2[1],B336,Таблица2[T],"t")+SUMIFS(Таблица2[R],Таблица2[1],B336,Таблица2[T],"t"))/D336*100,"-"))</f>
        <v>-</v>
      </c>
      <c r="K336" s="76" t="str">
        <f>IF(SUMIFS(Таблица2[KO$],Таблица2[1],B336)=0,"-",SUMIFS(Таблица2[KO$],Таблица2[1],B336))</f>
        <v>-</v>
      </c>
      <c r="L336" s="76" t="str">
        <f>IF(SUMIFS(Таблица2[WIN$],Таблица2[1],B336)=0,"-",SUMIFS(Таблица2[WIN$],Таблица2[1],B336))</f>
        <v>-</v>
      </c>
      <c r="M336" s="76" t="str">
        <f t="shared" si="21"/>
        <v>-</v>
      </c>
      <c r="N336" s="78" t="str">
        <f>IFERROR(Таблица46[[#This Row],[PROF]]/Таблица46[[#This Row],[Games]],"-")</f>
        <v>-</v>
      </c>
    </row>
    <row r="337" spans="1:14" ht="11.1" customHeight="1" x14ac:dyDescent="0.25">
      <c r="A337" s="93">
        <f t="shared" si="17"/>
        <v>251</v>
      </c>
      <c r="D337" s="117" t="str">
        <f>IF(COUNTIFS(Таблица2[1],B337)+SUMIFS(Таблица2[R],Таблица2[1],B337)=0,"",COUNTIFS(Таблица2[1],B337)+SUMIFS(Таблица2[R],Таблица2[1],B337))</f>
        <v/>
      </c>
      <c r="E337" s="76" t="str">
        <f>IF(SUMIFS(Таблица2[B$],Таблица2[1],B337)=0,"-",SUMIFS(Таблица2[B$],Таблица2[1],B337))</f>
        <v>-</v>
      </c>
      <c r="F337" s="77" t="str">
        <f>IFERROR(AVERAGEIFS(Таблица2[AFS],Таблица2[1],B337)+(AVERAGEIFS(Таблица2[AFS],Таблица2[1],B337)*0.2),"-")</f>
        <v>-</v>
      </c>
      <c r="G337" s="77" t="str">
        <f t="shared" si="20"/>
        <v>-</v>
      </c>
      <c r="H337" s="77" t="str">
        <f>IFERROR(COUNTIFS(Таблица2[1],B337,Таблица2[WIN$],"&gt;0")/D337*100,"-")</f>
        <v>-</v>
      </c>
      <c r="I337" s="77" t="str">
        <f>IF(IFERROR((COUNTIFS(Таблица2[1],B337,Таблица2[K],"K")+SUMIFS(Таблица2[R],Таблица2[1],B337,Таблица2[K],"K"))/D337*100,"-")=0,"-",IFERROR((COUNTIFS(Таблица2[1],B337,Таблица2[K],"K")+SUMIFS(Таблица2[R],Таблица2[1],B337,Таблица2[K],"K"))/D337*100,"-"))</f>
        <v>-</v>
      </c>
      <c r="J337" s="77" t="str">
        <f>IF(IFERROR((COUNTIFS(Таблица2[1],B337,Таблица2[T],"t")+SUMIFS(Таблица2[R],Таблица2[1],B337,Таблица2[T],"t"))/D337*100,"-")=0,"-",IFERROR((COUNTIFS(Таблица2[1],B337,Таблица2[T],"t")+SUMIFS(Таблица2[R],Таблица2[1],B337,Таблица2[T],"t"))/D337*100,"-"))</f>
        <v>-</v>
      </c>
      <c r="K337" s="76" t="str">
        <f>IF(SUMIFS(Таблица2[KO$],Таблица2[1],B337)=0,"-",SUMIFS(Таблица2[KO$],Таблица2[1],B337))</f>
        <v>-</v>
      </c>
      <c r="L337" s="76" t="str">
        <f>IF(SUMIFS(Таблица2[WIN$],Таблица2[1],B337)=0,"-",SUMIFS(Таблица2[WIN$],Таблица2[1],B337))</f>
        <v>-</v>
      </c>
      <c r="M337" s="76" t="str">
        <f t="shared" si="21"/>
        <v>-</v>
      </c>
      <c r="N337" s="78" t="str">
        <f>IFERROR(Таблица46[[#This Row],[PROF]]/Таблица46[[#This Row],[Games]],"-")</f>
        <v>-</v>
      </c>
    </row>
    <row r="338" spans="1:14" ht="11.1" customHeight="1" x14ac:dyDescent="0.25">
      <c r="A338" s="93">
        <f t="shared" si="17"/>
        <v>252</v>
      </c>
      <c r="D338" s="117" t="str">
        <f>IF(COUNTIFS(Таблица2[1],B338)+SUMIFS(Таблица2[R],Таблица2[1],B338)=0,"",COUNTIFS(Таблица2[1],B338)+SUMIFS(Таблица2[R],Таблица2[1],B338))</f>
        <v/>
      </c>
      <c r="E338" s="76" t="str">
        <f>IF(SUMIFS(Таблица2[B$],Таблица2[1],B338)=0,"-",SUMIFS(Таблица2[B$],Таблица2[1],B338))</f>
        <v>-</v>
      </c>
      <c r="F338" s="77" t="str">
        <f>IFERROR(AVERAGEIFS(Таблица2[AFS],Таблица2[1],B338)+(AVERAGEIFS(Таблица2[AFS],Таблица2[1],B338)*0.2),"-")</f>
        <v>-</v>
      </c>
      <c r="G338" s="77" t="str">
        <f t="shared" si="20"/>
        <v>-</v>
      </c>
      <c r="H338" s="77" t="str">
        <f>IFERROR(COUNTIFS(Таблица2[1],B338,Таблица2[WIN$],"&gt;0")/D338*100,"-")</f>
        <v>-</v>
      </c>
      <c r="I338" s="77" t="str">
        <f>IF(IFERROR((COUNTIFS(Таблица2[1],B338,Таблица2[K],"K")+SUMIFS(Таблица2[R],Таблица2[1],B338,Таблица2[K],"K"))/D338*100,"-")=0,"-",IFERROR((COUNTIFS(Таблица2[1],B338,Таблица2[K],"K")+SUMIFS(Таблица2[R],Таблица2[1],B338,Таблица2[K],"K"))/D338*100,"-"))</f>
        <v>-</v>
      </c>
      <c r="J338" s="77" t="str">
        <f>IF(IFERROR((COUNTIFS(Таблица2[1],B338,Таблица2[T],"t")+SUMIFS(Таблица2[R],Таблица2[1],B338,Таблица2[T],"t"))/D338*100,"-")=0,"-",IFERROR((COUNTIFS(Таблица2[1],B338,Таблица2[T],"t")+SUMIFS(Таблица2[R],Таблица2[1],B338,Таблица2[T],"t"))/D338*100,"-"))</f>
        <v>-</v>
      </c>
      <c r="K338" s="76" t="str">
        <f>IF(SUMIFS(Таблица2[KO$],Таблица2[1],B338)=0,"-",SUMIFS(Таблица2[KO$],Таблица2[1],B338))</f>
        <v>-</v>
      </c>
      <c r="L338" s="76" t="str">
        <f>IF(SUMIFS(Таблица2[WIN$],Таблица2[1],B338)=0,"-",SUMIFS(Таблица2[WIN$],Таблица2[1],B338))</f>
        <v>-</v>
      </c>
      <c r="M338" s="76" t="str">
        <f t="shared" si="21"/>
        <v>-</v>
      </c>
      <c r="N338" s="78" t="str">
        <f>IFERROR(Таблица46[[#This Row],[PROF]]/Таблица46[[#This Row],[Games]],"-")</f>
        <v>-</v>
      </c>
    </row>
    <row r="339" spans="1:14" ht="11.1" customHeight="1" x14ac:dyDescent="0.25">
      <c r="A339" s="93">
        <f t="shared" si="17"/>
        <v>253</v>
      </c>
      <c r="D339" s="117" t="str">
        <f>IF(COUNTIFS(Таблица2[1],B339)+SUMIFS(Таблица2[R],Таблица2[1],B339)=0,"",COUNTIFS(Таблица2[1],B339)+SUMIFS(Таблица2[R],Таблица2[1],B339))</f>
        <v/>
      </c>
      <c r="E339" s="76" t="str">
        <f>IF(SUMIFS(Таблица2[B$],Таблица2[1],B339)=0,"-",SUMIFS(Таблица2[B$],Таблица2[1],B339))</f>
        <v>-</v>
      </c>
      <c r="F339" s="77" t="str">
        <f>IFERROR(AVERAGEIFS(Таблица2[AFS],Таблица2[1],B339)+(AVERAGEIFS(Таблица2[AFS],Таблица2[1],B339)*0.2),"-")</f>
        <v>-</v>
      </c>
      <c r="G339" s="77" t="str">
        <f t="shared" si="20"/>
        <v>-</v>
      </c>
      <c r="H339" s="77" t="str">
        <f>IFERROR(COUNTIFS(Таблица2[1],B339,Таблица2[WIN$],"&gt;0")/D339*100,"-")</f>
        <v>-</v>
      </c>
      <c r="I339" s="77" t="str">
        <f>IF(IFERROR((COUNTIFS(Таблица2[1],B339,Таблица2[K],"K")+SUMIFS(Таблица2[R],Таблица2[1],B339,Таблица2[K],"K"))/D339*100,"-")=0,"-",IFERROR((COUNTIFS(Таблица2[1],B339,Таблица2[K],"K")+SUMIFS(Таблица2[R],Таблица2[1],B339,Таблица2[K],"K"))/D339*100,"-"))</f>
        <v>-</v>
      </c>
      <c r="J339" s="77" t="str">
        <f>IF(IFERROR((COUNTIFS(Таблица2[1],B339,Таблица2[T],"t")+SUMIFS(Таблица2[R],Таблица2[1],B339,Таблица2[T],"t"))/D339*100,"-")=0,"-",IFERROR((COUNTIFS(Таблица2[1],B339,Таблица2[T],"t")+SUMIFS(Таблица2[R],Таблица2[1],B339,Таблица2[T],"t"))/D339*100,"-"))</f>
        <v>-</v>
      </c>
      <c r="K339" s="76" t="str">
        <f>IF(SUMIFS(Таблица2[KO$],Таблица2[1],B339)=0,"-",SUMIFS(Таблица2[KO$],Таблица2[1],B339))</f>
        <v>-</v>
      </c>
      <c r="L339" s="76" t="str">
        <f>IF(SUMIFS(Таблица2[WIN$],Таблица2[1],B339)=0,"-",SUMIFS(Таблица2[WIN$],Таблица2[1],B339))</f>
        <v>-</v>
      </c>
      <c r="M339" s="76" t="str">
        <f t="shared" si="21"/>
        <v>-</v>
      </c>
      <c r="N339" s="78" t="str">
        <f>IFERROR(Таблица46[[#This Row],[PROF]]/Таблица46[[#This Row],[Games]],"-")</f>
        <v>-</v>
      </c>
    </row>
    <row r="340" spans="1:14" ht="11.1" customHeight="1" x14ac:dyDescent="0.25">
      <c r="A340" s="93">
        <f t="shared" si="17"/>
        <v>254</v>
      </c>
      <c r="D340" s="117" t="str">
        <f>IF(COUNTIFS(Таблица2[1],B340)+SUMIFS(Таблица2[R],Таблица2[1],B340)=0,"",COUNTIFS(Таблица2[1],B340)+SUMIFS(Таблица2[R],Таблица2[1],B340))</f>
        <v/>
      </c>
      <c r="E340" s="76" t="str">
        <f>IF(SUMIFS(Таблица2[B$],Таблица2[1],B340)=0,"-",SUMIFS(Таблица2[B$],Таблица2[1],B340))</f>
        <v>-</v>
      </c>
      <c r="F340" s="77" t="str">
        <f>IFERROR(AVERAGEIFS(Таблица2[AFS],Таблица2[1],B340)+(AVERAGEIFS(Таблица2[AFS],Таблица2[1],B340)*0.2),"-")</f>
        <v>-</v>
      </c>
      <c r="G340" s="77" t="str">
        <f t="shared" si="20"/>
        <v>-</v>
      </c>
      <c r="H340" s="77" t="str">
        <f>IFERROR(COUNTIFS(Таблица2[1],B340,Таблица2[WIN$],"&gt;0")/D340*100,"-")</f>
        <v>-</v>
      </c>
      <c r="I340" s="77" t="str">
        <f>IF(IFERROR((COUNTIFS(Таблица2[1],B340,Таблица2[K],"K")+SUMIFS(Таблица2[R],Таблица2[1],B340,Таблица2[K],"K"))/D340*100,"-")=0,"-",IFERROR((COUNTIFS(Таблица2[1],B340,Таблица2[K],"K")+SUMIFS(Таблица2[R],Таблица2[1],B340,Таблица2[K],"K"))/D340*100,"-"))</f>
        <v>-</v>
      </c>
      <c r="J340" s="77" t="str">
        <f>IF(IFERROR((COUNTIFS(Таблица2[1],B340,Таблица2[T],"t")+SUMIFS(Таблица2[R],Таблица2[1],B340,Таблица2[T],"t"))/D340*100,"-")=0,"-",IFERROR((COUNTIFS(Таблица2[1],B340,Таблица2[T],"t")+SUMIFS(Таблица2[R],Таблица2[1],B340,Таблица2[T],"t"))/D340*100,"-"))</f>
        <v>-</v>
      </c>
      <c r="K340" s="76" t="str">
        <f>IF(SUMIFS(Таблица2[KO$],Таблица2[1],B340)=0,"-",SUMIFS(Таблица2[KO$],Таблица2[1],B340))</f>
        <v>-</v>
      </c>
      <c r="L340" s="76" t="str">
        <f>IF(SUMIFS(Таблица2[WIN$],Таблица2[1],B340)=0,"-",SUMIFS(Таблица2[WIN$],Таблица2[1],B340))</f>
        <v>-</v>
      </c>
      <c r="M340" s="76" t="str">
        <f t="shared" si="21"/>
        <v>-</v>
      </c>
      <c r="N340" s="78" t="str">
        <f>IFERROR(Таблица46[[#This Row],[PROF]]/Таблица46[[#This Row],[Games]],"-")</f>
        <v>-</v>
      </c>
    </row>
    <row r="341" spans="1:14" ht="11.1" customHeight="1" x14ac:dyDescent="0.25">
      <c r="A341" s="93">
        <f t="shared" si="17"/>
        <v>255</v>
      </c>
      <c r="D341" s="117" t="str">
        <f>IF(COUNTIFS(Таблица2[1],B341)+SUMIFS(Таблица2[R],Таблица2[1],B341)=0,"",COUNTIFS(Таблица2[1],B341)+SUMIFS(Таблица2[R],Таблица2[1],B341))</f>
        <v/>
      </c>
      <c r="E341" s="76" t="str">
        <f>IF(SUMIFS(Таблица2[B$],Таблица2[1],B341)=0,"-",SUMIFS(Таблица2[B$],Таблица2[1],B341))</f>
        <v>-</v>
      </c>
      <c r="F341" s="77" t="str">
        <f>IFERROR(AVERAGEIFS(Таблица2[AFS],Таблица2[1],B341)+(AVERAGEIFS(Таблица2[AFS],Таблица2[1],B341)*0.2),"-")</f>
        <v>-</v>
      </c>
      <c r="G341" s="77" t="str">
        <f t="shared" si="20"/>
        <v>-</v>
      </c>
      <c r="H341" s="77" t="str">
        <f>IFERROR(COUNTIFS(Таблица2[1],B341,Таблица2[WIN$],"&gt;0")/D341*100,"-")</f>
        <v>-</v>
      </c>
      <c r="I341" s="77" t="str">
        <f>IF(IFERROR((COUNTIFS(Таблица2[1],B341,Таблица2[K],"K")+SUMIFS(Таблица2[R],Таблица2[1],B341,Таблица2[K],"K"))/D341*100,"-")=0,"-",IFERROR((COUNTIFS(Таблица2[1],B341,Таблица2[K],"K")+SUMIFS(Таблица2[R],Таблица2[1],B341,Таблица2[K],"K"))/D341*100,"-"))</f>
        <v>-</v>
      </c>
      <c r="J341" s="77" t="str">
        <f>IF(IFERROR((COUNTIFS(Таблица2[1],B341,Таблица2[T],"t")+SUMIFS(Таблица2[R],Таблица2[1],B341,Таблица2[T],"t"))/D341*100,"-")=0,"-",IFERROR((COUNTIFS(Таблица2[1],B341,Таблица2[T],"t")+SUMIFS(Таблица2[R],Таблица2[1],B341,Таблица2[T],"t"))/D341*100,"-"))</f>
        <v>-</v>
      </c>
      <c r="K341" s="76" t="str">
        <f>IF(SUMIFS(Таблица2[KO$],Таблица2[1],B341)=0,"-",SUMIFS(Таблица2[KO$],Таблица2[1],B341))</f>
        <v>-</v>
      </c>
      <c r="L341" s="76" t="str">
        <f>IF(SUMIFS(Таблица2[WIN$],Таблица2[1],B341)=0,"-",SUMIFS(Таблица2[WIN$],Таблица2[1],B341))</f>
        <v>-</v>
      </c>
      <c r="M341" s="76" t="str">
        <f t="shared" si="21"/>
        <v>-</v>
      </c>
      <c r="N341" s="78" t="str">
        <f>IFERROR(Таблица46[[#This Row],[PROF]]/Таблица46[[#This Row],[Games]],"-")</f>
        <v>-</v>
      </c>
    </row>
    <row r="342" spans="1:14" ht="11.1" customHeight="1" x14ac:dyDescent="0.25">
      <c r="A342" s="93">
        <f t="shared" si="17"/>
        <v>256</v>
      </c>
      <c r="D342" s="117" t="str">
        <f>IF(COUNTIFS(Таблица2[1],B342)+SUMIFS(Таблица2[R],Таблица2[1],B342)=0,"",COUNTIFS(Таблица2[1],B342)+SUMIFS(Таблица2[R],Таблица2[1],B342))</f>
        <v/>
      </c>
      <c r="E342" s="76" t="str">
        <f>IF(SUMIFS(Таблица2[B$],Таблица2[1],B342)=0,"-",SUMIFS(Таблица2[B$],Таблица2[1],B342))</f>
        <v>-</v>
      </c>
      <c r="F342" s="77" t="str">
        <f>IFERROR(AVERAGEIFS(Таблица2[AFS],Таблица2[1],B342)+(AVERAGEIFS(Таблица2[AFS],Таблица2[1],B342)*0.2),"-")</f>
        <v>-</v>
      </c>
      <c r="G342" s="77" t="str">
        <f t="shared" si="20"/>
        <v>-</v>
      </c>
      <c r="H342" s="77" t="str">
        <f>IFERROR(COUNTIFS(Таблица2[1],B342,Таблица2[WIN$],"&gt;0")/D342*100,"-")</f>
        <v>-</v>
      </c>
      <c r="I342" s="77" t="str">
        <f>IF(IFERROR((COUNTIFS(Таблица2[1],B342,Таблица2[K],"K")+SUMIFS(Таблица2[R],Таблица2[1],B342,Таблица2[K],"K"))/D342*100,"-")=0,"-",IFERROR((COUNTIFS(Таблица2[1],B342,Таблица2[K],"K")+SUMIFS(Таблица2[R],Таблица2[1],B342,Таблица2[K],"K"))/D342*100,"-"))</f>
        <v>-</v>
      </c>
      <c r="J342" s="77" t="str">
        <f>IF(IFERROR((COUNTIFS(Таблица2[1],B342,Таблица2[T],"t")+SUMIFS(Таблица2[R],Таблица2[1],B342,Таблица2[T],"t"))/D342*100,"-")=0,"-",IFERROR((COUNTIFS(Таблица2[1],B342,Таблица2[T],"t")+SUMIFS(Таблица2[R],Таблица2[1],B342,Таблица2[T],"t"))/D342*100,"-"))</f>
        <v>-</v>
      </c>
      <c r="K342" s="76" t="str">
        <f>IF(SUMIFS(Таблица2[KO$],Таблица2[1],B342)=0,"-",SUMIFS(Таблица2[KO$],Таблица2[1],B342))</f>
        <v>-</v>
      </c>
      <c r="L342" s="76" t="str">
        <f>IF(SUMIFS(Таблица2[WIN$],Таблица2[1],B342)=0,"-",SUMIFS(Таблица2[WIN$],Таблица2[1],B342))</f>
        <v>-</v>
      </c>
      <c r="M342" s="76" t="str">
        <f t="shared" si="21"/>
        <v>-</v>
      </c>
      <c r="N342" s="78" t="str">
        <f>IFERROR(Таблица46[[#This Row],[PROF]]/Таблица46[[#This Row],[Games]],"-")</f>
        <v>-</v>
      </c>
    </row>
    <row r="343" spans="1:14" ht="11.1" customHeight="1" x14ac:dyDescent="0.25">
      <c r="A343" s="93">
        <f t="shared" si="17"/>
        <v>257</v>
      </c>
      <c r="D343" s="117" t="str">
        <f>IF(COUNTIFS(Таблица2[1],B343)+SUMIFS(Таблица2[R],Таблица2[1],B343)=0,"",COUNTIFS(Таблица2[1],B343)+SUMIFS(Таблица2[R],Таблица2[1],B343))</f>
        <v/>
      </c>
      <c r="E343" s="76" t="str">
        <f>IF(SUMIFS(Таблица2[B$],Таблица2[1],B343)=0,"-",SUMIFS(Таблица2[B$],Таблица2[1],B343))</f>
        <v>-</v>
      </c>
      <c r="F343" s="77" t="str">
        <f>IFERROR(AVERAGEIFS(Таблица2[AFS],Таблица2[1],B343)+(AVERAGEIFS(Таблица2[AFS],Таблица2[1],B343)*0.2),"-")</f>
        <v>-</v>
      </c>
      <c r="G343" s="77" t="str">
        <f t="shared" si="20"/>
        <v>-</v>
      </c>
      <c r="H343" s="77" t="str">
        <f>IFERROR(COUNTIFS(Таблица2[1],B343,Таблица2[WIN$],"&gt;0")/D343*100,"-")</f>
        <v>-</v>
      </c>
      <c r="I343" s="77" t="str">
        <f>IF(IFERROR((COUNTIFS(Таблица2[1],B343,Таблица2[K],"K")+SUMIFS(Таблица2[R],Таблица2[1],B343,Таблица2[K],"K"))/D343*100,"-")=0,"-",IFERROR((COUNTIFS(Таблица2[1],B343,Таблица2[K],"K")+SUMIFS(Таблица2[R],Таблица2[1],B343,Таблица2[K],"K"))/D343*100,"-"))</f>
        <v>-</v>
      </c>
      <c r="J343" s="77" t="str">
        <f>IF(IFERROR((COUNTIFS(Таблица2[1],B343,Таблица2[T],"t")+SUMIFS(Таблица2[R],Таблица2[1],B343,Таблица2[T],"t"))/D343*100,"-")=0,"-",IFERROR((COUNTIFS(Таблица2[1],B343,Таблица2[T],"t")+SUMIFS(Таблица2[R],Таблица2[1],B343,Таблица2[T],"t"))/D343*100,"-"))</f>
        <v>-</v>
      </c>
      <c r="K343" s="76" t="str">
        <f>IF(SUMIFS(Таблица2[KO$],Таблица2[1],B343)=0,"-",SUMIFS(Таблица2[KO$],Таблица2[1],B343))</f>
        <v>-</v>
      </c>
      <c r="L343" s="76" t="str">
        <f>IF(SUMIFS(Таблица2[WIN$],Таблица2[1],B343)=0,"-",SUMIFS(Таблица2[WIN$],Таблица2[1],B343))</f>
        <v>-</v>
      </c>
      <c r="M343" s="76" t="str">
        <f t="shared" si="21"/>
        <v>-</v>
      </c>
      <c r="N343" s="78" t="str">
        <f>IFERROR(Таблица46[[#This Row],[PROF]]/Таблица46[[#This Row],[Games]],"-")</f>
        <v>-</v>
      </c>
    </row>
    <row r="344" spans="1:14" ht="11.1" customHeight="1" x14ac:dyDescent="0.25">
      <c r="A344" s="93">
        <f t="shared" ref="A344:A384" si="22">A343+1</f>
        <v>258</v>
      </c>
      <c r="D344" s="117" t="str">
        <f>IF(COUNTIFS(Таблица2[1],B344)+SUMIFS(Таблица2[R],Таблица2[1],B344)=0,"",COUNTIFS(Таблица2[1],B344)+SUMIFS(Таблица2[R],Таблица2[1],B344))</f>
        <v/>
      </c>
      <c r="E344" s="76" t="str">
        <f>IF(SUMIFS(Таблица2[B$],Таблица2[1],B344)=0,"-",SUMIFS(Таблица2[B$],Таблица2[1],B344))</f>
        <v>-</v>
      </c>
      <c r="F344" s="77" t="str">
        <f>IFERROR(AVERAGEIFS(Таблица2[AFS],Таблица2[1],B344)+(AVERAGEIFS(Таблица2[AFS],Таблица2[1],B344)*0.2),"-")</f>
        <v>-</v>
      </c>
      <c r="G344" s="77" t="str">
        <f t="shared" si="20"/>
        <v>-</v>
      </c>
      <c r="H344" s="77" t="str">
        <f>IFERROR(COUNTIFS(Таблица2[1],B344,Таблица2[WIN$],"&gt;0")/D344*100,"-")</f>
        <v>-</v>
      </c>
      <c r="I344" s="77" t="str">
        <f>IF(IFERROR((COUNTIFS(Таблица2[1],B344,Таблица2[K],"K")+SUMIFS(Таблица2[R],Таблица2[1],B344,Таблица2[K],"K"))/D344*100,"-")=0,"-",IFERROR((COUNTIFS(Таблица2[1],B344,Таблица2[K],"K")+SUMIFS(Таблица2[R],Таблица2[1],B344,Таблица2[K],"K"))/D344*100,"-"))</f>
        <v>-</v>
      </c>
      <c r="J344" s="77" t="str">
        <f>IF(IFERROR((COUNTIFS(Таблица2[1],B344,Таблица2[T],"t")+SUMIFS(Таблица2[R],Таблица2[1],B344,Таблица2[T],"t"))/D344*100,"-")=0,"-",IFERROR((COUNTIFS(Таблица2[1],B344,Таблица2[T],"t")+SUMIFS(Таблица2[R],Таблица2[1],B344,Таблица2[T],"t"))/D344*100,"-"))</f>
        <v>-</v>
      </c>
      <c r="K344" s="76" t="str">
        <f>IF(SUMIFS(Таблица2[KO$],Таблица2[1],B344)=0,"-",SUMIFS(Таблица2[KO$],Таблица2[1],B344))</f>
        <v>-</v>
      </c>
      <c r="L344" s="76" t="str">
        <f>IF(SUMIFS(Таблица2[WIN$],Таблица2[1],B344)=0,"-",SUMIFS(Таблица2[WIN$],Таблица2[1],B344))</f>
        <v>-</v>
      </c>
      <c r="M344" s="76" t="str">
        <f t="shared" si="21"/>
        <v>-</v>
      </c>
      <c r="N344" s="78" t="str">
        <f>IFERROR(Таблица46[[#This Row],[PROF]]/Таблица46[[#This Row],[Games]],"-")</f>
        <v>-</v>
      </c>
    </row>
    <row r="345" spans="1:14" ht="11.1" customHeight="1" x14ac:dyDescent="0.25">
      <c r="A345" s="93">
        <f t="shared" si="22"/>
        <v>259</v>
      </c>
      <c r="D345" s="117" t="str">
        <f>IF(COUNTIFS(Таблица2[1],B345)+SUMIFS(Таблица2[R],Таблица2[1],B345)=0,"",COUNTIFS(Таблица2[1],B345)+SUMIFS(Таблица2[R],Таблица2[1],B345))</f>
        <v/>
      </c>
      <c r="E345" s="76" t="str">
        <f>IF(SUMIFS(Таблица2[B$],Таблица2[1],B345)=0,"-",SUMIFS(Таблица2[B$],Таблица2[1],B345))</f>
        <v>-</v>
      </c>
      <c r="F345" s="77" t="str">
        <f>IFERROR(AVERAGEIFS(Таблица2[AFS],Таблица2[1],B345)+(AVERAGEIFS(Таблица2[AFS],Таблица2[1],B345)*0.2),"-")</f>
        <v>-</v>
      </c>
      <c r="G345" s="77" t="str">
        <f t="shared" si="20"/>
        <v>-</v>
      </c>
      <c r="H345" s="77" t="str">
        <f>IFERROR(COUNTIFS(Таблица2[1],B345,Таблица2[WIN$],"&gt;0")/D345*100,"-")</f>
        <v>-</v>
      </c>
      <c r="I345" s="77" t="str">
        <f>IF(IFERROR((COUNTIFS(Таблица2[1],B345,Таблица2[K],"K")+SUMIFS(Таблица2[R],Таблица2[1],B345,Таблица2[K],"K"))/D345*100,"-")=0,"-",IFERROR((COUNTIFS(Таблица2[1],B345,Таблица2[K],"K")+SUMIFS(Таблица2[R],Таблица2[1],B345,Таблица2[K],"K"))/D345*100,"-"))</f>
        <v>-</v>
      </c>
      <c r="J345" s="77" t="str">
        <f>IF(IFERROR((COUNTIFS(Таблица2[1],B345,Таблица2[T],"t")+SUMIFS(Таблица2[R],Таблица2[1],B345,Таблица2[T],"t"))/D345*100,"-")=0,"-",IFERROR((COUNTIFS(Таблица2[1],B345,Таблица2[T],"t")+SUMIFS(Таблица2[R],Таблица2[1],B345,Таблица2[T],"t"))/D345*100,"-"))</f>
        <v>-</v>
      </c>
      <c r="K345" s="76" t="str">
        <f>IF(SUMIFS(Таблица2[KO$],Таблица2[1],B345)=0,"-",SUMIFS(Таблица2[KO$],Таблица2[1],B345))</f>
        <v>-</v>
      </c>
      <c r="L345" s="76" t="str">
        <f>IF(SUMIFS(Таблица2[WIN$],Таблица2[1],B345)=0,"-",SUMIFS(Таблица2[WIN$],Таблица2[1],B345))</f>
        <v>-</v>
      </c>
      <c r="M345" s="76" t="str">
        <f t="shared" si="21"/>
        <v>-</v>
      </c>
      <c r="N345" s="78" t="str">
        <f>IFERROR(Таблица46[[#This Row],[PROF]]/Таблица46[[#This Row],[Games]],"-")</f>
        <v>-</v>
      </c>
    </row>
    <row r="346" spans="1:14" ht="11.1" customHeight="1" x14ac:dyDescent="0.25">
      <c r="A346" s="93">
        <f t="shared" si="22"/>
        <v>260</v>
      </c>
      <c r="D346" s="117" t="str">
        <f>IF(COUNTIFS(Таблица2[1],B346)+SUMIFS(Таблица2[R],Таблица2[1],B346)=0,"",COUNTIFS(Таблица2[1],B346)+SUMIFS(Таблица2[R],Таблица2[1],B346))</f>
        <v/>
      </c>
      <c r="E346" s="76" t="str">
        <f>IF(SUMIFS(Таблица2[B$],Таблица2[1],B346)=0,"-",SUMIFS(Таблица2[B$],Таблица2[1],B346))</f>
        <v>-</v>
      </c>
      <c r="F346" s="77" t="str">
        <f>IFERROR(AVERAGEIFS(Таблица2[AFS],Таблица2[1],B346)+(AVERAGEIFS(Таблица2[AFS],Таблица2[1],B346)*0.2),"-")</f>
        <v>-</v>
      </c>
      <c r="G346" s="77" t="str">
        <f t="shared" si="20"/>
        <v>-</v>
      </c>
      <c r="H346" s="77" t="str">
        <f>IFERROR(COUNTIFS(Таблица2[1],B346,Таблица2[WIN$],"&gt;0")/D346*100,"-")</f>
        <v>-</v>
      </c>
      <c r="I346" s="77" t="str">
        <f>IF(IFERROR((COUNTIFS(Таблица2[1],B346,Таблица2[K],"K")+SUMIFS(Таблица2[R],Таблица2[1],B346,Таблица2[K],"K"))/D346*100,"-")=0,"-",IFERROR((COUNTIFS(Таблица2[1],B346,Таблица2[K],"K")+SUMIFS(Таблица2[R],Таблица2[1],B346,Таблица2[K],"K"))/D346*100,"-"))</f>
        <v>-</v>
      </c>
      <c r="J346" s="77" t="str">
        <f>IF(IFERROR((COUNTIFS(Таблица2[1],B346,Таблица2[T],"t")+SUMIFS(Таблица2[R],Таблица2[1],B346,Таблица2[T],"t"))/D346*100,"-")=0,"-",IFERROR((COUNTIFS(Таблица2[1],B346,Таблица2[T],"t")+SUMIFS(Таблица2[R],Таблица2[1],B346,Таблица2[T],"t"))/D346*100,"-"))</f>
        <v>-</v>
      </c>
      <c r="K346" s="76" t="str">
        <f>IF(SUMIFS(Таблица2[KO$],Таблица2[1],B346)=0,"-",SUMIFS(Таблица2[KO$],Таблица2[1],B346))</f>
        <v>-</v>
      </c>
      <c r="L346" s="76" t="str">
        <f>IF(SUMIFS(Таблица2[WIN$],Таблица2[1],B346)=0,"-",SUMIFS(Таблица2[WIN$],Таблица2[1],B346))</f>
        <v>-</v>
      </c>
      <c r="M346" s="76" t="str">
        <f t="shared" si="21"/>
        <v>-</v>
      </c>
      <c r="N346" s="78" t="str">
        <f>IFERROR(Таблица46[[#This Row],[PROF]]/Таблица46[[#This Row],[Games]],"-")</f>
        <v>-</v>
      </c>
    </row>
    <row r="347" spans="1:14" ht="11.1" customHeight="1" x14ac:dyDescent="0.25">
      <c r="A347" s="93">
        <f t="shared" si="22"/>
        <v>261</v>
      </c>
      <c r="D347" s="117" t="str">
        <f>IF(COUNTIFS(Таблица2[1],B347)+SUMIFS(Таблица2[R],Таблица2[1],B347)=0,"",COUNTIFS(Таблица2[1],B347)+SUMIFS(Таблица2[R],Таблица2[1],B347))</f>
        <v/>
      </c>
      <c r="E347" s="76" t="str">
        <f>IF(SUMIFS(Таблица2[B$],Таблица2[1],B347)=0,"-",SUMIFS(Таблица2[B$],Таблица2[1],B347))</f>
        <v>-</v>
      </c>
      <c r="F347" s="77" t="str">
        <f>IFERROR(AVERAGEIFS(Таблица2[AFS],Таблица2[1],B347)+(AVERAGEIFS(Таблица2[AFS],Таблица2[1],B347)*0.2),"-")</f>
        <v>-</v>
      </c>
      <c r="G347" s="77" t="str">
        <f t="shared" si="20"/>
        <v>-</v>
      </c>
      <c r="H347" s="77" t="str">
        <f>IFERROR(COUNTIFS(Таблица2[1],B347,Таблица2[WIN$],"&gt;0")/D347*100,"-")</f>
        <v>-</v>
      </c>
      <c r="I347" s="77" t="str">
        <f>IF(IFERROR((COUNTIFS(Таблица2[1],B347,Таблица2[K],"K")+SUMIFS(Таблица2[R],Таблица2[1],B347,Таблица2[K],"K"))/D347*100,"-")=0,"-",IFERROR((COUNTIFS(Таблица2[1],B347,Таблица2[K],"K")+SUMIFS(Таблица2[R],Таблица2[1],B347,Таблица2[K],"K"))/D347*100,"-"))</f>
        <v>-</v>
      </c>
      <c r="J347" s="77" t="str">
        <f>IF(IFERROR((COUNTIFS(Таблица2[1],B347,Таблица2[T],"t")+SUMIFS(Таблица2[R],Таблица2[1],B347,Таблица2[T],"t"))/D347*100,"-")=0,"-",IFERROR((COUNTIFS(Таблица2[1],B347,Таблица2[T],"t")+SUMIFS(Таблица2[R],Таблица2[1],B347,Таблица2[T],"t"))/D347*100,"-"))</f>
        <v>-</v>
      </c>
      <c r="K347" s="76" t="str">
        <f>IF(SUMIFS(Таблица2[KO$],Таблица2[1],B347)=0,"-",SUMIFS(Таблица2[KO$],Таблица2[1],B347))</f>
        <v>-</v>
      </c>
      <c r="L347" s="76" t="str">
        <f>IF(SUMIFS(Таблица2[WIN$],Таблица2[1],B347)=0,"-",SUMIFS(Таблица2[WIN$],Таблица2[1],B347))</f>
        <v>-</v>
      </c>
      <c r="M347" s="76" t="str">
        <f t="shared" si="21"/>
        <v>-</v>
      </c>
      <c r="N347" s="78" t="str">
        <f>IFERROR(Таблица46[[#This Row],[PROF]]/Таблица46[[#This Row],[Games]],"-")</f>
        <v>-</v>
      </c>
    </row>
    <row r="348" spans="1:14" ht="11.1" customHeight="1" x14ac:dyDescent="0.25">
      <c r="A348" s="93">
        <f t="shared" si="22"/>
        <v>262</v>
      </c>
      <c r="D348" s="117" t="str">
        <f>IF(COUNTIFS(Таблица2[1],B348)+SUMIFS(Таблица2[R],Таблица2[1],B348)=0,"",COUNTIFS(Таблица2[1],B348)+SUMIFS(Таблица2[R],Таблица2[1],B348))</f>
        <v/>
      </c>
      <c r="E348" s="76" t="str">
        <f>IF(SUMIFS(Таблица2[B$],Таблица2[1],B348)=0,"-",SUMIFS(Таблица2[B$],Таблица2[1],B348))</f>
        <v>-</v>
      </c>
      <c r="F348" s="77" t="str">
        <f>IFERROR(AVERAGEIFS(Таблица2[AFS],Таблица2[1],B348)+(AVERAGEIFS(Таблица2[AFS],Таблица2[1],B348)*0.2),"-")</f>
        <v>-</v>
      </c>
      <c r="G348" s="77" t="str">
        <f t="shared" si="20"/>
        <v>-</v>
      </c>
      <c r="H348" s="77" t="str">
        <f>IFERROR(COUNTIFS(Таблица2[1],B348,Таблица2[WIN$],"&gt;0")/D348*100,"-")</f>
        <v>-</v>
      </c>
      <c r="I348" s="77" t="str">
        <f>IF(IFERROR((COUNTIFS(Таблица2[1],B348,Таблица2[K],"K")+SUMIFS(Таблица2[R],Таблица2[1],B348,Таблица2[K],"K"))/D348*100,"-")=0,"-",IFERROR((COUNTIFS(Таблица2[1],B348,Таблица2[K],"K")+SUMIFS(Таблица2[R],Таблица2[1],B348,Таблица2[K],"K"))/D348*100,"-"))</f>
        <v>-</v>
      </c>
      <c r="J348" s="77" t="str">
        <f>IF(IFERROR((COUNTIFS(Таблица2[1],B348,Таблица2[T],"t")+SUMIFS(Таблица2[R],Таблица2[1],B348,Таблица2[T],"t"))/D348*100,"-")=0,"-",IFERROR((COUNTIFS(Таблица2[1],B348,Таблица2[T],"t")+SUMIFS(Таблица2[R],Таблица2[1],B348,Таблица2[T],"t"))/D348*100,"-"))</f>
        <v>-</v>
      </c>
      <c r="K348" s="76" t="str">
        <f>IF(SUMIFS(Таблица2[KO$],Таблица2[1],B348)=0,"-",SUMIFS(Таблица2[KO$],Таблица2[1],B348))</f>
        <v>-</v>
      </c>
      <c r="L348" s="76" t="str">
        <f>IF(SUMIFS(Таблица2[WIN$],Таблица2[1],B348)=0,"-",SUMIFS(Таблица2[WIN$],Таблица2[1],B348))</f>
        <v>-</v>
      </c>
      <c r="M348" s="76" t="str">
        <f t="shared" si="21"/>
        <v>-</v>
      </c>
      <c r="N348" s="78" t="str">
        <f>IFERROR(Таблица46[[#This Row],[PROF]]/Таблица46[[#This Row],[Games]],"-")</f>
        <v>-</v>
      </c>
    </row>
    <row r="349" spans="1:14" ht="11.1" customHeight="1" x14ac:dyDescent="0.25">
      <c r="A349" s="93">
        <f t="shared" si="22"/>
        <v>263</v>
      </c>
      <c r="D349" s="117" t="str">
        <f>IF(COUNTIFS(Таблица2[1],B349)+SUMIFS(Таблица2[R],Таблица2[1],B349)=0,"",COUNTIFS(Таблица2[1],B349)+SUMIFS(Таблица2[R],Таблица2[1],B349))</f>
        <v/>
      </c>
      <c r="E349" s="76" t="str">
        <f>IF(SUMIFS(Таблица2[B$],Таблица2[1],B349)=0,"-",SUMIFS(Таблица2[B$],Таблица2[1],B349))</f>
        <v>-</v>
      </c>
      <c r="F349" s="77" t="str">
        <f>IFERROR(AVERAGEIFS(Таблица2[AFS],Таблица2[1],B349)+(AVERAGEIFS(Таблица2[AFS],Таблица2[1],B349)*0.2),"-")</f>
        <v>-</v>
      </c>
      <c r="G349" s="77" t="str">
        <f t="shared" si="20"/>
        <v>-</v>
      </c>
      <c r="H349" s="77" t="str">
        <f>IFERROR(COUNTIFS(Таблица2[1],B349,Таблица2[WIN$],"&gt;0")/D349*100,"-")</f>
        <v>-</v>
      </c>
      <c r="I349" s="77" t="str">
        <f>IF(IFERROR((COUNTIFS(Таблица2[1],B349,Таблица2[K],"K")+SUMIFS(Таблица2[R],Таблица2[1],B349,Таблица2[K],"K"))/D349*100,"-")=0,"-",IFERROR((COUNTIFS(Таблица2[1],B349,Таблица2[K],"K")+SUMIFS(Таблица2[R],Таблица2[1],B349,Таблица2[K],"K"))/D349*100,"-"))</f>
        <v>-</v>
      </c>
      <c r="J349" s="77" t="str">
        <f>IF(IFERROR((COUNTIFS(Таблица2[1],B349,Таблица2[T],"t")+SUMIFS(Таблица2[R],Таблица2[1],B349,Таблица2[T],"t"))/D349*100,"-")=0,"-",IFERROR((COUNTIFS(Таблица2[1],B349,Таблица2[T],"t")+SUMIFS(Таблица2[R],Таблица2[1],B349,Таблица2[T],"t"))/D349*100,"-"))</f>
        <v>-</v>
      </c>
      <c r="K349" s="76" t="str">
        <f>IF(SUMIFS(Таблица2[KO$],Таблица2[1],B349)=0,"-",SUMIFS(Таблица2[KO$],Таблица2[1],B349))</f>
        <v>-</v>
      </c>
      <c r="L349" s="76" t="str">
        <f>IF(SUMIFS(Таблица2[WIN$],Таблица2[1],B349)=0,"-",SUMIFS(Таблица2[WIN$],Таблица2[1],B349))</f>
        <v>-</v>
      </c>
      <c r="M349" s="76" t="str">
        <f t="shared" si="21"/>
        <v>-</v>
      </c>
      <c r="N349" s="78" t="str">
        <f>IFERROR(Таблица46[[#This Row],[PROF]]/Таблица46[[#This Row],[Games]],"-")</f>
        <v>-</v>
      </c>
    </row>
    <row r="350" spans="1:14" ht="11.1" customHeight="1" x14ac:dyDescent="0.25">
      <c r="A350" s="93">
        <f t="shared" si="22"/>
        <v>264</v>
      </c>
      <c r="D350" s="117" t="str">
        <f>IF(COUNTIFS(Таблица2[1],B350)+SUMIFS(Таблица2[R],Таблица2[1],B350)=0,"",COUNTIFS(Таблица2[1],B350)+SUMIFS(Таблица2[R],Таблица2[1],B350))</f>
        <v/>
      </c>
      <c r="E350" s="76" t="str">
        <f>IF(SUMIFS(Таблица2[B$],Таблица2[1],B350)=0,"-",SUMIFS(Таблица2[B$],Таблица2[1],B350))</f>
        <v>-</v>
      </c>
      <c r="F350" s="77" t="str">
        <f>IFERROR(AVERAGEIFS(Таблица2[AFS],Таблица2[1],B350)+(AVERAGEIFS(Таблица2[AFS],Таблица2[1],B350)*0.2),"-")</f>
        <v>-</v>
      </c>
      <c r="G350" s="77" t="str">
        <f t="shared" si="20"/>
        <v>-</v>
      </c>
      <c r="H350" s="77" t="str">
        <f>IFERROR(COUNTIFS(Таблица2[1],B350,Таблица2[WIN$],"&gt;0")/D350*100,"-")</f>
        <v>-</v>
      </c>
      <c r="I350" s="77" t="str">
        <f>IF(IFERROR((COUNTIFS(Таблица2[1],B350,Таблица2[K],"K")+SUMIFS(Таблица2[R],Таблица2[1],B350,Таблица2[K],"K"))/D350*100,"-")=0,"-",IFERROR((COUNTIFS(Таблица2[1],B350,Таблица2[K],"K")+SUMIFS(Таблица2[R],Таблица2[1],B350,Таблица2[K],"K"))/D350*100,"-"))</f>
        <v>-</v>
      </c>
      <c r="J350" s="77" t="str">
        <f>IF(IFERROR((COUNTIFS(Таблица2[1],B350,Таблица2[T],"t")+SUMIFS(Таблица2[R],Таблица2[1],B350,Таблица2[T],"t"))/D350*100,"-")=0,"-",IFERROR((COUNTIFS(Таблица2[1],B350,Таблица2[T],"t")+SUMIFS(Таблица2[R],Таблица2[1],B350,Таблица2[T],"t"))/D350*100,"-"))</f>
        <v>-</v>
      </c>
      <c r="K350" s="76" t="str">
        <f>IF(SUMIFS(Таблица2[KO$],Таблица2[1],B350)=0,"-",SUMIFS(Таблица2[KO$],Таблица2[1],B350))</f>
        <v>-</v>
      </c>
      <c r="L350" s="76" t="str">
        <f>IF(SUMIFS(Таблица2[WIN$],Таблица2[1],B350)=0,"-",SUMIFS(Таблица2[WIN$],Таблица2[1],B350))</f>
        <v>-</v>
      </c>
      <c r="M350" s="76" t="str">
        <f t="shared" si="21"/>
        <v>-</v>
      </c>
      <c r="N350" s="78" t="str">
        <f>IFERROR(Таблица46[[#This Row],[PROF]]/Таблица46[[#This Row],[Games]],"-")</f>
        <v>-</v>
      </c>
    </row>
    <row r="351" spans="1:14" ht="11.1" customHeight="1" x14ac:dyDescent="0.25">
      <c r="A351" s="93">
        <f t="shared" si="22"/>
        <v>265</v>
      </c>
      <c r="D351" s="117" t="str">
        <f>IF(COUNTIFS(Таблица2[1],B351)+SUMIFS(Таблица2[R],Таблица2[1],B351)=0,"",COUNTIFS(Таблица2[1],B351)+SUMIFS(Таблица2[R],Таблица2[1],B351))</f>
        <v/>
      </c>
      <c r="E351" s="76" t="str">
        <f>IF(SUMIFS(Таблица2[B$],Таблица2[1],B351)=0,"-",SUMIFS(Таблица2[B$],Таблица2[1],B351))</f>
        <v>-</v>
      </c>
      <c r="F351" s="77" t="str">
        <f>IFERROR(AVERAGEIFS(Таблица2[AFS],Таблица2[1],B351)+(AVERAGEIFS(Таблица2[AFS],Таблица2[1],B351)*0.2),"-")</f>
        <v>-</v>
      </c>
      <c r="G351" s="77" t="str">
        <f t="shared" ref="G351:G380" si="23">IFERROR(M351/E351*100,"-")</f>
        <v>-</v>
      </c>
      <c r="H351" s="77" t="str">
        <f>IFERROR(COUNTIFS(Таблица2[1],B351,Таблица2[WIN$],"&gt;0")/D351*100,"-")</f>
        <v>-</v>
      </c>
      <c r="I351" s="77" t="str">
        <f>IF(IFERROR((COUNTIFS(Таблица2[1],B351,Таблица2[K],"K")+SUMIFS(Таблица2[R],Таблица2[1],B351,Таблица2[K],"K"))/D351*100,"-")=0,"-",IFERROR((COUNTIFS(Таблица2[1],B351,Таблица2[K],"K")+SUMIFS(Таблица2[R],Таблица2[1],B351,Таблица2[K],"K"))/D351*100,"-"))</f>
        <v>-</v>
      </c>
      <c r="J351" s="77" t="str">
        <f>IF(IFERROR((COUNTIFS(Таблица2[1],B351,Таблица2[T],"t")+SUMIFS(Таблица2[R],Таблица2[1],B351,Таблица2[T],"t"))/D351*100,"-")=0,"-",IFERROR((COUNTIFS(Таблица2[1],B351,Таблица2[T],"t")+SUMIFS(Таблица2[R],Таблица2[1],B351,Таблица2[T],"t"))/D351*100,"-"))</f>
        <v>-</v>
      </c>
      <c r="K351" s="76" t="str">
        <f>IF(SUMIFS(Таблица2[KO$],Таблица2[1],B351)=0,"-",SUMIFS(Таблица2[KO$],Таблица2[1],B351))</f>
        <v>-</v>
      </c>
      <c r="L351" s="76" t="str">
        <f>IF(SUMIFS(Таблица2[WIN$],Таблица2[1],B351)=0,"-",SUMIFS(Таблица2[WIN$],Таблица2[1],B351))</f>
        <v>-</v>
      </c>
      <c r="M351" s="76" t="str">
        <f t="shared" ref="M351:M380" si="24">IFERROR(IF(L351="-",0,L351)+IF(K351="-",0,K351)-E351,"-")</f>
        <v>-</v>
      </c>
      <c r="N351" s="78" t="str">
        <f>IFERROR(Таблица46[[#This Row],[PROF]]/Таблица46[[#This Row],[Games]],"-")</f>
        <v>-</v>
      </c>
    </row>
    <row r="352" spans="1:14" ht="11.1" customHeight="1" x14ac:dyDescent="0.25">
      <c r="A352" s="93">
        <f t="shared" si="22"/>
        <v>266</v>
      </c>
      <c r="D352" s="117" t="str">
        <f>IF(COUNTIFS(Таблица2[1],B352)+SUMIFS(Таблица2[R],Таблица2[1],B352)=0,"",COUNTIFS(Таблица2[1],B352)+SUMIFS(Таблица2[R],Таблица2[1],B352))</f>
        <v/>
      </c>
      <c r="E352" s="76" t="str">
        <f>IF(SUMIFS(Таблица2[B$],Таблица2[1],B352)=0,"-",SUMIFS(Таблица2[B$],Таблица2[1],B352))</f>
        <v>-</v>
      </c>
      <c r="F352" s="77" t="str">
        <f>IFERROR(AVERAGEIFS(Таблица2[AFS],Таблица2[1],B352)+(AVERAGEIFS(Таблица2[AFS],Таблица2[1],B352)*0.2),"-")</f>
        <v>-</v>
      </c>
      <c r="G352" s="77" t="str">
        <f t="shared" si="23"/>
        <v>-</v>
      </c>
      <c r="H352" s="77" t="str">
        <f>IFERROR(COUNTIFS(Таблица2[1],B352,Таблица2[WIN$],"&gt;0")/D352*100,"-")</f>
        <v>-</v>
      </c>
      <c r="I352" s="77" t="str">
        <f>IF(IFERROR((COUNTIFS(Таблица2[1],B352,Таблица2[K],"K")+SUMIFS(Таблица2[R],Таблица2[1],B352,Таблица2[K],"K"))/D352*100,"-")=0,"-",IFERROR((COUNTIFS(Таблица2[1],B352,Таблица2[K],"K")+SUMIFS(Таблица2[R],Таблица2[1],B352,Таблица2[K],"K"))/D352*100,"-"))</f>
        <v>-</v>
      </c>
      <c r="J352" s="77" t="str">
        <f>IF(IFERROR((COUNTIFS(Таблица2[1],B352,Таблица2[T],"t")+SUMIFS(Таблица2[R],Таблица2[1],B352,Таблица2[T],"t"))/D352*100,"-")=0,"-",IFERROR((COUNTIFS(Таблица2[1],B352,Таблица2[T],"t")+SUMIFS(Таблица2[R],Таблица2[1],B352,Таблица2[T],"t"))/D352*100,"-"))</f>
        <v>-</v>
      </c>
      <c r="K352" s="76" t="str">
        <f>IF(SUMIFS(Таблица2[KO$],Таблица2[1],B352)=0,"-",SUMIFS(Таблица2[KO$],Таблица2[1],B352))</f>
        <v>-</v>
      </c>
      <c r="L352" s="76" t="str">
        <f>IF(SUMIFS(Таблица2[WIN$],Таблица2[1],B352)=0,"-",SUMIFS(Таблица2[WIN$],Таблица2[1],B352))</f>
        <v>-</v>
      </c>
      <c r="M352" s="76" t="str">
        <f t="shared" si="24"/>
        <v>-</v>
      </c>
      <c r="N352" s="78" t="str">
        <f>IFERROR(Таблица46[[#This Row],[PROF]]/Таблица46[[#This Row],[Games]],"-")</f>
        <v>-</v>
      </c>
    </row>
    <row r="353" spans="1:14" ht="11.1" customHeight="1" x14ac:dyDescent="0.25">
      <c r="A353" s="93">
        <f t="shared" si="22"/>
        <v>267</v>
      </c>
      <c r="D353" s="117" t="str">
        <f>IF(COUNTIFS(Таблица2[1],B353)+SUMIFS(Таблица2[R],Таблица2[1],B353)=0,"",COUNTIFS(Таблица2[1],B353)+SUMIFS(Таблица2[R],Таблица2[1],B353))</f>
        <v/>
      </c>
      <c r="E353" s="76" t="str">
        <f>IF(SUMIFS(Таблица2[B$],Таблица2[1],B353)=0,"-",SUMIFS(Таблица2[B$],Таблица2[1],B353))</f>
        <v>-</v>
      </c>
      <c r="F353" s="77" t="str">
        <f>IFERROR(AVERAGEIFS(Таблица2[AFS],Таблица2[1],B353)+(AVERAGEIFS(Таблица2[AFS],Таблица2[1],B353)*0.2),"-")</f>
        <v>-</v>
      </c>
      <c r="G353" s="77" t="str">
        <f t="shared" si="23"/>
        <v>-</v>
      </c>
      <c r="H353" s="77" t="str">
        <f>IFERROR(COUNTIFS(Таблица2[1],B353,Таблица2[WIN$],"&gt;0")/D353*100,"-")</f>
        <v>-</v>
      </c>
      <c r="I353" s="77" t="str">
        <f>IF(IFERROR((COUNTIFS(Таблица2[1],B353,Таблица2[K],"K")+SUMIFS(Таблица2[R],Таблица2[1],B353,Таблица2[K],"K"))/D353*100,"-")=0,"-",IFERROR((COUNTIFS(Таблица2[1],B353,Таблица2[K],"K")+SUMIFS(Таблица2[R],Таблица2[1],B353,Таблица2[K],"K"))/D353*100,"-"))</f>
        <v>-</v>
      </c>
      <c r="J353" s="77" t="str">
        <f>IF(IFERROR((COUNTIFS(Таблица2[1],B353,Таблица2[T],"t")+SUMIFS(Таблица2[R],Таблица2[1],B353,Таблица2[T],"t"))/D353*100,"-")=0,"-",IFERROR((COUNTIFS(Таблица2[1],B353,Таблица2[T],"t")+SUMIFS(Таблица2[R],Таблица2[1],B353,Таблица2[T],"t"))/D353*100,"-"))</f>
        <v>-</v>
      </c>
      <c r="K353" s="76" t="str">
        <f>IF(SUMIFS(Таблица2[KO$],Таблица2[1],B353)=0,"-",SUMIFS(Таблица2[KO$],Таблица2[1],B353))</f>
        <v>-</v>
      </c>
      <c r="L353" s="76" t="str">
        <f>IF(SUMIFS(Таблица2[WIN$],Таблица2[1],B353)=0,"-",SUMIFS(Таблица2[WIN$],Таблица2[1],B353))</f>
        <v>-</v>
      </c>
      <c r="M353" s="76" t="str">
        <f t="shared" si="24"/>
        <v>-</v>
      </c>
      <c r="N353" s="78" t="str">
        <f>IFERROR(Таблица46[[#This Row],[PROF]]/Таблица46[[#This Row],[Games]],"-")</f>
        <v>-</v>
      </c>
    </row>
    <row r="354" spans="1:14" ht="11.1" customHeight="1" x14ac:dyDescent="0.25">
      <c r="A354" s="93">
        <f t="shared" si="22"/>
        <v>268</v>
      </c>
      <c r="D354" s="117" t="str">
        <f>IF(COUNTIFS(Таблица2[1],B354)+SUMIFS(Таблица2[R],Таблица2[1],B354)=0,"",COUNTIFS(Таблица2[1],B354)+SUMIFS(Таблица2[R],Таблица2[1],B354))</f>
        <v/>
      </c>
      <c r="E354" s="76" t="str">
        <f>IF(SUMIFS(Таблица2[B$],Таблица2[1],B354)=0,"-",SUMIFS(Таблица2[B$],Таблица2[1],B354))</f>
        <v>-</v>
      </c>
      <c r="F354" s="77" t="str">
        <f>IFERROR(AVERAGEIFS(Таблица2[AFS],Таблица2[1],B354)+(AVERAGEIFS(Таблица2[AFS],Таблица2[1],B354)*0.2),"-")</f>
        <v>-</v>
      </c>
      <c r="G354" s="77" t="str">
        <f t="shared" si="23"/>
        <v>-</v>
      </c>
      <c r="H354" s="77" t="str">
        <f>IFERROR(COUNTIFS(Таблица2[1],B354,Таблица2[WIN$],"&gt;0")/D354*100,"-")</f>
        <v>-</v>
      </c>
      <c r="I354" s="77" t="str">
        <f>IF(IFERROR((COUNTIFS(Таблица2[1],B354,Таблица2[K],"K")+SUMIFS(Таблица2[R],Таблица2[1],B354,Таблица2[K],"K"))/D354*100,"-")=0,"-",IFERROR((COUNTIFS(Таблица2[1],B354,Таблица2[K],"K")+SUMIFS(Таблица2[R],Таблица2[1],B354,Таблица2[K],"K"))/D354*100,"-"))</f>
        <v>-</v>
      </c>
      <c r="J354" s="77" t="str">
        <f>IF(IFERROR((COUNTIFS(Таблица2[1],B354,Таблица2[T],"t")+SUMIFS(Таблица2[R],Таблица2[1],B354,Таблица2[T],"t"))/D354*100,"-")=0,"-",IFERROR((COUNTIFS(Таблица2[1],B354,Таблица2[T],"t")+SUMIFS(Таблица2[R],Таблица2[1],B354,Таблица2[T],"t"))/D354*100,"-"))</f>
        <v>-</v>
      </c>
      <c r="K354" s="76" t="str">
        <f>IF(SUMIFS(Таблица2[KO$],Таблица2[1],B354)=0,"-",SUMIFS(Таблица2[KO$],Таблица2[1],B354))</f>
        <v>-</v>
      </c>
      <c r="L354" s="76" t="str">
        <f>IF(SUMIFS(Таблица2[WIN$],Таблица2[1],B354)=0,"-",SUMIFS(Таблица2[WIN$],Таблица2[1],B354))</f>
        <v>-</v>
      </c>
      <c r="M354" s="76" t="str">
        <f t="shared" si="24"/>
        <v>-</v>
      </c>
      <c r="N354" s="78" t="str">
        <f>IFERROR(Таблица46[[#This Row],[PROF]]/Таблица46[[#This Row],[Games]],"-")</f>
        <v>-</v>
      </c>
    </row>
    <row r="355" spans="1:14" ht="11.1" customHeight="1" x14ac:dyDescent="0.25">
      <c r="A355" s="93">
        <f t="shared" si="22"/>
        <v>269</v>
      </c>
      <c r="D355" s="117" t="str">
        <f>IF(COUNTIFS(Таблица2[1],B355)+SUMIFS(Таблица2[R],Таблица2[1],B355)=0,"",COUNTIFS(Таблица2[1],B355)+SUMIFS(Таблица2[R],Таблица2[1],B355))</f>
        <v/>
      </c>
      <c r="E355" s="76" t="str">
        <f>IF(SUMIFS(Таблица2[B$],Таблица2[1],B355)=0,"-",SUMIFS(Таблица2[B$],Таблица2[1],B355))</f>
        <v>-</v>
      </c>
      <c r="F355" s="77" t="str">
        <f>IFERROR(AVERAGEIFS(Таблица2[AFS],Таблица2[1],B355)+(AVERAGEIFS(Таблица2[AFS],Таблица2[1],B355)*0.2),"-")</f>
        <v>-</v>
      </c>
      <c r="G355" s="77" t="str">
        <f t="shared" si="23"/>
        <v>-</v>
      </c>
      <c r="H355" s="77" t="str">
        <f>IFERROR(COUNTIFS(Таблица2[1],B355,Таблица2[WIN$],"&gt;0")/D355*100,"-")</f>
        <v>-</v>
      </c>
      <c r="I355" s="77" t="str">
        <f>IF(IFERROR((COUNTIFS(Таблица2[1],B355,Таблица2[K],"K")+SUMIFS(Таблица2[R],Таблица2[1],B355,Таблица2[K],"K"))/D355*100,"-")=0,"-",IFERROR((COUNTIFS(Таблица2[1],B355,Таблица2[K],"K")+SUMIFS(Таблица2[R],Таблица2[1],B355,Таблица2[K],"K"))/D355*100,"-"))</f>
        <v>-</v>
      </c>
      <c r="J355" s="77" t="str">
        <f>IF(IFERROR((COUNTIFS(Таблица2[1],B355,Таблица2[T],"t")+SUMIFS(Таблица2[R],Таблица2[1],B355,Таблица2[T],"t"))/D355*100,"-")=0,"-",IFERROR((COUNTIFS(Таблица2[1],B355,Таблица2[T],"t")+SUMIFS(Таблица2[R],Таблица2[1],B355,Таблица2[T],"t"))/D355*100,"-"))</f>
        <v>-</v>
      </c>
      <c r="K355" s="76" t="str">
        <f>IF(SUMIFS(Таблица2[KO$],Таблица2[1],B355)=0,"-",SUMIFS(Таблица2[KO$],Таблица2[1],B355))</f>
        <v>-</v>
      </c>
      <c r="L355" s="76" t="str">
        <f>IF(SUMIFS(Таблица2[WIN$],Таблица2[1],B355)=0,"-",SUMIFS(Таблица2[WIN$],Таблица2[1],B355))</f>
        <v>-</v>
      </c>
      <c r="M355" s="76" t="str">
        <f t="shared" si="24"/>
        <v>-</v>
      </c>
      <c r="N355" s="78" t="str">
        <f>IFERROR(Таблица46[[#This Row],[PROF]]/Таблица46[[#This Row],[Games]],"-")</f>
        <v>-</v>
      </c>
    </row>
    <row r="356" spans="1:14" ht="11.1" customHeight="1" x14ac:dyDescent="0.25">
      <c r="A356" s="93">
        <f t="shared" si="22"/>
        <v>270</v>
      </c>
      <c r="D356" s="117" t="str">
        <f>IF(COUNTIFS(Таблица2[1],B356)+SUMIFS(Таблица2[R],Таблица2[1],B356)=0,"",COUNTIFS(Таблица2[1],B356)+SUMIFS(Таблица2[R],Таблица2[1],B356))</f>
        <v/>
      </c>
      <c r="E356" s="76" t="str">
        <f>IF(SUMIFS(Таблица2[B$],Таблица2[1],B356)=0,"-",SUMIFS(Таблица2[B$],Таблица2[1],B356))</f>
        <v>-</v>
      </c>
      <c r="F356" s="77" t="str">
        <f>IFERROR(AVERAGEIFS(Таблица2[AFS],Таблица2[1],B356)+(AVERAGEIFS(Таблица2[AFS],Таблица2[1],B356)*0.2),"-")</f>
        <v>-</v>
      </c>
      <c r="G356" s="77" t="str">
        <f t="shared" si="23"/>
        <v>-</v>
      </c>
      <c r="H356" s="77" t="str">
        <f>IFERROR(COUNTIFS(Таблица2[1],B356,Таблица2[WIN$],"&gt;0")/D356*100,"-")</f>
        <v>-</v>
      </c>
      <c r="I356" s="77" t="str">
        <f>IF(IFERROR((COUNTIFS(Таблица2[1],B356,Таблица2[K],"K")+SUMIFS(Таблица2[R],Таблица2[1],B356,Таблица2[K],"K"))/D356*100,"-")=0,"-",IFERROR((COUNTIFS(Таблица2[1],B356,Таблица2[K],"K")+SUMIFS(Таблица2[R],Таблица2[1],B356,Таблица2[K],"K"))/D356*100,"-"))</f>
        <v>-</v>
      </c>
      <c r="J356" s="77" t="str">
        <f>IF(IFERROR((COUNTIFS(Таблица2[1],B356,Таблица2[T],"t")+SUMIFS(Таблица2[R],Таблица2[1],B356,Таблица2[T],"t"))/D356*100,"-")=0,"-",IFERROR((COUNTIFS(Таблица2[1],B356,Таблица2[T],"t")+SUMIFS(Таблица2[R],Таблица2[1],B356,Таблица2[T],"t"))/D356*100,"-"))</f>
        <v>-</v>
      </c>
      <c r="K356" s="76" t="str">
        <f>IF(SUMIFS(Таблица2[KO$],Таблица2[1],B356)=0,"-",SUMIFS(Таблица2[KO$],Таблица2[1],B356))</f>
        <v>-</v>
      </c>
      <c r="L356" s="76" t="str">
        <f>IF(SUMIFS(Таблица2[WIN$],Таблица2[1],B356)=0,"-",SUMIFS(Таблица2[WIN$],Таблица2[1],B356))</f>
        <v>-</v>
      </c>
      <c r="M356" s="76" t="str">
        <f t="shared" si="24"/>
        <v>-</v>
      </c>
      <c r="N356" s="78" t="str">
        <f>IFERROR(Таблица46[[#This Row],[PROF]]/Таблица46[[#This Row],[Games]],"-")</f>
        <v>-</v>
      </c>
    </row>
    <row r="357" spans="1:14" ht="11.1" customHeight="1" x14ac:dyDescent="0.25">
      <c r="A357" s="93">
        <f t="shared" si="22"/>
        <v>271</v>
      </c>
      <c r="D357" s="117" t="str">
        <f>IF(COUNTIFS(Таблица2[1],B357)+SUMIFS(Таблица2[R],Таблица2[1],B357)=0,"",COUNTIFS(Таблица2[1],B357)+SUMIFS(Таблица2[R],Таблица2[1],B357))</f>
        <v/>
      </c>
      <c r="E357" s="76" t="str">
        <f>IF(SUMIFS(Таблица2[B$],Таблица2[1],B357)=0,"-",SUMIFS(Таблица2[B$],Таблица2[1],B357))</f>
        <v>-</v>
      </c>
      <c r="F357" s="77" t="str">
        <f>IFERROR(AVERAGEIFS(Таблица2[AFS],Таблица2[1],B357)+(AVERAGEIFS(Таблица2[AFS],Таблица2[1],B357)*0.2),"-")</f>
        <v>-</v>
      </c>
      <c r="G357" s="77" t="str">
        <f t="shared" si="23"/>
        <v>-</v>
      </c>
      <c r="H357" s="77" t="str">
        <f>IFERROR(COUNTIFS(Таблица2[1],B357,Таблица2[WIN$],"&gt;0")/D357*100,"-")</f>
        <v>-</v>
      </c>
      <c r="I357" s="77" t="str">
        <f>IF(IFERROR((COUNTIFS(Таблица2[1],B357,Таблица2[K],"K")+SUMIFS(Таблица2[R],Таблица2[1],B357,Таблица2[K],"K"))/D357*100,"-")=0,"-",IFERROR((COUNTIFS(Таблица2[1],B357,Таблица2[K],"K")+SUMIFS(Таблица2[R],Таблица2[1],B357,Таблица2[K],"K"))/D357*100,"-"))</f>
        <v>-</v>
      </c>
      <c r="J357" s="77" t="str">
        <f>IF(IFERROR((COUNTIFS(Таблица2[1],B357,Таблица2[T],"t")+SUMIFS(Таблица2[R],Таблица2[1],B357,Таблица2[T],"t"))/D357*100,"-")=0,"-",IFERROR((COUNTIFS(Таблица2[1],B357,Таблица2[T],"t")+SUMIFS(Таблица2[R],Таблица2[1],B357,Таблица2[T],"t"))/D357*100,"-"))</f>
        <v>-</v>
      </c>
      <c r="K357" s="76" t="str">
        <f>IF(SUMIFS(Таблица2[KO$],Таблица2[1],B357)=0,"-",SUMIFS(Таблица2[KO$],Таблица2[1],B357))</f>
        <v>-</v>
      </c>
      <c r="L357" s="76" t="str">
        <f>IF(SUMIFS(Таблица2[WIN$],Таблица2[1],B357)=0,"-",SUMIFS(Таблица2[WIN$],Таблица2[1],B357))</f>
        <v>-</v>
      </c>
      <c r="M357" s="76" t="str">
        <f t="shared" si="24"/>
        <v>-</v>
      </c>
      <c r="N357" s="78" t="str">
        <f>IFERROR(Таблица46[[#This Row],[PROF]]/Таблица46[[#This Row],[Games]],"-")</f>
        <v>-</v>
      </c>
    </row>
    <row r="358" spans="1:14" ht="11.1" customHeight="1" x14ac:dyDescent="0.25">
      <c r="A358" s="93">
        <f t="shared" si="22"/>
        <v>272</v>
      </c>
      <c r="D358" s="117" t="str">
        <f>IF(COUNTIFS(Таблица2[1],B358)+SUMIFS(Таблица2[R],Таблица2[1],B358)=0,"",COUNTIFS(Таблица2[1],B358)+SUMIFS(Таблица2[R],Таблица2[1],B358))</f>
        <v/>
      </c>
      <c r="E358" s="76" t="str">
        <f>IF(SUMIFS(Таблица2[B$],Таблица2[1],B358)=0,"-",SUMIFS(Таблица2[B$],Таблица2[1],B358))</f>
        <v>-</v>
      </c>
      <c r="F358" s="77" t="str">
        <f>IFERROR(AVERAGEIFS(Таблица2[AFS],Таблица2[1],B358)+(AVERAGEIFS(Таблица2[AFS],Таблица2[1],B358)*0.2),"-")</f>
        <v>-</v>
      </c>
      <c r="G358" s="77" t="str">
        <f t="shared" si="23"/>
        <v>-</v>
      </c>
      <c r="H358" s="77" t="str">
        <f>IFERROR(COUNTIFS(Таблица2[1],B358,Таблица2[WIN$],"&gt;0")/D358*100,"-")</f>
        <v>-</v>
      </c>
      <c r="I358" s="77" t="str">
        <f>IF(IFERROR((COUNTIFS(Таблица2[1],B358,Таблица2[K],"K")+SUMIFS(Таблица2[R],Таблица2[1],B358,Таблица2[K],"K"))/D358*100,"-")=0,"-",IFERROR((COUNTIFS(Таблица2[1],B358,Таблица2[K],"K")+SUMIFS(Таблица2[R],Таблица2[1],B358,Таблица2[K],"K"))/D358*100,"-"))</f>
        <v>-</v>
      </c>
      <c r="J358" s="77" t="str">
        <f>IF(IFERROR((COUNTIFS(Таблица2[1],B358,Таблица2[T],"t")+SUMIFS(Таблица2[R],Таблица2[1],B358,Таблица2[T],"t"))/D358*100,"-")=0,"-",IFERROR((COUNTIFS(Таблица2[1],B358,Таблица2[T],"t")+SUMIFS(Таблица2[R],Таблица2[1],B358,Таблица2[T],"t"))/D358*100,"-"))</f>
        <v>-</v>
      </c>
      <c r="K358" s="76" t="str">
        <f>IF(SUMIFS(Таблица2[KO$],Таблица2[1],B358)=0,"-",SUMIFS(Таблица2[KO$],Таблица2[1],B358))</f>
        <v>-</v>
      </c>
      <c r="L358" s="76" t="str">
        <f>IF(SUMIFS(Таблица2[WIN$],Таблица2[1],B358)=0,"-",SUMIFS(Таблица2[WIN$],Таблица2[1],B358))</f>
        <v>-</v>
      </c>
      <c r="M358" s="76" t="str">
        <f t="shared" si="24"/>
        <v>-</v>
      </c>
      <c r="N358" s="78" t="str">
        <f>IFERROR(Таблица46[[#This Row],[PROF]]/Таблица46[[#This Row],[Games]],"-")</f>
        <v>-</v>
      </c>
    </row>
    <row r="359" spans="1:14" ht="11.1" customHeight="1" x14ac:dyDescent="0.25">
      <c r="A359" s="93">
        <f t="shared" si="22"/>
        <v>273</v>
      </c>
      <c r="D359" s="117" t="str">
        <f>IF(COUNTIFS(Таблица2[1],B359)+SUMIFS(Таблица2[R],Таблица2[1],B359)=0,"",COUNTIFS(Таблица2[1],B359)+SUMIFS(Таблица2[R],Таблица2[1],B359))</f>
        <v/>
      </c>
      <c r="E359" s="76" t="str">
        <f>IF(SUMIFS(Таблица2[B$],Таблица2[1],B359)=0,"-",SUMIFS(Таблица2[B$],Таблица2[1],B359))</f>
        <v>-</v>
      </c>
      <c r="F359" s="77" t="str">
        <f>IFERROR(AVERAGEIFS(Таблица2[AFS],Таблица2[1],B359)+(AVERAGEIFS(Таблица2[AFS],Таблица2[1],B359)*0.2),"-")</f>
        <v>-</v>
      </c>
      <c r="G359" s="77" t="str">
        <f t="shared" si="23"/>
        <v>-</v>
      </c>
      <c r="H359" s="77" t="str">
        <f>IFERROR(COUNTIFS(Таблица2[1],B359,Таблица2[WIN$],"&gt;0")/D359*100,"-")</f>
        <v>-</v>
      </c>
      <c r="I359" s="77" t="str">
        <f>IF(IFERROR((COUNTIFS(Таблица2[1],B359,Таблица2[K],"K")+SUMIFS(Таблица2[R],Таблица2[1],B359,Таблица2[K],"K"))/D359*100,"-")=0,"-",IFERROR((COUNTIFS(Таблица2[1],B359,Таблица2[K],"K")+SUMIFS(Таблица2[R],Таблица2[1],B359,Таблица2[K],"K"))/D359*100,"-"))</f>
        <v>-</v>
      </c>
      <c r="J359" s="77" t="str">
        <f>IF(IFERROR((COUNTIFS(Таблица2[1],B359,Таблица2[T],"t")+SUMIFS(Таблица2[R],Таблица2[1],B359,Таблица2[T],"t"))/D359*100,"-")=0,"-",IFERROR((COUNTIFS(Таблица2[1],B359,Таблица2[T],"t")+SUMIFS(Таблица2[R],Таблица2[1],B359,Таблица2[T],"t"))/D359*100,"-"))</f>
        <v>-</v>
      </c>
      <c r="K359" s="76" t="str">
        <f>IF(SUMIFS(Таблица2[KO$],Таблица2[1],B359)=0,"-",SUMIFS(Таблица2[KO$],Таблица2[1],B359))</f>
        <v>-</v>
      </c>
      <c r="L359" s="76" t="str">
        <f>IF(SUMIFS(Таблица2[WIN$],Таблица2[1],B359)=0,"-",SUMIFS(Таблица2[WIN$],Таблица2[1],B359))</f>
        <v>-</v>
      </c>
      <c r="M359" s="76" t="str">
        <f t="shared" si="24"/>
        <v>-</v>
      </c>
      <c r="N359" s="78" t="str">
        <f>IFERROR(Таблица46[[#This Row],[PROF]]/Таблица46[[#This Row],[Games]],"-")</f>
        <v>-</v>
      </c>
    </row>
    <row r="360" spans="1:14" ht="11.1" customHeight="1" x14ac:dyDescent="0.25">
      <c r="A360" s="93">
        <f t="shared" si="22"/>
        <v>274</v>
      </c>
      <c r="D360" s="117" t="str">
        <f>IF(COUNTIFS(Таблица2[1],B360)+SUMIFS(Таблица2[R],Таблица2[1],B360)=0,"",COUNTIFS(Таблица2[1],B360)+SUMIFS(Таблица2[R],Таблица2[1],B360))</f>
        <v/>
      </c>
      <c r="E360" s="76" t="str">
        <f>IF(SUMIFS(Таблица2[B$],Таблица2[1],B360)=0,"-",SUMIFS(Таблица2[B$],Таблица2[1],B360))</f>
        <v>-</v>
      </c>
      <c r="F360" s="77" t="str">
        <f>IFERROR(AVERAGEIFS(Таблица2[AFS],Таблица2[1],B360)+(AVERAGEIFS(Таблица2[AFS],Таблица2[1],B360)*0.2),"-")</f>
        <v>-</v>
      </c>
      <c r="G360" s="77" t="str">
        <f t="shared" si="23"/>
        <v>-</v>
      </c>
      <c r="H360" s="77" t="str">
        <f>IFERROR(COUNTIFS(Таблица2[1],B360,Таблица2[WIN$],"&gt;0")/D360*100,"-")</f>
        <v>-</v>
      </c>
      <c r="I360" s="77" t="str">
        <f>IF(IFERROR((COUNTIFS(Таблица2[1],B360,Таблица2[K],"K")+SUMIFS(Таблица2[R],Таблица2[1],B360,Таблица2[K],"K"))/D360*100,"-")=0,"-",IFERROR((COUNTIFS(Таблица2[1],B360,Таблица2[K],"K")+SUMIFS(Таблица2[R],Таблица2[1],B360,Таблица2[K],"K"))/D360*100,"-"))</f>
        <v>-</v>
      </c>
      <c r="J360" s="77" t="str">
        <f>IF(IFERROR((COUNTIFS(Таблица2[1],B360,Таблица2[T],"t")+SUMIFS(Таблица2[R],Таблица2[1],B360,Таблица2[T],"t"))/D360*100,"-")=0,"-",IFERROR((COUNTIFS(Таблица2[1],B360,Таблица2[T],"t")+SUMIFS(Таблица2[R],Таблица2[1],B360,Таблица2[T],"t"))/D360*100,"-"))</f>
        <v>-</v>
      </c>
      <c r="K360" s="76" t="str">
        <f>IF(SUMIFS(Таблица2[KO$],Таблица2[1],B360)=0,"-",SUMIFS(Таблица2[KO$],Таблица2[1],B360))</f>
        <v>-</v>
      </c>
      <c r="L360" s="76" t="str">
        <f>IF(SUMIFS(Таблица2[WIN$],Таблица2[1],B360)=0,"-",SUMIFS(Таблица2[WIN$],Таблица2[1],B360))</f>
        <v>-</v>
      </c>
      <c r="M360" s="76" t="str">
        <f t="shared" si="24"/>
        <v>-</v>
      </c>
      <c r="N360" s="78" t="str">
        <f>IFERROR(Таблица46[[#This Row],[PROF]]/Таблица46[[#This Row],[Games]],"-")</f>
        <v>-</v>
      </c>
    </row>
    <row r="361" spans="1:14" ht="11.1" customHeight="1" x14ac:dyDescent="0.25">
      <c r="A361" s="93">
        <f t="shared" si="22"/>
        <v>275</v>
      </c>
      <c r="D361" s="117" t="str">
        <f>IF(COUNTIFS(Таблица2[1],B361)+SUMIFS(Таблица2[R],Таблица2[1],B361)=0,"",COUNTIFS(Таблица2[1],B361)+SUMIFS(Таблица2[R],Таблица2[1],B361))</f>
        <v/>
      </c>
      <c r="E361" s="76" t="str">
        <f>IF(SUMIFS(Таблица2[B$],Таблица2[1],B361)=0,"-",SUMIFS(Таблица2[B$],Таблица2[1],B361))</f>
        <v>-</v>
      </c>
      <c r="F361" s="77" t="str">
        <f>IFERROR(AVERAGEIFS(Таблица2[AFS],Таблица2[1],B361)+(AVERAGEIFS(Таблица2[AFS],Таблица2[1],B361)*0.2),"-")</f>
        <v>-</v>
      </c>
      <c r="G361" s="77" t="str">
        <f t="shared" si="23"/>
        <v>-</v>
      </c>
      <c r="H361" s="77" t="str">
        <f>IFERROR(COUNTIFS(Таблица2[1],B361,Таблица2[WIN$],"&gt;0")/D361*100,"-")</f>
        <v>-</v>
      </c>
      <c r="I361" s="77" t="str">
        <f>IF(IFERROR((COUNTIFS(Таблица2[1],B361,Таблица2[K],"K")+SUMIFS(Таблица2[R],Таблица2[1],B361,Таблица2[K],"K"))/D361*100,"-")=0,"-",IFERROR((COUNTIFS(Таблица2[1],B361,Таблица2[K],"K")+SUMIFS(Таблица2[R],Таблица2[1],B361,Таблица2[K],"K"))/D361*100,"-"))</f>
        <v>-</v>
      </c>
      <c r="J361" s="77" t="str">
        <f>IF(IFERROR((COUNTIFS(Таблица2[1],B361,Таблица2[T],"t")+SUMIFS(Таблица2[R],Таблица2[1],B361,Таблица2[T],"t"))/D361*100,"-")=0,"-",IFERROR((COUNTIFS(Таблица2[1],B361,Таблица2[T],"t")+SUMIFS(Таблица2[R],Таблица2[1],B361,Таблица2[T],"t"))/D361*100,"-"))</f>
        <v>-</v>
      </c>
      <c r="K361" s="76" t="str">
        <f>IF(SUMIFS(Таблица2[KO$],Таблица2[1],B361)=0,"-",SUMIFS(Таблица2[KO$],Таблица2[1],B361))</f>
        <v>-</v>
      </c>
      <c r="L361" s="76" t="str">
        <f>IF(SUMIFS(Таблица2[WIN$],Таблица2[1],B361)=0,"-",SUMIFS(Таблица2[WIN$],Таблица2[1],B361))</f>
        <v>-</v>
      </c>
      <c r="M361" s="76" t="str">
        <f t="shared" si="24"/>
        <v>-</v>
      </c>
      <c r="N361" s="78" t="str">
        <f>IFERROR(Таблица46[[#This Row],[PROF]]/Таблица46[[#This Row],[Games]],"-")</f>
        <v>-</v>
      </c>
    </row>
    <row r="362" spans="1:14" ht="11.1" customHeight="1" x14ac:dyDescent="0.25">
      <c r="A362" s="93">
        <f t="shared" si="22"/>
        <v>276</v>
      </c>
      <c r="D362" s="117" t="str">
        <f>IF(COUNTIFS(Таблица2[1],B362)+SUMIFS(Таблица2[R],Таблица2[1],B362)=0,"",COUNTIFS(Таблица2[1],B362)+SUMIFS(Таблица2[R],Таблица2[1],B362))</f>
        <v/>
      </c>
      <c r="E362" s="76" t="str">
        <f>IF(SUMIFS(Таблица2[B$],Таблица2[1],B362)=0,"-",SUMIFS(Таблица2[B$],Таблица2[1],B362))</f>
        <v>-</v>
      </c>
      <c r="F362" s="77" t="str">
        <f>IFERROR(AVERAGEIFS(Таблица2[AFS],Таблица2[1],B362)+(AVERAGEIFS(Таблица2[AFS],Таблица2[1],B362)*0.2),"-")</f>
        <v>-</v>
      </c>
      <c r="G362" s="77" t="str">
        <f t="shared" si="23"/>
        <v>-</v>
      </c>
      <c r="H362" s="77" t="str">
        <f>IFERROR(COUNTIFS(Таблица2[1],B362,Таблица2[WIN$],"&gt;0")/D362*100,"-")</f>
        <v>-</v>
      </c>
      <c r="I362" s="77" t="str">
        <f>IF(IFERROR((COUNTIFS(Таблица2[1],B362,Таблица2[K],"K")+SUMIFS(Таблица2[R],Таблица2[1],B362,Таблица2[K],"K"))/D362*100,"-")=0,"-",IFERROR((COUNTIFS(Таблица2[1],B362,Таблица2[K],"K")+SUMIFS(Таблица2[R],Таблица2[1],B362,Таблица2[K],"K"))/D362*100,"-"))</f>
        <v>-</v>
      </c>
      <c r="J362" s="77" t="str">
        <f>IF(IFERROR((COUNTIFS(Таблица2[1],B362,Таблица2[T],"t")+SUMIFS(Таблица2[R],Таблица2[1],B362,Таблица2[T],"t"))/D362*100,"-")=0,"-",IFERROR((COUNTIFS(Таблица2[1],B362,Таблица2[T],"t")+SUMIFS(Таблица2[R],Таблица2[1],B362,Таблица2[T],"t"))/D362*100,"-"))</f>
        <v>-</v>
      </c>
      <c r="K362" s="76" t="str">
        <f>IF(SUMIFS(Таблица2[KO$],Таблица2[1],B362)=0,"-",SUMIFS(Таблица2[KO$],Таблица2[1],B362))</f>
        <v>-</v>
      </c>
      <c r="L362" s="76" t="str">
        <f>IF(SUMIFS(Таблица2[WIN$],Таблица2[1],B362)=0,"-",SUMIFS(Таблица2[WIN$],Таблица2[1],B362))</f>
        <v>-</v>
      </c>
      <c r="M362" s="76" t="str">
        <f t="shared" si="24"/>
        <v>-</v>
      </c>
      <c r="N362" s="78" t="str">
        <f>IFERROR(Таблица46[[#This Row],[PROF]]/Таблица46[[#This Row],[Games]],"-")</f>
        <v>-</v>
      </c>
    </row>
    <row r="363" spans="1:14" ht="11.1" customHeight="1" x14ac:dyDescent="0.25">
      <c r="A363" s="93">
        <f t="shared" si="22"/>
        <v>277</v>
      </c>
      <c r="D363" s="117" t="str">
        <f>IF(COUNTIFS(Таблица2[1],B363)+SUMIFS(Таблица2[R],Таблица2[1],B363)=0,"",COUNTIFS(Таблица2[1],B363)+SUMIFS(Таблица2[R],Таблица2[1],B363))</f>
        <v/>
      </c>
      <c r="E363" s="76" t="str">
        <f>IF(SUMIFS(Таблица2[B$],Таблица2[1],B363)=0,"-",SUMIFS(Таблица2[B$],Таблица2[1],B363))</f>
        <v>-</v>
      </c>
      <c r="F363" s="77" t="str">
        <f>IFERROR(AVERAGEIFS(Таблица2[AFS],Таблица2[1],B363)+(AVERAGEIFS(Таблица2[AFS],Таблица2[1],B363)*0.2),"-")</f>
        <v>-</v>
      </c>
      <c r="G363" s="77" t="str">
        <f t="shared" si="23"/>
        <v>-</v>
      </c>
      <c r="H363" s="77" t="str">
        <f>IFERROR(COUNTIFS(Таблица2[1],B363,Таблица2[WIN$],"&gt;0")/D363*100,"-")</f>
        <v>-</v>
      </c>
      <c r="I363" s="77" t="str">
        <f>IF(IFERROR((COUNTIFS(Таблица2[1],B363,Таблица2[K],"K")+SUMIFS(Таблица2[R],Таблица2[1],B363,Таблица2[K],"K"))/D363*100,"-")=0,"-",IFERROR((COUNTIFS(Таблица2[1],B363,Таблица2[K],"K")+SUMIFS(Таблица2[R],Таблица2[1],B363,Таблица2[K],"K"))/D363*100,"-"))</f>
        <v>-</v>
      </c>
      <c r="J363" s="77" t="str">
        <f>IF(IFERROR((COUNTIFS(Таблица2[1],B363,Таблица2[T],"t")+SUMIFS(Таблица2[R],Таблица2[1],B363,Таблица2[T],"t"))/D363*100,"-")=0,"-",IFERROR((COUNTIFS(Таблица2[1],B363,Таблица2[T],"t")+SUMIFS(Таблица2[R],Таблица2[1],B363,Таблица2[T],"t"))/D363*100,"-"))</f>
        <v>-</v>
      </c>
      <c r="K363" s="76" t="str">
        <f>IF(SUMIFS(Таблица2[KO$],Таблица2[1],B363)=0,"-",SUMIFS(Таблица2[KO$],Таблица2[1],B363))</f>
        <v>-</v>
      </c>
      <c r="L363" s="76" t="str">
        <f>IF(SUMIFS(Таблица2[WIN$],Таблица2[1],B363)=0,"-",SUMIFS(Таблица2[WIN$],Таблица2[1],B363))</f>
        <v>-</v>
      </c>
      <c r="M363" s="76" t="str">
        <f t="shared" si="24"/>
        <v>-</v>
      </c>
      <c r="N363" s="78" t="str">
        <f>IFERROR(Таблица46[[#This Row],[PROF]]/Таблица46[[#This Row],[Games]],"-")</f>
        <v>-</v>
      </c>
    </row>
    <row r="364" spans="1:14" ht="11.1" customHeight="1" x14ac:dyDescent="0.25">
      <c r="A364" s="93">
        <f t="shared" si="22"/>
        <v>278</v>
      </c>
      <c r="D364" s="117" t="str">
        <f>IF(COUNTIFS(Таблица2[1],B364)+SUMIFS(Таблица2[R],Таблица2[1],B364)=0,"",COUNTIFS(Таблица2[1],B364)+SUMIFS(Таблица2[R],Таблица2[1],B364))</f>
        <v/>
      </c>
      <c r="E364" s="76" t="str">
        <f>IF(SUMIFS(Таблица2[B$],Таблица2[1],B364)=0,"-",SUMIFS(Таблица2[B$],Таблица2[1],B364))</f>
        <v>-</v>
      </c>
      <c r="F364" s="77" t="str">
        <f>IFERROR(AVERAGEIFS(Таблица2[AFS],Таблица2[1],B364)+(AVERAGEIFS(Таблица2[AFS],Таблица2[1],B364)*0.2),"-")</f>
        <v>-</v>
      </c>
      <c r="G364" s="77" t="str">
        <f t="shared" si="23"/>
        <v>-</v>
      </c>
      <c r="H364" s="77" t="str">
        <f>IFERROR(COUNTIFS(Таблица2[1],B364,Таблица2[WIN$],"&gt;0")/D364*100,"-")</f>
        <v>-</v>
      </c>
      <c r="I364" s="77" t="str">
        <f>IF(IFERROR((COUNTIFS(Таблица2[1],B364,Таблица2[K],"K")+SUMIFS(Таблица2[R],Таблица2[1],B364,Таблица2[K],"K"))/D364*100,"-")=0,"-",IFERROR((COUNTIFS(Таблица2[1],B364,Таблица2[K],"K")+SUMIFS(Таблица2[R],Таблица2[1],B364,Таблица2[K],"K"))/D364*100,"-"))</f>
        <v>-</v>
      </c>
      <c r="J364" s="77" t="str">
        <f>IF(IFERROR((COUNTIFS(Таблица2[1],B364,Таблица2[T],"t")+SUMIFS(Таблица2[R],Таблица2[1],B364,Таблица2[T],"t"))/D364*100,"-")=0,"-",IFERROR((COUNTIFS(Таблица2[1],B364,Таблица2[T],"t")+SUMIFS(Таблица2[R],Таблица2[1],B364,Таблица2[T],"t"))/D364*100,"-"))</f>
        <v>-</v>
      </c>
      <c r="K364" s="76" t="str">
        <f>IF(SUMIFS(Таблица2[KO$],Таблица2[1],B364)=0,"-",SUMIFS(Таблица2[KO$],Таблица2[1],B364))</f>
        <v>-</v>
      </c>
      <c r="L364" s="76" t="str">
        <f>IF(SUMIFS(Таблица2[WIN$],Таблица2[1],B364)=0,"-",SUMIFS(Таблица2[WIN$],Таблица2[1],B364))</f>
        <v>-</v>
      </c>
      <c r="M364" s="76" t="str">
        <f t="shared" si="24"/>
        <v>-</v>
      </c>
      <c r="N364" s="78" t="str">
        <f>IFERROR(Таблица46[[#This Row],[PROF]]/Таблица46[[#This Row],[Games]],"-")</f>
        <v>-</v>
      </c>
    </row>
    <row r="365" spans="1:14" ht="11.1" customHeight="1" x14ac:dyDescent="0.25">
      <c r="A365" s="93">
        <f t="shared" si="22"/>
        <v>279</v>
      </c>
      <c r="D365" s="117" t="str">
        <f>IF(COUNTIFS(Таблица2[1],B365)+SUMIFS(Таблица2[R],Таблица2[1],B365)=0,"",COUNTIFS(Таблица2[1],B365)+SUMIFS(Таблица2[R],Таблица2[1],B365))</f>
        <v/>
      </c>
      <c r="E365" s="76" t="str">
        <f>IF(SUMIFS(Таблица2[B$],Таблица2[1],B365)=0,"-",SUMIFS(Таблица2[B$],Таблица2[1],B365))</f>
        <v>-</v>
      </c>
      <c r="F365" s="77" t="str">
        <f>IFERROR(AVERAGEIFS(Таблица2[AFS],Таблица2[1],B365)+(AVERAGEIFS(Таблица2[AFS],Таблица2[1],B365)*0.2),"-")</f>
        <v>-</v>
      </c>
      <c r="G365" s="77" t="str">
        <f t="shared" si="23"/>
        <v>-</v>
      </c>
      <c r="H365" s="77" t="str">
        <f>IFERROR(COUNTIFS(Таблица2[1],B365,Таблица2[WIN$],"&gt;0")/D365*100,"-")</f>
        <v>-</v>
      </c>
      <c r="I365" s="77" t="str">
        <f>IF(IFERROR((COUNTIFS(Таблица2[1],B365,Таблица2[K],"K")+SUMIFS(Таблица2[R],Таблица2[1],B365,Таблица2[K],"K"))/D365*100,"-")=0,"-",IFERROR((COUNTIFS(Таблица2[1],B365,Таблица2[K],"K")+SUMIFS(Таблица2[R],Таблица2[1],B365,Таблица2[K],"K"))/D365*100,"-"))</f>
        <v>-</v>
      </c>
      <c r="J365" s="77" t="str">
        <f>IF(IFERROR((COUNTIFS(Таблица2[1],B365,Таблица2[T],"t")+SUMIFS(Таблица2[R],Таблица2[1],B365,Таблица2[T],"t"))/D365*100,"-")=0,"-",IFERROR((COUNTIFS(Таблица2[1],B365,Таблица2[T],"t")+SUMIFS(Таблица2[R],Таблица2[1],B365,Таблица2[T],"t"))/D365*100,"-"))</f>
        <v>-</v>
      </c>
      <c r="K365" s="76" t="str">
        <f>IF(SUMIFS(Таблица2[KO$],Таблица2[1],B365)=0,"-",SUMIFS(Таблица2[KO$],Таблица2[1],B365))</f>
        <v>-</v>
      </c>
      <c r="L365" s="76" t="str">
        <f>IF(SUMIFS(Таблица2[WIN$],Таблица2[1],B365)=0,"-",SUMIFS(Таблица2[WIN$],Таблица2[1],B365))</f>
        <v>-</v>
      </c>
      <c r="M365" s="76" t="str">
        <f t="shared" si="24"/>
        <v>-</v>
      </c>
      <c r="N365" s="78" t="str">
        <f>IFERROR(Таблица46[[#This Row],[PROF]]/Таблица46[[#This Row],[Games]],"-")</f>
        <v>-</v>
      </c>
    </row>
    <row r="366" spans="1:14" ht="11.1" customHeight="1" x14ac:dyDescent="0.25">
      <c r="A366" s="93">
        <f t="shared" si="22"/>
        <v>280</v>
      </c>
      <c r="D366" s="117" t="str">
        <f>IF(COUNTIFS(Таблица2[1],B366)+SUMIFS(Таблица2[R],Таблица2[1],B366)=0,"",COUNTIFS(Таблица2[1],B366)+SUMIFS(Таблица2[R],Таблица2[1],B366))</f>
        <v/>
      </c>
      <c r="E366" s="76" t="str">
        <f>IF(SUMIFS(Таблица2[B$],Таблица2[1],B366)=0,"-",SUMIFS(Таблица2[B$],Таблица2[1],B366))</f>
        <v>-</v>
      </c>
      <c r="F366" s="77" t="str">
        <f>IFERROR(AVERAGEIFS(Таблица2[AFS],Таблица2[1],B366)+(AVERAGEIFS(Таблица2[AFS],Таблица2[1],B366)*0.2),"-")</f>
        <v>-</v>
      </c>
      <c r="G366" s="77" t="str">
        <f t="shared" si="23"/>
        <v>-</v>
      </c>
      <c r="H366" s="77" t="str">
        <f>IFERROR(COUNTIFS(Таблица2[1],B366,Таблица2[WIN$],"&gt;0")/D366*100,"-")</f>
        <v>-</v>
      </c>
      <c r="I366" s="77" t="str">
        <f>IF(IFERROR((COUNTIFS(Таблица2[1],B366,Таблица2[K],"K")+SUMIFS(Таблица2[R],Таблица2[1],B366,Таблица2[K],"K"))/D366*100,"-")=0,"-",IFERROR((COUNTIFS(Таблица2[1],B366,Таблица2[K],"K")+SUMIFS(Таблица2[R],Таблица2[1],B366,Таблица2[K],"K"))/D366*100,"-"))</f>
        <v>-</v>
      </c>
      <c r="J366" s="77" t="str">
        <f>IF(IFERROR((COUNTIFS(Таблица2[1],B366,Таблица2[T],"t")+SUMIFS(Таблица2[R],Таблица2[1],B366,Таблица2[T],"t"))/D366*100,"-")=0,"-",IFERROR((COUNTIFS(Таблица2[1],B366,Таблица2[T],"t")+SUMIFS(Таблица2[R],Таблица2[1],B366,Таблица2[T],"t"))/D366*100,"-"))</f>
        <v>-</v>
      </c>
      <c r="K366" s="76" t="str">
        <f>IF(SUMIFS(Таблица2[KO$],Таблица2[1],B366)=0,"-",SUMIFS(Таблица2[KO$],Таблица2[1],B366))</f>
        <v>-</v>
      </c>
      <c r="L366" s="76" t="str">
        <f>IF(SUMIFS(Таблица2[WIN$],Таблица2[1],B366)=0,"-",SUMIFS(Таблица2[WIN$],Таблица2[1],B366))</f>
        <v>-</v>
      </c>
      <c r="M366" s="76" t="str">
        <f t="shared" si="24"/>
        <v>-</v>
      </c>
      <c r="N366" s="78" t="str">
        <f>IFERROR(Таблица46[[#This Row],[PROF]]/Таблица46[[#This Row],[Games]],"-")</f>
        <v>-</v>
      </c>
    </row>
    <row r="367" spans="1:14" ht="11.1" customHeight="1" x14ac:dyDescent="0.25">
      <c r="A367" s="93">
        <f t="shared" si="22"/>
        <v>281</v>
      </c>
      <c r="D367" s="117" t="str">
        <f>IF(COUNTIFS(Таблица2[1],B367)+SUMIFS(Таблица2[R],Таблица2[1],B367)=0,"",COUNTIFS(Таблица2[1],B367)+SUMIFS(Таблица2[R],Таблица2[1],B367))</f>
        <v/>
      </c>
      <c r="E367" s="76" t="str">
        <f>IF(SUMIFS(Таблица2[B$],Таблица2[1],B367)=0,"-",SUMIFS(Таблица2[B$],Таблица2[1],B367))</f>
        <v>-</v>
      </c>
      <c r="F367" s="77" t="str">
        <f>IFERROR(AVERAGEIFS(Таблица2[AFS],Таблица2[1],B367)+(AVERAGEIFS(Таблица2[AFS],Таблица2[1],B367)*0.2),"-")</f>
        <v>-</v>
      </c>
      <c r="G367" s="77" t="str">
        <f t="shared" si="23"/>
        <v>-</v>
      </c>
      <c r="H367" s="77" t="str">
        <f>IFERROR(COUNTIFS(Таблица2[1],B367,Таблица2[WIN$],"&gt;0")/D367*100,"-")</f>
        <v>-</v>
      </c>
      <c r="I367" s="77" t="str">
        <f>IF(IFERROR((COUNTIFS(Таблица2[1],B367,Таблица2[K],"K")+SUMIFS(Таблица2[R],Таблица2[1],B367,Таблица2[K],"K"))/D367*100,"-")=0,"-",IFERROR((COUNTIFS(Таблица2[1],B367,Таблица2[K],"K")+SUMIFS(Таблица2[R],Таблица2[1],B367,Таблица2[K],"K"))/D367*100,"-"))</f>
        <v>-</v>
      </c>
      <c r="J367" s="77" t="str">
        <f>IF(IFERROR((COUNTIFS(Таблица2[1],B367,Таблица2[T],"t")+SUMIFS(Таблица2[R],Таблица2[1],B367,Таблица2[T],"t"))/D367*100,"-")=0,"-",IFERROR((COUNTIFS(Таблица2[1],B367,Таблица2[T],"t")+SUMIFS(Таблица2[R],Таблица2[1],B367,Таблица2[T],"t"))/D367*100,"-"))</f>
        <v>-</v>
      </c>
      <c r="K367" s="76" t="str">
        <f>IF(SUMIFS(Таблица2[KO$],Таблица2[1],B367)=0,"-",SUMIFS(Таблица2[KO$],Таблица2[1],B367))</f>
        <v>-</v>
      </c>
      <c r="L367" s="76" t="str">
        <f>IF(SUMIFS(Таблица2[WIN$],Таблица2[1],B367)=0,"-",SUMIFS(Таблица2[WIN$],Таблица2[1],B367))</f>
        <v>-</v>
      </c>
      <c r="M367" s="76" t="str">
        <f t="shared" si="24"/>
        <v>-</v>
      </c>
      <c r="N367" s="78" t="str">
        <f>IFERROR(Таблица46[[#This Row],[PROF]]/Таблица46[[#This Row],[Games]],"-")</f>
        <v>-</v>
      </c>
    </row>
    <row r="368" spans="1:14" ht="11.1" customHeight="1" x14ac:dyDescent="0.25">
      <c r="A368" s="93">
        <f t="shared" si="22"/>
        <v>282</v>
      </c>
      <c r="D368" s="117" t="str">
        <f>IF(COUNTIFS(Таблица2[1],B368)+SUMIFS(Таблица2[R],Таблица2[1],B368)=0,"",COUNTIFS(Таблица2[1],B368)+SUMIFS(Таблица2[R],Таблица2[1],B368))</f>
        <v/>
      </c>
      <c r="E368" s="76" t="str">
        <f>IF(SUMIFS(Таблица2[B$],Таблица2[1],B368)=0,"-",SUMIFS(Таблица2[B$],Таблица2[1],B368))</f>
        <v>-</v>
      </c>
      <c r="F368" s="77" t="str">
        <f>IFERROR(AVERAGEIFS(Таблица2[AFS],Таблица2[1],B368)+(AVERAGEIFS(Таблица2[AFS],Таблица2[1],B368)*0.2),"-")</f>
        <v>-</v>
      </c>
      <c r="G368" s="77" t="str">
        <f t="shared" si="23"/>
        <v>-</v>
      </c>
      <c r="H368" s="77" t="str">
        <f>IFERROR(COUNTIFS(Таблица2[1],B368,Таблица2[WIN$],"&gt;0")/D368*100,"-")</f>
        <v>-</v>
      </c>
      <c r="I368" s="77" t="str">
        <f>IF(IFERROR((COUNTIFS(Таблица2[1],B368,Таблица2[K],"K")+SUMIFS(Таблица2[R],Таблица2[1],B368,Таблица2[K],"K"))/D368*100,"-")=0,"-",IFERROR((COUNTIFS(Таблица2[1],B368,Таблица2[K],"K")+SUMIFS(Таблица2[R],Таблица2[1],B368,Таблица2[K],"K"))/D368*100,"-"))</f>
        <v>-</v>
      </c>
      <c r="J368" s="77" t="str">
        <f>IF(IFERROR((COUNTIFS(Таблица2[1],B368,Таблица2[T],"t")+SUMIFS(Таблица2[R],Таблица2[1],B368,Таблица2[T],"t"))/D368*100,"-")=0,"-",IFERROR((COUNTIFS(Таблица2[1],B368,Таблица2[T],"t")+SUMIFS(Таблица2[R],Таблица2[1],B368,Таблица2[T],"t"))/D368*100,"-"))</f>
        <v>-</v>
      </c>
      <c r="K368" s="76" t="str">
        <f>IF(SUMIFS(Таблица2[KO$],Таблица2[1],B368)=0,"-",SUMIFS(Таблица2[KO$],Таблица2[1],B368))</f>
        <v>-</v>
      </c>
      <c r="L368" s="76" t="str">
        <f>IF(SUMIFS(Таблица2[WIN$],Таблица2[1],B368)=0,"-",SUMIFS(Таблица2[WIN$],Таблица2[1],B368))</f>
        <v>-</v>
      </c>
      <c r="M368" s="76" t="str">
        <f t="shared" si="24"/>
        <v>-</v>
      </c>
      <c r="N368" s="78" t="str">
        <f>IFERROR(Таблица46[[#This Row],[PROF]]/Таблица46[[#This Row],[Games]],"-")</f>
        <v>-</v>
      </c>
    </row>
    <row r="369" spans="1:14" ht="11.1" customHeight="1" x14ac:dyDescent="0.25">
      <c r="A369" s="93">
        <f t="shared" si="22"/>
        <v>283</v>
      </c>
      <c r="D369" s="117" t="str">
        <f>IF(COUNTIFS(Таблица2[1],B369)+SUMIFS(Таблица2[R],Таблица2[1],B369)=0,"",COUNTIFS(Таблица2[1],B369)+SUMIFS(Таблица2[R],Таблица2[1],B369))</f>
        <v/>
      </c>
      <c r="E369" s="76" t="str">
        <f>IF(SUMIFS(Таблица2[B$],Таблица2[1],B369)=0,"-",SUMIFS(Таблица2[B$],Таблица2[1],B369))</f>
        <v>-</v>
      </c>
      <c r="F369" s="77" t="str">
        <f>IFERROR(AVERAGEIFS(Таблица2[AFS],Таблица2[1],B369)+(AVERAGEIFS(Таблица2[AFS],Таблица2[1],B369)*0.2),"-")</f>
        <v>-</v>
      </c>
      <c r="G369" s="77" t="str">
        <f t="shared" si="23"/>
        <v>-</v>
      </c>
      <c r="H369" s="77" t="str">
        <f>IFERROR(COUNTIFS(Таблица2[1],B369,Таблица2[WIN$],"&gt;0")/D369*100,"-")</f>
        <v>-</v>
      </c>
      <c r="I369" s="77" t="str">
        <f>IF(IFERROR((COUNTIFS(Таблица2[1],B369,Таблица2[K],"K")+SUMIFS(Таблица2[R],Таблица2[1],B369,Таблица2[K],"K"))/D369*100,"-")=0,"-",IFERROR((COUNTIFS(Таблица2[1],B369,Таблица2[K],"K")+SUMIFS(Таблица2[R],Таблица2[1],B369,Таблица2[K],"K"))/D369*100,"-"))</f>
        <v>-</v>
      </c>
      <c r="J369" s="77" t="str">
        <f>IF(IFERROR((COUNTIFS(Таблица2[1],B369,Таблица2[T],"t")+SUMIFS(Таблица2[R],Таблица2[1],B369,Таблица2[T],"t"))/D369*100,"-")=0,"-",IFERROR((COUNTIFS(Таблица2[1],B369,Таблица2[T],"t")+SUMIFS(Таблица2[R],Таблица2[1],B369,Таблица2[T],"t"))/D369*100,"-"))</f>
        <v>-</v>
      </c>
      <c r="K369" s="76" t="str">
        <f>IF(SUMIFS(Таблица2[KO$],Таблица2[1],B369)=0,"-",SUMIFS(Таблица2[KO$],Таблица2[1],B369))</f>
        <v>-</v>
      </c>
      <c r="L369" s="76" t="str">
        <f>IF(SUMIFS(Таблица2[WIN$],Таблица2[1],B369)=0,"-",SUMIFS(Таблица2[WIN$],Таблица2[1],B369))</f>
        <v>-</v>
      </c>
      <c r="M369" s="76" t="str">
        <f t="shared" si="24"/>
        <v>-</v>
      </c>
      <c r="N369" s="78" t="str">
        <f>IFERROR(Таблица46[[#This Row],[PROF]]/Таблица46[[#This Row],[Games]],"-")</f>
        <v>-</v>
      </c>
    </row>
    <row r="370" spans="1:14" ht="11.1" customHeight="1" x14ac:dyDescent="0.25">
      <c r="A370" s="93">
        <f t="shared" si="22"/>
        <v>284</v>
      </c>
      <c r="D370" s="117" t="str">
        <f>IF(COUNTIFS(Таблица2[1],B370)+SUMIFS(Таблица2[R],Таблица2[1],B370)=0,"",COUNTIFS(Таблица2[1],B370)+SUMIFS(Таблица2[R],Таблица2[1],B370))</f>
        <v/>
      </c>
      <c r="E370" s="76" t="str">
        <f>IF(SUMIFS(Таблица2[B$],Таблица2[1],B370)=0,"-",SUMIFS(Таблица2[B$],Таблица2[1],B370))</f>
        <v>-</v>
      </c>
      <c r="F370" s="77" t="str">
        <f>IFERROR(AVERAGEIFS(Таблица2[AFS],Таблица2[1],B370)+(AVERAGEIFS(Таблица2[AFS],Таблица2[1],B370)*0.2),"-")</f>
        <v>-</v>
      </c>
      <c r="G370" s="77" t="str">
        <f t="shared" si="23"/>
        <v>-</v>
      </c>
      <c r="H370" s="77" t="str">
        <f>IFERROR(COUNTIFS(Таблица2[1],B370,Таблица2[WIN$],"&gt;0")/D370*100,"-")</f>
        <v>-</v>
      </c>
      <c r="I370" s="77" t="str">
        <f>IF(IFERROR((COUNTIFS(Таблица2[1],B370,Таблица2[K],"K")+SUMIFS(Таблица2[R],Таблица2[1],B370,Таблица2[K],"K"))/D370*100,"-")=0,"-",IFERROR((COUNTIFS(Таблица2[1],B370,Таблица2[K],"K")+SUMIFS(Таблица2[R],Таблица2[1],B370,Таблица2[K],"K"))/D370*100,"-"))</f>
        <v>-</v>
      </c>
      <c r="J370" s="77" t="str">
        <f>IF(IFERROR((COUNTIFS(Таблица2[1],B370,Таблица2[T],"t")+SUMIFS(Таблица2[R],Таблица2[1],B370,Таблица2[T],"t"))/D370*100,"-")=0,"-",IFERROR((COUNTIFS(Таблица2[1],B370,Таблица2[T],"t")+SUMIFS(Таблица2[R],Таблица2[1],B370,Таблица2[T],"t"))/D370*100,"-"))</f>
        <v>-</v>
      </c>
      <c r="K370" s="76" t="str">
        <f>IF(SUMIFS(Таблица2[KO$],Таблица2[1],B370)=0,"-",SUMIFS(Таблица2[KO$],Таблица2[1],B370))</f>
        <v>-</v>
      </c>
      <c r="L370" s="76" t="str">
        <f>IF(SUMIFS(Таблица2[WIN$],Таблица2[1],B370)=0,"-",SUMIFS(Таблица2[WIN$],Таблица2[1],B370))</f>
        <v>-</v>
      </c>
      <c r="M370" s="76" t="str">
        <f t="shared" si="24"/>
        <v>-</v>
      </c>
      <c r="N370" s="78" t="str">
        <f>IFERROR(Таблица46[[#This Row],[PROF]]/Таблица46[[#This Row],[Games]],"-")</f>
        <v>-</v>
      </c>
    </row>
    <row r="371" spans="1:14" ht="11.1" customHeight="1" x14ac:dyDescent="0.25">
      <c r="A371" s="93">
        <f t="shared" si="22"/>
        <v>285</v>
      </c>
      <c r="D371" s="117" t="str">
        <f>IF(COUNTIFS(Таблица2[1],B371)+SUMIFS(Таблица2[R],Таблица2[1],B371)=0,"",COUNTIFS(Таблица2[1],B371)+SUMIFS(Таблица2[R],Таблица2[1],B371))</f>
        <v/>
      </c>
      <c r="E371" s="76" t="str">
        <f>IF(SUMIFS(Таблица2[B$],Таблица2[1],B371)=0,"-",SUMIFS(Таблица2[B$],Таблица2[1],B371))</f>
        <v>-</v>
      </c>
      <c r="F371" s="77" t="str">
        <f>IFERROR(AVERAGEIFS(Таблица2[AFS],Таблица2[1],B371)+(AVERAGEIFS(Таблица2[AFS],Таблица2[1],B371)*0.2),"-")</f>
        <v>-</v>
      </c>
      <c r="G371" s="77" t="str">
        <f t="shared" si="23"/>
        <v>-</v>
      </c>
      <c r="H371" s="77" t="str">
        <f>IFERROR(COUNTIFS(Таблица2[1],B371,Таблица2[WIN$],"&gt;0")/D371*100,"-")</f>
        <v>-</v>
      </c>
      <c r="I371" s="77" t="str">
        <f>IF(IFERROR((COUNTIFS(Таблица2[1],B371,Таблица2[K],"K")+SUMIFS(Таблица2[R],Таблица2[1],B371,Таблица2[K],"K"))/D371*100,"-")=0,"-",IFERROR((COUNTIFS(Таблица2[1],B371,Таблица2[K],"K")+SUMIFS(Таблица2[R],Таблица2[1],B371,Таблица2[K],"K"))/D371*100,"-"))</f>
        <v>-</v>
      </c>
      <c r="J371" s="77" t="str">
        <f>IF(IFERROR((COUNTIFS(Таблица2[1],B371,Таблица2[T],"t")+SUMIFS(Таблица2[R],Таблица2[1],B371,Таблица2[T],"t"))/D371*100,"-")=0,"-",IFERROR((COUNTIFS(Таблица2[1],B371,Таблица2[T],"t")+SUMIFS(Таблица2[R],Таблица2[1],B371,Таблица2[T],"t"))/D371*100,"-"))</f>
        <v>-</v>
      </c>
      <c r="K371" s="76" t="str">
        <f>IF(SUMIFS(Таблица2[KO$],Таблица2[1],B371)=0,"-",SUMIFS(Таблица2[KO$],Таблица2[1],B371))</f>
        <v>-</v>
      </c>
      <c r="L371" s="76" t="str">
        <f>IF(SUMIFS(Таблица2[WIN$],Таблица2[1],B371)=0,"-",SUMIFS(Таблица2[WIN$],Таблица2[1],B371))</f>
        <v>-</v>
      </c>
      <c r="M371" s="76" t="str">
        <f t="shared" si="24"/>
        <v>-</v>
      </c>
      <c r="N371" s="78" t="str">
        <f>IFERROR(Таблица46[[#This Row],[PROF]]/Таблица46[[#This Row],[Games]],"-")</f>
        <v>-</v>
      </c>
    </row>
    <row r="372" spans="1:14" ht="11.1" customHeight="1" x14ac:dyDescent="0.25">
      <c r="A372" s="93">
        <f t="shared" si="22"/>
        <v>286</v>
      </c>
      <c r="D372" s="117" t="str">
        <f>IF(COUNTIFS(Таблица2[1],B372)+SUMIFS(Таблица2[R],Таблица2[1],B372)=0,"",COUNTIFS(Таблица2[1],B372)+SUMIFS(Таблица2[R],Таблица2[1],B372))</f>
        <v/>
      </c>
      <c r="E372" s="76" t="str">
        <f>IF(SUMIFS(Таблица2[B$],Таблица2[1],B372)=0,"-",SUMIFS(Таблица2[B$],Таблица2[1],B372))</f>
        <v>-</v>
      </c>
      <c r="F372" s="77" t="str">
        <f>IFERROR(AVERAGEIFS(Таблица2[AFS],Таблица2[1],B372)+(AVERAGEIFS(Таблица2[AFS],Таблица2[1],B372)*0.2),"-")</f>
        <v>-</v>
      </c>
      <c r="G372" s="77" t="str">
        <f t="shared" si="23"/>
        <v>-</v>
      </c>
      <c r="H372" s="77" t="str">
        <f>IFERROR(COUNTIFS(Таблица2[1],B372,Таблица2[WIN$],"&gt;0")/D372*100,"-")</f>
        <v>-</v>
      </c>
      <c r="I372" s="77" t="str">
        <f>IF(IFERROR((COUNTIFS(Таблица2[1],B372,Таблица2[K],"K")+SUMIFS(Таблица2[R],Таблица2[1],B372,Таблица2[K],"K"))/D372*100,"-")=0,"-",IFERROR((COUNTIFS(Таблица2[1],B372,Таблица2[K],"K")+SUMIFS(Таблица2[R],Таблица2[1],B372,Таблица2[K],"K"))/D372*100,"-"))</f>
        <v>-</v>
      </c>
      <c r="J372" s="77" t="str">
        <f>IF(IFERROR((COUNTIFS(Таблица2[1],B372,Таблица2[T],"t")+SUMIFS(Таблица2[R],Таблица2[1],B372,Таблица2[T],"t"))/D372*100,"-")=0,"-",IFERROR((COUNTIFS(Таблица2[1],B372,Таблица2[T],"t")+SUMIFS(Таблица2[R],Таблица2[1],B372,Таблица2[T],"t"))/D372*100,"-"))</f>
        <v>-</v>
      </c>
      <c r="K372" s="76" t="str">
        <f>IF(SUMIFS(Таблица2[KO$],Таблица2[1],B372)=0,"-",SUMIFS(Таблица2[KO$],Таблица2[1],B372))</f>
        <v>-</v>
      </c>
      <c r="L372" s="76" t="str">
        <f>IF(SUMIFS(Таблица2[WIN$],Таблица2[1],B372)=0,"-",SUMIFS(Таблица2[WIN$],Таблица2[1],B372))</f>
        <v>-</v>
      </c>
      <c r="M372" s="76" t="str">
        <f t="shared" si="24"/>
        <v>-</v>
      </c>
      <c r="N372" s="78" t="str">
        <f>IFERROR(Таблица46[[#This Row],[PROF]]/Таблица46[[#This Row],[Games]],"-")</f>
        <v>-</v>
      </c>
    </row>
    <row r="373" spans="1:14" ht="11.1" customHeight="1" x14ac:dyDescent="0.25">
      <c r="A373" s="93">
        <f t="shared" si="22"/>
        <v>287</v>
      </c>
      <c r="D373" s="117" t="str">
        <f>IF(COUNTIFS(Таблица2[1],B373)+SUMIFS(Таблица2[R],Таблица2[1],B373)=0,"",COUNTIFS(Таблица2[1],B373)+SUMIFS(Таблица2[R],Таблица2[1],B373))</f>
        <v/>
      </c>
      <c r="E373" s="76" t="str">
        <f>IF(SUMIFS(Таблица2[B$],Таблица2[1],B373)=0,"-",SUMIFS(Таблица2[B$],Таблица2[1],B373))</f>
        <v>-</v>
      </c>
      <c r="F373" s="77" t="str">
        <f>IFERROR(AVERAGEIFS(Таблица2[AFS],Таблица2[1],B373)+(AVERAGEIFS(Таблица2[AFS],Таблица2[1],B373)*0.2),"-")</f>
        <v>-</v>
      </c>
      <c r="G373" s="77" t="str">
        <f t="shared" si="23"/>
        <v>-</v>
      </c>
      <c r="H373" s="77" t="str">
        <f>IFERROR(COUNTIFS(Таблица2[1],B373,Таблица2[WIN$],"&gt;0")/D373*100,"-")</f>
        <v>-</v>
      </c>
      <c r="I373" s="77" t="str">
        <f>IF(IFERROR((COUNTIFS(Таблица2[1],B373,Таблица2[K],"K")+SUMIFS(Таблица2[R],Таблица2[1],B373,Таблица2[K],"K"))/D373*100,"-")=0,"-",IFERROR((COUNTIFS(Таблица2[1],B373,Таблица2[K],"K")+SUMIFS(Таблица2[R],Таблица2[1],B373,Таблица2[K],"K"))/D373*100,"-"))</f>
        <v>-</v>
      </c>
      <c r="J373" s="77" t="str">
        <f>IF(IFERROR((COUNTIFS(Таблица2[1],B373,Таблица2[T],"t")+SUMIFS(Таблица2[R],Таблица2[1],B373,Таблица2[T],"t"))/D373*100,"-")=0,"-",IFERROR((COUNTIFS(Таблица2[1],B373,Таблица2[T],"t")+SUMIFS(Таблица2[R],Таблица2[1],B373,Таблица2[T],"t"))/D373*100,"-"))</f>
        <v>-</v>
      </c>
      <c r="K373" s="76" t="str">
        <f>IF(SUMIFS(Таблица2[KO$],Таблица2[1],B373)=0,"-",SUMIFS(Таблица2[KO$],Таблица2[1],B373))</f>
        <v>-</v>
      </c>
      <c r="L373" s="76" t="str">
        <f>IF(SUMIFS(Таблица2[WIN$],Таблица2[1],B373)=0,"-",SUMIFS(Таблица2[WIN$],Таблица2[1],B373))</f>
        <v>-</v>
      </c>
      <c r="M373" s="76" t="str">
        <f t="shared" si="24"/>
        <v>-</v>
      </c>
      <c r="N373" s="78" t="str">
        <f>IFERROR(Таблица46[[#This Row],[PROF]]/Таблица46[[#This Row],[Games]],"-")</f>
        <v>-</v>
      </c>
    </row>
    <row r="374" spans="1:14" ht="11.1" customHeight="1" x14ac:dyDescent="0.25">
      <c r="A374" s="93">
        <f t="shared" si="22"/>
        <v>288</v>
      </c>
      <c r="D374" s="117" t="str">
        <f>IF(COUNTIFS(Таблица2[1],B374)+SUMIFS(Таблица2[R],Таблица2[1],B374)=0,"",COUNTIFS(Таблица2[1],B374)+SUMIFS(Таблица2[R],Таблица2[1],B374))</f>
        <v/>
      </c>
      <c r="E374" s="76" t="str">
        <f>IF(SUMIFS(Таблица2[B$],Таблица2[1],B374)=0,"-",SUMIFS(Таблица2[B$],Таблица2[1],B374))</f>
        <v>-</v>
      </c>
      <c r="F374" s="77" t="str">
        <f>IFERROR(AVERAGEIFS(Таблица2[AFS],Таблица2[1],B374)+(AVERAGEIFS(Таблица2[AFS],Таблица2[1],B374)*0.2),"-")</f>
        <v>-</v>
      </c>
      <c r="G374" s="77" t="str">
        <f t="shared" si="23"/>
        <v>-</v>
      </c>
      <c r="H374" s="77" t="str">
        <f>IFERROR(COUNTIFS(Таблица2[1],B374,Таблица2[WIN$],"&gt;0")/D374*100,"-")</f>
        <v>-</v>
      </c>
      <c r="I374" s="77" t="str">
        <f>IF(IFERROR((COUNTIFS(Таблица2[1],B374,Таблица2[K],"K")+SUMIFS(Таблица2[R],Таблица2[1],B374,Таблица2[K],"K"))/D374*100,"-")=0,"-",IFERROR((COUNTIFS(Таблица2[1],B374,Таблица2[K],"K")+SUMIFS(Таблица2[R],Таблица2[1],B374,Таблица2[K],"K"))/D374*100,"-"))</f>
        <v>-</v>
      </c>
      <c r="J374" s="77" t="str">
        <f>IF(IFERROR((COUNTIFS(Таблица2[1],B374,Таблица2[T],"t")+SUMIFS(Таблица2[R],Таблица2[1],B374,Таблица2[T],"t"))/D374*100,"-")=0,"-",IFERROR((COUNTIFS(Таблица2[1],B374,Таблица2[T],"t")+SUMIFS(Таблица2[R],Таблица2[1],B374,Таблица2[T],"t"))/D374*100,"-"))</f>
        <v>-</v>
      </c>
      <c r="K374" s="76" t="str">
        <f>IF(SUMIFS(Таблица2[KO$],Таблица2[1],B374)=0,"-",SUMIFS(Таблица2[KO$],Таблица2[1],B374))</f>
        <v>-</v>
      </c>
      <c r="L374" s="76" t="str">
        <f>IF(SUMIFS(Таблица2[WIN$],Таблица2[1],B374)=0,"-",SUMIFS(Таблица2[WIN$],Таблица2[1],B374))</f>
        <v>-</v>
      </c>
      <c r="M374" s="76" t="str">
        <f t="shared" si="24"/>
        <v>-</v>
      </c>
      <c r="N374" s="78" t="str">
        <f>IFERROR(Таблица46[[#This Row],[PROF]]/Таблица46[[#This Row],[Games]],"-")</f>
        <v>-</v>
      </c>
    </row>
    <row r="375" spans="1:14" ht="11.1" customHeight="1" x14ac:dyDescent="0.25">
      <c r="A375" s="93">
        <f t="shared" si="22"/>
        <v>289</v>
      </c>
      <c r="D375" s="117" t="str">
        <f>IF(COUNTIFS(Таблица2[1],B375)+SUMIFS(Таблица2[R],Таблица2[1],B375)=0,"",COUNTIFS(Таблица2[1],B375)+SUMIFS(Таблица2[R],Таблица2[1],B375))</f>
        <v/>
      </c>
      <c r="E375" s="76" t="str">
        <f>IF(SUMIFS(Таблица2[B$],Таблица2[1],B375)=0,"-",SUMIFS(Таблица2[B$],Таблица2[1],B375))</f>
        <v>-</v>
      </c>
      <c r="F375" s="77" t="str">
        <f>IFERROR(AVERAGEIFS(Таблица2[AFS],Таблица2[1],B375)+(AVERAGEIFS(Таблица2[AFS],Таблица2[1],B375)*0.2),"-")</f>
        <v>-</v>
      </c>
      <c r="G375" s="77" t="str">
        <f t="shared" si="23"/>
        <v>-</v>
      </c>
      <c r="H375" s="77" t="str">
        <f>IFERROR(COUNTIFS(Таблица2[1],B375,Таблица2[WIN$],"&gt;0")/D375*100,"-")</f>
        <v>-</v>
      </c>
      <c r="I375" s="77" t="str">
        <f>IF(IFERROR((COUNTIFS(Таблица2[1],B375,Таблица2[K],"K")+SUMIFS(Таблица2[R],Таблица2[1],B375,Таблица2[K],"K"))/D375*100,"-")=0,"-",IFERROR((COUNTIFS(Таблица2[1],B375,Таблица2[K],"K")+SUMIFS(Таблица2[R],Таблица2[1],B375,Таблица2[K],"K"))/D375*100,"-"))</f>
        <v>-</v>
      </c>
      <c r="J375" s="77" t="str">
        <f>IF(IFERROR((COUNTIFS(Таблица2[1],B375,Таблица2[T],"t")+SUMIFS(Таблица2[R],Таблица2[1],B375,Таблица2[T],"t"))/D375*100,"-")=0,"-",IFERROR((COUNTIFS(Таблица2[1],B375,Таблица2[T],"t")+SUMIFS(Таблица2[R],Таблица2[1],B375,Таблица2[T],"t"))/D375*100,"-"))</f>
        <v>-</v>
      </c>
      <c r="K375" s="76" t="str">
        <f>IF(SUMIFS(Таблица2[KO$],Таблица2[1],B375)=0,"-",SUMIFS(Таблица2[KO$],Таблица2[1],B375))</f>
        <v>-</v>
      </c>
      <c r="L375" s="76" t="str">
        <f>IF(SUMIFS(Таблица2[WIN$],Таблица2[1],B375)=0,"-",SUMIFS(Таблица2[WIN$],Таблица2[1],B375))</f>
        <v>-</v>
      </c>
      <c r="M375" s="76" t="str">
        <f t="shared" si="24"/>
        <v>-</v>
      </c>
      <c r="N375" s="78" t="str">
        <f>IFERROR(Таблица46[[#This Row],[PROF]]/Таблица46[[#This Row],[Games]],"-")</f>
        <v>-</v>
      </c>
    </row>
    <row r="376" spans="1:14" ht="11.1" customHeight="1" x14ac:dyDescent="0.25">
      <c r="A376" s="93">
        <f t="shared" si="22"/>
        <v>290</v>
      </c>
      <c r="D376" s="117" t="str">
        <f>IF(COUNTIFS(Таблица2[1],B376)+SUMIFS(Таблица2[R],Таблица2[1],B376)=0,"",COUNTIFS(Таблица2[1],B376)+SUMIFS(Таблица2[R],Таблица2[1],B376))</f>
        <v/>
      </c>
      <c r="E376" s="76" t="str">
        <f>IF(SUMIFS(Таблица2[B$],Таблица2[1],B376)=0,"-",SUMIFS(Таблица2[B$],Таблица2[1],B376))</f>
        <v>-</v>
      </c>
      <c r="F376" s="77" t="str">
        <f>IFERROR(AVERAGEIFS(Таблица2[AFS],Таблица2[1],B376)+(AVERAGEIFS(Таблица2[AFS],Таблица2[1],B376)*0.2),"-")</f>
        <v>-</v>
      </c>
      <c r="G376" s="77" t="str">
        <f t="shared" si="23"/>
        <v>-</v>
      </c>
      <c r="H376" s="77" t="str">
        <f>IFERROR(COUNTIFS(Таблица2[1],B376,Таблица2[WIN$],"&gt;0")/D376*100,"-")</f>
        <v>-</v>
      </c>
      <c r="I376" s="77" t="str">
        <f>IF(IFERROR((COUNTIFS(Таблица2[1],B376,Таблица2[K],"K")+SUMIFS(Таблица2[R],Таблица2[1],B376,Таблица2[K],"K"))/D376*100,"-")=0,"-",IFERROR((COUNTIFS(Таблица2[1],B376,Таблица2[K],"K")+SUMIFS(Таблица2[R],Таблица2[1],B376,Таблица2[K],"K"))/D376*100,"-"))</f>
        <v>-</v>
      </c>
      <c r="J376" s="77" t="str">
        <f>IF(IFERROR((COUNTIFS(Таблица2[1],B376,Таблица2[T],"t")+SUMIFS(Таблица2[R],Таблица2[1],B376,Таблица2[T],"t"))/D376*100,"-")=0,"-",IFERROR((COUNTIFS(Таблица2[1],B376,Таблица2[T],"t")+SUMIFS(Таблица2[R],Таблица2[1],B376,Таблица2[T],"t"))/D376*100,"-"))</f>
        <v>-</v>
      </c>
      <c r="K376" s="76" t="str">
        <f>IF(SUMIFS(Таблица2[KO$],Таблица2[1],B376)=0,"-",SUMIFS(Таблица2[KO$],Таблица2[1],B376))</f>
        <v>-</v>
      </c>
      <c r="L376" s="76" t="str">
        <f>IF(SUMIFS(Таблица2[WIN$],Таблица2[1],B376)=0,"-",SUMIFS(Таблица2[WIN$],Таблица2[1],B376))</f>
        <v>-</v>
      </c>
      <c r="M376" s="76" t="str">
        <f t="shared" si="24"/>
        <v>-</v>
      </c>
      <c r="N376" s="78" t="str">
        <f>IFERROR(Таблица46[[#This Row],[PROF]]/Таблица46[[#This Row],[Games]],"-")</f>
        <v>-</v>
      </c>
    </row>
    <row r="377" spans="1:14" ht="11.1" customHeight="1" x14ac:dyDescent="0.25">
      <c r="A377" s="93">
        <f t="shared" si="22"/>
        <v>291</v>
      </c>
      <c r="D377" s="117" t="str">
        <f>IF(COUNTIFS(Таблица2[1],B377)+SUMIFS(Таблица2[R],Таблица2[1],B377)=0,"",COUNTIFS(Таблица2[1],B377)+SUMIFS(Таблица2[R],Таблица2[1],B377))</f>
        <v/>
      </c>
      <c r="E377" s="76" t="str">
        <f>IF(SUMIFS(Таблица2[B$],Таблица2[1],B377)=0,"-",SUMIFS(Таблица2[B$],Таблица2[1],B377))</f>
        <v>-</v>
      </c>
      <c r="F377" s="77" t="str">
        <f>IFERROR(AVERAGEIFS(Таблица2[AFS],Таблица2[1],B377)+(AVERAGEIFS(Таблица2[AFS],Таблица2[1],B377)*0.2),"-")</f>
        <v>-</v>
      </c>
      <c r="G377" s="77" t="str">
        <f t="shared" si="23"/>
        <v>-</v>
      </c>
      <c r="H377" s="77" t="str">
        <f>IFERROR(COUNTIFS(Таблица2[1],B377,Таблица2[WIN$],"&gt;0")/D377*100,"-")</f>
        <v>-</v>
      </c>
      <c r="I377" s="77" t="str">
        <f>IF(IFERROR((COUNTIFS(Таблица2[1],B377,Таблица2[K],"K")+SUMIFS(Таблица2[R],Таблица2[1],B377,Таблица2[K],"K"))/D377*100,"-")=0,"-",IFERROR((COUNTIFS(Таблица2[1],B377,Таблица2[K],"K")+SUMIFS(Таблица2[R],Таблица2[1],B377,Таблица2[K],"K"))/D377*100,"-"))</f>
        <v>-</v>
      </c>
      <c r="J377" s="77" t="str">
        <f>IF(IFERROR((COUNTIFS(Таблица2[1],B377,Таблица2[T],"t")+SUMIFS(Таблица2[R],Таблица2[1],B377,Таблица2[T],"t"))/D377*100,"-")=0,"-",IFERROR((COUNTIFS(Таблица2[1],B377,Таблица2[T],"t")+SUMIFS(Таблица2[R],Таблица2[1],B377,Таблица2[T],"t"))/D377*100,"-"))</f>
        <v>-</v>
      </c>
      <c r="K377" s="76" t="str">
        <f>IF(SUMIFS(Таблица2[KO$],Таблица2[1],B377)=0,"-",SUMIFS(Таблица2[KO$],Таблица2[1],B377))</f>
        <v>-</v>
      </c>
      <c r="L377" s="76" t="str">
        <f>IF(SUMIFS(Таблица2[WIN$],Таблица2[1],B377)=0,"-",SUMIFS(Таблица2[WIN$],Таблица2[1],B377))</f>
        <v>-</v>
      </c>
      <c r="M377" s="76" t="str">
        <f t="shared" si="24"/>
        <v>-</v>
      </c>
      <c r="N377" s="78" t="str">
        <f>IFERROR(Таблица46[[#This Row],[PROF]]/Таблица46[[#This Row],[Games]],"-")</f>
        <v>-</v>
      </c>
    </row>
    <row r="378" spans="1:14" ht="11.1" customHeight="1" x14ac:dyDescent="0.25">
      <c r="A378" s="93">
        <f t="shared" si="22"/>
        <v>292</v>
      </c>
      <c r="D378" s="117" t="str">
        <f>IF(COUNTIFS(Таблица2[1],B378)+SUMIFS(Таблица2[R],Таблица2[1],B378)=0,"",COUNTIFS(Таблица2[1],B378)+SUMIFS(Таблица2[R],Таблица2[1],B378))</f>
        <v/>
      </c>
      <c r="E378" s="76" t="str">
        <f>IF(SUMIFS(Таблица2[B$],Таблица2[1],B378)=0,"-",SUMIFS(Таблица2[B$],Таблица2[1],B378))</f>
        <v>-</v>
      </c>
      <c r="F378" s="77" t="str">
        <f>IFERROR(AVERAGEIFS(Таблица2[AFS],Таблица2[1],B378)+(AVERAGEIFS(Таблица2[AFS],Таблица2[1],B378)*0.2),"-")</f>
        <v>-</v>
      </c>
      <c r="G378" s="77" t="str">
        <f t="shared" si="23"/>
        <v>-</v>
      </c>
      <c r="H378" s="77" t="str">
        <f>IFERROR(COUNTIFS(Таблица2[1],B378,Таблица2[WIN$],"&gt;0")/D378*100,"-")</f>
        <v>-</v>
      </c>
      <c r="I378" s="77" t="str">
        <f>IF(IFERROR((COUNTIFS(Таблица2[1],B378,Таблица2[K],"K")+SUMIFS(Таблица2[R],Таблица2[1],B378,Таблица2[K],"K"))/D378*100,"-")=0,"-",IFERROR((COUNTIFS(Таблица2[1],B378,Таблица2[K],"K")+SUMIFS(Таблица2[R],Таблица2[1],B378,Таблица2[K],"K"))/D378*100,"-"))</f>
        <v>-</v>
      </c>
      <c r="J378" s="77" t="str">
        <f>IF(IFERROR((COUNTIFS(Таблица2[1],B378,Таблица2[T],"t")+SUMIFS(Таблица2[R],Таблица2[1],B378,Таблица2[T],"t"))/D378*100,"-")=0,"-",IFERROR((COUNTIFS(Таблица2[1],B378,Таблица2[T],"t")+SUMIFS(Таблица2[R],Таблица2[1],B378,Таблица2[T],"t"))/D378*100,"-"))</f>
        <v>-</v>
      </c>
      <c r="K378" s="76" t="str">
        <f>IF(SUMIFS(Таблица2[KO$],Таблица2[1],B378)=0,"-",SUMIFS(Таблица2[KO$],Таблица2[1],B378))</f>
        <v>-</v>
      </c>
      <c r="L378" s="76" t="str">
        <f>IF(SUMIFS(Таблица2[WIN$],Таблица2[1],B378)=0,"-",SUMIFS(Таблица2[WIN$],Таблица2[1],B378))</f>
        <v>-</v>
      </c>
      <c r="M378" s="76" t="str">
        <f t="shared" si="24"/>
        <v>-</v>
      </c>
      <c r="N378" s="78" t="str">
        <f>IFERROR(Таблица46[[#This Row],[PROF]]/Таблица46[[#This Row],[Games]],"-")</f>
        <v>-</v>
      </c>
    </row>
    <row r="379" spans="1:14" ht="11.1" customHeight="1" x14ac:dyDescent="0.25">
      <c r="A379" s="93">
        <f t="shared" si="22"/>
        <v>293</v>
      </c>
      <c r="D379" s="117" t="str">
        <f>IF(COUNTIFS(Таблица2[1],B379)+SUMIFS(Таблица2[R],Таблица2[1],B379)=0,"",COUNTIFS(Таблица2[1],B379)+SUMIFS(Таблица2[R],Таблица2[1],B379))</f>
        <v/>
      </c>
      <c r="E379" s="76" t="str">
        <f>IF(SUMIFS(Таблица2[B$],Таблица2[1],B379)=0,"-",SUMIFS(Таблица2[B$],Таблица2[1],B379))</f>
        <v>-</v>
      </c>
      <c r="F379" s="77" t="str">
        <f>IFERROR(AVERAGEIFS(Таблица2[AFS],Таблица2[1],B379)+(AVERAGEIFS(Таблица2[AFS],Таблица2[1],B379)*0.2),"-")</f>
        <v>-</v>
      </c>
      <c r="G379" s="77" t="str">
        <f t="shared" si="23"/>
        <v>-</v>
      </c>
      <c r="H379" s="77" t="str">
        <f>IFERROR(COUNTIFS(Таблица2[1],B379,Таблица2[WIN$],"&gt;0")/D379*100,"-")</f>
        <v>-</v>
      </c>
      <c r="I379" s="77" t="str">
        <f>IF(IFERROR((COUNTIFS(Таблица2[1],B379,Таблица2[K],"K")+SUMIFS(Таблица2[R],Таблица2[1],B379,Таблица2[K],"K"))/D379*100,"-")=0,"-",IFERROR((COUNTIFS(Таблица2[1],B379,Таблица2[K],"K")+SUMIFS(Таблица2[R],Таблица2[1],B379,Таблица2[K],"K"))/D379*100,"-"))</f>
        <v>-</v>
      </c>
      <c r="J379" s="77" t="str">
        <f>IF(IFERROR((COUNTIFS(Таблица2[1],B379,Таблица2[T],"t")+SUMIFS(Таблица2[R],Таблица2[1],B379,Таблица2[T],"t"))/D379*100,"-")=0,"-",IFERROR((COUNTIFS(Таблица2[1],B379,Таблица2[T],"t")+SUMIFS(Таблица2[R],Таблица2[1],B379,Таблица2[T],"t"))/D379*100,"-"))</f>
        <v>-</v>
      </c>
      <c r="K379" s="76" t="str">
        <f>IF(SUMIFS(Таблица2[KO$],Таблица2[1],B379)=0,"-",SUMIFS(Таблица2[KO$],Таблица2[1],B379))</f>
        <v>-</v>
      </c>
      <c r="L379" s="76" t="str">
        <f>IF(SUMIFS(Таблица2[WIN$],Таблица2[1],B379)=0,"-",SUMIFS(Таблица2[WIN$],Таблица2[1],B379))</f>
        <v>-</v>
      </c>
      <c r="M379" s="76" t="str">
        <f t="shared" si="24"/>
        <v>-</v>
      </c>
      <c r="N379" s="78" t="str">
        <f>IFERROR(Таблица46[[#This Row],[PROF]]/Таблица46[[#This Row],[Games]],"-")</f>
        <v>-</v>
      </c>
    </row>
    <row r="380" spans="1:14" ht="11.1" customHeight="1" x14ac:dyDescent="0.25">
      <c r="A380" s="93">
        <f t="shared" si="22"/>
        <v>294</v>
      </c>
      <c r="D380" s="118" t="str">
        <f>IF(COUNTIFS(Таблица2[1],B380)+SUMIFS(Таблица2[R],Таблица2[1],B380)=0,"",COUNTIFS(Таблица2[1],B380)+SUMIFS(Таблица2[R],Таблица2[1],B380))</f>
        <v/>
      </c>
      <c r="E380" s="54" t="str">
        <f>IF(SUMIFS(Таблица2[B$],Таблица2[1],B380)=0,"-",SUMIFS(Таблица2[B$],Таблица2[1],B380))</f>
        <v>-</v>
      </c>
      <c r="F380" s="55" t="str">
        <f>IFERROR(AVERAGEIFS(Таблица2[AFS],Таблица2[1],B380)+(AVERAGEIFS(Таблица2[AFS],Таблица2[1],B380)*0.2),"-")</f>
        <v>-</v>
      </c>
      <c r="G380" s="55" t="str">
        <f t="shared" si="23"/>
        <v>-</v>
      </c>
      <c r="H380" s="55" t="str">
        <f>IFERROR(COUNTIFS(Таблица2[1],B380,Таблица2[WIN$],"&gt;0")/D380*100,"-")</f>
        <v>-</v>
      </c>
      <c r="I380" s="55" t="str">
        <f>IF(IFERROR((COUNTIFS(Таблица2[1],B380,Таблица2[K],"K")+SUMIFS(Таблица2[R],Таблица2[1],B380,Таблица2[K],"K"))/D380*100,"-")=0,"-",IFERROR((COUNTIFS(Таблица2[1],B380,Таблица2[K],"K")+SUMIFS(Таблица2[R],Таблица2[1],B380,Таблица2[K],"K"))/D380*100,"-"))</f>
        <v>-</v>
      </c>
      <c r="J380" s="55" t="str">
        <f>IF(IFERROR((COUNTIFS(Таблица2[1],B380,Таблица2[T],"t")+SUMIFS(Таблица2[R],Таблица2[1],B380,Таблица2[T],"t"))/D380*100,"-")=0,"-",IFERROR((COUNTIFS(Таблица2[1],B380,Таблица2[T],"t")+SUMIFS(Таблица2[R],Таблица2[1],B380,Таблица2[T],"t"))/D380*100,"-"))</f>
        <v>-</v>
      </c>
      <c r="K380" s="54" t="str">
        <f>IF(SUMIFS(Таблица2[KO$],Таблица2[1],B380)=0,"-",SUMIFS(Таблица2[KO$],Таблица2[1],B380))</f>
        <v>-</v>
      </c>
      <c r="L380" s="54" t="str">
        <f>IF(SUMIFS(Таблица2[WIN$],Таблица2[1],B380)=0,"-",SUMIFS(Таблица2[WIN$],Таблица2[1],B380))</f>
        <v>-</v>
      </c>
      <c r="M380" s="54" t="str">
        <f t="shared" si="24"/>
        <v>-</v>
      </c>
      <c r="N380" s="79" t="str">
        <f>IFERROR(Таблица46[[#This Row],[PROF]]/Таблица46[[#This Row],[Games]],"-")</f>
        <v>-</v>
      </c>
    </row>
    <row r="381" spans="1:14" ht="11.1" customHeight="1" x14ac:dyDescent="0.25">
      <c r="A381" s="93">
        <f t="shared" si="22"/>
        <v>295</v>
      </c>
    </row>
    <row r="382" spans="1:14" ht="11.1" customHeight="1" x14ac:dyDescent="0.25">
      <c r="A382" s="93">
        <f t="shared" si="22"/>
        <v>296</v>
      </c>
    </row>
    <row r="383" spans="1:14" ht="11.1" customHeight="1" x14ac:dyDescent="0.25">
      <c r="A383" s="93">
        <f t="shared" si="22"/>
        <v>297</v>
      </c>
    </row>
    <row r="384" spans="1:14" ht="11.1" customHeight="1" x14ac:dyDescent="0.25">
      <c r="A384" s="93">
        <f t="shared" si="22"/>
        <v>298</v>
      </c>
    </row>
  </sheetData>
  <conditionalFormatting sqref="B87:B99731">
    <cfRule type="expression" dxfId="59" priority="1">
      <formula>MOD($A87,2)=1</formula>
    </cfRule>
    <cfRule type="expression" dxfId="58" priority="2">
      <formula>$B87=""</formula>
    </cfRule>
    <cfRule type="expression" dxfId="57" priority="3">
      <formula>$B87&gt;0</formula>
    </cfRule>
  </conditionalFormatting>
  <pageMargins left="0.7" right="0.7" top="0.75" bottom="0.75" header="0.3" footer="0.3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4033" r:id="rId4" name="Button 1">
              <controlPr defaultSize="0" print="0" autoFill="0" autoPict="0" macro="[0]!obnoviti_start">
                <anchor>
                  <from>
                    <xdr:col>1</xdr:col>
                    <xdr:colOff>47625</xdr:colOff>
                    <xdr:row>83</xdr:row>
                    <xdr:rowOff>9525</xdr:rowOff>
                  </from>
                  <to>
                    <xdr:col>1</xdr:col>
                    <xdr:colOff>2686050</xdr:colOff>
                    <xdr:row>83</xdr:row>
                    <xdr:rowOff>180975</xdr:rowOff>
                  </to>
                </anchor>
              </controlPr>
            </control>
          </mc:Choice>
        </mc:AlternateContent>
      </controls>
    </mc:Choice>
  </mc:AlternateContent>
  <tableParts count="1">
    <tablePart r:id="rId5"/>
  </tableParts>
  <extLst>
    <ext xmlns:x14="http://schemas.microsoft.com/office/spreadsheetml/2009/9/main" uri="{A8765BA9-456A-4dab-B4F3-ACF838C121DE}">
      <x14:slicerList>
        <x14:slicer r:id="rId6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F3D0B-F1CB-4B29-B53D-9EE982FDD984}">
  <sheetPr codeName="Лист8"/>
  <dimension ref="A1:N263"/>
  <sheetViews>
    <sheetView zoomScaleNormal="100" workbookViewId="0">
      <selection activeCell="B41" sqref="B41"/>
    </sheetView>
  </sheetViews>
  <sheetFormatPr defaultRowHeight="11.1" customHeight="1" x14ac:dyDescent="0.25"/>
  <cols>
    <col min="1" max="1" width="9.140625" style="93"/>
    <col min="2" max="2" width="51" style="5" customWidth="1"/>
    <col min="3" max="3" width="1.42578125" style="16" hidden="1" customWidth="1"/>
    <col min="4" max="14" width="16.140625" style="16" customWidth="1"/>
    <col min="15" max="15" width="4" style="16" customWidth="1"/>
    <col min="16" max="16" width="9.140625" style="16"/>
    <col min="17" max="17" width="9.42578125" style="16" customWidth="1"/>
    <col min="18" max="18" width="9.140625" style="16"/>
    <col min="19" max="19" width="5.140625" style="16" customWidth="1"/>
    <col min="20" max="20" width="7.7109375" style="16" customWidth="1"/>
    <col min="21" max="16384" width="9.140625" style="16"/>
  </cols>
  <sheetData>
    <row r="1" spans="1:1" ht="11.1" customHeight="1" x14ac:dyDescent="0.25">
      <c r="A1" s="96">
        <f>COUNTA(B42:B99999)</f>
        <v>16</v>
      </c>
    </row>
    <row r="2" spans="1:1" ht="11.1" customHeight="1" x14ac:dyDescent="0.25">
      <c r="A2" s="96">
        <f>COUNT(D42:D99999)</f>
        <v>16</v>
      </c>
    </row>
    <row r="3" spans="1:1" ht="11.1" customHeight="1" x14ac:dyDescent="0.25">
      <c r="A3" s="95"/>
    </row>
    <row r="38" spans="1:14" ht="5.0999999999999996" customHeight="1" x14ac:dyDescent="0.25"/>
    <row r="39" spans="1:14" ht="11.1" customHeight="1" x14ac:dyDescent="0.25">
      <c r="D39" s="72">
        <f>SUM(Таблица467[Games])</f>
        <v>22</v>
      </c>
      <c r="E39" s="73">
        <f>SUM(Таблица467[Buy-in])</f>
        <v>31.380000000000003</v>
      </c>
      <c r="F39" s="74">
        <f>AVERAGE(Таблица2[AFS])+(AVERAGE(Таблица2[AFS])*0.2)</f>
        <v>494.00826446280996</v>
      </c>
      <c r="G39" s="74">
        <f>M39/E39*100</f>
        <v>-8.8910133843212318</v>
      </c>
      <c r="H39" s="74">
        <f>COUNTIFS(Таблица2[WIN$],"&gt;0")/D39*100</f>
        <v>22.727272727272727</v>
      </c>
      <c r="I39" s="74">
        <f>IF((COUNTIFS(Таблица2[K],"k")+SUMIFS(Таблица2[R],Таблица2[K],"K"))/D39*100=0,"-",(COUNTIFS(Таблица2[K],"K")+SUMIFS(Таблица2[R],Таблица2[K],"k"))/D39*100)</f>
        <v>40.909090909090914</v>
      </c>
      <c r="J39" s="74" t="str">
        <f>IF((COUNTIFS(Таблица2[T],"t")+SUMIFS(Таблица2[R],Таблица2[T],"t"))/D39*100=0,"-",(COUNTIFS(Таблица2[T],"t")+SUMIFS(Таблица2[R],Таблица2[T],"t"))/D39*100)</f>
        <v>-</v>
      </c>
      <c r="K39" s="73">
        <f>SUM(Таблица467[Bounty])</f>
        <v>6.66</v>
      </c>
      <c r="L39" s="73">
        <f>SUM(Таблица467[WIN])</f>
        <v>21.93</v>
      </c>
      <c r="M39" s="73">
        <f>SUM(Таблица467[PROF])</f>
        <v>-2.7900000000000027</v>
      </c>
      <c r="N39" s="73">
        <f>M39/D39</f>
        <v>-0.12681818181818194</v>
      </c>
    </row>
    <row r="40" spans="1:14" ht="3.95" customHeight="1" x14ac:dyDescent="0.25"/>
    <row r="41" spans="1:14" ht="15" x14ac:dyDescent="0.25">
      <c r="B41" s="80" t="s">
        <v>56</v>
      </c>
      <c r="C41" s="57" t="s">
        <v>78</v>
      </c>
      <c r="D41" s="58" t="s">
        <v>28</v>
      </c>
      <c r="E41" s="59" t="s">
        <v>2</v>
      </c>
      <c r="F41" s="60" t="s">
        <v>62</v>
      </c>
      <c r="G41" s="60" t="s">
        <v>21</v>
      </c>
      <c r="H41" s="60" t="s">
        <v>22</v>
      </c>
      <c r="I41" s="60" t="s">
        <v>68</v>
      </c>
      <c r="J41" s="61" t="s">
        <v>66</v>
      </c>
      <c r="K41" s="59" t="s">
        <v>6</v>
      </c>
      <c r="L41" s="59" t="s">
        <v>23</v>
      </c>
      <c r="M41" s="59" t="s">
        <v>27</v>
      </c>
      <c r="N41" s="62" t="s">
        <v>104</v>
      </c>
    </row>
    <row r="42" spans="1:14" ht="11.1" customHeight="1" x14ac:dyDescent="0.25">
      <c r="A42" s="93">
        <f>A41+1</f>
        <v>1</v>
      </c>
      <c r="B42" s="123" t="s">
        <v>118</v>
      </c>
      <c r="C42" s="51">
        <v>1</v>
      </c>
      <c r="D42" s="75">
        <f>IF(COUNTIFS(Таблица2[2],B42)+SUMIFS(Таблица2[R],Таблица2[2],B42)=0,"",COUNTIFS(Таблица2[2],B42)+SUMIFS(Таблица2[R],Таблица2[2],B42))</f>
        <v>1</v>
      </c>
      <c r="E42" s="76">
        <f>IF(SUMIFS(Таблица2[B$],Таблица2[2],B42)=0,"-",SUMIFS(Таблица2[B$],Таблица2[2],B42))</f>
        <v>1</v>
      </c>
      <c r="F42" s="77">
        <f>IFERROR(AVERAGEIFS(Таблица2[AFS],Таблица2[2],B42)+(AVERAGEIFS(Таблица2[AFS],Таблица2[2],B42)*0.2),"-")</f>
        <v>240</v>
      </c>
      <c r="G42" s="77">
        <f t="shared" ref="G42:G73" si="0">IFERROR(M42/E42*100,"-")</f>
        <v>-100</v>
      </c>
      <c r="H42" s="77">
        <f>IFERROR(COUNTIFS(Таблица2[2],B42,Таблица2[WIN$],"&gt;0")/D42*100,"-")</f>
        <v>0</v>
      </c>
      <c r="I42" s="77" t="str">
        <f>IF(IFERROR((COUNTIFS(Таблица2[2],B42,Таблица2[K],"K")+SUMIFS(Таблица2[R],Таблица2[2],B42,Таблица2[K],"K"))/D42*100,"-")=0,"-",IFERROR((COUNTIFS(Таблица2[2],B42,Таблица2[K],"K")+SUMIFS(Таблица2[R],Таблица2[2],B42,Таблица2[K],"K"))/D42*100,"-"))</f>
        <v>-</v>
      </c>
      <c r="J42" s="77" t="str">
        <f>IF(IFERROR((COUNTIFS(Таблица2[2],B42,Таблица2[T],"t")+SUMIFS(Таблица2[R],Таблица2[2],B42,Таблица2[T],"t"))/D42*100,"-")=0,"-",IFERROR((COUNTIFS(Таблица2[2],B42,Таблица2[T],"t")+SUMIFS(Таблица2[R],Таблица2[2],B42,Таблица2[T],"t"))/D42*100,"-"))</f>
        <v>-</v>
      </c>
      <c r="K42" s="76" t="str">
        <f>IF(SUMIFS(Таблица2[KO$],Таблица2[2],B42)=0,"-",SUMIFS(Таблица2[KO$],Таблица2[2],B42))</f>
        <v>-</v>
      </c>
      <c r="L42" s="76" t="str">
        <f>IF(SUMIFS(Таблица2[WIN$],Таблица2[2],B42)=0,"-",SUMIFS(Таблица2[WIN$],Таблица2[2],B42))</f>
        <v>-</v>
      </c>
      <c r="M42" s="76">
        <f t="shared" ref="M42:M73" si="1">IFERROR(IF(L42="-",0,L42)+IF(K42="-",0,K42)-E42,"-")</f>
        <v>-1</v>
      </c>
      <c r="N42" s="78">
        <f>IFERROR(Таблица467[[#This Row],[PROF]]/Таблица467[[#This Row],[Games]],"-")</f>
        <v>-1</v>
      </c>
    </row>
    <row r="43" spans="1:14" ht="11.1" customHeight="1" x14ac:dyDescent="0.25">
      <c r="A43" s="93">
        <f t="shared" ref="A43:A106" si="2">A42+1</f>
        <v>2</v>
      </c>
      <c r="B43" s="123" t="s">
        <v>119</v>
      </c>
      <c r="C43" s="51">
        <v>1</v>
      </c>
      <c r="D43" s="75">
        <f>IF(COUNTIFS(Таблица2[2],B43)+SUMIFS(Таблица2[R],Таблица2[2],B43)=0,"",COUNTIFS(Таблица2[2],B43)+SUMIFS(Таблица2[R],Таблица2[2],B43))</f>
        <v>2</v>
      </c>
      <c r="E43" s="76">
        <f>IF(SUMIFS(Таблица2[B$],Таблица2[2],B43)=0,"-",SUMIFS(Таблица2[B$],Таблица2[2],B43))</f>
        <v>2.2400000000000002</v>
      </c>
      <c r="F43" s="77">
        <f>IFERROR(AVERAGEIFS(Таблица2[AFS],Таблица2[2],B43)+(AVERAGEIFS(Таблица2[AFS],Таблица2[2],B43)*0.2),"-")</f>
        <v>240</v>
      </c>
      <c r="G43" s="77">
        <f t="shared" si="0"/>
        <v>-100</v>
      </c>
      <c r="H43" s="77">
        <f>IFERROR(COUNTIFS(Таблица2[2],B43,Таблица2[WIN$],"&gt;0")/D43*100,"-")</f>
        <v>0</v>
      </c>
      <c r="I43" s="77" t="str">
        <f>IF(IFERROR((COUNTIFS(Таблица2[2],B43,Таблица2[K],"K")+SUMIFS(Таблица2[R],Таблица2[2],B43,Таблица2[K],"K"))/D43*100,"-")=0,"-",IFERROR((COUNTIFS(Таблица2[2],B43,Таблица2[K],"K")+SUMIFS(Таблица2[R],Таблица2[2],B43,Таблица2[K],"K"))/D43*100,"-"))</f>
        <v>-</v>
      </c>
      <c r="J43" s="77" t="str">
        <f>IF(IFERROR((COUNTIFS(Таблица2[2],B43,Таблица2[T],"t")+SUMIFS(Таблица2[R],Таблица2[2],B43,Таблица2[T],"t"))/D43*100,"-")=0,"-",IFERROR((COUNTIFS(Таблица2[2],B43,Таблица2[T],"t")+SUMIFS(Таблица2[R],Таблица2[2],B43,Таблица2[T],"t"))/D43*100,"-"))</f>
        <v>-</v>
      </c>
      <c r="K43" s="76" t="str">
        <f>IF(SUMIFS(Таблица2[KO$],Таблица2[2],B43)=0,"-",SUMIFS(Таблица2[KO$],Таблица2[2],B43))</f>
        <v>-</v>
      </c>
      <c r="L43" s="76" t="str">
        <f>IF(SUMIFS(Таблица2[WIN$],Таблица2[2],B43)=0,"-",SUMIFS(Таблица2[WIN$],Таблица2[2],B43))</f>
        <v>-</v>
      </c>
      <c r="M43" s="76">
        <f t="shared" si="1"/>
        <v>-2.2400000000000002</v>
      </c>
      <c r="N43" s="78">
        <f>IFERROR(Таблица467[[#This Row],[PROF]]/Таблица467[[#This Row],[Games]],"-")</f>
        <v>-1.1200000000000001</v>
      </c>
    </row>
    <row r="44" spans="1:14" ht="11.1" customHeight="1" x14ac:dyDescent="0.25">
      <c r="A44" s="93">
        <f t="shared" si="2"/>
        <v>3</v>
      </c>
      <c r="B44" s="123" t="s">
        <v>163</v>
      </c>
      <c r="C44" s="51">
        <v>1</v>
      </c>
      <c r="D44" s="75">
        <f>IF(COUNTIFS(Таблица2[2],B44)+SUMIFS(Таблица2[R],Таблица2[2],B44)=0,"",COUNTIFS(Таблица2[2],B44)+SUMIFS(Таблица2[R],Таблица2[2],B44))</f>
        <v>1</v>
      </c>
      <c r="E44" s="76">
        <f>IF(SUMIFS(Таблица2[B$],Таблица2[2],B44)=0,"-",SUMIFS(Таблица2[B$],Таблица2[2],B44))</f>
        <v>1</v>
      </c>
      <c r="F44" s="77">
        <f>IFERROR(AVERAGEIFS(Таблица2[AFS],Таблица2[2],B44)+(AVERAGEIFS(Таблица2[AFS],Таблица2[2],B44)*0.2),"-")</f>
        <v>360</v>
      </c>
      <c r="G44" s="77">
        <f t="shared" si="0"/>
        <v>-100</v>
      </c>
      <c r="H44" s="77">
        <f>IFERROR(COUNTIFS(Таблица2[2],B44,Таблица2[WIN$],"&gt;0")/D44*100,"-")</f>
        <v>0</v>
      </c>
      <c r="I44" s="77" t="str">
        <f>IF(IFERROR((COUNTIFS(Таблица2[2],B44,Таблица2[K],"K")+SUMIFS(Таблица2[R],Таблица2[2],B44,Таблица2[K],"K"))/D44*100,"-")=0,"-",IFERROR((COUNTIFS(Таблица2[2],B44,Таблица2[K],"K")+SUMIFS(Таблица2[R],Таблица2[2],B44,Таблица2[K],"K"))/D44*100,"-"))</f>
        <v>-</v>
      </c>
      <c r="J44" s="77" t="str">
        <f>IF(IFERROR((COUNTIFS(Таблица2[2],B44,Таблица2[T],"t")+SUMIFS(Таблица2[R],Таблица2[2],B44,Таблица2[T],"t"))/D44*100,"-")=0,"-",IFERROR((COUNTIFS(Таблица2[2],B44,Таблица2[T],"t")+SUMIFS(Таблица2[R],Таблица2[2],B44,Таблица2[T],"t"))/D44*100,"-"))</f>
        <v>-</v>
      </c>
      <c r="K44" s="76" t="str">
        <f>IF(SUMIFS(Таблица2[KO$],Таблица2[2],B44)=0,"-",SUMIFS(Таблица2[KO$],Таблица2[2],B44))</f>
        <v>-</v>
      </c>
      <c r="L44" s="76" t="str">
        <f>IF(SUMIFS(Таблица2[WIN$],Таблица2[2],B44)=0,"-",SUMIFS(Таблица2[WIN$],Таблица2[2],B44))</f>
        <v>-</v>
      </c>
      <c r="M44" s="76">
        <f t="shared" si="1"/>
        <v>-1</v>
      </c>
      <c r="N44" s="78">
        <f>IFERROR(Таблица467[[#This Row],[PROF]]/Таблица467[[#This Row],[Games]],"-")</f>
        <v>-1</v>
      </c>
    </row>
    <row r="45" spans="1:14" ht="11.1" customHeight="1" x14ac:dyDescent="0.25">
      <c r="A45" s="93">
        <f t="shared" si="2"/>
        <v>4</v>
      </c>
      <c r="B45" s="123" t="s">
        <v>164</v>
      </c>
      <c r="C45" s="51">
        <v>1.05</v>
      </c>
      <c r="D45" s="75">
        <f>IF(COUNTIFS(Таблица2[2],B45)+SUMIFS(Таблица2[R],Таблица2[2],B45)=0,"",COUNTIFS(Таблица2[2],B45)+SUMIFS(Таблица2[R],Таблица2[2],B45))</f>
        <v>2</v>
      </c>
      <c r="E45" s="76">
        <f>IF(SUMIFS(Таблица2[B$],Таблица2[2],B45)=0,"-",SUMIFS(Таблица2[B$],Таблица2[2],B45))</f>
        <v>2.1</v>
      </c>
      <c r="F45" s="77">
        <f>IFERROR(AVERAGEIFS(Таблица2[AFS],Таблица2[2],B45)+(AVERAGEIFS(Таблица2[AFS],Таблица2[2],B45)*0.2),"-")</f>
        <v>857.14285714285711</v>
      </c>
      <c r="G45" s="77">
        <f t="shared" si="0"/>
        <v>329.52380952380952</v>
      </c>
      <c r="H45" s="77">
        <f>IFERROR(COUNTIFS(Таблица2[2],B45,Таблица2[WIN$],"&gt;0")/D45*100,"-")</f>
        <v>50</v>
      </c>
      <c r="I45" s="77">
        <f>IF(IFERROR((COUNTIFS(Таблица2[2],B45,Таблица2[K],"K")+SUMIFS(Таблица2[R],Таблица2[2],B45,Таблица2[K],"K"))/D45*100,"-")=0,"-",IFERROR((COUNTIFS(Таблица2[2],B45,Таблица2[K],"K")+SUMIFS(Таблица2[R],Таблица2[2],B45,Таблица2[K],"K"))/D45*100,"-"))</f>
        <v>100</v>
      </c>
      <c r="J45" s="77" t="str">
        <f>IF(IFERROR((COUNTIFS(Таблица2[2],B45,Таблица2[T],"t")+SUMIFS(Таблица2[R],Таблица2[2],B45,Таблица2[T],"t"))/D45*100,"-")=0,"-",IFERROR((COUNTIFS(Таблица2[2],B45,Таблица2[T],"t")+SUMIFS(Таблица2[R],Таблица2[2],B45,Таблица2[T],"t"))/D45*100,"-"))</f>
        <v>-</v>
      </c>
      <c r="K45" s="76">
        <f>IF(SUMIFS(Таблица2[KO$],Таблица2[2],B45)=0,"-",SUMIFS(Таблица2[KO$],Таблица2[2],B45))</f>
        <v>5.04</v>
      </c>
      <c r="L45" s="76">
        <f>IF(SUMIFS(Таблица2[WIN$],Таблица2[2],B45)=0,"-",SUMIFS(Таблица2[WIN$],Таблица2[2],B45))</f>
        <v>3.98</v>
      </c>
      <c r="M45" s="76">
        <f t="shared" si="1"/>
        <v>6.92</v>
      </c>
      <c r="N45" s="78">
        <f>IFERROR(Таблица467[[#This Row],[PROF]]/Таблица467[[#This Row],[Games]],"-")</f>
        <v>3.46</v>
      </c>
    </row>
    <row r="46" spans="1:14" ht="11.1" customHeight="1" x14ac:dyDescent="0.25">
      <c r="A46" s="93">
        <f t="shared" si="2"/>
        <v>5</v>
      </c>
      <c r="B46" s="123" t="s">
        <v>122</v>
      </c>
      <c r="C46" s="51">
        <v>1.1000000000000001</v>
      </c>
      <c r="D46" s="75">
        <f>IF(COUNTIFS(Таблица2[2],B46)+SUMIFS(Таблица2[R],Таблица2[2],B46)=0,"",COUNTIFS(Таблица2[2],B46)+SUMIFS(Таблица2[R],Таблица2[2],B46))</f>
        <v>1</v>
      </c>
      <c r="E46" s="76">
        <f>IF(SUMIFS(Таблица2[B$],Таблица2[2],B46)=0,"-",SUMIFS(Таблица2[B$],Таблица2[2],B46))</f>
        <v>1.1000000000000001</v>
      </c>
      <c r="F46" s="77">
        <f>IFERROR(AVERAGEIFS(Таблица2[AFS],Таблица2[2],B46)+(AVERAGEIFS(Таблица2[AFS],Таблица2[2],B46)*0.2),"-")</f>
        <v>2181.8181818181815</v>
      </c>
      <c r="G46" s="77">
        <f t="shared" si="0"/>
        <v>-100</v>
      </c>
      <c r="H46" s="77">
        <f>IFERROR(COUNTIFS(Таблица2[2],B46,Таблица2[WIN$],"&gt;0")/D46*100,"-")</f>
        <v>0</v>
      </c>
      <c r="I46" s="77">
        <f>IF(IFERROR((COUNTIFS(Таблица2[2],B46,Таблица2[K],"K")+SUMIFS(Таблица2[R],Таблица2[2],B46,Таблица2[K],"K"))/D46*100,"-")=0,"-",IFERROR((COUNTIFS(Таблица2[2],B46,Таблица2[K],"K")+SUMIFS(Таблица2[R],Таблица2[2],B46,Таблица2[K],"K"))/D46*100,"-"))</f>
        <v>100</v>
      </c>
      <c r="J46" s="77" t="str">
        <f>IF(IFERROR((COUNTIFS(Таблица2[2],B46,Таблица2[T],"t")+SUMIFS(Таблица2[R],Таблица2[2],B46,Таблица2[T],"t"))/D46*100,"-")=0,"-",IFERROR((COUNTIFS(Таблица2[2],B46,Таблица2[T],"t")+SUMIFS(Таблица2[R],Таблица2[2],B46,Таблица2[T],"t"))/D46*100,"-"))</f>
        <v>-</v>
      </c>
      <c r="K46" s="76" t="str">
        <f>IF(SUMIFS(Таблица2[KO$],Таблица2[2],B46)=0,"-",SUMIFS(Таблица2[KO$],Таблица2[2],B46))</f>
        <v>-</v>
      </c>
      <c r="L46" s="76" t="str">
        <f>IF(SUMIFS(Таблица2[WIN$],Таблица2[2],B46)=0,"-",SUMIFS(Таблица2[WIN$],Таблица2[2],B46))</f>
        <v>-</v>
      </c>
      <c r="M46" s="76">
        <f t="shared" si="1"/>
        <v>-1.1000000000000001</v>
      </c>
      <c r="N46" s="78">
        <f>IFERROR(Таблица467[[#This Row],[PROF]]/Таблица467[[#This Row],[Games]],"-")</f>
        <v>-1.1000000000000001</v>
      </c>
    </row>
    <row r="47" spans="1:14" ht="11.1" customHeight="1" x14ac:dyDescent="0.25">
      <c r="A47" s="93">
        <f t="shared" si="2"/>
        <v>6</v>
      </c>
      <c r="B47" s="123" t="s">
        <v>165</v>
      </c>
      <c r="C47" s="51">
        <v>1.1000000000000001</v>
      </c>
      <c r="D47" s="75">
        <f>IF(COUNTIFS(Таблица2[2],B47)+SUMIFS(Таблица2[R],Таблица2[2],B47)=0,"",COUNTIFS(Таблица2[2],B47)+SUMIFS(Таблица2[R],Таблица2[2],B47))</f>
        <v>3</v>
      </c>
      <c r="E47" s="76">
        <f>IF(SUMIFS(Таблица2[B$],Таблица2[2],B47)=0,"-",SUMIFS(Таблица2[B$],Таблица2[2],B47))</f>
        <v>3.3000000000000003</v>
      </c>
      <c r="F47" s="77">
        <f>IFERROR(AVERAGEIFS(Таблица2[AFS],Таблица2[2],B47)+(AVERAGEIFS(Таблица2[AFS],Таблица2[2],B47)*0.2),"-")</f>
        <v>127.27272727272728</v>
      </c>
      <c r="G47" s="77">
        <f t="shared" si="0"/>
        <v>-20.606060606060609</v>
      </c>
      <c r="H47" s="77">
        <f>IFERROR(COUNTIFS(Таблица2[2],B47,Таблица2[WIN$],"&gt;0")/D47*100,"-")</f>
        <v>33.333333333333329</v>
      </c>
      <c r="I47" s="77">
        <f>IF(IFERROR((COUNTIFS(Таблица2[2],B47,Таблица2[K],"K")+SUMIFS(Таблица2[R],Таблица2[2],B47,Таблица2[K],"K"))/D47*100,"-")=0,"-",IFERROR((COUNTIFS(Таблица2[2],B47,Таблица2[K],"K")+SUMIFS(Таблица2[R],Таблица2[2],B47,Таблица2[K],"K"))/D47*100,"-"))</f>
        <v>100</v>
      </c>
      <c r="J47" s="77" t="str">
        <f>IF(IFERROR((COUNTIFS(Таблица2[2],B47,Таблица2[T],"t")+SUMIFS(Таблица2[R],Таблица2[2],B47,Таблица2[T],"t"))/D47*100,"-")=0,"-",IFERROR((COUNTIFS(Таблица2[2],B47,Таблица2[T],"t")+SUMIFS(Таблица2[R],Таблица2[2],B47,Таблица2[T],"t"))/D47*100,"-"))</f>
        <v>-</v>
      </c>
      <c r="K47" s="76">
        <f>IF(SUMIFS(Таблица2[KO$],Таблица2[2],B47)=0,"-",SUMIFS(Таблица2[KO$],Таблица2[2],B47))</f>
        <v>1.37</v>
      </c>
      <c r="L47" s="76">
        <f>IF(SUMIFS(Таблица2[WIN$],Таблица2[2],B47)=0,"-",SUMIFS(Таблица2[WIN$],Таблица2[2],B47))</f>
        <v>1.25</v>
      </c>
      <c r="M47" s="76">
        <f t="shared" si="1"/>
        <v>-0.68000000000000016</v>
      </c>
      <c r="N47" s="78">
        <f>IFERROR(Таблица467[[#This Row],[PROF]]/Таблица467[[#This Row],[Games]],"-")</f>
        <v>-0.22666666666666671</v>
      </c>
    </row>
    <row r="48" spans="1:14" ht="11.1" customHeight="1" x14ac:dyDescent="0.25">
      <c r="A48" s="93">
        <f t="shared" si="2"/>
        <v>7</v>
      </c>
      <c r="B48" s="123" t="s">
        <v>166</v>
      </c>
      <c r="C48" s="51">
        <v>1.1000000000000001</v>
      </c>
      <c r="D48" s="75">
        <f>IF(COUNTIFS(Таблица2[2],B48)+SUMIFS(Таблица2[R],Таблица2[2],B48)=0,"",COUNTIFS(Таблица2[2],B48)+SUMIFS(Таблица2[R],Таблица2[2],B48))</f>
        <v>1</v>
      </c>
      <c r="E48" s="76">
        <f>IF(SUMIFS(Таблица2[B$],Таблица2[2],B48)=0,"-",SUMIFS(Таблица2[B$],Таблица2[2],B48))</f>
        <v>1.1000000000000001</v>
      </c>
      <c r="F48" s="77">
        <f>IFERROR(AVERAGEIFS(Таблица2[AFS],Таблица2[2],B48)+(AVERAGEIFS(Таблица2[AFS],Таблица2[2],B48)*0.2),"-")</f>
        <v>327.27272727272725</v>
      </c>
      <c r="G48" s="77">
        <f t="shared" si="0"/>
        <v>-77.272727272727266</v>
      </c>
      <c r="H48" s="77">
        <f>IFERROR(COUNTIFS(Таблица2[2],B48,Таблица2[WIN$],"&gt;0")/D48*100,"-")</f>
        <v>0</v>
      </c>
      <c r="I48" s="77">
        <f>IF(IFERROR((COUNTIFS(Таблица2[2],B48,Таблица2[K],"K")+SUMIFS(Таблица2[R],Таблица2[2],B48,Таблица2[K],"K"))/D48*100,"-")=0,"-",IFERROR((COUNTIFS(Таблица2[2],B48,Таблица2[K],"K")+SUMIFS(Таблица2[R],Таблица2[2],B48,Таблица2[K],"K"))/D48*100,"-"))</f>
        <v>100</v>
      </c>
      <c r="J48" s="77" t="str">
        <f>IF(IFERROR((COUNTIFS(Таблица2[2],B48,Таблица2[T],"t")+SUMIFS(Таблица2[R],Таблица2[2],B48,Таблица2[T],"t"))/D48*100,"-")=0,"-",IFERROR((COUNTIFS(Таблица2[2],B48,Таблица2[T],"t")+SUMIFS(Таблица2[R],Таблица2[2],B48,Таблица2[T],"t"))/D48*100,"-"))</f>
        <v>-</v>
      </c>
      <c r="K48" s="76">
        <f>IF(SUMIFS(Таблица2[KO$],Таблица2[2],B48)=0,"-",SUMIFS(Таблица2[KO$],Таблица2[2],B48))</f>
        <v>0.25</v>
      </c>
      <c r="L48" s="76" t="str">
        <f>IF(SUMIFS(Таблица2[WIN$],Таблица2[2],B48)=0,"-",SUMIFS(Таблица2[WIN$],Таблица2[2],B48))</f>
        <v>-</v>
      </c>
      <c r="M48" s="76">
        <f t="shared" si="1"/>
        <v>-0.85000000000000009</v>
      </c>
      <c r="N48" s="78">
        <f>IFERROR(Таблица467[[#This Row],[PROF]]/Таблица467[[#This Row],[Games]],"-")</f>
        <v>-0.85000000000000009</v>
      </c>
    </row>
    <row r="49" spans="1:14" ht="11.1" customHeight="1" x14ac:dyDescent="0.25">
      <c r="A49" s="93">
        <f t="shared" si="2"/>
        <v>8</v>
      </c>
      <c r="B49" s="123" t="s">
        <v>167</v>
      </c>
      <c r="C49" s="51">
        <v>1.1000000000000001</v>
      </c>
      <c r="D49" s="75">
        <f>IF(COUNTIFS(Таблица2[2],B49)+SUMIFS(Таблица2[R],Таблица2[2],B49)=0,"",COUNTIFS(Таблица2[2],B49)+SUMIFS(Таблица2[R],Таблица2[2],B49))</f>
        <v>1</v>
      </c>
      <c r="E49" s="76">
        <f>IF(SUMIFS(Таблица2[B$],Таблица2[2],B49)=0,"-",SUMIFS(Таблица2[B$],Таблица2[2],B49))</f>
        <v>1.1000000000000001</v>
      </c>
      <c r="F49" s="77">
        <f>IFERROR(AVERAGEIFS(Таблица2[AFS],Таблица2[2],B49)+(AVERAGEIFS(Таблица2[AFS],Таблица2[2],B49)*0.2),"-")</f>
        <v>163.63636363636363</v>
      </c>
      <c r="G49" s="77">
        <f t="shared" si="0"/>
        <v>-100</v>
      </c>
      <c r="H49" s="77">
        <f>IFERROR(COUNTIFS(Таблица2[2],B49,Таблица2[WIN$],"&gt;0")/D49*100,"-")</f>
        <v>0</v>
      </c>
      <c r="I49" s="77" t="str">
        <f>IF(IFERROR((COUNTIFS(Таблица2[2],B49,Таблица2[K],"K")+SUMIFS(Таблица2[R],Таблица2[2],B49,Таблица2[K],"K"))/D49*100,"-")=0,"-",IFERROR((COUNTIFS(Таблица2[2],B49,Таблица2[K],"K")+SUMIFS(Таблица2[R],Таблица2[2],B49,Таблица2[K],"K"))/D49*100,"-"))</f>
        <v>-</v>
      </c>
      <c r="J49" s="77" t="str">
        <f>IF(IFERROR((COUNTIFS(Таблица2[2],B49,Таблица2[T],"t")+SUMIFS(Таблица2[R],Таблица2[2],B49,Таблица2[T],"t"))/D49*100,"-")=0,"-",IFERROR((COUNTIFS(Таблица2[2],B49,Таблица2[T],"t")+SUMIFS(Таблица2[R],Таблица2[2],B49,Таблица2[T],"t"))/D49*100,"-"))</f>
        <v>-</v>
      </c>
      <c r="K49" s="76" t="str">
        <f>IF(SUMIFS(Таблица2[KO$],Таблица2[2],B49)=0,"-",SUMIFS(Таблица2[KO$],Таблица2[2],B49))</f>
        <v>-</v>
      </c>
      <c r="L49" s="76" t="str">
        <f>IF(SUMIFS(Таблица2[WIN$],Таблица2[2],B49)=0,"-",SUMIFS(Таблица2[WIN$],Таблица2[2],B49))</f>
        <v>-</v>
      </c>
      <c r="M49" s="76">
        <f t="shared" si="1"/>
        <v>-1.1000000000000001</v>
      </c>
      <c r="N49" s="78">
        <f>IFERROR(Таблица467[[#This Row],[PROF]]/Таблица467[[#This Row],[Games]],"-")</f>
        <v>-1.1000000000000001</v>
      </c>
    </row>
    <row r="50" spans="1:14" ht="11.1" customHeight="1" x14ac:dyDescent="0.25">
      <c r="A50" s="93">
        <f t="shared" si="2"/>
        <v>9</v>
      </c>
      <c r="B50" s="123" t="s">
        <v>121</v>
      </c>
      <c r="C50" s="51">
        <v>1.1000000000000001</v>
      </c>
      <c r="D50" s="75">
        <f>IF(COUNTIFS(Таблица2[2],B50)+SUMIFS(Таблица2[R],Таблица2[2],B50)=0,"",COUNTIFS(Таблица2[2],B50)+SUMIFS(Таблица2[R],Таблица2[2],B50))</f>
        <v>2</v>
      </c>
      <c r="E50" s="76">
        <f>IF(SUMIFS(Таблица2[B$],Таблица2[2],B50)=0,"-",SUMIFS(Таблица2[B$],Таблица2[2],B50))</f>
        <v>2.2000000000000002</v>
      </c>
      <c r="F50" s="77">
        <f>IFERROR(AVERAGEIFS(Таблица2[AFS],Таблица2[2],B50)+(AVERAGEIFS(Таблица2[AFS],Таблица2[2],B50)*0.2),"-")</f>
        <v>1227.2727272727273</v>
      </c>
      <c r="G50" s="77">
        <f t="shared" si="0"/>
        <v>374.54545454545445</v>
      </c>
      <c r="H50" s="77">
        <f>IFERROR(COUNTIFS(Таблица2[2],B50,Таблица2[WIN$],"&gt;0")/D50*100,"-")</f>
        <v>100</v>
      </c>
      <c r="I50" s="77" t="str">
        <f>IF(IFERROR((COUNTIFS(Таблица2[2],B50,Таблица2[K],"K")+SUMIFS(Таблица2[R],Таблица2[2],B50,Таблица2[K],"K"))/D50*100,"-")=0,"-",IFERROR((COUNTIFS(Таблица2[2],B50,Таблица2[K],"K")+SUMIFS(Таблица2[R],Таблица2[2],B50,Таблица2[K],"K"))/D50*100,"-"))</f>
        <v>-</v>
      </c>
      <c r="J50" s="77" t="str">
        <f>IF(IFERROR((COUNTIFS(Таблица2[2],B50,Таблица2[T],"t")+SUMIFS(Таблица2[R],Таблица2[2],B50,Таблица2[T],"t"))/D50*100,"-")=0,"-",IFERROR((COUNTIFS(Таблица2[2],B50,Таблица2[T],"t")+SUMIFS(Таблица2[R],Таблица2[2],B50,Таблица2[T],"t"))/D50*100,"-"))</f>
        <v>-</v>
      </c>
      <c r="K50" s="76" t="str">
        <f>IF(SUMIFS(Таблица2[KO$],Таблица2[2],B50)=0,"-",SUMIFS(Таблица2[KO$],Таблица2[2],B50))</f>
        <v>-</v>
      </c>
      <c r="L50" s="76">
        <f>IF(SUMIFS(Таблица2[WIN$],Таблица2[2],B50)=0,"-",SUMIFS(Таблица2[WIN$],Таблица2[2],B50))</f>
        <v>10.44</v>
      </c>
      <c r="M50" s="76">
        <f t="shared" si="1"/>
        <v>8.2399999999999984</v>
      </c>
      <c r="N50" s="78">
        <f>IFERROR(Таблица467[[#This Row],[PROF]]/Таблица467[[#This Row],[Games]],"-")</f>
        <v>4.1199999999999992</v>
      </c>
    </row>
    <row r="51" spans="1:14" ht="11.1" customHeight="1" x14ac:dyDescent="0.25">
      <c r="A51" s="93">
        <f t="shared" si="2"/>
        <v>10</v>
      </c>
      <c r="B51" s="123" t="s">
        <v>120</v>
      </c>
      <c r="C51" s="51">
        <v>1.1000000000000001</v>
      </c>
      <c r="D51" s="75">
        <f>IF(COUNTIFS(Таблица2[2],B51)+SUMIFS(Таблица2[R],Таблица2[2],B51)=0,"",COUNTIFS(Таблица2[2],B51)+SUMIFS(Таблица2[R],Таблица2[2],B51))</f>
        <v>1</v>
      </c>
      <c r="E51" s="76">
        <f>IF(SUMIFS(Таблица2[B$],Таблица2[2],B51)=0,"-",SUMIFS(Таблица2[B$],Таблица2[2],B51))</f>
        <v>1.1000000000000001</v>
      </c>
      <c r="F51" s="77">
        <f>IFERROR(AVERAGEIFS(Таблица2[AFS],Таблица2[2],B51)+(AVERAGEIFS(Таблица2[AFS],Таблица2[2],B51)*0.2),"-")</f>
        <v>545.45454545454538</v>
      </c>
      <c r="G51" s="77">
        <f t="shared" si="0"/>
        <v>469.09090909090907</v>
      </c>
      <c r="H51" s="77">
        <f>IFERROR(COUNTIFS(Таблица2[2],B51,Таблица2[WIN$],"&gt;0")/D51*100,"-")</f>
        <v>100</v>
      </c>
      <c r="I51" s="77" t="str">
        <f>IF(IFERROR((COUNTIFS(Таблица2[2],B51,Таблица2[K],"K")+SUMIFS(Таблица2[R],Таблица2[2],B51,Таблица2[K],"K"))/D51*100,"-")=0,"-",IFERROR((COUNTIFS(Таблица2[2],B51,Таблица2[K],"K")+SUMIFS(Таблица2[R],Таблица2[2],B51,Таблица2[K],"K"))/D51*100,"-"))</f>
        <v>-</v>
      </c>
      <c r="J51" s="77" t="str">
        <f>IF(IFERROR((COUNTIFS(Таблица2[2],B51,Таблица2[T],"t")+SUMIFS(Таблица2[R],Таблица2[2],B51,Таблица2[T],"t"))/D51*100,"-")=0,"-",IFERROR((COUNTIFS(Таблица2[2],B51,Таблица2[T],"t")+SUMIFS(Таблица2[R],Таблица2[2],B51,Таблица2[T],"t"))/D51*100,"-"))</f>
        <v>-</v>
      </c>
      <c r="K51" s="76" t="str">
        <f>IF(SUMIFS(Таблица2[KO$],Таблица2[2],B51)=0,"-",SUMIFS(Таблица2[KO$],Таблица2[2],B51))</f>
        <v>-</v>
      </c>
      <c r="L51" s="76">
        <f>IF(SUMIFS(Таблица2[WIN$],Таблица2[2],B51)=0,"-",SUMIFS(Таблица2[WIN$],Таблица2[2],B51))</f>
        <v>6.26</v>
      </c>
      <c r="M51" s="76">
        <f t="shared" si="1"/>
        <v>5.16</v>
      </c>
      <c r="N51" s="78">
        <f>IFERROR(Таблица467[[#This Row],[PROF]]/Таблица467[[#This Row],[Games]],"-")</f>
        <v>5.16</v>
      </c>
    </row>
    <row r="52" spans="1:14" ht="11.1" customHeight="1" x14ac:dyDescent="0.25">
      <c r="A52" s="93">
        <f t="shared" si="2"/>
        <v>11</v>
      </c>
      <c r="B52" s="123" t="s">
        <v>124</v>
      </c>
      <c r="C52" s="51">
        <v>2</v>
      </c>
      <c r="D52" s="75">
        <f>IF(COUNTIFS(Таблица2[2],B52)+SUMIFS(Таблица2[R],Таблица2[2],B52)=0,"",COUNTIFS(Таблица2[2],B52)+SUMIFS(Таблица2[R],Таблица2[2],B52))</f>
        <v>1</v>
      </c>
      <c r="E52" s="76">
        <f>IF(SUMIFS(Таблица2[B$],Таблица2[2],B52)=0,"-",SUMIFS(Таблица2[B$],Таблица2[2],B52))</f>
        <v>2.2400000000000002</v>
      </c>
      <c r="F52" s="77">
        <f>IFERROR(AVERAGEIFS(Таблица2[AFS],Таблица2[2],B52)+(AVERAGEIFS(Таблица2[AFS],Таблица2[2],B52)*0.2),"-")</f>
        <v>120</v>
      </c>
      <c r="G52" s="77">
        <f t="shared" si="0"/>
        <v>-100</v>
      </c>
      <c r="H52" s="77">
        <f>IFERROR(COUNTIFS(Таблица2[2],B52,Таблица2[WIN$],"&gt;0")/D52*100,"-")</f>
        <v>0</v>
      </c>
      <c r="I52" s="77" t="str">
        <f>IF(IFERROR((COUNTIFS(Таблица2[2],B52,Таблица2[K],"K")+SUMIFS(Таблица2[R],Таблица2[2],B52,Таблица2[K],"K"))/D52*100,"-")=0,"-",IFERROR((COUNTIFS(Таблица2[2],B52,Таблица2[K],"K")+SUMIFS(Таблица2[R],Таблица2[2],B52,Таблица2[K],"K"))/D52*100,"-"))</f>
        <v>-</v>
      </c>
      <c r="J52" s="77" t="str">
        <f>IF(IFERROR((COUNTIFS(Таблица2[2],B52,Таблица2[T],"t")+SUMIFS(Таблица2[R],Таблица2[2],B52,Таблица2[T],"t"))/D52*100,"-")=0,"-",IFERROR((COUNTIFS(Таблица2[2],B52,Таблица2[T],"t")+SUMIFS(Таблица2[R],Таблица2[2],B52,Таблица2[T],"t"))/D52*100,"-"))</f>
        <v>-</v>
      </c>
      <c r="K52" s="76" t="str">
        <f>IF(SUMIFS(Таблица2[KO$],Таблица2[2],B52)=0,"-",SUMIFS(Таблица2[KO$],Таблица2[2],B52))</f>
        <v>-</v>
      </c>
      <c r="L52" s="76" t="str">
        <f>IF(SUMIFS(Таблица2[WIN$],Таблица2[2],B52)=0,"-",SUMIFS(Таблица2[WIN$],Таблица2[2],B52))</f>
        <v>-</v>
      </c>
      <c r="M52" s="76">
        <f t="shared" si="1"/>
        <v>-2.2400000000000002</v>
      </c>
      <c r="N52" s="78">
        <f>IFERROR(Таблица467[[#This Row],[PROF]]/Таблица467[[#This Row],[Games]],"-")</f>
        <v>-2.2400000000000002</v>
      </c>
    </row>
    <row r="53" spans="1:14" ht="11.1" customHeight="1" x14ac:dyDescent="0.25">
      <c r="A53" s="93">
        <f t="shared" si="2"/>
        <v>12</v>
      </c>
      <c r="B53" s="123" t="s">
        <v>123</v>
      </c>
      <c r="C53" s="51">
        <v>2</v>
      </c>
      <c r="D53" s="75">
        <f>IF(COUNTIFS(Таблица2[2],B53)+SUMIFS(Таблица2[R],Таблица2[2],B53)=0,"",COUNTIFS(Таблица2[2],B53)+SUMIFS(Таблица2[R],Таблица2[2],B53))</f>
        <v>1</v>
      </c>
      <c r="E53" s="76">
        <f>IF(SUMIFS(Таблица2[B$],Таблица2[2],B53)=0,"-",SUMIFS(Таблица2[B$],Таблица2[2],B53))</f>
        <v>2</v>
      </c>
      <c r="F53" s="77">
        <f>IFERROR(AVERAGEIFS(Таблица2[AFS],Таблица2[2],B53)+(AVERAGEIFS(Таблица2[AFS],Таблица2[2],B53)*0.2),"-")</f>
        <v>450</v>
      </c>
      <c r="G53" s="77">
        <f t="shared" si="0"/>
        <v>-100</v>
      </c>
      <c r="H53" s="77">
        <f>IFERROR(COUNTIFS(Таблица2[2],B53,Таблица2[WIN$],"&gt;0")/D53*100,"-")</f>
        <v>0</v>
      </c>
      <c r="I53" s="77" t="str">
        <f>IF(IFERROR((COUNTIFS(Таблица2[2],B53,Таблица2[K],"K")+SUMIFS(Таблица2[R],Таблица2[2],B53,Таблица2[K],"K"))/D53*100,"-")=0,"-",IFERROR((COUNTIFS(Таблица2[2],B53,Таблица2[K],"K")+SUMIFS(Таблица2[R],Таблица2[2],B53,Таблица2[K],"K"))/D53*100,"-"))</f>
        <v>-</v>
      </c>
      <c r="J53" s="77" t="str">
        <f>IF(IFERROR((COUNTIFS(Таблица2[2],B53,Таблица2[T],"t")+SUMIFS(Таблица2[R],Таблица2[2],B53,Таблица2[T],"t"))/D53*100,"-")=0,"-",IFERROR((COUNTIFS(Таблица2[2],B53,Таблица2[T],"t")+SUMIFS(Таблица2[R],Таблица2[2],B53,Таблица2[T],"t"))/D53*100,"-"))</f>
        <v>-</v>
      </c>
      <c r="K53" s="76" t="str">
        <f>IF(SUMIFS(Таблица2[KO$],Таблица2[2],B53)=0,"-",SUMIFS(Таблица2[KO$],Таблица2[2],B53))</f>
        <v>-</v>
      </c>
      <c r="L53" s="76" t="str">
        <f>IF(SUMIFS(Таблица2[WIN$],Таблица2[2],B53)=0,"-",SUMIFS(Таблица2[WIN$],Таблица2[2],B53))</f>
        <v>-</v>
      </c>
      <c r="M53" s="76">
        <f t="shared" si="1"/>
        <v>-2</v>
      </c>
      <c r="N53" s="78">
        <f>IFERROR(Таблица467[[#This Row],[PROF]]/Таблица467[[#This Row],[Games]],"-")</f>
        <v>-2</v>
      </c>
    </row>
    <row r="54" spans="1:14" ht="11.1" customHeight="1" x14ac:dyDescent="0.25">
      <c r="A54" s="93">
        <f t="shared" si="2"/>
        <v>13</v>
      </c>
      <c r="B54" s="123" t="s">
        <v>125</v>
      </c>
      <c r="C54" s="51">
        <v>2.1</v>
      </c>
      <c r="D54" s="75">
        <f>IF(COUNTIFS(Таблица2[2],B54)+SUMIFS(Таблица2[R],Таблица2[2],B54)=0,"",COUNTIFS(Таблица2[2],B54)+SUMIFS(Таблица2[R],Таблица2[2],B54))</f>
        <v>1</v>
      </c>
      <c r="E54" s="76">
        <f>IF(SUMIFS(Таблица2[B$],Таблица2[2],B54)=0,"-",SUMIFS(Таблица2[B$],Таблица2[2],B54))</f>
        <v>2.1</v>
      </c>
      <c r="F54" s="77">
        <f>IFERROR(AVERAGEIFS(Таблица2[AFS],Таблица2[2],B54)+(AVERAGEIFS(Таблица2[AFS],Таблица2[2],B54)*0.2),"-")</f>
        <v>685.71428571428578</v>
      </c>
      <c r="G54" s="77">
        <f t="shared" si="0"/>
        <v>-100</v>
      </c>
      <c r="H54" s="77">
        <f>IFERROR(COUNTIFS(Таблица2[2],B54,Таблица2[WIN$],"&gt;0")/D54*100,"-")</f>
        <v>0</v>
      </c>
      <c r="I54" s="77">
        <f>IF(IFERROR((COUNTIFS(Таблица2[2],B54,Таблица2[K],"K")+SUMIFS(Таблица2[R],Таблица2[2],B54,Таблица2[K],"K"))/D54*100,"-")=0,"-",IFERROR((COUNTIFS(Таблица2[2],B54,Таблица2[K],"K")+SUMIFS(Таблица2[R],Таблица2[2],B54,Таблица2[K],"K"))/D54*100,"-"))</f>
        <v>100</v>
      </c>
      <c r="J54" s="77" t="str">
        <f>IF(IFERROR((COUNTIFS(Таблица2[2],B54,Таблица2[T],"t")+SUMIFS(Таблица2[R],Таблица2[2],B54,Таблица2[T],"t"))/D54*100,"-")=0,"-",IFERROR((COUNTIFS(Таблица2[2],B54,Таблица2[T],"t")+SUMIFS(Таблица2[R],Таблица2[2],B54,Таблица2[T],"t"))/D54*100,"-"))</f>
        <v>-</v>
      </c>
      <c r="K54" s="76" t="str">
        <f>IF(SUMIFS(Таблица2[KO$],Таблица2[2],B54)=0,"-",SUMIFS(Таблица2[KO$],Таблица2[2],B54))</f>
        <v>-</v>
      </c>
      <c r="L54" s="76" t="str">
        <f>IF(SUMIFS(Таблица2[WIN$],Таблица2[2],B54)=0,"-",SUMIFS(Таблица2[WIN$],Таблица2[2],B54))</f>
        <v>-</v>
      </c>
      <c r="M54" s="76">
        <f t="shared" si="1"/>
        <v>-2.1</v>
      </c>
      <c r="N54" s="78">
        <f>IFERROR(Таблица467[[#This Row],[PROF]]/Таблица467[[#This Row],[Games]],"-")</f>
        <v>-2.1</v>
      </c>
    </row>
    <row r="55" spans="1:14" ht="11.1" customHeight="1" x14ac:dyDescent="0.25">
      <c r="A55" s="93">
        <f t="shared" si="2"/>
        <v>14</v>
      </c>
      <c r="B55" s="123" t="s">
        <v>126</v>
      </c>
      <c r="C55" s="51">
        <v>2.2000000000000002</v>
      </c>
      <c r="D55" s="75">
        <f>IF(COUNTIFS(Таблица2[2],B55)+SUMIFS(Таблица2[R],Таблица2[2],B55)=0,"",COUNTIFS(Таблица2[2],B55)+SUMIFS(Таблица2[R],Таблица2[2],B55))</f>
        <v>2</v>
      </c>
      <c r="E55" s="76">
        <f>IF(SUMIFS(Таблица2[B$],Таблица2[2],B55)=0,"-",SUMIFS(Таблица2[B$],Таблица2[2],B55))</f>
        <v>4.4000000000000004</v>
      </c>
      <c r="F55" s="77">
        <f>IFERROR(AVERAGEIFS(Таблица2[AFS],Таблица2[2],B55)+(AVERAGEIFS(Таблица2[AFS],Таблица2[2],B55)*0.2),"-")</f>
        <v>272.72727272727269</v>
      </c>
      <c r="G55" s="77">
        <f t="shared" si="0"/>
        <v>-100</v>
      </c>
      <c r="H55" s="77">
        <f>IFERROR(COUNTIFS(Таблица2[2],B55,Таблица2[WIN$],"&gt;0")/D55*100,"-")</f>
        <v>0</v>
      </c>
      <c r="I55" s="77" t="str">
        <f>IF(IFERROR((COUNTIFS(Таблица2[2],B55,Таблица2[K],"K")+SUMIFS(Таблица2[R],Таблица2[2],B55,Таблица2[K],"K"))/D55*100,"-")=0,"-",IFERROR((COUNTIFS(Таблица2[2],B55,Таблица2[K],"K")+SUMIFS(Таблица2[R],Таблица2[2],B55,Таблица2[K],"K"))/D55*100,"-"))</f>
        <v>-</v>
      </c>
      <c r="J55" s="77" t="str">
        <f>IF(IFERROR((COUNTIFS(Таблица2[2],B55,Таблица2[T],"t")+SUMIFS(Таблица2[R],Таблица2[2],B55,Таблица2[T],"t"))/D55*100,"-")=0,"-",IFERROR((COUNTIFS(Таблица2[2],B55,Таблица2[T],"t")+SUMIFS(Таблица2[R],Таблица2[2],B55,Таблица2[T],"t"))/D55*100,"-"))</f>
        <v>-</v>
      </c>
      <c r="K55" s="76" t="str">
        <f>IF(SUMIFS(Таблица2[KO$],Таблица2[2],B55)=0,"-",SUMIFS(Таблица2[KO$],Таблица2[2],B55))</f>
        <v>-</v>
      </c>
      <c r="L55" s="76" t="str">
        <f>IF(SUMIFS(Таблица2[WIN$],Таблица2[2],B55)=0,"-",SUMIFS(Таблица2[WIN$],Таблица2[2],B55))</f>
        <v>-</v>
      </c>
      <c r="M55" s="76">
        <f t="shared" si="1"/>
        <v>-4.4000000000000004</v>
      </c>
      <c r="N55" s="78">
        <f>IFERROR(Таблица467[[#This Row],[PROF]]/Таблица467[[#This Row],[Games]],"-")</f>
        <v>-2.2000000000000002</v>
      </c>
    </row>
    <row r="56" spans="1:14" ht="11.1" customHeight="1" x14ac:dyDescent="0.25">
      <c r="A56" s="93">
        <f t="shared" si="2"/>
        <v>15</v>
      </c>
      <c r="B56" s="123" t="s">
        <v>127</v>
      </c>
      <c r="C56" s="51">
        <v>2.2000000000000002</v>
      </c>
      <c r="D56" s="75">
        <f>IF(COUNTIFS(Таблица2[2],B56)+SUMIFS(Таблица2[R],Таблица2[2],B56)=0,"",COUNTIFS(Таблица2[2],B56)+SUMIFS(Таблица2[R],Таблица2[2],B56))</f>
        <v>1</v>
      </c>
      <c r="E56" s="76">
        <f>IF(SUMIFS(Таблица2[B$],Таблица2[2],B56)=0,"-",SUMIFS(Таблица2[B$],Таблица2[2],B56))</f>
        <v>2.2000000000000002</v>
      </c>
      <c r="F56" s="77">
        <f>IFERROR(AVERAGEIFS(Таблица2[AFS],Таблица2[2],B56)+(AVERAGEIFS(Таблица2[AFS],Таблица2[2],B56)*0.2),"-")</f>
        <v>109.09090909090909</v>
      </c>
      <c r="G56" s="77">
        <f t="shared" si="0"/>
        <v>-100</v>
      </c>
      <c r="H56" s="77">
        <f>IFERROR(COUNTIFS(Таблица2[2],B56,Таблица2[WIN$],"&gt;0")/D56*100,"-")</f>
        <v>0</v>
      </c>
      <c r="I56" s="77">
        <f>IF(IFERROR((COUNTIFS(Таблица2[2],B56,Таблица2[K],"K")+SUMIFS(Таблица2[R],Таблица2[2],B56,Таблица2[K],"K"))/D56*100,"-")=0,"-",IFERROR((COUNTIFS(Таблица2[2],B56,Таблица2[K],"K")+SUMIFS(Таблица2[R],Таблица2[2],B56,Таблица2[K],"K"))/D56*100,"-"))</f>
        <v>100</v>
      </c>
      <c r="J56" s="77" t="str">
        <f>IF(IFERROR((COUNTIFS(Таблица2[2],B56,Таблица2[T],"t")+SUMIFS(Таблица2[R],Таблица2[2],B56,Таблица2[T],"t"))/D56*100,"-")=0,"-",IFERROR((COUNTIFS(Таблица2[2],B56,Таблица2[T],"t")+SUMIFS(Таблица2[R],Таблица2[2],B56,Таблица2[T],"t"))/D56*100,"-"))</f>
        <v>-</v>
      </c>
      <c r="K56" s="76" t="str">
        <f>IF(SUMIFS(Таблица2[KO$],Таблица2[2],B56)=0,"-",SUMIFS(Таблица2[KO$],Таблица2[2],B56))</f>
        <v>-</v>
      </c>
      <c r="L56" s="76" t="str">
        <f>IF(SUMIFS(Таблица2[WIN$],Таблица2[2],B56)=0,"-",SUMIFS(Таблица2[WIN$],Таблица2[2],B56))</f>
        <v>-</v>
      </c>
      <c r="M56" s="76">
        <f t="shared" si="1"/>
        <v>-2.2000000000000002</v>
      </c>
      <c r="N56" s="78">
        <f>IFERROR(Таблица467[[#This Row],[PROF]]/Таблица467[[#This Row],[Games]],"-")</f>
        <v>-2.2000000000000002</v>
      </c>
    </row>
    <row r="57" spans="1:14" ht="11.1" customHeight="1" x14ac:dyDescent="0.25">
      <c r="A57" s="93">
        <f t="shared" si="2"/>
        <v>16</v>
      </c>
      <c r="B57" s="123" t="s">
        <v>168</v>
      </c>
      <c r="C57" s="51">
        <v>2.2000000000000002</v>
      </c>
      <c r="D57" s="75">
        <f>IF(COUNTIFS(Таблица2[2],B57)+SUMIFS(Таблица2[R],Таблица2[2],B57)=0,"",COUNTIFS(Таблица2[2],B57)+SUMIFS(Таблица2[R],Таблица2[2],B57))</f>
        <v>1</v>
      </c>
      <c r="E57" s="76">
        <f>IF(SUMIFS(Таблица2[B$],Таблица2[2],B57)=0,"-",SUMIFS(Таблица2[B$],Таблица2[2],B57))</f>
        <v>2.2000000000000002</v>
      </c>
      <c r="F57" s="77">
        <f>IFERROR(AVERAGEIFS(Таблица2[AFS],Таблица2[2],B57)+(AVERAGEIFS(Таблица2[AFS],Таблица2[2],B57)*0.2),"-")</f>
        <v>109.09090909090909</v>
      </c>
      <c r="G57" s="77">
        <f t="shared" si="0"/>
        <v>-100</v>
      </c>
      <c r="H57" s="77">
        <f>IFERROR(COUNTIFS(Таблица2[2],B57,Таблица2[WIN$],"&gt;0")/D57*100,"-")</f>
        <v>0</v>
      </c>
      <c r="I57" s="77" t="str">
        <f>IF(IFERROR((COUNTIFS(Таблица2[2],B57,Таблица2[K],"K")+SUMIFS(Таблица2[R],Таблица2[2],B57,Таблица2[K],"K"))/D57*100,"-")=0,"-",IFERROR((COUNTIFS(Таблица2[2],B57,Таблица2[K],"K")+SUMIFS(Таблица2[R],Таблица2[2],B57,Таблица2[K],"K"))/D57*100,"-"))</f>
        <v>-</v>
      </c>
      <c r="J57" s="77" t="str">
        <f>IF(IFERROR((COUNTIFS(Таблица2[2],B57,Таблица2[T],"t")+SUMIFS(Таблица2[R],Таблица2[2],B57,Таблица2[T],"t"))/D57*100,"-")=0,"-",IFERROR((COUNTIFS(Таблица2[2],B57,Таблица2[T],"t")+SUMIFS(Таблица2[R],Таблица2[2],B57,Таблица2[T],"t"))/D57*100,"-"))</f>
        <v>-</v>
      </c>
      <c r="K57" s="76" t="str">
        <f>IF(SUMIFS(Таблица2[KO$],Таблица2[2],B57)=0,"-",SUMIFS(Таблица2[KO$],Таблица2[2],B57))</f>
        <v>-</v>
      </c>
      <c r="L57" s="76" t="str">
        <f>IF(SUMIFS(Таблица2[WIN$],Таблица2[2],B57)=0,"-",SUMIFS(Таблица2[WIN$],Таблица2[2],B57))</f>
        <v>-</v>
      </c>
      <c r="M57" s="76">
        <f t="shared" si="1"/>
        <v>-2.2000000000000002</v>
      </c>
      <c r="N57" s="78">
        <f>IFERROR(Таблица467[[#This Row],[PROF]]/Таблица467[[#This Row],[Games]],"-")</f>
        <v>-2.2000000000000002</v>
      </c>
    </row>
    <row r="58" spans="1:14" ht="11.1" customHeight="1" x14ac:dyDescent="0.25">
      <c r="A58" s="93">
        <f t="shared" si="2"/>
        <v>17</v>
      </c>
      <c r="B58" s="50"/>
      <c r="C58" s="51" t="e">
        <v>#DIV/0!</v>
      </c>
      <c r="D58" s="75" t="str">
        <f>IF(COUNTIFS(Таблица2[2],B58)+SUMIFS(Таблица2[R],Таблица2[2],B58)=0,"",COUNTIFS(Таблица2[2],B58)+SUMIFS(Таблица2[R],Таблица2[2],B58))</f>
        <v/>
      </c>
      <c r="E58" s="76" t="str">
        <f>IF(SUMIFS(Таблица2[B$],Таблица2[2],B58)=0,"-",SUMIFS(Таблица2[B$],Таблица2[2],B58))</f>
        <v>-</v>
      </c>
      <c r="F58" s="77" t="str">
        <f>IFERROR(AVERAGEIFS(Таблица2[AFS],Таблица2[2],B58)+(AVERAGEIFS(Таблица2[AFS],Таблица2[2],B58)*0.2),"-")</f>
        <v>-</v>
      </c>
      <c r="G58" s="77" t="str">
        <f t="shared" si="0"/>
        <v>-</v>
      </c>
      <c r="H58" s="77" t="str">
        <f>IFERROR(COUNTIFS(Таблица2[2],B58,Таблица2[WIN$],"&gt;0")/D58*100,"-")</f>
        <v>-</v>
      </c>
      <c r="I58" s="77" t="str">
        <f>IF(IFERROR((COUNTIFS(Таблица2[2],B58,Таблица2[K],"K")+SUMIFS(Таблица2[R],Таблица2[2],B58,Таблица2[K],"K"))/D58*100,"-")=0,"-",IFERROR((COUNTIFS(Таблица2[2],B58,Таблица2[K],"K")+SUMIFS(Таблица2[R],Таблица2[2],B58,Таблица2[K],"K"))/D58*100,"-"))</f>
        <v>-</v>
      </c>
      <c r="J58" s="77" t="str">
        <f>IF(IFERROR((COUNTIFS(Таблица2[2],B58,Таблица2[T],"t")+SUMIFS(Таблица2[R],Таблица2[2],B58,Таблица2[T],"t"))/D58*100,"-")=0,"-",IFERROR((COUNTIFS(Таблица2[2],B58,Таблица2[T],"t")+SUMIFS(Таблица2[R],Таблица2[2],B58,Таблица2[T],"t"))/D58*100,"-"))</f>
        <v>-</v>
      </c>
      <c r="K58" s="76" t="str">
        <f>IF(SUMIFS(Таблица2[KO$],Таблица2[2],B58)=0,"-",SUMIFS(Таблица2[KO$],Таблица2[2],B58))</f>
        <v>-</v>
      </c>
      <c r="L58" s="76" t="str">
        <f>IF(SUMIFS(Таблица2[WIN$],Таблица2[2],B58)=0,"-",SUMIFS(Таблица2[WIN$],Таблица2[2],B58))</f>
        <v>-</v>
      </c>
      <c r="M58" s="76" t="str">
        <f t="shared" si="1"/>
        <v>-</v>
      </c>
      <c r="N58" s="78" t="str">
        <f>IFERROR(Таблица467[[#This Row],[PROF]]/Таблица467[[#This Row],[Games]],"-")</f>
        <v>-</v>
      </c>
    </row>
    <row r="59" spans="1:14" ht="11.1" customHeight="1" x14ac:dyDescent="0.25">
      <c r="A59" s="93">
        <f t="shared" si="2"/>
        <v>18</v>
      </c>
      <c r="B59"/>
      <c r="C59"/>
      <c r="D59" s="75" t="str">
        <f>IF(COUNTIFS(Таблица2[2],B59)+SUMIFS(Таблица2[R],Таблица2[2],B59)=0,"",COUNTIFS(Таблица2[2],B59)+SUMIFS(Таблица2[R],Таблица2[2],B59))</f>
        <v/>
      </c>
      <c r="E59" s="76" t="str">
        <f>IF(SUMIFS(Таблица2[B$],Таблица2[2],B59)=0,"-",SUMIFS(Таблица2[B$],Таблица2[2],B59))</f>
        <v>-</v>
      </c>
      <c r="F59" s="77" t="str">
        <f>IFERROR(AVERAGEIFS(Таблица2[AFS],Таблица2[2],B59)+(AVERAGEIFS(Таблица2[AFS],Таблица2[2],B59)*0.2),"-")</f>
        <v>-</v>
      </c>
      <c r="G59" s="77" t="str">
        <f t="shared" si="0"/>
        <v>-</v>
      </c>
      <c r="H59" s="77" t="str">
        <f>IFERROR(COUNTIFS(Таблица2[2],B59,Таблица2[WIN$],"&gt;0")/D59*100,"-")</f>
        <v>-</v>
      </c>
      <c r="I59" s="77" t="str">
        <f>IF(IFERROR((COUNTIFS(Таблица2[2],B59,Таблица2[K],"K")+SUMIFS(Таблица2[R],Таблица2[2],B59,Таблица2[K],"K"))/D59*100,"-")=0,"-",IFERROR((COUNTIFS(Таблица2[2],B59,Таблица2[K],"K")+SUMIFS(Таблица2[R],Таблица2[2],B59,Таблица2[K],"K"))/D59*100,"-"))</f>
        <v>-</v>
      </c>
      <c r="J59" s="77" t="str">
        <f>IF(IFERROR((COUNTIFS(Таблица2[2],B59,Таблица2[T],"t")+SUMIFS(Таблица2[R],Таблица2[2],B59,Таблица2[T],"t"))/D59*100,"-")=0,"-",IFERROR((COUNTIFS(Таблица2[2],B59,Таблица2[T],"t")+SUMIFS(Таблица2[R],Таблица2[2],B59,Таблица2[T],"t"))/D59*100,"-"))</f>
        <v>-</v>
      </c>
      <c r="K59" s="76" t="str">
        <f>IF(SUMIFS(Таблица2[KO$],Таблица2[2],B59)=0,"-",SUMIFS(Таблица2[KO$],Таблица2[2],B59))</f>
        <v>-</v>
      </c>
      <c r="L59" s="76" t="str">
        <f>IF(SUMIFS(Таблица2[WIN$],Таблица2[2],B59)=0,"-",SUMIFS(Таблица2[WIN$],Таблица2[2],B59))</f>
        <v>-</v>
      </c>
      <c r="M59" s="76" t="str">
        <f t="shared" si="1"/>
        <v>-</v>
      </c>
      <c r="N59" s="78" t="str">
        <f>IFERROR(Таблица467[[#This Row],[PROF]]/Таблица467[[#This Row],[Games]],"-")</f>
        <v>-</v>
      </c>
    </row>
    <row r="60" spans="1:14" ht="11.1" customHeight="1" x14ac:dyDescent="0.25">
      <c r="A60" s="93">
        <f t="shared" si="2"/>
        <v>19</v>
      </c>
      <c r="B60"/>
      <c r="C60"/>
      <c r="D60" s="75" t="str">
        <f>IF(COUNTIFS(Таблица2[2],B60)+SUMIFS(Таблица2[R],Таблица2[2],B60)=0,"",COUNTIFS(Таблица2[2],B60)+SUMIFS(Таблица2[R],Таблица2[2],B60))</f>
        <v/>
      </c>
      <c r="E60" s="76" t="str">
        <f>IF(SUMIFS(Таблица2[B$],Таблица2[2],B60)=0,"-",SUMIFS(Таблица2[B$],Таблица2[2],B60))</f>
        <v>-</v>
      </c>
      <c r="F60" s="77" t="str">
        <f>IFERROR(AVERAGEIFS(Таблица2[AFS],Таблица2[2],B60)+(AVERAGEIFS(Таблица2[AFS],Таблица2[2],B60)*0.2),"-")</f>
        <v>-</v>
      </c>
      <c r="G60" s="77" t="str">
        <f t="shared" si="0"/>
        <v>-</v>
      </c>
      <c r="H60" s="77" t="str">
        <f>IFERROR(COUNTIFS(Таблица2[2],B60,Таблица2[WIN$],"&gt;0")/D60*100,"-")</f>
        <v>-</v>
      </c>
      <c r="I60" s="77" t="str">
        <f>IF(IFERROR((COUNTIFS(Таблица2[2],B60,Таблица2[K],"K")+SUMIFS(Таблица2[R],Таблица2[2],B60,Таблица2[K],"K"))/D60*100,"-")=0,"-",IFERROR((COUNTIFS(Таблица2[2],B60,Таблица2[K],"K")+SUMIFS(Таблица2[R],Таблица2[2],B60,Таблица2[K],"K"))/D60*100,"-"))</f>
        <v>-</v>
      </c>
      <c r="J60" s="77" t="str">
        <f>IF(IFERROR((COUNTIFS(Таблица2[2],B60,Таблица2[T],"t")+SUMIFS(Таблица2[R],Таблица2[2],B60,Таблица2[T],"t"))/D60*100,"-")=0,"-",IFERROR((COUNTIFS(Таблица2[2],B60,Таблица2[T],"t")+SUMIFS(Таблица2[R],Таблица2[2],B60,Таблица2[T],"t"))/D60*100,"-"))</f>
        <v>-</v>
      </c>
      <c r="K60" s="76" t="str">
        <f>IF(SUMIFS(Таблица2[KO$],Таблица2[2],B60)=0,"-",SUMIFS(Таблица2[KO$],Таблица2[2],B60))</f>
        <v>-</v>
      </c>
      <c r="L60" s="76" t="str">
        <f>IF(SUMIFS(Таблица2[WIN$],Таблица2[2],B60)=0,"-",SUMIFS(Таблица2[WIN$],Таблица2[2],B60))</f>
        <v>-</v>
      </c>
      <c r="M60" s="76" t="str">
        <f t="shared" si="1"/>
        <v>-</v>
      </c>
      <c r="N60" s="78" t="str">
        <f>IFERROR(Таблица467[[#This Row],[PROF]]/Таблица467[[#This Row],[Games]],"-")</f>
        <v>-</v>
      </c>
    </row>
    <row r="61" spans="1:14" ht="11.1" customHeight="1" x14ac:dyDescent="0.25">
      <c r="A61" s="93">
        <f t="shared" si="2"/>
        <v>20</v>
      </c>
      <c r="B61"/>
      <c r="C61"/>
      <c r="D61" s="75" t="str">
        <f>IF(COUNTIFS(Таблица2[2],B61)+SUMIFS(Таблица2[R],Таблица2[2],B61)=0,"",COUNTIFS(Таблица2[2],B61)+SUMIFS(Таблица2[R],Таблица2[2],B61))</f>
        <v/>
      </c>
      <c r="E61" s="76" t="str">
        <f>IF(SUMIFS(Таблица2[B$],Таблица2[2],B61)=0,"-",SUMIFS(Таблица2[B$],Таблица2[2],B61))</f>
        <v>-</v>
      </c>
      <c r="F61" s="77" t="str">
        <f>IFERROR(AVERAGEIFS(Таблица2[AFS],Таблица2[2],B61)+(AVERAGEIFS(Таблица2[AFS],Таблица2[2],B61)*0.2),"-")</f>
        <v>-</v>
      </c>
      <c r="G61" s="77" t="str">
        <f t="shared" si="0"/>
        <v>-</v>
      </c>
      <c r="H61" s="77" t="str">
        <f>IFERROR(COUNTIFS(Таблица2[2],B61,Таблица2[WIN$],"&gt;0")/D61*100,"-")</f>
        <v>-</v>
      </c>
      <c r="I61" s="77" t="str">
        <f>IF(IFERROR((COUNTIFS(Таблица2[2],B61,Таблица2[K],"K")+SUMIFS(Таблица2[R],Таблица2[2],B61,Таблица2[K],"K"))/D61*100,"-")=0,"-",IFERROR((COUNTIFS(Таблица2[2],B61,Таблица2[K],"K")+SUMIFS(Таблица2[R],Таблица2[2],B61,Таблица2[K],"K"))/D61*100,"-"))</f>
        <v>-</v>
      </c>
      <c r="J61" s="77" t="str">
        <f>IF(IFERROR((COUNTIFS(Таблица2[2],B61,Таблица2[T],"t")+SUMIFS(Таблица2[R],Таблица2[2],B61,Таблица2[T],"t"))/D61*100,"-")=0,"-",IFERROR((COUNTIFS(Таблица2[2],B61,Таблица2[T],"t")+SUMIFS(Таблица2[R],Таблица2[2],B61,Таблица2[T],"t"))/D61*100,"-"))</f>
        <v>-</v>
      </c>
      <c r="K61" s="76" t="str">
        <f>IF(SUMIFS(Таблица2[KO$],Таблица2[2],B61)=0,"-",SUMIFS(Таблица2[KO$],Таблица2[2],B61))</f>
        <v>-</v>
      </c>
      <c r="L61" s="76" t="str">
        <f>IF(SUMIFS(Таблица2[WIN$],Таблица2[2],B61)=0,"-",SUMIFS(Таблица2[WIN$],Таблица2[2],B61))</f>
        <v>-</v>
      </c>
      <c r="M61" s="76" t="str">
        <f t="shared" si="1"/>
        <v>-</v>
      </c>
      <c r="N61" s="78" t="str">
        <f>IFERROR(Таблица467[[#This Row],[PROF]]/Таблица467[[#This Row],[Games]],"-")</f>
        <v>-</v>
      </c>
    </row>
    <row r="62" spans="1:14" ht="11.1" customHeight="1" x14ac:dyDescent="0.25">
      <c r="A62" s="93">
        <f t="shared" si="2"/>
        <v>21</v>
      </c>
      <c r="B62"/>
      <c r="C62"/>
      <c r="D62" s="75" t="str">
        <f>IF(COUNTIFS(Таблица2[2],B62)+SUMIFS(Таблица2[R],Таблица2[2],B62)=0,"",COUNTIFS(Таблица2[2],B62)+SUMIFS(Таблица2[R],Таблица2[2],B62))</f>
        <v/>
      </c>
      <c r="E62" s="76" t="str">
        <f>IF(SUMIFS(Таблица2[B$],Таблица2[2],B62)=0,"-",SUMIFS(Таблица2[B$],Таблица2[2],B62))</f>
        <v>-</v>
      </c>
      <c r="F62" s="77" t="str">
        <f>IFERROR(AVERAGEIFS(Таблица2[AFS],Таблица2[2],B62)+(AVERAGEIFS(Таблица2[AFS],Таблица2[2],B62)*0.2),"-")</f>
        <v>-</v>
      </c>
      <c r="G62" s="77" t="str">
        <f t="shared" si="0"/>
        <v>-</v>
      </c>
      <c r="H62" s="77" t="str">
        <f>IFERROR(COUNTIFS(Таблица2[2],B62,Таблица2[WIN$],"&gt;0")/D62*100,"-")</f>
        <v>-</v>
      </c>
      <c r="I62" s="77" t="str">
        <f>IF(IFERROR((COUNTIFS(Таблица2[2],B62,Таблица2[K],"K")+SUMIFS(Таблица2[R],Таблица2[2],B62,Таблица2[K],"K"))/D62*100,"-")=0,"-",IFERROR((COUNTIFS(Таблица2[2],B62,Таблица2[K],"K")+SUMIFS(Таблица2[R],Таблица2[2],B62,Таблица2[K],"K"))/D62*100,"-"))</f>
        <v>-</v>
      </c>
      <c r="J62" s="77" t="str">
        <f>IF(IFERROR((COUNTIFS(Таблица2[2],B62,Таблица2[T],"t")+SUMIFS(Таблица2[R],Таблица2[2],B62,Таблица2[T],"t"))/D62*100,"-")=0,"-",IFERROR((COUNTIFS(Таблица2[2],B62,Таблица2[T],"t")+SUMIFS(Таблица2[R],Таблица2[2],B62,Таблица2[T],"t"))/D62*100,"-"))</f>
        <v>-</v>
      </c>
      <c r="K62" s="76" t="str">
        <f>IF(SUMIFS(Таблица2[KO$],Таблица2[2],B62)=0,"-",SUMIFS(Таблица2[KO$],Таблица2[2],B62))</f>
        <v>-</v>
      </c>
      <c r="L62" s="76" t="str">
        <f>IF(SUMIFS(Таблица2[WIN$],Таблица2[2],B62)=0,"-",SUMIFS(Таблица2[WIN$],Таблица2[2],B62))</f>
        <v>-</v>
      </c>
      <c r="M62" s="76" t="str">
        <f t="shared" si="1"/>
        <v>-</v>
      </c>
      <c r="N62" s="78" t="str">
        <f>IFERROR(Таблица467[[#This Row],[PROF]]/Таблица467[[#This Row],[Games]],"-")</f>
        <v>-</v>
      </c>
    </row>
    <row r="63" spans="1:14" ht="11.1" customHeight="1" x14ac:dyDescent="0.25">
      <c r="A63" s="93">
        <f t="shared" si="2"/>
        <v>22</v>
      </c>
      <c r="B63"/>
      <c r="C63"/>
      <c r="D63" s="75" t="str">
        <f>IF(COUNTIFS(Таблица2[2],B63)+SUMIFS(Таблица2[R],Таблица2[2],B63)=0,"",COUNTIFS(Таблица2[2],B63)+SUMIFS(Таблица2[R],Таблица2[2],B63))</f>
        <v/>
      </c>
      <c r="E63" s="76" t="str">
        <f>IF(SUMIFS(Таблица2[B$],Таблица2[2],B63)=0,"-",SUMIFS(Таблица2[B$],Таблица2[2],B63))</f>
        <v>-</v>
      </c>
      <c r="F63" s="77" t="str">
        <f>IFERROR(AVERAGEIFS(Таблица2[AFS],Таблица2[2],B63)+(AVERAGEIFS(Таблица2[AFS],Таблица2[2],B63)*0.2),"-")</f>
        <v>-</v>
      </c>
      <c r="G63" s="77" t="str">
        <f t="shared" si="0"/>
        <v>-</v>
      </c>
      <c r="H63" s="77" t="str">
        <f>IFERROR(COUNTIFS(Таблица2[2],B63,Таблица2[WIN$],"&gt;0")/D63*100,"-")</f>
        <v>-</v>
      </c>
      <c r="I63" s="77" t="str">
        <f>IF(IFERROR((COUNTIFS(Таблица2[2],B63,Таблица2[K],"K")+SUMIFS(Таблица2[R],Таблица2[2],B63,Таблица2[K],"K"))/D63*100,"-")=0,"-",IFERROR((COUNTIFS(Таблица2[2],B63,Таблица2[K],"K")+SUMIFS(Таблица2[R],Таблица2[2],B63,Таблица2[K],"K"))/D63*100,"-"))</f>
        <v>-</v>
      </c>
      <c r="J63" s="77" t="str">
        <f>IF(IFERROR((COUNTIFS(Таблица2[2],B63,Таблица2[T],"t")+SUMIFS(Таблица2[R],Таблица2[2],B63,Таблица2[T],"t"))/D63*100,"-")=0,"-",IFERROR((COUNTIFS(Таблица2[2],B63,Таблица2[T],"t")+SUMIFS(Таблица2[R],Таблица2[2],B63,Таблица2[T],"t"))/D63*100,"-"))</f>
        <v>-</v>
      </c>
      <c r="K63" s="76" t="str">
        <f>IF(SUMIFS(Таблица2[KO$],Таблица2[2],B63)=0,"-",SUMIFS(Таблица2[KO$],Таблица2[2],B63))</f>
        <v>-</v>
      </c>
      <c r="L63" s="76" t="str">
        <f>IF(SUMIFS(Таблица2[WIN$],Таблица2[2],B63)=0,"-",SUMIFS(Таблица2[WIN$],Таблица2[2],B63))</f>
        <v>-</v>
      </c>
      <c r="M63" s="76" t="str">
        <f t="shared" si="1"/>
        <v>-</v>
      </c>
      <c r="N63" s="78" t="str">
        <f>IFERROR(Таблица467[[#This Row],[PROF]]/Таблица467[[#This Row],[Games]],"-")</f>
        <v>-</v>
      </c>
    </row>
    <row r="64" spans="1:14" ht="11.1" customHeight="1" x14ac:dyDescent="0.25">
      <c r="A64" s="93">
        <f t="shared" si="2"/>
        <v>23</v>
      </c>
      <c r="B64"/>
      <c r="C64"/>
      <c r="D64" s="75" t="str">
        <f>IF(COUNTIFS(Таблица2[2],B64)+SUMIFS(Таблица2[R],Таблица2[2],B64)=0,"",COUNTIFS(Таблица2[2],B64)+SUMIFS(Таблица2[R],Таблица2[2],B64))</f>
        <v/>
      </c>
      <c r="E64" s="76" t="str">
        <f>IF(SUMIFS(Таблица2[B$],Таблица2[2],B64)=0,"-",SUMIFS(Таблица2[B$],Таблица2[2],B64))</f>
        <v>-</v>
      </c>
      <c r="F64" s="77" t="str">
        <f>IFERROR(AVERAGEIFS(Таблица2[AFS],Таблица2[2],B64)+(AVERAGEIFS(Таблица2[AFS],Таблица2[2],B64)*0.2),"-")</f>
        <v>-</v>
      </c>
      <c r="G64" s="77" t="str">
        <f t="shared" si="0"/>
        <v>-</v>
      </c>
      <c r="H64" s="77" t="str">
        <f>IFERROR(COUNTIFS(Таблица2[2],B64,Таблица2[WIN$],"&gt;0")/D64*100,"-")</f>
        <v>-</v>
      </c>
      <c r="I64" s="77" t="str">
        <f>IF(IFERROR((COUNTIFS(Таблица2[2],B64,Таблица2[K],"K")+SUMIFS(Таблица2[R],Таблица2[2],B64,Таблица2[K],"K"))/D64*100,"-")=0,"-",IFERROR((COUNTIFS(Таблица2[2],B64,Таблица2[K],"K")+SUMIFS(Таблица2[R],Таблица2[2],B64,Таблица2[K],"K"))/D64*100,"-"))</f>
        <v>-</v>
      </c>
      <c r="J64" s="77" t="str">
        <f>IF(IFERROR((COUNTIFS(Таблица2[2],B64,Таблица2[T],"t")+SUMIFS(Таблица2[R],Таблица2[2],B64,Таблица2[T],"t"))/D64*100,"-")=0,"-",IFERROR((COUNTIFS(Таблица2[2],B64,Таблица2[T],"t")+SUMIFS(Таблица2[R],Таблица2[2],B64,Таблица2[T],"t"))/D64*100,"-"))</f>
        <v>-</v>
      </c>
      <c r="K64" s="76" t="str">
        <f>IF(SUMIFS(Таблица2[KO$],Таблица2[2],B64)=0,"-",SUMIFS(Таблица2[KO$],Таблица2[2],B64))</f>
        <v>-</v>
      </c>
      <c r="L64" s="76" t="str">
        <f>IF(SUMIFS(Таблица2[WIN$],Таблица2[2],B64)=0,"-",SUMIFS(Таблица2[WIN$],Таблица2[2],B64))</f>
        <v>-</v>
      </c>
      <c r="M64" s="76" t="str">
        <f t="shared" si="1"/>
        <v>-</v>
      </c>
      <c r="N64" s="78" t="str">
        <f>IFERROR(Таблица467[[#This Row],[PROF]]/Таблица467[[#This Row],[Games]],"-")</f>
        <v>-</v>
      </c>
    </row>
    <row r="65" spans="1:14" ht="11.1" customHeight="1" x14ac:dyDescent="0.25">
      <c r="A65" s="93">
        <f t="shared" si="2"/>
        <v>24</v>
      </c>
      <c r="B65"/>
      <c r="C65"/>
      <c r="D65" s="75" t="str">
        <f>IF(COUNTIFS(Таблица2[2],B65)+SUMIFS(Таблица2[R],Таблица2[2],B65)=0,"",COUNTIFS(Таблица2[2],B65)+SUMIFS(Таблица2[R],Таблица2[2],B65))</f>
        <v/>
      </c>
      <c r="E65" s="76" t="str">
        <f>IF(SUMIFS(Таблица2[B$],Таблица2[2],B65)=0,"-",SUMIFS(Таблица2[B$],Таблица2[2],B65))</f>
        <v>-</v>
      </c>
      <c r="F65" s="77" t="str">
        <f>IFERROR(AVERAGEIFS(Таблица2[AFS],Таблица2[2],B65)+(AVERAGEIFS(Таблица2[AFS],Таблица2[2],B65)*0.2),"-")</f>
        <v>-</v>
      </c>
      <c r="G65" s="77" t="str">
        <f t="shared" si="0"/>
        <v>-</v>
      </c>
      <c r="H65" s="77" t="str">
        <f>IFERROR(COUNTIFS(Таблица2[2],B65,Таблица2[WIN$],"&gt;0")/D65*100,"-")</f>
        <v>-</v>
      </c>
      <c r="I65" s="77" t="str">
        <f>IF(IFERROR((COUNTIFS(Таблица2[2],B65,Таблица2[K],"K")+SUMIFS(Таблица2[R],Таблица2[2],B65,Таблица2[K],"K"))/D65*100,"-")=0,"-",IFERROR((COUNTIFS(Таблица2[2],B65,Таблица2[K],"K")+SUMIFS(Таблица2[R],Таблица2[2],B65,Таблица2[K],"K"))/D65*100,"-"))</f>
        <v>-</v>
      </c>
      <c r="J65" s="77" t="str">
        <f>IF(IFERROR((COUNTIFS(Таблица2[2],B65,Таблица2[T],"t")+SUMIFS(Таблица2[R],Таблица2[2],B65,Таблица2[T],"t"))/D65*100,"-")=0,"-",IFERROR((COUNTIFS(Таблица2[2],B65,Таблица2[T],"t")+SUMIFS(Таблица2[R],Таблица2[2],B65,Таблица2[T],"t"))/D65*100,"-"))</f>
        <v>-</v>
      </c>
      <c r="K65" s="76" t="str">
        <f>IF(SUMIFS(Таблица2[KO$],Таблица2[2],B65)=0,"-",SUMIFS(Таблица2[KO$],Таблица2[2],B65))</f>
        <v>-</v>
      </c>
      <c r="L65" s="76" t="str">
        <f>IF(SUMIFS(Таблица2[WIN$],Таблица2[2],B65)=0,"-",SUMIFS(Таблица2[WIN$],Таблица2[2],B65))</f>
        <v>-</v>
      </c>
      <c r="M65" s="76" t="str">
        <f t="shared" si="1"/>
        <v>-</v>
      </c>
      <c r="N65" s="78" t="str">
        <f>IFERROR(Таблица467[[#This Row],[PROF]]/Таблица467[[#This Row],[Games]],"-")</f>
        <v>-</v>
      </c>
    </row>
    <row r="66" spans="1:14" ht="11.1" customHeight="1" x14ac:dyDescent="0.25">
      <c r="A66" s="93">
        <f t="shared" si="2"/>
        <v>25</v>
      </c>
      <c r="B66"/>
      <c r="C66"/>
      <c r="D66" s="75" t="str">
        <f>IF(COUNTIFS(Таблица2[2],B66)+SUMIFS(Таблица2[R],Таблица2[2],B66)=0,"",COUNTIFS(Таблица2[2],B66)+SUMIFS(Таблица2[R],Таблица2[2],B66))</f>
        <v/>
      </c>
      <c r="E66" s="76" t="str">
        <f>IF(SUMIFS(Таблица2[B$],Таблица2[2],B66)=0,"-",SUMIFS(Таблица2[B$],Таблица2[2],B66))</f>
        <v>-</v>
      </c>
      <c r="F66" s="77" t="str">
        <f>IFERROR(AVERAGEIFS(Таблица2[AFS],Таблица2[2],B66)+(AVERAGEIFS(Таблица2[AFS],Таблица2[2],B66)*0.2),"-")</f>
        <v>-</v>
      </c>
      <c r="G66" s="77" t="str">
        <f t="shared" si="0"/>
        <v>-</v>
      </c>
      <c r="H66" s="77" t="str">
        <f>IFERROR(COUNTIFS(Таблица2[2],B66,Таблица2[WIN$],"&gt;0")/D66*100,"-")</f>
        <v>-</v>
      </c>
      <c r="I66" s="77" t="str">
        <f>IF(IFERROR((COUNTIFS(Таблица2[2],B66,Таблица2[K],"K")+SUMIFS(Таблица2[R],Таблица2[2],B66,Таблица2[K],"K"))/D66*100,"-")=0,"-",IFERROR((COUNTIFS(Таблица2[2],B66,Таблица2[K],"K")+SUMIFS(Таблица2[R],Таблица2[2],B66,Таблица2[K],"K"))/D66*100,"-"))</f>
        <v>-</v>
      </c>
      <c r="J66" s="77" t="str">
        <f>IF(IFERROR((COUNTIFS(Таблица2[2],B66,Таблица2[T],"t")+SUMIFS(Таблица2[R],Таблица2[2],B66,Таблица2[T],"t"))/D66*100,"-")=0,"-",IFERROR((COUNTIFS(Таблица2[2],B66,Таблица2[T],"t")+SUMIFS(Таблица2[R],Таблица2[2],B66,Таблица2[T],"t"))/D66*100,"-"))</f>
        <v>-</v>
      </c>
      <c r="K66" s="76" t="str">
        <f>IF(SUMIFS(Таблица2[KO$],Таблица2[2],B66)=0,"-",SUMIFS(Таблица2[KO$],Таблица2[2],B66))</f>
        <v>-</v>
      </c>
      <c r="L66" s="76" t="str">
        <f>IF(SUMIFS(Таблица2[WIN$],Таблица2[2],B66)=0,"-",SUMIFS(Таблица2[WIN$],Таблица2[2],B66))</f>
        <v>-</v>
      </c>
      <c r="M66" s="76" t="str">
        <f t="shared" si="1"/>
        <v>-</v>
      </c>
      <c r="N66" s="78" t="str">
        <f>IFERROR(Таблица467[[#This Row],[PROF]]/Таблица467[[#This Row],[Games]],"-")</f>
        <v>-</v>
      </c>
    </row>
    <row r="67" spans="1:14" ht="11.1" customHeight="1" x14ac:dyDescent="0.25">
      <c r="A67" s="93">
        <f t="shared" si="2"/>
        <v>26</v>
      </c>
      <c r="B67"/>
      <c r="C67"/>
      <c r="D67" s="75" t="str">
        <f>IF(COUNTIFS(Таблица2[2],B67)+SUMIFS(Таблица2[R],Таблица2[2],B67)=0,"",COUNTIFS(Таблица2[2],B67)+SUMIFS(Таблица2[R],Таблица2[2],B67))</f>
        <v/>
      </c>
      <c r="E67" s="76" t="str">
        <f>IF(SUMIFS(Таблица2[B$],Таблица2[2],B67)=0,"-",SUMIFS(Таблица2[B$],Таблица2[2],B67))</f>
        <v>-</v>
      </c>
      <c r="F67" s="77" t="str">
        <f>IFERROR(AVERAGEIFS(Таблица2[AFS],Таблица2[2],B67)+(AVERAGEIFS(Таблица2[AFS],Таблица2[2],B67)*0.2),"-")</f>
        <v>-</v>
      </c>
      <c r="G67" s="77" t="str">
        <f t="shared" si="0"/>
        <v>-</v>
      </c>
      <c r="H67" s="77" t="str">
        <f>IFERROR(COUNTIFS(Таблица2[2],B67,Таблица2[WIN$],"&gt;0")/D67*100,"-")</f>
        <v>-</v>
      </c>
      <c r="I67" s="77" t="str">
        <f>IF(IFERROR((COUNTIFS(Таблица2[2],B67,Таблица2[K],"K")+SUMIFS(Таблица2[R],Таблица2[2],B67,Таблица2[K],"K"))/D67*100,"-")=0,"-",IFERROR((COUNTIFS(Таблица2[2],B67,Таблица2[K],"K")+SUMIFS(Таблица2[R],Таблица2[2],B67,Таблица2[K],"K"))/D67*100,"-"))</f>
        <v>-</v>
      </c>
      <c r="J67" s="77" t="str">
        <f>IF(IFERROR((COUNTIFS(Таблица2[2],B67,Таблица2[T],"t")+SUMIFS(Таблица2[R],Таблица2[2],B67,Таблица2[T],"t"))/D67*100,"-")=0,"-",IFERROR((COUNTIFS(Таблица2[2],B67,Таблица2[T],"t")+SUMIFS(Таблица2[R],Таблица2[2],B67,Таблица2[T],"t"))/D67*100,"-"))</f>
        <v>-</v>
      </c>
      <c r="K67" s="76" t="str">
        <f>IF(SUMIFS(Таблица2[KO$],Таблица2[2],B67)=0,"-",SUMIFS(Таблица2[KO$],Таблица2[2],B67))</f>
        <v>-</v>
      </c>
      <c r="L67" s="76" t="str">
        <f>IF(SUMIFS(Таблица2[WIN$],Таблица2[2],B67)=0,"-",SUMIFS(Таблица2[WIN$],Таблица2[2],B67))</f>
        <v>-</v>
      </c>
      <c r="M67" s="76" t="str">
        <f t="shared" si="1"/>
        <v>-</v>
      </c>
      <c r="N67" s="78" t="str">
        <f>IFERROR(Таблица467[[#This Row],[PROF]]/Таблица467[[#This Row],[Games]],"-")</f>
        <v>-</v>
      </c>
    </row>
    <row r="68" spans="1:14" ht="11.1" customHeight="1" x14ac:dyDescent="0.25">
      <c r="A68" s="93">
        <f t="shared" si="2"/>
        <v>27</v>
      </c>
      <c r="B68"/>
      <c r="C68"/>
      <c r="D68" s="75" t="str">
        <f>IF(COUNTIFS(Таблица2[2],B68)+SUMIFS(Таблица2[R],Таблица2[2],B68)=0,"",COUNTIFS(Таблица2[2],B68)+SUMIFS(Таблица2[R],Таблица2[2],B68))</f>
        <v/>
      </c>
      <c r="E68" s="76" t="str">
        <f>IF(SUMIFS(Таблица2[B$],Таблица2[2],B68)=0,"-",SUMIFS(Таблица2[B$],Таблица2[2],B68))</f>
        <v>-</v>
      </c>
      <c r="F68" s="77" t="str">
        <f>IFERROR(AVERAGEIFS(Таблица2[AFS],Таблица2[2],B68)+(AVERAGEIFS(Таблица2[AFS],Таблица2[2],B68)*0.2),"-")</f>
        <v>-</v>
      </c>
      <c r="G68" s="77" t="str">
        <f t="shared" si="0"/>
        <v>-</v>
      </c>
      <c r="H68" s="77" t="str">
        <f>IFERROR(COUNTIFS(Таблица2[2],B68,Таблица2[WIN$],"&gt;0")/D68*100,"-")</f>
        <v>-</v>
      </c>
      <c r="I68" s="77" t="str">
        <f>IF(IFERROR((COUNTIFS(Таблица2[2],B68,Таблица2[K],"K")+SUMIFS(Таблица2[R],Таблица2[2],B68,Таблица2[K],"K"))/D68*100,"-")=0,"-",IFERROR((COUNTIFS(Таблица2[2],B68,Таблица2[K],"K")+SUMIFS(Таблица2[R],Таблица2[2],B68,Таблица2[K],"K"))/D68*100,"-"))</f>
        <v>-</v>
      </c>
      <c r="J68" s="77" t="str">
        <f>IF(IFERROR((COUNTIFS(Таблица2[2],B68,Таблица2[T],"t")+SUMIFS(Таблица2[R],Таблица2[2],B68,Таблица2[T],"t"))/D68*100,"-")=0,"-",IFERROR((COUNTIFS(Таблица2[2],B68,Таблица2[T],"t")+SUMIFS(Таблица2[R],Таблица2[2],B68,Таблица2[T],"t"))/D68*100,"-"))</f>
        <v>-</v>
      </c>
      <c r="K68" s="76" t="str">
        <f>IF(SUMIFS(Таблица2[KO$],Таблица2[2],B68)=0,"-",SUMIFS(Таблица2[KO$],Таблица2[2],B68))</f>
        <v>-</v>
      </c>
      <c r="L68" s="76" t="str">
        <f>IF(SUMIFS(Таблица2[WIN$],Таблица2[2],B68)=0,"-",SUMIFS(Таблица2[WIN$],Таблица2[2],B68))</f>
        <v>-</v>
      </c>
      <c r="M68" s="76" t="str">
        <f t="shared" si="1"/>
        <v>-</v>
      </c>
      <c r="N68" s="78" t="str">
        <f>IFERROR(Таблица467[[#This Row],[PROF]]/Таблица467[[#This Row],[Games]],"-")</f>
        <v>-</v>
      </c>
    </row>
    <row r="69" spans="1:14" ht="11.1" customHeight="1" x14ac:dyDescent="0.25">
      <c r="A69" s="93">
        <f t="shared" si="2"/>
        <v>28</v>
      </c>
      <c r="B69"/>
      <c r="C69"/>
      <c r="D69" s="75" t="str">
        <f>IF(COUNTIFS(Таблица2[2],B69)+SUMIFS(Таблица2[R],Таблица2[2],B69)=0,"",COUNTIFS(Таблица2[2],B69)+SUMIFS(Таблица2[R],Таблица2[2],B69))</f>
        <v/>
      </c>
      <c r="E69" s="76" t="str">
        <f>IF(SUMIFS(Таблица2[B$],Таблица2[2],B69)=0,"-",SUMIFS(Таблица2[B$],Таблица2[2],B69))</f>
        <v>-</v>
      </c>
      <c r="F69" s="77" t="str">
        <f>IFERROR(AVERAGEIFS(Таблица2[AFS],Таблица2[2],B69)+(AVERAGEIFS(Таблица2[AFS],Таблица2[2],B69)*0.2),"-")</f>
        <v>-</v>
      </c>
      <c r="G69" s="77" t="str">
        <f t="shared" si="0"/>
        <v>-</v>
      </c>
      <c r="H69" s="77" t="str">
        <f>IFERROR(COUNTIFS(Таблица2[2],B69,Таблица2[WIN$],"&gt;0")/D69*100,"-")</f>
        <v>-</v>
      </c>
      <c r="I69" s="77" t="str">
        <f>IF(IFERROR((COUNTIFS(Таблица2[2],B69,Таблица2[K],"K")+SUMIFS(Таблица2[R],Таблица2[2],B69,Таблица2[K],"K"))/D69*100,"-")=0,"-",IFERROR((COUNTIFS(Таблица2[2],B69,Таблица2[K],"K")+SUMIFS(Таблица2[R],Таблица2[2],B69,Таблица2[K],"K"))/D69*100,"-"))</f>
        <v>-</v>
      </c>
      <c r="J69" s="77" t="str">
        <f>IF(IFERROR((COUNTIFS(Таблица2[2],B69,Таблица2[T],"t")+SUMIFS(Таблица2[R],Таблица2[2],B69,Таблица2[T],"t"))/D69*100,"-")=0,"-",IFERROR((COUNTIFS(Таблица2[2],B69,Таблица2[T],"t")+SUMIFS(Таблица2[R],Таблица2[2],B69,Таблица2[T],"t"))/D69*100,"-"))</f>
        <v>-</v>
      </c>
      <c r="K69" s="76" t="str">
        <f>IF(SUMIFS(Таблица2[KO$],Таблица2[2],B69)=0,"-",SUMIFS(Таблица2[KO$],Таблица2[2],B69))</f>
        <v>-</v>
      </c>
      <c r="L69" s="76" t="str">
        <f>IF(SUMIFS(Таблица2[WIN$],Таблица2[2],B69)=0,"-",SUMIFS(Таблица2[WIN$],Таблица2[2],B69))</f>
        <v>-</v>
      </c>
      <c r="M69" s="76" t="str">
        <f t="shared" si="1"/>
        <v>-</v>
      </c>
      <c r="N69" s="78" t="str">
        <f>IFERROR(Таблица467[[#This Row],[PROF]]/Таблица467[[#This Row],[Games]],"-")</f>
        <v>-</v>
      </c>
    </row>
    <row r="70" spans="1:14" ht="11.1" customHeight="1" x14ac:dyDescent="0.25">
      <c r="A70" s="93">
        <f t="shared" si="2"/>
        <v>29</v>
      </c>
      <c r="B70"/>
      <c r="C70"/>
      <c r="D70" s="75" t="str">
        <f>IF(COUNTIFS(Таблица2[2],B70)+SUMIFS(Таблица2[R],Таблица2[2],B70)=0,"",COUNTIFS(Таблица2[2],B70)+SUMIFS(Таблица2[R],Таблица2[2],B70))</f>
        <v/>
      </c>
      <c r="E70" s="76" t="str">
        <f>IF(SUMIFS(Таблица2[B$],Таблица2[2],B70)=0,"-",SUMIFS(Таблица2[B$],Таблица2[2],B70))</f>
        <v>-</v>
      </c>
      <c r="F70" s="77" t="str">
        <f>IFERROR(AVERAGEIFS(Таблица2[AFS],Таблица2[2],B70)+(AVERAGEIFS(Таблица2[AFS],Таблица2[2],B70)*0.2),"-")</f>
        <v>-</v>
      </c>
      <c r="G70" s="77" t="str">
        <f t="shared" si="0"/>
        <v>-</v>
      </c>
      <c r="H70" s="77" t="str">
        <f>IFERROR(COUNTIFS(Таблица2[2],B70,Таблица2[WIN$],"&gt;0")/D70*100,"-")</f>
        <v>-</v>
      </c>
      <c r="I70" s="77" t="str">
        <f>IF(IFERROR((COUNTIFS(Таблица2[2],B70,Таблица2[K],"K")+SUMIFS(Таблица2[R],Таблица2[2],B70,Таблица2[K],"K"))/D70*100,"-")=0,"-",IFERROR((COUNTIFS(Таблица2[2],B70,Таблица2[K],"K")+SUMIFS(Таблица2[R],Таблица2[2],B70,Таблица2[K],"K"))/D70*100,"-"))</f>
        <v>-</v>
      </c>
      <c r="J70" s="77" t="str">
        <f>IF(IFERROR((COUNTIFS(Таблица2[2],B70,Таблица2[T],"t")+SUMIFS(Таблица2[R],Таблица2[2],B70,Таблица2[T],"t"))/D70*100,"-")=0,"-",IFERROR((COUNTIFS(Таблица2[2],B70,Таблица2[T],"t")+SUMIFS(Таблица2[R],Таблица2[2],B70,Таблица2[T],"t"))/D70*100,"-"))</f>
        <v>-</v>
      </c>
      <c r="K70" s="76" t="str">
        <f>IF(SUMIFS(Таблица2[KO$],Таблица2[2],B70)=0,"-",SUMIFS(Таблица2[KO$],Таблица2[2],B70))</f>
        <v>-</v>
      </c>
      <c r="L70" s="76" t="str">
        <f>IF(SUMIFS(Таблица2[WIN$],Таблица2[2],B70)=0,"-",SUMIFS(Таблица2[WIN$],Таблица2[2],B70))</f>
        <v>-</v>
      </c>
      <c r="M70" s="76" t="str">
        <f t="shared" si="1"/>
        <v>-</v>
      </c>
      <c r="N70" s="78" t="str">
        <f>IFERROR(Таблица467[[#This Row],[PROF]]/Таблица467[[#This Row],[Games]],"-")</f>
        <v>-</v>
      </c>
    </row>
    <row r="71" spans="1:14" ht="11.1" customHeight="1" x14ac:dyDescent="0.25">
      <c r="A71" s="93">
        <f t="shared" si="2"/>
        <v>30</v>
      </c>
      <c r="B71"/>
      <c r="C71"/>
      <c r="D71" s="75" t="str">
        <f>IF(COUNTIFS(Таблица2[2],B71)+SUMIFS(Таблица2[R],Таблица2[2],B71)=0,"",COUNTIFS(Таблица2[2],B71)+SUMIFS(Таблица2[R],Таблица2[2],B71))</f>
        <v/>
      </c>
      <c r="E71" s="76" t="str">
        <f>IF(SUMIFS(Таблица2[B$],Таблица2[2],B71)=0,"-",SUMIFS(Таблица2[B$],Таблица2[2],B71))</f>
        <v>-</v>
      </c>
      <c r="F71" s="77" t="str">
        <f>IFERROR(AVERAGEIFS(Таблица2[AFS],Таблица2[2],B71)+(AVERAGEIFS(Таблица2[AFS],Таблица2[2],B71)*0.2),"-")</f>
        <v>-</v>
      </c>
      <c r="G71" s="77" t="str">
        <f t="shared" si="0"/>
        <v>-</v>
      </c>
      <c r="H71" s="77" t="str">
        <f>IFERROR(COUNTIFS(Таблица2[2],B71,Таблица2[WIN$],"&gt;0")/D71*100,"-")</f>
        <v>-</v>
      </c>
      <c r="I71" s="77" t="str">
        <f>IF(IFERROR((COUNTIFS(Таблица2[2],B71,Таблица2[K],"K")+SUMIFS(Таблица2[R],Таблица2[2],B71,Таблица2[K],"K"))/D71*100,"-")=0,"-",IFERROR((COUNTIFS(Таблица2[2],B71,Таблица2[K],"K")+SUMIFS(Таблица2[R],Таблица2[2],B71,Таблица2[K],"K"))/D71*100,"-"))</f>
        <v>-</v>
      </c>
      <c r="J71" s="77" t="str">
        <f>IF(IFERROR((COUNTIFS(Таблица2[2],B71,Таблица2[T],"t")+SUMIFS(Таблица2[R],Таблица2[2],B71,Таблица2[T],"t"))/D71*100,"-")=0,"-",IFERROR((COUNTIFS(Таблица2[2],B71,Таблица2[T],"t")+SUMIFS(Таблица2[R],Таблица2[2],B71,Таблица2[T],"t"))/D71*100,"-"))</f>
        <v>-</v>
      </c>
      <c r="K71" s="76" t="str">
        <f>IF(SUMIFS(Таблица2[KO$],Таблица2[2],B71)=0,"-",SUMIFS(Таблица2[KO$],Таблица2[2],B71))</f>
        <v>-</v>
      </c>
      <c r="L71" s="76" t="str">
        <f>IF(SUMIFS(Таблица2[WIN$],Таблица2[2],B71)=0,"-",SUMIFS(Таблица2[WIN$],Таблица2[2],B71))</f>
        <v>-</v>
      </c>
      <c r="M71" s="76" t="str">
        <f t="shared" si="1"/>
        <v>-</v>
      </c>
      <c r="N71" s="78" t="str">
        <f>IFERROR(Таблица467[[#This Row],[PROF]]/Таблица467[[#This Row],[Games]],"-")</f>
        <v>-</v>
      </c>
    </row>
    <row r="72" spans="1:14" ht="11.1" customHeight="1" x14ac:dyDescent="0.25">
      <c r="A72" s="93">
        <f t="shared" si="2"/>
        <v>31</v>
      </c>
      <c r="B72"/>
      <c r="C72"/>
      <c r="D72" s="75" t="str">
        <f>IF(COUNTIFS(Таблица2[2],B72)+SUMIFS(Таблица2[R],Таблица2[2],B72)=0,"",COUNTIFS(Таблица2[2],B72)+SUMIFS(Таблица2[R],Таблица2[2],B72))</f>
        <v/>
      </c>
      <c r="E72" s="76" t="str">
        <f>IF(SUMIFS(Таблица2[B$],Таблица2[2],B72)=0,"-",SUMIFS(Таблица2[B$],Таблица2[2],B72))</f>
        <v>-</v>
      </c>
      <c r="F72" s="77" t="str">
        <f>IFERROR(AVERAGEIFS(Таблица2[AFS],Таблица2[2],B72)+(AVERAGEIFS(Таблица2[AFS],Таблица2[2],B72)*0.2),"-")</f>
        <v>-</v>
      </c>
      <c r="G72" s="77" t="str">
        <f t="shared" si="0"/>
        <v>-</v>
      </c>
      <c r="H72" s="77" t="str">
        <f>IFERROR(COUNTIFS(Таблица2[2],B72,Таблица2[WIN$],"&gt;0")/D72*100,"-")</f>
        <v>-</v>
      </c>
      <c r="I72" s="77" t="str">
        <f>IF(IFERROR((COUNTIFS(Таблица2[2],B72,Таблица2[K],"K")+SUMIFS(Таблица2[R],Таблица2[2],B72,Таблица2[K],"K"))/D72*100,"-")=0,"-",IFERROR((COUNTIFS(Таблица2[2],B72,Таблица2[K],"K")+SUMIFS(Таблица2[R],Таблица2[2],B72,Таблица2[K],"K"))/D72*100,"-"))</f>
        <v>-</v>
      </c>
      <c r="J72" s="77" t="str">
        <f>IF(IFERROR((COUNTIFS(Таблица2[2],B72,Таблица2[T],"t")+SUMIFS(Таблица2[R],Таблица2[2],B72,Таблица2[T],"t"))/D72*100,"-")=0,"-",IFERROR((COUNTIFS(Таблица2[2],B72,Таблица2[T],"t")+SUMIFS(Таблица2[R],Таблица2[2],B72,Таблица2[T],"t"))/D72*100,"-"))</f>
        <v>-</v>
      </c>
      <c r="K72" s="76" t="str">
        <f>IF(SUMIFS(Таблица2[KO$],Таблица2[2],B72)=0,"-",SUMIFS(Таблица2[KO$],Таблица2[2],B72))</f>
        <v>-</v>
      </c>
      <c r="L72" s="76" t="str">
        <f>IF(SUMIFS(Таблица2[WIN$],Таблица2[2],B72)=0,"-",SUMIFS(Таблица2[WIN$],Таблица2[2],B72))</f>
        <v>-</v>
      </c>
      <c r="M72" s="76" t="str">
        <f t="shared" si="1"/>
        <v>-</v>
      </c>
      <c r="N72" s="78" t="str">
        <f>IFERROR(Таблица467[[#This Row],[PROF]]/Таблица467[[#This Row],[Games]],"-")</f>
        <v>-</v>
      </c>
    </row>
    <row r="73" spans="1:14" ht="11.1" customHeight="1" x14ac:dyDescent="0.25">
      <c r="A73" s="93">
        <f t="shared" si="2"/>
        <v>32</v>
      </c>
      <c r="B73"/>
      <c r="C73"/>
      <c r="D73" s="75" t="str">
        <f>IF(COUNTIFS(Таблица2[2],B73)+SUMIFS(Таблица2[R],Таблица2[2],B73)=0,"",COUNTIFS(Таблица2[2],B73)+SUMIFS(Таблица2[R],Таблица2[2],B73))</f>
        <v/>
      </c>
      <c r="E73" s="76" t="str">
        <f>IF(SUMIFS(Таблица2[B$],Таблица2[2],B73)=0,"-",SUMIFS(Таблица2[B$],Таблица2[2],B73))</f>
        <v>-</v>
      </c>
      <c r="F73" s="77" t="str">
        <f>IFERROR(AVERAGEIFS(Таблица2[AFS],Таблица2[2],B73)+(AVERAGEIFS(Таблица2[AFS],Таблица2[2],B73)*0.2),"-")</f>
        <v>-</v>
      </c>
      <c r="G73" s="77" t="str">
        <f t="shared" si="0"/>
        <v>-</v>
      </c>
      <c r="H73" s="77" t="str">
        <f>IFERROR(COUNTIFS(Таблица2[2],B73,Таблица2[WIN$],"&gt;0")/D73*100,"-")</f>
        <v>-</v>
      </c>
      <c r="I73" s="77" t="str">
        <f>IF(IFERROR((COUNTIFS(Таблица2[2],B73,Таблица2[K],"K")+SUMIFS(Таблица2[R],Таблица2[2],B73,Таблица2[K],"K"))/D73*100,"-")=0,"-",IFERROR((COUNTIFS(Таблица2[2],B73,Таблица2[K],"K")+SUMIFS(Таблица2[R],Таблица2[2],B73,Таблица2[K],"K"))/D73*100,"-"))</f>
        <v>-</v>
      </c>
      <c r="J73" s="77" t="str">
        <f>IF(IFERROR((COUNTIFS(Таблица2[2],B73,Таблица2[T],"t")+SUMIFS(Таблица2[R],Таблица2[2],B73,Таблица2[T],"t"))/D73*100,"-")=0,"-",IFERROR((COUNTIFS(Таблица2[2],B73,Таблица2[T],"t")+SUMIFS(Таблица2[R],Таблица2[2],B73,Таблица2[T],"t"))/D73*100,"-"))</f>
        <v>-</v>
      </c>
      <c r="K73" s="76" t="str">
        <f>IF(SUMIFS(Таблица2[KO$],Таблица2[2],B73)=0,"-",SUMIFS(Таблица2[KO$],Таблица2[2],B73))</f>
        <v>-</v>
      </c>
      <c r="L73" s="76" t="str">
        <f>IF(SUMIFS(Таблица2[WIN$],Таблица2[2],B73)=0,"-",SUMIFS(Таблица2[WIN$],Таблица2[2],B73))</f>
        <v>-</v>
      </c>
      <c r="M73" s="76" t="str">
        <f t="shared" si="1"/>
        <v>-</v>
      </c>
      <c r="N73" s="78" t="str">
        <f>IFERROR(Таблица467[[#This Row],[PROF]]/Таблица467[[#This Row],[Games]],"-")</f>
        <v>-</v>
      </c>
    </row>
    <row r="74" spans="1:14" ht="11.1" customHeight="1" x14ac:dyDescent="0.25">
      <c r="A74" s="93">
        <f t="shared" si="2"/>
        <v>33</v>
      </c>
      <c r="B74"/>
      <c r="C74"/>
      <c r="D74" s="75" t="str">
        <f>IF(COUNTIFS(Таблица2[2],B74)+SUMIFS(Таблица2[R],Таблица2[2],B74)=0,"",COUNTIFS(Таблица2[2],B74)+SUMIFS(Таблица2[R],Таблица2[2],B74))</f>
        <v/>
      </c>
      <c r="E74" s="76" t="str">
        <f>IF(SUMIFS(Таблица2[B$],Таблица2[2],B74)=0,"-",SUMIFS(Таблица2[B$],Таблица2[2],B74))</f>
        <v>-</v>
      </c>
      <c r="F74" s="77" t="str">
        <f>IFERROR(AVERAGEIFS(Таблица2[AFS],Таблица2[2],B74)+(AVERAGEIFS(Таблица2[AFS],Таблица2[2],B74)*0.2),"-")</f>
        <v>-</v>
      </c>
      <c r="G74" s="77" t="str">
        <f t="shared" ref="G74:G105" si="3">IFERROR(M74/E74*100,"-")</f>
        <v>-</v>
      </c>
      <c r="H74" s="77" t="str">
        <f>IFERROR(COUNTIFS(Таблица2[2],B74,Таблица2[WIN$],"&gt;0")/D74*100,"-")</f>
        <v>-</v>
      </c>
      <c r="I74" s="77" t="str">
        <f>IF(IFERROR((COUNTIFS(Таблица2[2],B74,Таблица2[K],"K")+SUMIFS(Таблица2[R],Таблица2[2],B74,Таблица2[K],"K"))/D74*100,"-")=0,"-",IFERROR((COUNTIFS(Таблица2[2],B74,Таблица2[K],"K")+SUMIFS(Таблица2[R],Таблица2[2],B74,Таблица2[K],"K"))/D74*100,"-"))</f>
        <v>-</v>
      </c>
      <c r="J74" s="77" t="str">
        <f>IF(IFERROR((COUNTIFS(Таблица2[2],B74,Таблица2[T],"t")+SUMIFS(Таблица2[R],Таблица2[2],B74,Таблица2[T],"t"))/D74*100,"-")=0,"-",IFERROR((COUNTIFS(Таблица2[2],B74,Таблица2[T],"t")+SUMIFS(Таблица2[R],Таблица2[2],B74,Таблица2[T],"t"))/D74*100,"-"))</f>
        <v>-</v>
      </c>
      <c r="K74" s="76" t="str">
        <f>IF(SUMIFS(Таблица2[KO$],Таблица2[2],B74)=0,"-",SUMIFS(Таблица2[KO$],Таблица2[2],B74))</f>
        <v>-</v>
      </c>
      <c r="L74" s="76" t="str">
        <f>IF(SUMIFS(Таблица2[WIN$],Таблица2[2],B74)=0,"-",SUMIFS(Таблица2[WIN$],Таблица2[2],B74))</f>
        <v>-</v>
      </c>
      <c r="M74" s="76" t="str">
        <f t="shared" ref="M74:M105" si="4">IFERROR(IF(L74="-",0,L74)+IF(K74="-",0,K74)-E74,"-")</f>
        <v>-</v>
      </c>
      <c r="N74" s="78" t="str">
        <f>IFERROR(Таблица467[[#This Row],[PROF]]/Таблица467[[#This Row],[Games]],"-")</f>
        <v>-</v>
      </c>
    </row>
    <row r="75" spans="1:14" ht="11.1" customHeight="1" x14ac:dyDescent="0.25">
      <c r="A75" s="93">
        <f t="shared" si="2"/>
        <v>34</v>
      </c>
      <c r="B75"/>
      <c r="C75"/>
      <c r="D75" s="75" t="str">
        <f>IF(COUNTIFS(Таблица2[2],B75)+SUMIFS(Таблица2[R],Таблица2[2],B75)=0,"",COUNTIFS(Таблица2[2],B75)+SUMIFS(Таблица2[R],Таблица2[2],B75))</f>
        <v/>
      </c>
      <c r="E75" s="76" t="str">
        <f>IF(SUMIFS(Таблица2[B$],Таблица2[2],B75)=0,"-",SUMIFS(Таблица2[B$],Таблица2[2],B75))</f>
        <v>-</v>
      </c>
      <c r="F75" s="77" t="str">
        <f>IFERROR(AVERAGEIFS(Таблица2[AFS],Таблица2[2],B75)+(AVERAGEIFS(Таблица2[AFS],Таблица2[2],B75)*0.2),"-")</f>
        <v>-</v>
      </c>
      <c r="G75" s="77" t="str">
        <f t="shared" si="3"/>
        <v>-</v>
      </c>
      <c r="H75" s="77" t="str">
        <f>IFERROR(COUNTIFS(Таблица2[2],B75,Таблица2[WIN$],"&gt;0")/D75*100,"-")</f>
        <v>-</v>
      </c>
      <c r="I75" s="77" t="str">
        <f>IF(IFERROR((COUNTIFS(Таблица2[2],B75,Таблица2[K],"K")+SUMIFS(Таблица2[R],Таблица2[2],B75,Таблица2[K],"K"))/D75*100,"-")=0,"-",IFERROR((COUNTIFS(Таблица2[2],B75,Таблица2[K],"K")+SUMIFS(Таблица2[R],Таблица2[2],B75,Таблица2[K],"K"))/D75*100,"-"))</f>
        <v>-</v>
      </c>
      <c r="J75" s="77" t="str">
        <f>IF(IFERROR((COUNTIFS(Таблица2[2],B75,Таблица2[T],"t")+SUMIFS(Таблица2[R],Таблица2[2],B75,Таблица2[T],"t"))/D75*100,"-")=0,"-",IFERROR((COUNTIFS(Таблица2[2],B75,Таблица2[T],"t")+SUMIFS(Таблица2[R],Таблица2[2],B75,Таблица2[T],"t"))/D75*100,"-"))</f>
        <v>-</v>
      </c>
      <c r="K75" s="76" t="str">
        <f>IF(SUMIFS(Таблица2[KO$],Таблица2[2],B75)=0,"-",SUMIFS(Таблица2[KO$],Таблица2[2],B75))</f>
        <v>-</v>
      </c>
      <c r="L75" s="76" t="str">
        <f>IF(SUMIFS(Таблица2[WIN$],Таблица2[2],B75)=0,"-",SUMIFS(Таблица2[WIN$],Таблица2[2],B75))</f>
        <v>-</v>
      </c>
      <c r="M75" s="76" t="str">
        <f t="shared" si="4"/>
        <v>-</v>
      </c>
      <c r="N75" s="78" t="str">
        <f>IFERROR(Таблица467[[#This Row],[PROF]]/Таблица467[[#This Row],[Games]],"-")</f>
        <v>-</v>
      </c>
    </row>
    <row r="76" spans="1:14" ht="11.1" customHeight="1" x14ac:dyDescent="0.25">
      <c r="A76" s="93">
        <f t="shared" si="2"/>
        <v>35</v>
      </c>
      <c r="B76"/>
      <c r="C76"/>
      <c r="D76" s="75" t="str">
        <f>IF(COUNTIFS(Таблица2[2],B76)+SUMIFS(Таблица2[R],Таблица2[2],B76)=0,"",COUNTIFS(Таблица2[2],B76)+SUMIFS(Таблица2[R],Таблица2[2],B76))</f>
        <v/>
      </c>
      <c r="E76" s="76" t="str">
        <f>IF(SUMIFS(Таблица2[B$],Таблица2[2],B76)=0,"-",SUMIFS(Таблица2[B$],Таблица2[2],B76))</f>
        <v>-</v>
      </c>
      <c r="F76" s="77" t="str">
        <f>IFERROR(AVERAGEIFS(Таблица2[AFS],Таблица2[2],B76)+(AVERAGEIFS(Таблица2[AFS],Таблица2[2],B76)*0.2),"-")</f>
        <v>-</v>
      </c>
      <c r="G76" s="77" t="str">
        <f t="shared" si="3"/>
        <v>-</v>
      </c>
      <c r="H76" s="77" t="str">
        <f>IFERROR(COUNTIFS(Таблица2[2],B76,Таблица2[WIN$],"&gt;0")/D76*100,"-")</f>
        <v>-</v>
      </c>
      <c r="I76" s="77" t="str">
        <f>IF(IFERROR((COUNTIFS(Таблица2[2],B76,Таблица2[K],"K")+SUMIFS(Таблица2[R],Таблица2[2],B76,Таблица2[K],"K"))/D76*100,"-")=0,"-",IFERROR((COUNTIFS(Таблица2[2],B76,Таблица2[K],"K")+SUMIFS(Таблица2[R],Таблица2[2],B76,Таблица2[K],"K"))/D76*100,"-"))</f>
        <v>-</v>
      </c>
      <c r="J76" s="77" t="str">
        <f>IF(IFERROR((COUNTIFS(Таблица2[2],B76,Таблица2[T],"t")+SUMIFS(Таблица2[R],Таблица2[2],B76,Таблица2[T],"t"))/D76*100,"-")=0,"-",IFERROR((COUNTIFS(Таблица2[2],B76,Таблица2[T],"t")+SUMIFS(Таблица2[R],Таблица2[2],B76,Таблица2[T],"t"))/D76*100,"-"))</f>
        <v>-</v>
      </c>
      <c r="K76" s="76" t="str">
        <f>IF(SUMIFS(Таблица2[KO$],Таблица2[2],B76)=0,"-",SUMIFS(Таблица2[KO$],Таблица2[2],B76))</f>
        <v>-</v>
      </c>
      <c r="L76" s="76" t="str">
        <f>IF(SUMIFS(Таблица2[WIN$],Таблица2[2],B76)=0,"-",SUMIFS(Таблица2[WIN$],Таблица2[2],B76))</f>
        <v>-</v>
      </c>
      <c r="M76" s="76" t="str">
        <f t="shared" si="4"/>
        <v>-</v>
      </c>
      <c r="N76" s="78" t="str">
        <f>IFERROR(Таблица467[[#This Row],[PROF]]/Таблица467[[#This Row],[Games]],"-")</f>
        <v>-</v>
      </c>
    </row>
    <row r="77" spans="1:14" ht="11.1" customHeight="1" x14ac:dyDescent="0.25">
      <c r="A77" s="93">
        <f t="shared" si="2"/>
        <v>36</v>
      </c>
      <c r="B77"/>
      <c r="C77"/>
      <c r="D77" s="75" t="str">
        <f>IF(COUNTIFS(Таблица2[2],B77)+SUMIFS(Таблица2[R],Таблица2[2],B77)=0,"",COUNTIFS(Таблица2[2],B77)+SUMIFS(Таблица2[R],Таблица2[2],B77))</f>
        <v/>
      </c>
      <c r="E77" s="76" t="str">
        <f>IF(SUMIFS(Таблица2[B$],Таблица2[2],B77)=0,"-",SUMIFS(Таблица2[B$],Таблица2[2],B77))</f>
        <v>-</v>
      </c>
      <c r="F77" s="77" t="str">
        <f>IFERROR(AVERAGEIFS(Таблица2[AFS],Таблица2[2],B77)+(AVERAGEIFS(Таблица2[AFS],Таблица2[2],B77)*0.2),"-")</f>
        <v>-</v>
      </c>
      <c r="G77" s="77" t="str">
        <f t="shared" si="3"/>
        <v>-</v>
      </c>
      <c r="H77" s="77" t="str">
        <f>IFERROR(COUNTIFS(Таблица2[2],B77,Таблица2[WIN$],"&gt;0")/D77*100,"-")</f>
        <v>-</v>
      </c>
      <c r="I77" s="77" t="str">
        <f>IF(IFERROR((COUNTIFS(Таблица2[2],B77,Таблица2[K],"K")+SUMIFS(Таблица2[R],Таблица2[2],B77,Таблица2[K],"K"))/D77*100,"-")=0,"-",IFERROR((COUNTIFS(Таблица2[2],B77,Таблица2[K],"K")+SUMIFS(Таблица2[R],Таблица2[2],B77,Таблица2[K],"K"))/D77*100,"-"))</f>
        <v>-</v>
      </c>
      <c r="J77" s="77" t="str">
        <f>IF(IFERROR((COUNTIFS(Таблица2[2],B77,Таблица2[T],"t")+SUMIFS(Таблица2[R],Таблица2[2],B77,Таблица2[T],"t"))/D77*100,"-")=0,"-",IFERROR((COUNTIFS(Таблица2[2],B77,Таблица2[T],"t")+SUMIFS(Таблица2[R],Таблица2[2],B77,Таблица2[T],"t"))/D77*100,"-"))</f>
        <v>-</v>
      </c>
      <c r="K77" s="76" t="str">
        <f>IF(SUMIFS(Таблица2[KO$],Таблица2[2],B77)=0,"-",SUMIFS(Таблица2[KO$],Таблица2[2],B77))</f>
        <v>-</v>
      </c>
      <c r="L77" s="76" t="str">
        <f>IF(SUMIFS(Таблица2[WIN$],Таблица2[2],B77)=0,"-",SUMIFS(Таблица2[WIN$],Таблица2[2],B77))</f>
        <v>-</v>
      </c>
      <c r="M77" s="76" t="str">
        <f t="shared" si="4"/>
        <v>-</v>
      </c>
      <c r="N77" s="78" t="str">
        <f>IFERROR(Таблица467[[#This Row],[PROF]]/Таблица467[[#This Row],[Games]],"-")</f>
        <v>-</v>
      </c>
    </row>
    <row r="78" spans="1:14" ht="11.1" customHeight="1" x14ac:dyDescent="0.25">
      <c r="A78" s="93">
        <f t="shared" si="2"/>
        <v>37</v>
      </c>
      <c r="B78"/>
      <c r="C78"/>
      <c r="D78" s="75" t="str">
        <f>IF(COUNTIFS(Таблица2[2],B78)+SUMIFS(Таблица2[R],Таблица2[2],B78)=0,"",COUNTIFS(Таблица2[2],B78)+SUMIFS(Таблица2[R],Таблица2[2],B78))</f>
        <v/>
      </c>
      <c r="E78" s="76" t="str">
        <f>IF(SUMIFS(Таблица2[B$],Таблица2[2],B78)=0,"-",SUMIFS(Таблица2[B$],Таблица2[2],B78))</f>
        <v>-</v>
      </c>
      <c r="F78" s="77" t="str">
        <f>IFERROR(AVERAGEIFS(Таблица2[AFS],Таблица2[2],B78)+(AVERAGEIFS(Таблица2[AFS],Таблица2[2],B78)*0.2),"-")</f>
        <v>-</v>
      </c>
      <c r="G78" s="77" t="str">
        <f t="shared" si="3"/>
        <v>-</v>
      </c>
      <c r="H78" s="77" t="str">
        <f>IFERROR(COUNTIFS(Таблица2[2],B78,Таблица2[WIN$],"&gt;0")/D78*100,"-")</f>
        <v>-</v>
      </c>
      <c r="I78" s="77" t="str">
        <f>IF(IFERROR((COUNTIFS(Таблица2[2],B78,Таблица2[K],"K")+SUMIFS(Таблица2[R],Таблица2[2],B78,Таблица2[K],"K"))/D78*100,"-")=0,"-",IFERROR((COUNTIFS(Таблица2[2],B78,Таблица2[K],"K")+SUMIFS(Таблица2[R],Таблица2[2],B78,Таблица2[K],"K"))/D78*100,"-"))</f>
        <v>-</v>
      </c>
      <c r="J78" s="77" t="str">
        <f>IF(IFERROR((COUNTIFS(Таблица2[2],B78,Таблица2[T],"t")+SUMIFS(Таблица2[R],Таблица2[2],B78,Таблица2[T],"t"))/D78*100,"-")=0,"-",IFERROR((COUNTIFS(Таблица2[2],B78,Таблица2[T],"t")+SUMIFS(Таблица2[R],Таблица2[2],B78,Таблица2[T],"t"))/D78*100,"-"))</f>
        <v>-</v>
      </c>
      <c r="K78" s="76" t="str">
        <f>IF(SUMIFS(Таблица2[KO$],Таблица2[2],B78)=0,"-",SUMIFS(Таблица2[KO$],Таблица2[2],B78))</f>
        <v>-</v>
      </c>
      <c r="L78" s="76" t="str">
        <f>IF(SUMIFS(Таблица2[WIN$],Таблица2[2],B78)=0,"-",SUMIFS(Таблица2[WIN$],Таблица2[2],B78))</f>
        <v>-</v>
      </c>
      <c r="M78" s="76" t="str">
        <f t="shared" si="4"/>
        <v>-</v>
      </c>
      <c r="N78" s="78" t="str">
        <f>IFERROR(Таблица467[[#This Row],[PROF]]/Таблица467[[#This Row],[Games]],"-")</f>
        <v>-</v>
      </c>
    </row>
    <row r="79" spans="1:14" ht="11.1" customHeight="1" x14ac:dyDescent="0.25">
      <c r="A79" s="93">
        <f t="shared" si="2"/>
        <v>38</v>
      </c>
      <c r="B79"/>
      <c r="C79"/>
      <c r="D79" s="75" t="str">
        <f>IF(COUNTIFS(Таблица2[2],B79)+SUMIFS(Таблица2[R],Таблица2[2],B79)=0,"",COUNTIFS(Таблица2[2],B79)+SUMIFS(Таблица2[R],Таблица2[2],B79))</f>
        <v/>
      </c>
      <c r="E79" s="76" t="str">
        <f>IF(SUMIFS(Таблица2[B$],Таблица2[2],B79)=0,"-",SUMIFS(Таблица2[B$],Таблица2[2],B79))</f>
        <v>-</v>
      </c>
      <c r="F79" s="77" t="str">
        <f>IFERROR(AVERAGEIFS(Таблица2[AFS],Таблица2[2],B79)+(AVERAGEIFS(Таблица2[AFS],Таблица2[2],B79)*0.2),"-")</f>
        <v>-</v>
      </c>
      <c r="G79" s="77" t="str">
        <f t="shared" si="3"/>
        <v>-</v>
      </c>
      <c r="H79" s="77" t="str">
        <f>IFERROR(COUNTIFS(Таблица2[2],B79,Таблица2[WIN$],"&gt;0")/D79*100,"-")</f>
        <v>-</v>
      </c>
      <c r="I79" s="77" t="str">
        <f>IF(IFERROR((COUNTIFS(Таблица2[2],B79,Таблица2[K],"K")+SUMIFS(Таблица2[R],Таблица2[2],B79,Таблица2[K],"K"))/D79*100,"-")=0,"-",IFERROR((COUNTIFS(Таблица2[2],B79,Таблица2[K],"K")+SUMIFS(Таблица2[R],Таблица2[2],B79,Таблица2[K],"K"))/D79*100,"-"))</f>
        <v>-</v>
      </c>
      <c r="J79" s="77" t="str">
        <f>IF(IFERROR((COUNTIFS(Таблица2[2],B79,Таблица2[T],"t")+SUMIFS(Таблица2[R],Таблица2[2],B79,Таблица2[T],"t"))/D79*100,"-")=0,"-",IFERROR((COUNTIFS(Таблица2[2],B79,Таблица2[T],"t")+SUMIFS(Таблица2[R],Таблица2[2],B79,Таблица2[T],"t"))/D79*100,"-"))</f>
        <v>-</v>
      </c>
      <c r="K79" s="76" t="str">
        <f>IF(SUMIFS(Таблица2[KO$],Таблица2[2],B79)=0,"-",SUMIFS(Таблица2[KO$],Таблица2[2],B79))</f>
        <v>-</v>
      </c>
      <c r="L79" s="76" t="str">
        <f>IF(SUMIFS(Таблица2[WIN$],Таблица2[2],B79)=0,"-",SUMIFS(Таблица2[WIN$],Таблица2[2],B79))</f>
        <v>-</v>
      </c>
      <c r="M79" s="76" t="str">
        <f t="shared" si="4"/>
        <v>-</v>
      </c>
      <c r="N79" s="78" t="str">
        <f>IFERROR(Таблица467[[#This Row],[PROF]]/Таблица467[[#This Row],[Games]],"-")</f>
        <v>-</v>
      </c>
    </row>
    <row r="80" spans="1:14" ht="11.1" customHeight="1" x14ac:dyDescent="0.25">
      <c r="A80" s="93">
        <f t="shared" si="2"/>
        <v>39</v>
      </c>
      <c r="B80"/>
      <c r="C80"/>
      <c r="D80" s="75" t="str">
        <f>IF(COUNTIFS(Таблица2[2],B80)+SUMIFS(Таблица2[R],Таблица2[2],B80)=0,"",COUNTIFS(Таблица2[2],B80)+SUMIFS(Таблица2[R],Таблица2[2],B80))</f>
        <v/>
      </c>
      <c r="E80" s="76" t="str">
        <f>IF(SUMIFS(Таблица2[B$],Таблица2[2],B80)=0,"-",SUMIFS(Таблица2[B$],Таблица2[2],B80))</f>
        <v>-</v>
      </c>
      <c r="F80" s="77" t="str">
        <f>IFERROR(AVERAGEIFS(Таблица2[AFS],Таблица2[2],B80)+(AVERAGEIFS(Таблица2[AFS],Таблица2[2],B80)*0.2),"-")</f>
        <v>-</v>
      </c>
      <c r="G80" s="77" t="str">
        <f t="shared" si="3"/>
        <v>-</v>
      </c>
      <c r="H80" s="77" t="str">
        <f>IFERROR(COUNTIFS(Таблица2[2],B80,Таблица2[WIN$],"&gt;0")/D80*100,"-")</f>
        <v>-</v>
      </c>
      <c r="I80" s="77" t="str">
        <f>IF(IFERROR((COUNTIFS(Таблица2[2],B80,Таблица2[K],"K")+SUMIFS(Таблица2[R],Таблица2[2],B80,Таблица2[K],"K"))/D80*100,"-")=0,"-",IFERROR((COUNTIFS(Таблица2[2],B80,Таблица2[K],"K")+SUMIFS(Таблица2[R],Таблица2[2],B80,Таблица2[K],"K"))/D80*100,"-"))</f>
        <v>-</v>
      </c>
      <c r="J80" s="77" t="str">
        <f>IF(IFERROR((COUNTIFS(Таблица2[2],B80,Таблица2[T],"t")+SUMIFS(Таблица2[R],Таблица2[2],B80,Таблица2[T],"t"))/D80*100,"-")=0,"-",IFERROR((COUNTIFS(Таблица2[2],B80,Таблица2[T],"t")+SUMIFS(Таблица2[R],Таблица2[2],B80,Таблица2[T],"t"))/D80*100,"-"))</f>
        <v>-</v>
      </c>
      <c r="K80" s="76" t="str">
        <f>IF(SUMIFS(Таблица2[KO$],Таблица2[2],B80)=0,"-",SUMIFS(Таблица2[KO$],Таблица2[2],B80))</f>
        <v>-</v>
      </c>
      <c r="L80" s="76" t="str">
        <f>IF(SUMIFS(Таблица2[WIN$],Таблица2[2],B80)=0,"-",SUMIFS(Таблица2[WIN$],Таблица2[2],B80))</f>
        <v>-</v>
      </c>
      <c r="M80" s="76" t="str">
        <f t="shared" si="4"/>
        <v>-</v>
      </c>
      <c r="N80" s="78" t="str">
        <f>IFERROR(Таблица467[[#This Row],[PROF]]/Таблица467[[#This Row],[Games]],"-")</f>
        <v>-</v>
      </c>
    </row>
    <row r="81" spans="1:14" ht="11.1" customHeight="1" x14ac:dyDescent="0.25">
      <c r="A81" s="93">
        <f t="shared" si="2"/>
        <v>40</v>
      </c>
      <c r="B81"/>
      <c r="C81"/>
      <c r="D81" s="75" t="str">
        <f>IF(COUNTIFS(Таблица2[2],B81)+SUMIFS(Таблица2[R],Таблица2[2],B81)=0,"",COUNTIFS(Таблица2[2],B81)+SUMIFS(Таблица2[R],Таблица2[2],B81))</f>
        <v/>
      </c>
      <c r="E81" s="76" t="str">
        <f>IF(SUMIFS(Таблица2[B$],Таблица2[2],B81)=0,"-",SUMIFS(Таблица2[B$],Таблица2[2],B81))</f>
        <v>-</v>
      </c>
      <c r="F81" s="77" t="str">
        <f>IFERROR(AVERAGEIFS(Таблица2[AFS],Таблица2[2],B81)+(AVERAGEIFS(Таблица2[AFS],Таблица2[2],B81)*0.2),"-")</f>
        <v>-</v>
      </c>
      <c r="G81" s="77" t="str">
        <f t="shared" si="3"/>
        <v>-</v>
      </c>
      <c r="H81" s="77" t="str">
        <f>IFERROR(COUNTIFS(Таблица2[2],B81,Таблица2[WIN$],"&gt;0")/D81*100,"-")</f>
        <v>-</v>
      </c>
      <c r="I81" s="77" t="str">
        <f>IF(IFERROR((COUNTIFS(Таблица2[2],B81,Таблица2[K],"K")+SUMIFS(Таблица2[R],Таблица2[2],B81,Таблица2[K],"K"))/D81*100,"-")=0,"-",IFERROR((COUNTIFS(Таблица2[2],B81,Таблица2[K],"K")+SUMIFS(Таблица2[R],Таблица2[2],B81,Таблица2[K],"K"))/D81*100,"-"))</f>
        <v>-</v>
      </c>
      <c r="J81" s="77" t="str">
        <f>IF(IFERROR((COUNTIFS(Таблица2[2],B81,Таблица2[T],"t")+SUMIFS(Таблица2[R],Таблица2[2],B81,Таблица2[T],"t"))/D81*100,"-")=0,"-",IFERROR((COUNTIFS(Таблица2[2],B81,Таблица2[T],"t")+SUMIFS(Таблица2[R],Таблица2[2],B81,Таблица2[T],"t"))/D81*100,"-"))</f>
        <v>-</v>
      </c>
      <c r="K81" s="76" t="str">
        <f>IF(SUMIFS(Таблица2[KO$],Таблица2[2],B81)=0,"-",SUMIFS(Таблица2[KO$],Таблица2[2],B81))</f>
        <v>-</v>
      </c>
      <c r="L81" s="76" t="str">
        <f>IF(SUMIFS(Таблица2[WIN$],Таблица2[2],B81)=0,"-",SUMIFS(Таблица2[WIN$],Таблица2[2],B81))</f>
        <v>-</v>
      </c>
      <c r="M81" s="76" t="str">
        <f t="shared" si="4"/>
        <v>-</v>
      </c>
      <c r="N81" s="78" t="str">
        <f>IFERROR(Таблица467[[#This Row],[PROF]]/Таблица467[[#This Row],[Games]],"-")</f>
        <v>-</v>
      </c>
    </row>
    <row r="82" spans="1:14" ht="11.1" customHeight="1" x14ac:dyDescent="0.25">
      <c r="A82" s="93">
        <f t="shared" si="2"/>
        <v>41</v>
      </c>
      <c r="B82"/>
      <c r="C82"/>
      <c r="D82" s="75" t="str">
        <f>IF(COUNTIFS(Таблица2[2],B82)+SUMIFS(Таблица2[R],Таблица2[2],B82)=0,"",COUNTIFS(Таблица2[2],B82)+SUMIFS(Таблица2[R],Таблица2[2],B82))</f>
        <v/>
      </c>
      <c r="E82" s="76" t="str">
        <f>IF(SUMIFS(Таблица2[B$],Таблица2[2],B82)=0,"-",SUMIFS(Таблица2[B$],Таблица2[2],B82))</f>
        <v>-</v>
      </c>
      <c r="F82" s="77" t="str">
        <f>IFERROR(AVERAGEIFS(Таблица2[AFS],Таблица2[2],B82)+(AVERAGEIFS(Таблица2[AFS],Таблица2[2],B82)*0.2),"-")</f>
        <v>-</v>
      </c>
      <c r="G82" s="77" t="str">
        <f t="shared" si="3"/>
        <v>-</v>
      </c>
      <c r="H82" s="77" t="str">
        <f>IFERROR(COUNTIFS(Таблица2[2],B82,Таблица2[WIN$],"&gt;0")/D82*100,"-")</f>
        <v>-</v>
      </c>
      <c r="I82" s="77" t="str">
        <f>IF(IFERROR((COUNTIFS(Таблица2[2],B82,Таблица2[K],"K")+SUMIFS(Таблица2[R],Таблица2[2],B82,Таблица2[K],"K"))/D82*100,"-")=0,"-",IFERROR((COUNTIFS(Таблица2[2],B82,Таблица2[K],"K")+SUMIFS(Таблица2[R],Таблица2[2],B82,Таблица2[K],"K"))/D82*100,"-"))</f>
        <v>-</v>
      </c>
      <c r="J82" s="77" t="str">
        <f>IF(IFERROR((COUNTIFS(Таблица2[2],B82,Таблица2[T],"t")+SUMIFS(Таблица2[R],Таблица2[2],B82,Таблица2[T],"t"))/D82*100,"-")=0,"-",IFERROR((COUNTIFS(Таблица2[2],B82,Таблица2[T],"t")+SUMIFS(Таблица2[R],Таблица2[2],B82,Таблица2[T],"t"))/D82*100,"-"))</f>
        <v>-</v>
      </c>
      <c r="K82" s="76" t="str">
        <f>IF(SUMIFS(Таблица2[KO$],Таблица2[2],B82)=0,"-",SUMIFS(Таблица2[KO$],Таблица2[2],B82))</f>
        <v>-</v>
      </c>
      <c r="L82" s="76" t="str">
        <f>IF(SUMIFS(Таблица2[WIN$],Таблица2[2],B82)=0,"-",SUMIFS(Таблица2[WIN$],Таблица2[2],B82))</f>
        <v>-</v>
      </c>
      <c r="M82" s="76" t="str">
        <f t="shared" si="4"/>
        <v>-</v>
      </c>
      <c r="N82" s="78" t="str">
        <f>IFERROR(Таблица467[[#This Row],[PROF]]/Таблица467[[#This Row],[Games]],"-")</f>
        <v>-</v>
      </c>
    </row>
    <row r="83" spans="1:14" ht="11.1" customHeight="1" x14ac:dyDescent="0.25">
      <c r="A83" s="93">
        <f t="shared" si="2"/>
        <v>42</v>
      </c>
      <c r="B83"/>
      <c r="C83"/>
      <c r="D83" s="75" t="str">
        <f>IF(COUNTIFS(Таблица2[2],B83)+SUMIFS(Таблица2[R],Таблица2[2],B83)=0,"",COUNTIFS(Таблица2[2],B83)+SUMIFS(Таблица2[R],Таблица2[2],B83))</f>
        <v/>
      </c>
      <c r="E83" s="76" t="str">
        <f>IF(SUMIFS(Таблица2[B$],Таблица2[2],B83)=0,"-",SUMIFS(Таблица2[B$],Таблица2[2],B83))</f>
        <v>-</v>
      </c>
      <c r="F83" s="77" t="str">
        <f>IFERROR(AVERAGEIFS(Таблица2[AFS],Таблица2[2],B83)+(AVERAGEIFS(Таблица2[AFS],Таблица2[2],B83)*0.2),"-")</f>
        <v>-</v>
      </c>
      <c r="G83" s="77" t="str">
        <f t="shared" si="3"/>
        <v>-</v>
      </c>
      <c r="H83" s="77" t="str">
        <f>IFERROR(COUNTIFS(Таблица2[2],B83,Таблица2[WIN$],"&gt;0")/D83*100,"-")</f>
        <v>-</v>
      </c>
      <c r="I83" s="77" t="str">
        <f>IF(IFERROR((COUNTIFS(Таблица2[2],B83,Таблица2[K],"K")+SUMIFS(Таблица2[R],Таблица2[2],B83,Таблица2[K],"K"))/D83*100,"-")=0,"-",IFERROR((COUNTIFS(Таблица2[2],B83,Таблица2[K],"K")+SUMIFS(Таблица2[R],Таблица2[2],B83,Таблица2[K],"K"))/D83*100,"-"))</f>
        <v>-</v>
      </c>
      <c r="J83" s="77" t="str">
        <f>IF(IFERROR((COUNTIFS(Таблица2[2],B83,Таблица2[T],"t")+SUMIFS(Таблица2[R],Таблица2[2],B83,Таблица2[T],"t"))/D83*100,"-")=0,"-",IFERROR((COUNTIFS(Таблица2[2],B83,Таблица2[T],"t")+SUMIFS(Таблица2[R],Таблица2[2],B83,Таблица2[T],"t"))/D83*100,"-"))</f>
        <v>-</v>
      </c>
      <c r="K83" s="76" t="str">
        <f>IF(SUMIFS(Таблица2[KO$],Таблица2[2],B83)=0,"-",SUMIFS(Таблица2[KO$],Таблица2[2],B83))</f>
        <v>-</v>
      </c>
      <c r="L83" s="76" t="str">
        <f>IF(SUMIFS(Таблица2[WIN$],Таблица2[2],B83)=0,"-",SUMIFS(Таблица2[WIN$],Таблица2[2],B83))</f>
        <v>-</v>
      </c>
      <c r="M83" s="76" t="str">
        <f t="shared" si="4"/>
        <v>-</v>
      </c>
      <c r="N83" s="78" t="str">
        <f>IFERROR(Таблица467[[#This Row],[PROF]]/Таблица467[[#This Row],[Games]],"-")</f>
        <v>-</v>
      </c>
    </row>
    <row r="84" spans="1:14" ht="11.1" customHeight="1" x14ac:dyDescent="0.25">
      <c r="A84" s="93">
        <f t="shared" si="2"/>
        <v>43</v>
      </c>
      <c r="B84"/>
      <c r="C84"/>
      <c r="D84" s="75" t="str">
        <f>IF(COUNTIFS(Таблица2[2],B84)+SUMIFS(Таблица2[R],Таблица2[2],B84)=0,"",COUNTIFS(Таблица2[2],B84)+SUMIFS(Таблица2[R],Таблица2[2],B84))</f>
        <v/>
      </c>
      <c r="E84" s="76" t="str">
        <f>IF(SUMIFS(Таблица2[B$],Таблица2[2],B84)=0,"-",SUMIFS(Таблица2[B$],Таблица2[2],B84))</f>
        <v>-</v>
      </c>
      <c r="F84" s="77" t="str">
        <f>IFERROR(AVERAGEIFS(Таблица2[AFS],Таблица2[2],B84)+(AVERAGEIFS(Таблица2[AFS],Таблица2[2],B84)*0.2),"-")</f>
        <v>-</v>
      </c>
      <c r="G84" s="77" t="str">
        <f t="shared" si="3"/>
        <v>-</v>
      </c>
      <c r="H84" s="77" t="str">
        <f>IFERROR(COUNTIFS(Таблица2[2],B84,Таблица2[WIN$],"&gt;0")/D84*100,"-")</f>
        <v>-</v>
      </c>
      <c r="I84" s="77" t="str">
        <f>IF(IFERROR((COUNTIFS(Таблица2[2],B84,Таблица2[K],"K")+SUMIFS(Таблица2[R],Таблица2[2],B84,Таблица2[K],"K"))/D84*100,"-")=0,"-",IFERROR((COUNTIFS(Таблица2[2],B84,Таблица2[K],"K")+SUMIFS(Таблица2[R],Таблица2[2],B84,Таблица2[K],"K"))/D84*100,"-"))</f>
        <v>-</v>
      </c>
      <c r="J84" s="77" t="str">
        <f>IF(IFERROR((COUNTIFS(Таблица2[2],B84,Таблица2[T],"t")+SUMIFS(Таблица2[R],Таблица2[2],B84,Таблица2[T],"t"))/D84*100,"-")=0,"-",IFERROR((COUNTIFS(Таблица2[2],B84,Таблица2[T],"t")+SUMIFS(Таблица2[R],Таблица2[2],B84,Таблица2[T],"t"))/D84*100,"-"))</f>
        <v>-</v>
      </c>
      <c r="K84" s="76" t="str">
        <f>IF(SUMIFS(Таблица2[KO$],Таблица2[2],B84)=0,"-",SUMIFS(Таблица2[KO$],Таблица2[2],B84))</f>
        <v>-</v>
      </c>
      <c r="L84" s="76" t="str">
        <f>IF(SUMIFS(Таблица2[WIN$],Таблица2[2],B84)=0,"-",SUMIFS(Таблица2[WIN$],Таблица2[2],B84))</f>
        <v>-</v>
      </c>
      <c r="M84" s="76" t="str">
        <f t="shared" si="4"/>
        <v>-</v>
      </c>
      <c r="N84" s="78" t="str">
        <f>IFERROR(Таблица467[[#This Row],[PROF]]/Таблица467[[#This Row],[Games]],"-")</f>
        <v>-</v>
      </c>
    </row>
    <row r="85" spans="1:14" ht="11.1" customHeight="1" x14ac:dyDescent="0.25">
      <c r="A85" s="93">
        <f t="shared" si="2"/>
        <v>44</v>
      </c>
      <c r="B85"/>
      <c r="C85"/>
      <c r="D85" s="75" t="str">
        <f>IF(COUNTIFS(Таблица2[2],B85)+SUMIFS(Таблица2[R],Таблица2[2],B85)=0,"",COUNTIFS(Таблица2[2],B85)+SUMIFS(Таблица2[R],Таблица2[2],B85))</f>
        <v/>
      </c>
      <c r="E85" s="76" t="str">
        <f>IF(SUMIFS(Таблица2[B$],Таблица2[2],B85)=0,"-",SUMIFS(Таблица2[B$],Таблица2[2],B85))</f>
        <v>-</v>
      </c>
      <c r="F85" s="77" t="str">
        <f>IFERROR(AVERAGEIFS(Таблица2[AFS],Таблица2[2],B85)+(AVERAGEIFS(Таблица2[AFS],Таблица2[2],B85)*0.2),"-")</f>
        <v>-</v>
      </c>
      <c r="G85" s="77" t="str">
        <f t="shared" si="3"/>
        <v>-</v>
      </c>
      <c r="H85" s="77" t="str">
        <f>IFERROR(COUNTIFS(Таблица2[2],B85,Таблица2[WIN$],"&gt;0")/D85*100,"-")</f>
        <v>-</v>
      </c>
      <c r="I85" s="77" t="str">
        <f>IF(IFERROR((COUNTIFS(Таблица2[2],B85,Таблица2[K],"K")+SUMIFS(Таблица2[R],Таблица2[2],B85,Таблица2[K],"K"))/D85*100,"-")=0,"-",IFERROR((COUNTIFS(Таблица2[2],B85,Таблица2[K],"K")+SUMIFS(Таблица2[R],Таблица2[2],B85,Таблица2[K],"K"))/D85*100,"-"))</f>
        <v>-</v>
      </c>
      <c r="J85" s="77" t="str">
        <f>IF(IFERROR((COUNTIFS(Таблица2[2],B85,Таблица2[T],"t")+SUMIFS(Таблица2[R],Таблица2[2],B85,Таблица2[T],"t"))/D85*100,"-")=0,"-",IFERROR((COUNTIFS(Таблица2[2],B85,Таблица2[T],"t")+SUMIFS(Таблица2[R],Таблица2[2],B85,Таблица2[T],"t"))/D85*100,"-"))</f>
        <v>-</v>
      </c>
      <c r="K85" s="76" t="str">
        <f>IF(SUMIFS(Таблица2[KO$],Таблица2[2],B85)=0,"-",SUMIFS(Таблица2[KO$],Таблица2[2],B85))</f>
        <v>-</v>
      </c>
      <c r="L85" s="76" t="str">
        <f>IF(SUMIFS(Таблица2[WIN$],Таблица2[2],B85)=0,"-",SUMIFS(Таблица2[WIN$],Таблица2[2],B85))</f>
        <v>-</v>
      </c>
      <c r="M85" s="76" t="str">
        <f t="shared" si="4"/>
        <v>-</v>
      </c>
      <c r="N85" s="78" t="str">
        <f>IFERROR(Таблица467[[#This Row],[PROF]]/Таблица467[[#This Row],[Games]],"-")</f>
        <v>-</v>
      </c>
    </row>
    <row r="86" spans="1:14" ht="11.1" customHeight="1" x14ac:dyDescent="0.25">
      <c r="A86" s="93">
        <f t="shared" si="2"/>
        <v>45</v>
      </c>
      <c r="B86"/>
      <c r="C86"/>
      <c r="D86" s="75" t="str">
        <f>IF(COUNTIFS(Таблица2[2],B86)+SUMIFS(Таблица2[R],Таблица2[2],B86)=0,"",COUNTIFS(Таблица2[2],B86)+SUMIFS(Таблица2[R],Таблица2[2],B86))</f>
        <v/>
      </c>
      <c r="E86" s="76" t="str">
        <f>IF(SUMIFS(Таблица2[B$],Таблица2[2],B86)=0,"-",SUMIFS(Таблица2[B$],Таблица2[2],B86))</f>
        <v>-</v>
      </c>
      <c r="F86" s="77" t="str">
        <f>IFERROR(AVERAGEIFS(Таблица2[AFS],Таблица2[2],B86)+(AVERAGEIFS(Таблица2[AFS],Таблица2[2],B86)*0.2),"-")</f>
        <v>-</v>
      </c>
      <c r="G86" s="77" t="str">
        <f t="shared" si="3"/>
        <v>-</v>
      </c>
      <c r="H86" s="77" t="str">
        <f>IFERROR(COUNTIFS(Таблица2[2],B86,Таблица2[WIN$],"&gt;0")/D86*100,"-")</f>
        <v>-</v>
      </c>
      <c r="I86" s="77" t="str">
        <f>IF(IFERROR((COUNTIFS(Таблица2[2],B86,Таблица2[K],"K")+SUMIFS(Таблица2[R],Таблица2[2],B86,Таблица2[K],"K"))/D86*100,"-")=0,"-",IFERROR((COUNTIFS(Таблица2[2],B86,Таблица2[K],"K")+SUMIFS(Таблица2[R],Таблица2[2],B86,Таблица2[K],"K"))/D86*100,"-"))</f>
        <v>-</v>
      </c>
      <c r="J86" s="77" t="str">
        <f>IF(IFERROR((COUNTIFS(Таблица2[2],B86,Таблица2[T],"t")+SUMIFS(Таблица2[R],Таблица2[2],B86,Таблица2[T],"t"))/D86*100,"-")=0,"-",IFERROR((COUNTIFS(Таблица2[2],B86,Таблица2[T],"t")+SUMIFS(Таблица2[R],Таблица2[2],B86,Таблица2[T],"t"))/D86*100,"-"))</f>
        <v>-</v>
      </c>
      <c r="K86" s="76" t="str">
        <f>IF(SUMIFS(Таблица2[KO$],Таблица2[2],B86)=0,"-",SUMIFS(Таблица2[KO$],Таблица2[2],B86))</f>
        <v>-</v>
      </c>
      <c r="L86" s="76" t="str">
        <f>IF(SUMIFS(Таблица2[WIN$],Таблица2[2],B86)=0,"-",SUMIFS(Таблица2[WIN$],Таблица2[2],B86))</f>
        <v>-</v>
      </c>
      <c r="M86" s="76" t="str">
        <f t="shared" si="4"/>
        <v>-</v>
      </c>
      <c r="N86" s="78" t="str">
        <f>IFERROR(Таблица467[[#This Row],[PROF]]/Таблица467[[#This Row],[Games]],"-")</f>
        <v>-</v>
      </c>
    </row>
    <row r="87" spans="1:14" ht="11.1" customHeight="1" x14ac:dyDescent="0.25">
      <c r="A87" s="93">
        <f t="shared" si="2"/>
        <v>46</v>
      </c>
      <c r="B87"/>
      <c r="C87"/>
      <c r="D87" s="75" t="str">
        <f>IF(COUNTIFS(Таблица2[2],B87)+SUMIFS(Таблица2[R],Таблица2[2],B87)=0,"",COUNTIFS(Таблица2[2],B87)+SUMIFS(Таблица2[R],Таблица2[2],B87))</f>
        <v/>
      </c>
      <c r="E87" s="76" t="str">
        <f>IF(SUMIFS(Таблица2[B$],Таблица2[2],B87)=0,"-",SUMIFS(Таблица2[B$],Таблица2[2],B87))</f>
        <v>-</v>
      </c>
      <c r="F87" s="77" t="str">
        <f>IFERROR(AVERAGEIFS(Таблица2[AFS],Таблица2[2],B87)+(AVERAGEIFS(Таблица2[AFS],Таблица2[2],B87)*0.2),"-")</f>
        <v>-</v>
      </c>
      <c r="G87" s="77" t="str">
        <f t="shared" si="3"/>
        <v>-</v>
      </c>
      <c r="H87" s="77" t="str">
        <f>IFERROR(COUNTIFS(Таблица2[2],B87,Таблица2[WIN$],"&gt;0")/D87*100,"-")</f>
        <v>-</v>
      </c>
      <c r="I87" s="77" t="str">
        <f>IF(IFERROR((COUNTIFS(Таблица2[2],B87,Таблица2[K],"K")+SUMIFS(Таблица2[R],Таблица2[2],B87,Таблица2[K],"K"))/D87*100,"-")=0,"-",IFERROR((COUNTIFS(Таблица2[2],B87,Таблица2[K],"K")+SUMIFS(Таблица2[R],Таблица2[2],B87,Таблица2[K],"K"))/D87*100,"-"))</f>
        <v>-</v>
      </c>
      <c r="J87" s="77" t="str">
        <f>IF(IFERROR((COUNTIFS(Таблица2[2],B87,Таблица2[T],"t")+SUMIFS(Таблица2[R],Таблица2[2],B87,Таблица2[T],"t"))/D87*100,"-")=0,"-",IFERROR((COUNTIFS(Таблица2[2],B87,Таблица2[T],"t")+SUMIFS(Таблица2[R],Таблица2[2],B87,Таблица2[T],"t"))/D87*100,"-"))</f>
        <v>-</v>
      </c>
      <c r="K87" s="76" t="str">
        <f>IF(SUMIFS(Таблица2[KO$],Таблица2[2],B87)=0,"-",SUMIFS(Таблица2[KO$],Таблица2[2],B87))</f>
        <v>-</v>
      </c>
      <c r="L87" s="76" t="str">
        <f>IF(SUMIFS(Таблица2[WIN$],Таблица2[2],B87)=0,"-",SUMIFS(Таблица2[WIN$],Таблица2[2],B87))</f>
        <v>-</v>
      </c>
      <c r="M87" s="76" t="str">
        <f t="shared" si="4"/>
        <v>-</v>
      </c>
      <c r="N87" s="78" t="str">
        <f>IFERROR(Таблица467[[#This Row],[PROF]]/Таблица467[[#This Row],[Games]],"-")</f>
        <v>-</v>
      </c>
    </row>
    <row r="88" spans="1:14" ht="11.1" customHeight="1" x14ac:dyDescent="0.25">
      <c r="A88" s="93">
        <f t="shared" si="2"/>
        <v>47</v>
      </c>
      <c r="B88"/>
      <c r="C88"/>
      <c r="D88" s="75" t="str">
        <f>IF(COUNTIFS(Таблица2[2],B88)+SUMIFS(Таблица2[R],Таблица2[2],B88)=0,"",COUNTIFS(Таблица2[2],B88)+SUMIFS(Таблица2[R],Таблица2[2],B88))</f>
        <v/>
      </c>
      <c r="E88" s="76" t="str">
        <f>IF(SUMIFS(Таблица2[B$],Таблица2[2],B88)=0,"-",SUMIFS(Таблица2[B$],Таблица2[2],B88))</f>
        <v>-</v>
      </c>
      <c r="F88" s="77" t="str">
        <f>IFERROR(AVERAGEIFS(Таблица2[AFS],Таблица2[2],B88)+(AVERAGEIFS(Таблица2[AFS],Таблица2[2],B88)*0.2),"-")</f>
        <v>-</v>
      </c>
      <c r="G88" s="77" t="str">
        <f t="shared" si="3"/>
        <v>-</v>
      </c>
      <c r="H88" s="77" t="str">
        <f>IFERROR(COUNTIFS(Таблица2[2],B88,Таблица2[WIN$],"&gt;0")/D88*100,"-")</f>
        <v>-</v>
      </c>
      <c r="I88" s="77" t="str">
        <f>IF(IFERROR((COUNTIFS(Таблица2[2],B88,Таблица2[K],"K")+SUMIFS(Таблица2[R],Таблица2[2],B88,Таблица2[K],"K"))/D88*100,"-")=0,"-",IFERROR((COUNTIFS(Таблица2[2],B88,Таблица2[K],"K")+SUMIFS(Таблица2[R],Таблица2[2],B88,Таблица2[K],"K"))/D88*100,"-"))</f>
        <v>-</v>
      </c>
      <c r="J88" s="77" t="str">
        <f>IF(IFERROR((COUNTIFS(Таблица2[2],B88,Таблица2[T],"t")+SUMIFS(Таблица2[R],Таблица2[2],B88,Таблица2[T],"t"))/D88*100,"-")=0,"-",IFERROR((COUNTIFS(Таблица2[2],B88,Таблица2[T],"t")+SUMIFS(Таблица2[R],Таблица2[2],B88,Таблица2[T],"t"))/D88*100,"-"))</f>
        <v>-</v>
      </c>
      <c r="K88" s="76" t="str">
        <f>IF(SUMIFS(Таблица2[KO$],Таблица2[2],B88)=0,"-",SUMIFS(Таблица2[KO$],Таблица2[2],B88))</f>
        <v>-</v>
      </c>
      <c r="L88" s="76" t="str">
        <f>IF(SUMIFS(Таблица2[WIN$],Таблица2[2],B88)=0,"-",SUMIFS(Таблица2[WIN$],Таблица2[2],B88))</f>
        <v>-</v>
      </c>
      <c r="M88" s="76" t="str">
        <f t="shared" si="4"/>
        <v>-</v>
      </c>
      <c r="N88" s="78" t="str">
        <f>IFERROR(Таблица467[[#This Row],[PROF]]/Таблица467[[#This Row],[Games]],"-")</f>
        <v>-</v>
      </c>
    </row>
    <row r="89" spans="1:14" ht="11.1" customHeight="1" x14ac:dyDescent="0.25">
      <c r="A89" s="93">
        <f t="shared" si="2"/>
        <v>48</v>
      </c>
      <c r="B89"/>
      <c r="C89"/>
      <c r="D89" s="75" t="str">
        <f>IF(COUNTIFS(Таблица2[2],B89)+SUMIFS(Таблица2[R],Таблица2[2],B89)=0,"",COUNTIFS(Таблица2[2],B89)+SUMIFS(Таблица2[R],Таблица2[2],B89))</f>
        <v/>
      </c>
      <c r="E89" s="76" t="str">
        <f>IF(SUMIFS(Таблица2[B$],Таблица2[2],B89)=0,"-",SUMIFS(Таблица2[B$],Таблица2[2],B89))</f>
        <v>-</v>
      </c>
      <c r="F89" s="77" t="str">
        <f>IFERROR(AVERAGEIFS(Таблица2[AFS],Таблица2[2],B89)+(AVERAGEIFS(Таблица2[AFS],Таблица2[2],B89)*0.2),"-")</f>
        <v>-</v>
      </c>
      <c r="G89" s="77" t="str">
        <f t="shared" si="3"/>
        <v>-</v>
      </c>
      <c r="H89" s="77" t="str">
        <f>IFERROR(COUNTIFS(Таблица2[2],B89,Таблица2[WIN$],"&gt;0")/D89*100,"-")</f>
        <v>-</v>
      </c>
      <c r="I89" s="77" t="str">
        <f>IF(IFERROR((COUNTIFS(Таблица2[2],B89,Таблица2[K],"K")+SUMIFS(Таблица2[R],Таблица2[2],B89,Таблица2[K],"K"))/D89*100,"-")=0,"-",IFERROR((COUNTIFS(Таблица2[2],B89,Таблица2[K],"K")+SUMIFS(Таблица2[R],Таблица2[2],B89,Таблица2[K],"K"))/D89*100,"-"))</f>
        <v>-</v>
      </c>
      <c r="J89" s="77" t="str">
        <f>IF(IFERROR((COUNTIFS(Таблица2[2],B89,Таблица2[T],"t")+SUMIFS(Таблица2[R],Таблица2[2],B89,Таблица2[T],"t"))/D89*100,"-")=0,"-",IFERROR((COUNTIFS(Таблица2[2],B89,Таблица2[T],"t")+SUMIFS(Таблица2[R],Таблица2[2],B89,Таблица2[T],"t"))/D89*100,"-"))</f>
        <v>-</v>
      </c>
      <c r="K89" s="76" t="str">
        <f>IF(SUMIFS(Таблица2[KO$],Таблица2[2],B89)=0,"-",SUMIFS(Таблица2[KO$],Таблица2[2],B89))</f>
        <v>-</v>
      </c>
      <c r="L89" s="76" t="str">
        <f>IF(SUMIFS(Таблица2[WIN$],Таблица2[2],B89)=0,"-",SUMIFS(Таблица2[WIN$],Таблица2[2],B89))</f>
        <v>-</v>
      </c>
      <c r="M89" s="76" t="str">
        <f t="shared" si="4"/>
        <v>-</v>
      </c>
      <c r="N89" s="78" t="str">
        <f>IFERROR(Таблица467[[#This Row],[PROF]]/Таблица467[[#This Row],[Games]],"-")</f>
        <v>-</v>
      </c>
    </row>
    <row r="90" spans="1:14" ht="11.1" customHeight="1" x14ac:dyDescent="0.25">
      <c r="A90" s="93">
        <f t="shared" si="2"/>
        <v>49</v>
      </c>
      <c r="B90"/>
      <c r="C90"/>
      <c r="D90" s="75" t="str">
        <f>IF(COUNTIFS(Таблица2[2],B90)+SUMIFS(Таблица2[R],Таблица2[2],B90)=0,"",COUNTIFS(Таблица2[2],B90)+SUMIFS(Таблица2[R],Таблица2[2],B90))</f>
        <v/>
      </c>
      <c r="E90" s="76" t="str">
        <f>IF(SUMIFS(Таблица2[B$],Таблица2[2],B90)=0,"-",SUMIFS(Таблица2[B$],Таблица2[2],B90))</f>
        <v>-</v>
      </c>
      <c r="F90" s="77" t="str">
        <f>IFERROR(AVERAGEIFS(Таблица2[AFS],Таблица2[2],B90)+(AVERAGEIFS(Таблица2[AFS],Таблица2[2],B90)*0.2),"-")</f>
        <v>-</v>
      </c>
      <c r="G90" s="77" t="str">
        <f t="shared" si="3"/>
        <v>-</v>
      </c>
      <c r="H90" s="77" t="str">
        <f>IFERROR(COUNTIFS(Таблица2[2],B90,Таблица2[WIN$],"&gt;0")/D90*100,"-")</f>
        <v>-</v>
      </c>
      <c r="I90" s="77" t="str">
        <f>IF(IFERROR((COUNTIFS(Таблица2[2],B90,Таблица2[K],"K")+SUMIFS(Таблица2[R],Таблица2[2],B90,Таблица2[K],"K"))/D90*100,"-")=0,"-",IFERROR((COUNTIFS(Таблица2[2],B90,Таблица2[K],"K")+SUMIFS(Таблица2[R],Таблица2[2],B90,Таблица2[K],"K"))/D90*100,"-"))</f>
        <v>-</v>
      </c>
      <c r="J90" s="77" t="str">
        <f>IF(IFERROR((COUNTIFS(Таблица2[2],B90,Таблица2[T],"t")+SUMIFS(Таблица2[R],Таблица2[2],B90,Таблица2[T],"t"))/D90*100,"-")=0,"-",IFERROR((COUNTIFS(Таблица2[2],B90,Таблица2[T],"t")+SUMIFS(Таблица2[R],Таблица2[2],B90,Таблица2[T],"t"))/D90*100,"-"))</f>
        <v>-</v>
      </c>
      <c r="K90" s="76" t="str">
        <f>IF(SUMIFS(Таблица2[KO$],Таблица2[2],B90)=0,"-",SUMIFS(Таблица2[KO$],Таблица2[2],B90))</f>
        <v>-</v>
      </c>
      <c r="L90" s="76" t="str">
        <f>IF(SUMIFS(Таблица2[WIN$],Таблица2[2],B90)=0,"-",SUMIFS(Таблица2[WIN$],Таблица2[2],B90))</f>
        <v>-</v>
      </c>
      <c r="M90" s="76" t="str">
        <f t="shared" si="4"/>
        <v>-</v>
      </c>
      <c r="N90" s="78" t="str">
        <f>IFERROR(Таблица467[[#This Row],[PROF]]/Таблица467[[#This Row],[Games]],"-")</f>
        <v>-</v>
      </c>
    </row>
    <row r="91" spans="1:14" ht="11.1" customHeight="1" x14ac:dyDescent="0.25">
      <c r="A91" s="93">
        <f t="shared" si="2"/>
        <v>50</v>
      </c>
      <c r="B91"/>
      <c r="C91"/>
      <c r="D91" s="75" t="str">
        <f>IF(COUNTIFS(Таблица2[2],B91)+SUMIFS(Таблица2[R],Таблица2[2],B91)=0,"",COUNTIFS(Таблица2[2],B91)+SUMIFS(Таблица2[R],Таблица2[2],B91))</f>
        <v/>
      </c>
      <c r="E91" s="76" t="str">
        <f>IF(SUMIFS(Таблица2[B$],Таблица2[2],B91)=0,"-",SUMIFS(Таблица2[B$],Таблица2[2],B91))</f>
        <v>-</v>
      </c>
      <c r="F91" s="77" t="str">
        <f>IFERROR(AVERAGEIFS(Таблица2[AFS],Таблица2[2],B91)+(AVERAGEIFS(Таблица2[AFS],Таблица2[2],B91)*0.2),"-")</f>
        <v>-</v>
      </c>
      <c r="G91" s="77" t="str">
        <f t="shared" si="3"/>
        <v>-</v>
      </c>
      <c r="H91" s="77" t="str">
        <f>IFERROR(COUNTIFS(Таблица2[2],B91,Таблица2[WIN$],"&gt;0")/D91*100,"-")</f>
        <v>-</v>
      </c>
      <c r="I91" s="77" t="str">
        <f>IF(IFERROR((COUNTIFS(Таблица2[2],B91,Таблица2[K],"K")+SUMIFS(Таблица2[R],Таблица2[2],B91,Таблица2[K],"K"))/D91*100,"-")=0,"-",IFERROR((COUNTIFS(Таблица2[2],B91,Таблица2[K],"K")+SUMIFS(Таблица2[R],Таблица2[2],B91,Таблица2[K],"K"))/D91*100,"-"))</f>
        <v>-</v>
      </c>
      <c r="J91" s="77" t="str">
        <f>IF(IFERROR((COUNTIFS(Таблица2[2],B91,Таблица2[T],"t")+SUMIFS(Таблица2[R],Таблица2[2],B91,Таблица2[T],"t"))/D91*100,"-")=0,"-",IFERROR((COUNTIFS(Таблица2[2],B91,Таблица2[T],"t")+SUMIFS(Таблица2[R],Таблица2[2],B91,Таблица2[T],"t"))/D91*100,"-"))</f>
        <v>-</v>
      </c>
      <c r="K91" s="76" t="str">
        <f>IF(SUMIFS(Таблица2[KO$],Таблица2[2],B91)=0,"-",SUMIFS(Таблица2[KO$],Таблица2[2],B91))</f>
        <v>-</v>
      </c>
      <c r="L91" s="76" t="str">
        <f>IF(SUMIFS(Таблица2[WIN$],Таблица2[2],B91)=0,"-",SUMIFS(Таблица2[WIN$],Таблица2[2],B91))</f>
        <v>-</v>
      </c>
      <c r="M91" s="76" t="str">
        <f t="shared" si="4"/>
        <v>-</v>
      </c>
      <c r="N91" s="78" t="str">
        <f>IFERROR(Таблица467[[#This Row],[PROF]]/Таблица467[[#This Row],[Games]],"-")</f>
        <v>-</v>
      </c>
    </row>
    <row r="92" spans="1:14" ht="11.1" customHeight="1" x14ac:dyDescent="0.25">
      <c r="A92" s="93">
        <f t="shared" si="2"/>
        <v>51</v>
      </c>
      <c r="B92"/>
      <c r="C92"/>
      <c r="D92" s="75" t="str">
        <f>IF(COUNTIFS(Таблица2[2],B92)+SUMIFS(Таблица2[R],Таблица2[2],B92)=0,"",COUNTIFS(Таблица2[2],B92)+SUMIFS(Таблица2[R],Таблица2[2],B92))</f>
        <v/>
      </c>
      <c r="E92" s="76" t="str">
        <f>IF(SUMIFS(Таблица2[B$],Таблица2[2],B92)=0,"-",SUMIFS(Таблица2[B$],Таблица2[2],B92))</f>
        <v>-</v>
      </c>
      <c r="F92" s="77" t="str">
        <f>IFERROR(AVERAGEIFS(Таблица2[AFS],Таблица2[2],B92)+(AVERAGEIFS(Таблица2[AFS],Таблица2[2],B92)*0.2),"-")</f>
        <v>-</v>
      </c>
      <c r="G92" s="77" t="str">
        <f t="shared" si="3"/>
        <v>-</v>
      </c>
      <c r="H92" s="77" t="str">
        <f>IFERROR(COUNTIFS(Таблица2[2],B92,Таблица2[WIN$],"&gt;0")/D92*100,"-")</f>
        <v>-</v>
      </c>
      <c r="I92" s="77" t="str">
        <f>IF(IFERROR((COUNTIFS(Таблица2[2],B92,Таблица2[K],"K")+SUMIFS(Таблица2[R],Таблица2[2],B92,Таблица2[K],"K"))/D92*100,"-")=0,"-",IFERROR((COUNTIFS(Таблица2[2],B92,Таблица2[K],"K")+SUMIFS(Таблица2[R],Таблица2[2],B92,Таблица2[K],"K"))/D92*100,"-"))</f>
        <v>-</v>
      </c>
      <c r="J92" s="77" t="str">
        <f>IF(IFERROR((COUNTIFS(Таблица2[2],B92,Таблица2[T],"t")+SUMIFS(Таблица2[R],Таблица2[2],B92,Таблица2[T],"t"))/D92*100,"-")=0,"-",IFERROR((COUNTIFS(Таблица2[2],B92,Таблица2[T],"t")+SUMIFS(Таблица2[R],Таблица2[2],B92,Таблица2[T],"t"))/D92*100,"-"))</f>
        <v>-</v>
      </c>
      <c r="K92" s="76" t="str">
        <f>IF(SUMIFS(Таблица2[KO$],Таблица2[2],B92)=0,"-",SUMIFS(Таблица2[KO$],Таблица2[2],B92))</f>
        <v>-</v>
      </c>
      <c r="L92" s="76" t="str">
        <f>IF(SUMIFS(Таблица2[WIN$],Таблица2[2],B92)=0,"-",SUMIFS(Таблица2[WIN$],Таблица2[2],B92))</f>
        <v>-</v>
      </c>
      <c r="M92" s="76" t="str">
        <f t="shared" si="4"/>
        <v>-</v>
      </c>
      <c r="N92" s="78" t="str">
        <f>IFERROR(Таблица467[[#This Row],[PROF]]/Таблица467[[#This Row],[Games]],"-")</f>
        <v>-</v>
      </c>
    </row>
    <row r="93" spans="1:14" ht="11.1" customHeight="1" x14ac:dyDescent="0.25">
      <c r="A93" s="93">
        <f t="shared" si="2"/>
        <v>52</v>
      </c>
      <c r="B93"/>
      <c r="C93"/>
      <c r="D93" s="75" t="str">
        <f>IF(COUNTIFS(Таблица2[2],B93)+SUMIFS(Таблица2[R],Таблица2[2],B93)=0,"",COUNTIFS(Таблица2[2],B93)+SUMIFS(Таблица2[R],Таблица2[2],B93))</f>
        <v/>
      </c>
      <c r="E93" s="76" t="str">
        <f>IF(SUMIFS(Таблица2[B$],Таблица2[2],B93)=0,"-",SUMIFS(Таблица2[B$],Таблица2[2],B93))</f>
        <v>-</v>
      </c>
      <c r="F93" s="77" t="str">
        <f>IFERROR(AVERAGEIFS(Таблица2[AFS],Таблица2[2],B93)+(AVERAGEIFS(Таблица2[AFS],Таблица2[2],B93)*0.2),"-")</f>
        <v>-</v>
      </c>
      <c r="G93" s="77" t="str">
        <f t="shared" si="3"/>
        <v>-</v>
      </c>
      <c r="H93" s="77" t="str">
        <f>IFERROR(COUNTIFS(Таблица2[2],B93,Таблица2[WIN$],"&gt;0")/D93*100,"-")</f>
        <v>-</v>
      </c>
      <c r="I93" s="77" t="str">
        <f>IF(IFERROR((COUNTIFS(Таблица2[2],B93,Таблица2[K],"K")+SUMIFS(Таблица2[R],Таблица2[2],B93,Таблица2[K],"K"))/D93*100,"-")=0,"-",IFERROR((COUNTIFS(Таблица2[2],B93,Таблица2[K],"K")+SUMIFS(Таблица2[R],Таблица2[2],B93,Таблица2[K],"K"))/D93*100,"-"))</f>
        <v>-</v>
      </c>
      <c r="J93" s="77" t="str">
        <f>IF(IFERROR((COUNTIFS(Таблица2[2],B93,Таблица2[T],"t")+SUMIFS(Таблица2[R],Таблица2[2],B93,Таблица2[T],"t"))/D93*100,"-")=0,"-",IFERROR((COUNTIFS(Таблица2[2],B93,Таблица2[T],"t")+SUMIFS(Таблица2[R],Таблица2[2],B93,Таблица2[T],"t"))/D93*100,"-"))</f>
        <v>-</v>
      </c>
      <c r="K93" s="76" t="str">
        <f>IF(SUMIFS(Таблица2[KO$],Таблица2[2],B93)=0,"-",SUMIFS(Таблица2[KO$],Таблица2[2],B93))</f>
        <v>-</v>
      </c>
      <c r="L93" s="76" t="str">
        <f>IF(SUMIFS(Таблица2[WIN$],Таблица2[2],B93)=0,"-",SUMIFS(Таблица2[WIN$],Таблица2[2],B93))</f>
        <v>-</v>
      </c>
      <c r="M93" s="76" t="str">
        <f t="shared" si="4"/>
        <v>-</v>
      </c>
      <c r="N93" s="78" t="str">
        <f>IFERROR(Таблица467[[#This Row],[PROF]]/Таблица467[[#This Row],[Games]],"-")</f>
        <v>-</v>
      </c>
    </row>
    <row r="94" spans="1:14" ht="11.1" customHeight="1" x14ac:dyDescent="0.25">
      <c r="A94" s="93">
        <f t="shared" si="2"/>
        <v>53</v>
      </c>
      <c r="B94"/>
      <c r="C94"/>
      <c r="D94" s="75" t="str">
        <f>IF(COUNTIFS(Таблица2[2],B94)+SUMIFS(Таблица2[R],Таблица2[2],B94)=0,"",COUNTIFS(Таблица2[2],B94)+SUMIFS(Таблица2[R],Таблица2[2],B94))</f>
        <v/>
      </c>
      <c r="E94" s="76" t="str">
        <f>IF(SUMIFS(Таблица2[B$],Таблица2[2],B94)=0,"-",SUMIFS(Таблица2[B$],Таблица2[2],B94))</f>
        <v>-</v>
      </c>
      <c r="F94" s="77" t="str">
        <f>IFERROR(AVERAGEIFS(Таблица2[AFS],Таблица2[2],B94)+(AVERAGEIFS(Таблица2[AFS],Таблица2[2],B94)*0.2),"-")</f>
        <v>-</v>
      </c>
      <c r="G94" s="77" t="str">
        <f t="shared" si="3"/>
        <v>-</v>
      </c>
      <c r="H94" s="77" t="str">
        <f>IFERROR(COUNTIFS(Таблица2[2],B94,Таблица2[WIN$],"&gt;0")/D94*100,"-")</f>
        <v>-</v>
      </c>
      <c r="I94" s="77" t="str">
        <f>IF(IFERROR((COUNTIFS(Таблица2[2],B94,Таблица2[K],"K")+SUMIFS(Таблица2[R],Таблица2[2],B94,Таблица2[K],"K"))/D94*100,"-")=0,"-",IFERROR((COUNTIFS(Таблица2[2],B94,Таблица2[K],"K")+SUMIFS(Таблица2[R],Таблица2[2],B94,Таблица2[K],"K"))/D94*100,"-"))</f>
        <v>-</v>
      </c>
      <c r="J94" s="77" t="str">
        <f>IF(IFERROR((COUNTIFS(Таблица2[2],B94,Таблица2[T],"t")+SUMIFS(Таблица2[R],Таблица2[2],B94,Таблица2[T],"t"))/D94*100,"-")=0,"-",IFERROR((COUNTIFS(Таблица2[2],B94,Таблица2[T],"t")+SUMIFS(Таблица2[R],Таблица2[2],B94,Таблица2[T],"t"))/D94*100,"-"))</f>
        <v>-</v>
      </c>
      <c r="K94" s="76" t="str">
        <f>IF(SUMIFS(Таблица2[KO$],Таблица2[2],B94)=0,"-",SUMIFS(Таблица2[KO$],Таблица2[2],B94))</f>
        <v>-</v>
      </c>
      <c r="L94" s="76" t="str">
        <f>IF(SUMIFS(Таблица2[WIN$],Таблица2[2],B94)=0,"-",SUMIFS(Таблица2[WIN$],Таблица2[2],B94))</f>
        <v>-</v>
      </c>
      <c r="M94" s="76" t="str">
        <f t="shared" si="4"/>
        <v>-</v>
      </c>
      <c r="N94" s="78" t="str">
        <f>IFERROR(Таблица467[[#This Row],[PROF]]/Таблица467[[#This Row],[Games]],"-")</f>
        <v>-</v>
      </c>
    </row>
    <row r="95" spans="1:14" ht="11.1" customHeight="1" x14ac:dyDescent="0.25">
      <c r="A95" s="93">
        <f t="shared" si="2"/>
        <v>54</v>
      </c>
      <c r="B95"/>
      <c r="C95"/>
      <c r="D95" s="75" t="str">
        <f>IF(COUNTIFS(Таблица2[2],B95)+SUMIFS(Таблица2[R],Таблица2[2],B95)=0,"",COUNTIFS(Таблица2[2],B95)+SUMIFS(Таблица2[R],Таблица2[2],B95))</f>
        <v/>
      </c>
      <c r="E95" s="76" t="str">
        <f>IF(SUMIFS(Таблица2[B$],Таблица2[2],B95)=0,"-",SUMIFS(Таблица2[B$],Таблица2[2],B95))</f>
        <v>-</v>
      </c>
      <c r="F95" s="77" t="str">
        <f>IFERROR(AVERAGEIFS(Таблица2[AFS],Таблица2[2],B95)+(AVERAGEIFS(Таблица2[AFS],Таблица2[2],B95)*0.2),"-")</f>
        <v>-</v>
      </c>
      <c r="G95" s="77" t="str">
        <f t="shared" si="3"/>
        <v>-</v>
      </c>
      <c r="H95" s="77" t="str">
        <f>IFERROR(COUNTIFS(Таблица2[2],B95,Таблица2[WIN$],"&gt;0")/D95*100,"-")</f>
        <v>-</v>
      </c>
      <c r="I95" s="77" t="str">
        <f>IF(IFERROR((COUNTIFS(Таблица2[2],B95,Таблица2[K],"K")+SUMIFS(Таблица2[R],Таблица2[2],B95,Таблица2[K],"K"))/D95*100,"-")=0,"-",IFERROR((COUNTIFS(Таблица2[2],B95,Таблица2[K],"K")+SUMIFS(Таблица2[R],Таблица2[2],B95,Таблица2[K],"K"))/D95*100,"-"))</f>
        <v>-</v>
      </c>
      <c r="J95" s="77" t="str">
        <f>IF(IFERROR((COUNTIFS(Таблица2[2],B95,Таблица2[T],"t")+SUMIFS(Таблица2[R],Таблица2[2],B95,Таблица2[T],"t"))/D95*100,"-")=0,"-",IFERROR((COUNTIFS(Таблица2[2],B95,Таблица2[T],"t")+SUMIFS(Таблица2[R],Таблица2[2],B95,Таблица2[T],"t"))/D95*100,"-"))</f>
        <v>-</v>
      </c>
      <c r="K95" s="76" t="str">
        <f>IF(SUMIFS(Таблица2[KO$],Таблица2[2],B95)=0,"-",SUMIFS(Таблица2[KO$],Таблица2[2],B95))</f>
        <v>-</v>
      </c>
      <c r="L95" s="76" t="str">
        <f>IF(SUMIFS(Таблица2[WIN$],Таблица2[2],B95)=0,"-",SUMIFS(Таблица2[WIN$],Таблица2[2],B95))</f>
        <v>-</v>
      </c>
      <c r="M95" s="76" t="str">
        <f t="shared" si="4"/>
        <v>-</v>
      </c>
      <c r="N95" s="78" t="str">
        <f>IFERROR(Таблица467[[#This Row],[PROF]]/Таблица467[[#This Row],[Games]],"-")</f>
        <v>-</v>
      </c>
    </row>
    <row r="96" spans="1:14" ht="11.1" customHeight="1" x14ac:dyDescent="0.25">
      <c r="A96" s="93">
        <f t="shared" si="2"/>
        <v>55</v>
      </c>
      <c r="B96"/>
      <c r="C96"/>
      <c r="D96" s="75" t="str">
        <f>IF(COUNTIFS(Таблица2[2],B96)+SUMIFS(Таблица2[R],Таблица2[2],B96)=0,"",COUNTIFS(Таблица2[2],B96)+SUMIFS(Таблица2[R],Таблица2[2],B96))</f>
        <v/>
      </c>
      <c r="E96" s="76" t="str">
        <f>IF(SUMIFS(Таблица2[B$],Таблица2[2],B96)=0,"-",SUMIFS(Таблица2[B$],Таблица2[2],B96))</f>
        <v>-</v>
      </c>
      <c r="F96" s="77" t="str">
        <f>IFERROR(AVERAGEIFS(Таблица2[AFS],Таблица2[2],B96)+(AVERAGEIFS(Таблица2[AFS],Таблица2[2],B96)*0.2),"-")</f>
        <v>-</v>
      </c>
      <c r="G96" s="77" t="str">
        <f t="shared" si="3"/>
        <v>-</v>
      </c>
      <c r="H96" s="77" t="str">
        <f>IFERROR(COUNTIFS(Таблица2[2],B96,Таблица2[WIN$],"&gt;0")/D96*100,"-")</f>
        <v>-</v>
      </c>
      <c r="I96" s="77" t="str">
        <f>IF(IFERROR((COUNTIFS(Таблица2[2],B96,Таблица2[K],"K")+SUMIFS(Таблица2[R],Таблица2[2],B96,Таблица2[K],"K"))/D96*100,"-")=0,"-",IFERROR((COUNTIFS(Таблица2[2],B96,Таблица2[K],"K")+SUMIFS(Таблица2[R],Таблица2[2],B96,Таблица2[K],"K"))/D96*100,"-"))</f>
        <v>-</v>
      </c>
      <c r="J96" s="77" t="str">
        <f>IF(IFERROR((COUNTIFS(Таблица2[2],B96,Таблица2[T],"t")+SUMIFS(Таблица2[R],Таблица2[2],B96,Таблица2[T],"t"))/D96*100,"-")=0,"-",IFERROR((COUNTIFS(Таблица2[2],B96,Таблица2[T],"t")+SUMIFS(Таблица2[R],Таблица2[2],B96,Таблица2[T],"t"))/D96*100,"-"))</f>
        <v>-</v>
      </c>
      <c r="K96" s="76" t="str">
        <f>IF(SUMIFS(Таблица2[KO$],Таблица2[2],B96)=0,"-",SUMIFS(Таблица2[KO$],Таблица2[2],B96))</f>
        <v>-</v>
      </c>
      <c r="L96" s="76" t="str">
        <f>IF(SUMIFS(Таблица2[WIN$],Таблица2[2],B96)=0,"-",SUMIFS(Таблица2[WIN$],Таблица2[2],B96))</f>
        <v>-</v>
      </c>
      <c r="M96" s="76" t="str">
        <f t="shared" si="4"/>
        <v>-</v>
      </c>
      <c r="N96" s="78" t="str">
        <f>IFERROR(Таблица467[[#This Row],[PROF]]/Таблица467[[#This Row],[Games]],"-")</f>
        <v>-</v>
      </c>
    </row>
    <row r="97" spans="1:14" ht="11.1" customHeight="1" x14ac:dyDescent="0.25">
      <c r="A97" s="93">
        <f t="shared" si="2"/>
        <v>56</v>
      </c>
      <c r="B97"/>
      <c r="C97"/>
      <c r="D97" s="75" t="str">
        <f>IF(COUNTIFS(Таблица2[2],B97)+SUMIFS(Таблица2[R],Таблица2[2],B97)=0,"",COUNTIFS(Таблица2[2],B97)+SUMIFS(Таблица2[R],Таблица2[2],B97))</f>
        <v/>
      </c>
      <c r="E97" s="76" t="str">
        <f>IF(SUMIFS(Таблица2[B$],Таблица2[2],B97)=0,"-",SUMIFS(Таблица2[B$],Таблица2[2],B97))</f>
        <v>-</v>
      </c>
      <c r="F97" s="77" t="str">
        <f>IFERROR(AVERAGEIFS(Таблица2[AFS],Таблица2[2],B97)+(AVERAGEIFS(Таблица2[AFS],Таблица2[2],B97)*0.2),"-")</f>
        <v>-</v>
      </c>
      <c r="G97" s="77" t="str">
        <f t="shared" si="3"/>
        <v>-</v>
      </c>
      <c r="H97" s="77" t="str">
        <f>IFERROR(COUNTIFS(Таблица2[2],B97,Таблица2[WIN$],"&gt;0")/D97*100,"-")</f>
        <v>-</v>
      </c>
      <c r="I97" s="77" t="str">
        <f>IF(IFERROR((COUNTIFS(Таблица2[2],B97,Таблица2[K],"K")+SUMIFS(Таблица2[R],Таблица2[2],B97,Таблица2[K],"K"))/D97*100,"-")=0,"-",IFERROR((COUNTIFS(Таблица2[2],B97,Таблица2[K],"K")+SUMIFS(Таблица2[R],Таблица2[2],B97,Таблица2[K],"K"))/D97*100,"-"))</f>
        <v>-</v>
      </c>
      <c r="J97" s="77" t="str">
        <f>IF(IFERROR((COUNTIFS(Таблица2[2],B97,Таблица2[T],"t")+SUMIFS(Таблица2[R],Таблица2[2],B97,Таблица2[T],"t"))/D97*100,"-")=0,"-",IFERROR((COUNTIFS(Таблица2[2],B97,Таблица2[T],"t")+SUMIFS(Таблица2[R],Таблица2[2],B97,Таблица2[T],"t"))/D97*100,"-"))</f>
        <v>-</v>
      </c>
      <c r="K97" s="76" t="str">
        <f>IF(SUMIFS(Таблица2[KO$],Таблица2[2],B97)=0,"-",SUMIFS(Таблица2[KO$],Таблица2[2],B97))</f>
        <v>-</v>
      </c>
      <c r="L97" s="76" t="str">
        <f>IF(SUMIFS(Таблица2[WIN$],Таблица2[2],B97)=0,"-",SUMIFS(Таблица2[WIN$],Таблица2[2],B97))</f>
        <v>-</v>
      </c>
      <c r="M97" s="76" t="str">
        <f t="shared" si="4"/>
        <v>-</v>
      </c>
      <c r="N97" s="78" t="str">
        <f>IFERROR(Таблица467[[#This Row],[PROF]]/Таблица467[[#This Row],[Games]],"-")</f>
        <v>-</v>
      </c>
    </row>
    <row r="98" spans="1:14" ht="11.1" customHeight="1" x14ac:dyDescent="0.25">
      <c r="A98" s="93">
        <f t="shared" si="2"/>
        <v>57</v>
      </c>
      <c r="B98"/>
      <c r="C98"/>
      <c r="D98" s="75" t="str">
        <f>IF(COUNTIFS(Таблица2[2],B98)+SUMIFS(Таблица2[R],Таблица2[2],B98)=0,"",COUNTIFS(Таблица2[2],B98)+SUMIFS(Таблица2[R],Таблица2[2],B98))</f>
        <v/>
      </c>
      <c r="E98" s="76" t="str">
        <f>IF(SUMIFS(Таблица2[B$],Таблица2[2],B98)=0,"-",SUMIFS(Таблица2[B$],Таблица2[2],B98))</f>
        <v>-</v>
      </c>
      <c r="F98" s="77" t="str">
        <f>IFERROR(AVERAGEIFS(Таблица2[AFS],Таблица2[2],B98)+(AVERAGEIFS(Таблица2[AFS],Таблица2[2],B98)*0.2),"-")</f>
        <v>-</v>
      </c>
      <c r="G98" s="77" t="str">
        <f t="shared" si="3"/>
        <v>-</v>
      </c>
      <c r="H98" s="77" t="str">
        <f>IFERROR(COUNTIFS(Таблица2[2],B98,Таблица2[WIN$],"&gt;0")/D98*100,"-")</f>
        <v>-</v>
      </c>
      <c r="I98" s="77" t="str">
        <f>IF(IFERROR((COUNTIFS(Таблица2[2],B98,Таблица2[K],"K")+SUMIFS(Таблица2[R],Таблица2[2],B98,Таблица2[K],"K"))/D98*100,"-")=0,"-",IFERROR((COUNTIFS(Таблица2[2],B98,Таблица2[K],"K")+SUMIFS(Таблица2[R],Таблица2[2],B98,Таблица2[K],"K"))/D98*100,"-"))</f>
        <v>-</v>
      </c>
      <c r="J98" s="77" t="str">
        <f>IF(IFERROR((COUNTIFS(Таблица2[2],B98,Таблица2[T],"t")+SUMIFS(Таблица2[R],Таблица2[2],B98,Таблица2[T],"t"))/D98*100,"-")=0,"-",IFERROR((COUNTIFS(Таблица2[2],B98,Таблица2[T],"t")+SUMIFS(Таблица2[R],Таблица2[2],B98,Таблица2[T],"t"))/D98*100,"-"))</f>
        <v>-</v>
      </c>
      <c r="K98" s="76" t="str">
        <f>IF(SUMIFS(Таблица2[KO$],Таблица2[2],B98)=0,"-",SUMIFS(Таблица2[KO$],Таблица2[2],B98))</f>
        <v>-</v>
      </c>
      <c r="L98" s="76" t="str">
        <f>IF(SUMIFS(Таблица2[WIN$],Таблица2[2],B98)=0,"-",SUMIFS(Таблица2[WIN$],Таблица2[2],B98))</f>
        <v>-</v>
      </c>
      <c r="M98" s="76" t="str">
        <f t="shared" si="4"/>
        <v>-</v>
      </c>
      <c r="N98" s="78" t="str">
        <f>IFERROR(Таблица467[[#This Row],[PROF]]/Таблица467[[#This Row],[Games]],"-")</f>
        <v>-</v>
      </c>
    </row>
    <row r="99" spans="1:14" ht="11.1" customHeight="1" x14ac:dyDescent="0.25">
      <c r="A99" s="93">
        <f t="shared" si="2"/>
        <v>58</v>
      </c>
      <c r="B99"/>
      <c r="C99"/>
      <c r="D99" s="75" t="str">
        <f>IF(COUNTIFS(Таблица2[2],B99)+SUMIFS(Таблица2[R],Таблица2[2],B99)=0,"",COUNTIFS(Таблица2[2],B99)+SUMIFS(Таблица2[R],Таблица2[2],B99))</f>
        <v/>
      </c>
      <c r="E99" s="76" t="str">
        <f>IF(SUMIFS(Таблица2[B$],Таблица2[2],B99)=0,"-",SUMIFS(Таблица2[B$],Таблица2[2],B99))</f>
        <v>-</v>
      </c>
      <c r="F99" s="77" t="str">
        <f>IFERROR(AVERAGEIFS(Таблица2[AFS],Таблица2[2],B99)+(AVERAGEIFS(Таблица2[AFS],Таблица2[2],B99)*0.2),"-")</f>
        <v>-</v>
      </c>
      <c r="G99" s="77" t="str">
        <f t="shared" si="3"/>
        <v>-</v>
      </c>
      <c r="H99" s="77" t="str">
        <f>IFERROR(COUNTIFS(Таблица2[2],B99,Таблица2[WIN$],"&gt;0")/D99*100,"-")</f>
        <v>-</v>
      </c>
      <c r="I99" s="77" t="str">
        <f>IF(IFERROR((COUNTIFS(Таблица2[2],B99,Таблица2[K],"K")+SUMIFS(Таблица2[R],Таблица2[2],B99,Таблица2[K],"K"))/D99*100,"-")=0,"-",IFERROR((COUNTIFS(Таблица2[2],B99,Таблица2[K],"K")+SUMIFS(Таблица2[R],Таблица2[2],B99,Таблица2[K],"K"))/D99*100,"-"))</f>
        <v>-</v>
      </c>
      <c r="J99" s="77" t="str">
        <f>IF(IFERROR((COUNTIFS(Таблица2[2],B99,Таблица2[T],"t")+SUMIFS(Таблица2[R],Таблица2[2],B99,Таблица2[T],"t"))/D99*100,"-")=0,"-",IFERROR((COUNTIFS(Таблица2[2],B99,Таблица2[T],"t")+SUMIFS(Таблица2[R],Таблица2[2],B99,Таблица2[T],"t"))/D99*100,"-"))</f>
        <v>-</v>
      </c>
      <c r="K99" s="76" t="str">
        <f>IF(SUMIFS(Таблица2[KO$],Таблица2[2],B99)=0,"-",SUMIFS(Таблица2[KO$],Таблица2[2],B99))</f>
        <v>-</v>
      </c>
      <c r="L99" s="76" t="str">
        <f>IF(SUMIFS(Таблица2[WIN$],Таблица2[2],B99)=0,"-",SUMIFS(Таблица2[WIN$],Таблица2[2],B99))</f>
        <v>-</v>
      </c>
      <c r="M99" s="76" t="str">
        <f t="shared" si="4"/>
        <v>-</v>
      </c>
      <c r="N99" s="78" t="str">
        <f>IFERROR(Таблица467[[#This Row],[PROF]]/Таблица467[[#This Row],[Games]],"-")</f>
        <v>-</v>
      </c>
    </row>
    <row r="100" spans="1:14" ht="11.1" customHeight="1" x14ac:dyDescent="0.25">
      <c r="A100" s="93">
        <f t="shared" si="2"/>
        <v>59</v>
      </c>
      <c r="B100"/>
      <c r="C100"/>
      <c r="D100" s="75" t="str">
        <f>IF(COUNTIFS(Таблица2[2],B100)+SUMIFS(Таблица2[R],Таблица2[2],B100)=0,"",COUNTIFS(Таблица2[2],B100)+SUMIFS(Таблица2[R],Таблица2[2],B100))</f>
        <v/>
      </c>
      <c r="E100" s="76" t="str">
        <f>IF(SUMIFS(Таблица2[B$],Таблица2[2],B100)=0,"-",SUMIFS(Таблица2[B$],Таблица2[2],B100))</f>
        <v>-</v>
      </c>
      <c r="F100" s="77" t="str">
        <f>IFERROR(AVERAGEIFS(Таблица2[AFS],Таблица2[2],B100)+(AVERAGEIFS(Таблица2[AFS],Таблица2[2],B100)*0.2),"-")</f>
        <v>-</v>
      </c>
      <c r="G100" s="77" t="str">
        <f t="shared" si="3"/>
        <v>-</v>
      </c>
      <c r="H100" s="77" t="str">
        <f>IFERROR(COUNTIFS(Таблица2[2],B100,Таблица2[WIN$],"&gt;0")/D100*100,"-")</f>
        <v>-</v>
      </c>
      <c r="I100" s="77" t="str">
        <f>IF(IFERROR((COUNTIFS(Таблица2[2],B100,Таблица2[K],"K")+SUMIFS(Таблица2[R],Таблица2[2],B100,Таблица2[K],"K"))/D100*100,"-")=0,"-",IFERROR((COUNTIFS(Таблица2[2],B100,Таблица2[K],"K")+SUMIFS(Таблица2[R],Таблица2[2],B100,Таблица2[K],"K"))/D100*100,"-"))</f>
        <v>-</v>
      </c>
      <c r="J100" s="77" t="str">
        <f>IF(IFERROR((COUNTIFS(Таблица2[2],B100,Таблица2[T],"t")+SUMIFS(Таблица2[R],Таблица2[2],B100,Таблица2[T],"t"))/D100*100,"-")=0,"-",IFERROR((COUNTIFS(Таблица2[2],B100,Таблица2[T],"t")+SUMIFS(Таблица2[R],Таблица2[2],B100,Таблица2[T],"t"))/D100*100,"-"))</f>
        <v>-</v>
      </c>
      <c r="K100" s="76" t="str">
        <f>IF(SUMIFS(Таблица2[KO$],Таблица2[2],B100)=0,"-",SUMIFS(Таблица2[KO$],Таблица2[2],B100))</f>
        <v>-</v>
      </c>
      <c r="L100" s="76" t="str">
        <f>IF(SUMIFS(Таблица2[WIN$],Таблица2[2],B100)=0,"-",SUMIFS(Таблица2[WIN$],Таблица2[2],B100))</f>
        <v>-</v>
      </c>
      <c r="M100" s="76" t="str">
        <f t="shared" si="4"/>
        <v>-</v>
      </c>
      <c r="N100" s="78" t="str">
        <f>IFERROR(Таблица467[[#This Row],[PROF]]/Таблица467[[#This Row],[Games]],"-")</f>
        <v>-</v>
      </c>
    </row>
    <row r="101" spans="1:14" ht="11.1" customHeight="1" x14ac:dyDescent="0.25">
      <c r="A101" s="93">
        <f t="shared" si="2"/>
        <v>60</v>
      </c>
      <c r="B101"/>
      <c r="C101"/>
      <c r="D101" s="75" t="str">
        <f>IF(COUNTIFS(Таблица2[2],B101)+SUMIFS(Таблица2[R],Таблица2[2],B101)=0,"",COUNTIFS(Таблица2[2],B101)+SUMIFS(Таблица2[R],Таблица2[2],B101))</f>
        <v/>
      </c>
      <c r="E101" s="76" t="str">
        <f>IF(SUMIFS(Таблица2[B$],Таблица2[2],B101)=0,"-",SUMIFS(Таблица2[B$],Таблица2[2],B101))</f>
        <v>-</v>
      </c>
      <c r="F101" s="77" t="str">
        <f>IFERROR(AVERAGEIFS(Таблица2[AFS],Таблица2[2],B101)+(AVERAGEIFS(Таблица2[AFS],Таблица2[2],B101)*0.2),"-")</f>
        <v>-</v>
      </c>
      <c r="G101" s="77" t="str">
        <f t="shared" si="3"/>
        <v>-</v>
      </c>
      <c r="H101" s="77" t="str">
        <f>IFERROR(COUNTIFS(Таблица2[2],B101,Таблица2[WIN$],"&gt;0")/D101*100,"-")</f>
        <v>-</v>
      </c>
      <c r="I101" s="77" t="str">
        <f>IF(IFERROR((COUNTIFS(Таблица2[2],B101,Таблица2[K],"K")+SUMIFS(Таблица2[R],Таблица2[2],B101,Таблица2[K],"K"))/D101*100,"-")=0,"-",IFERROR((COUNTIFS(Таблица2[2],B101,Таблица2[K],"K")+SUMIFS(Таблица2[R],Таблица2[2],B101,Таблица2[K],"K"))/D101*100,"-"))</f>
        <v>-</v>
      </c>
      <c r="J101" s="77" t="str">
        <f>IF(IFERROR((COUNTIFS(Таблица2[2],B101,Таблица2[T],"t")+SUMIFS(Таблица2[R],Таблица2[2],B101,Таблица2[T],"t"))/D101*100,"-")=0,"-",IFERROR((COUNTIFS(Таблица2[2],B101,Таблица2[T],"t")+SUMIFS(Таблица2[R],Таблица2[2],B101,Таблица2[T],"t"))/D101*100,"-"))</f>
        <v>-</v>
      </c>
      <c r="K101" s="76" t="str">
        <f>IF(SUMIFS(Таблица2[KO$],Таблица2[2],B101)=0,"-",SUMIFS(Таблица2[KO$],Таблица2[2],B101))</f>
        <v>-</v>
      </c>
      <c r="L101" s="76" t="str">
        <f>IF(SUMIFS(Таблица2[WIN$],Таблица2[2],B101)=0,"-",SUMIFS(Таблица2[WIN$],Таблица2[2],B101))</f>
        <v>-</v>
      </c>
      <c r="M101" s="76" t="str">
        <f t="shared" si="4"/>
        <v>-</v>
      </c>
      <c r="N101" s="78" t="str">
        <f>IFERROR(Таблица467[[#This Row],[PROF]]/Таблица467[[#This Row],[Games]],"-")</f>
        <v>-</v>
      </c>
    </row>
    <row r="102" spans="1:14" ht="11.1" customHeight="1" x14ac:dyDescent="0.25">
      <c r="A102" s="93">
        <f t="shared" si="2"/>
        <v>61</v>
      </c>
      <c r="B102"/>
      <c r="C102"/>
      <c r="D102" s="75" t="str">
        <f>IF(COUNTIFS(Таблица2[2],B102)+SUMIFS(Таблица2[R],Таблица2[2],B102)=0,"",COUNTIFS(Таблица2[2],B102)+SUMIFS(Таблица2[R],Таблица2[2],B102))</f>
        <v/>
      </c>
      <c r="E102" s="76" t="str">
        <f>IF(SUMIFS(Таблица2[B$],Таблица2[2],B102)=0,"-",SUMIFS(Таблица2[B$],Таблица2[2],B102))</f>
        <v>-</v>
      </c>
      <c r="F102" s="77" t="str">
        <f>IFERROR(AVERAGEIFS(Таблица2[AFS],Таблица2[2],B102)+(AVERAGEIFS(Таблица2[AFS],Таблица2[2],B102)*0.2),"-")</f>
        <v>-</v>
      </c>
      <c r="G102" s="77" t="str">
        <f t="shared" si="3"/>
        <v>-</v>
      </c>
      <c r="H102" s="77" t="str">
        <f>IFERROR(COUNTIFS(Таблица2[2],B102,Таблица2[WIN$],"&gt;0")/D102*100,"-")</f>
        <v>-</v>
      </c>
      <c r="I102" s="77" t="str">
        <f>IF(IFERROR((COUNTIFS(Таблица2[2],B102,Таблица2[K],"K")+SUMIFS(Таблица2[R],Таблица2[2],B102,Таблица2[K],"K"))/D102*100,"-")=0,"-",IFERROR((COUNTIFS(Таблица2[2],B102,Таблица2[K],"K")+SUMIFS(Таблица2[R],Таблица2[2],B102,Таблица2[K],"K"))/D102*100,"-"))</f>
        <v>-</v>
      </c>
      <c r="J102" s="77" t="str">
        <f>IF(IFERROR((COUNTIFS(Таблица2[2],B102,Таблица2[T],"t")+SUMIFS(Таблица2[R],Таблица2[2],B102,Таблица2[T],"t"))/D102*100,"-")=0,"-",IFERROR((COUNTIFS(Таблица2[2],B102,Таблица2[T],"t")+SUMIFS(Таблица2[R],Таблица2[2],B102,Таблица2[T],"t"))/D102*100,"-"))</f>
        <v>-</v>
      </c>
      <c r="K102" s="76" t="str">
        <f>IF(SUMIFS(Таблица2[KO$],Таблица2[2],B102)=0,"-",SUMIFS(Таблица2[KO$],Таблица2[2],B102))</f>
        <v>-</v>
      </c>
      <c r="L102" s="76" t="str">
        <f>IF(SUMIFS(Таблица2[WIN$],Таблица2[2],B102)=0,"-",SUMIFS(Таблица2[WIN$],Таблица2[2],B102))</f>
        <v>-</v>
      </c>
      <c r="M102" s="76" t="str">
        <f t="shared" si="4"/>
        <v>-</v>
      </c>
      <c r="N102" s="78" t="str">
        <f>IFERROR(Таблица467[[#This Row],[PROF]]/Таблица467[[#This Row],[Games]],"-")</f>
        <v>-</v>
      </c>
    </row>
    <row r="103" spans="1:14" ht="11.1" customHeight="1" x14ac:dyDescent="0.25">
      <c r="A103" s="93">
        <f t="shared" si="2"/>
        <v>62</v>
      </c>
      <c r="B103"/>
      <c r="C103"/>
      <c r="D103" s="75" t="str">
        <f>IF(COUNTIFS(Таблица2[2],B103)+SUMIFS(Таблица2[R],Таблица2[2],B103)=0,"",COUNTIFS(Таблица2[2],B103)+SUMIFS(Таблица2[R],Таблица2[2],B103))</f>
        <v/>
      </c>
      <c r="E103" s="76" t="str">
        <f>IF(SUMIFS(Таблица2[B$],Таблица2[2],B103)=0,"-",SUMIFS(Таблица2[B$],Таблица2[2],B103))</f>
        <v>-</v>
      </c>
      <c r="F103" s="77" t="str">
        <f>IFERROR(AVERAGEIFS(Таблица2[AFS],Таблица2[2],B103)+(AVERAGEIFS(Таблица2[AFS],Таблица2[2],B103)*0.2),"-")</f>
        <v>-</v>
      </c>
      <c r="G103" s="77" t="str">
        <f t="shared" si="3"/>
        <v>-</v>
      </c>
      <c r="H103" s="77" t="str">
        <f>IFERROR(COUNTIFS(Таблица2[2],B103,Таблица2[WIN$],"&gt;0")/D103*100,"-")</f>
        <v>-</v>
      </c>
      <c r="I103" s="77" t="str">
        <f>IF(IFERROR((COUNTIFS(Таблица2[2],B103,Таблица2[K],"K")+SUMIFS(Таблица2[R],Таблица2[2],B103,Таблица2[K],"K"))/D103*100,"-")=0,"-",IFERROR((COUNTIFS(Таблица2[2],B103,Таблица2[K],"K")+SUMIFS(Таблица2[R],Таблица2[2],B103,Таблица2[K],"K"))/D103*100,"-"))</f>
        <v>-</v>
      </c>
      <c r="J103" s="77" t="str">
        <f>IF(IFERROR((COUNTIFS(Таблица2[2],B103,Таблица2[T],"t")+SUMIFS(Таблица2[R],Таблица2[2],B103,Таблица2[T],"t"))/D103*100,"-")=0,"-",IFERROR((COUNTIFS(Таблица2[2],B103,Таблица2[T],"t")+SUMIFS(Таблица2[R],Таблица2[2],B103,Таблица2[T],"t"))/D103*100,"-"))</f>
        <v>-</v>
      </c>
      <c r="K103" s="76" t="str">
        <f>IF(SUMIFS(Таблица2[KO$],Таблица2[2],B103)=0,"-",SUMIFS(Таблица2[KO$],Таблица2[2],B103))</f>
        <v>-</v>
      </c>
      <c r="L103" s="76" t="str">
        <f>IF(SUMIFS(Таблица2[WIN$],Таблица2[2],B103)=0,"-",SUMIFS(Таблица2[WIN$],Таблица2[2],B103))</f>
        <v>-</v>
      </c>
      <c r="M103" s="76" t="str">
        <f t="shared" si="4"/>
        <v>-</v>
      </c>
      <c r="N103" s="78" t="str">
        <f>IFERROR(Таблица467[[#This Row],[PROF]]/Таблица467[[#This Row],[Games]],"-")</f>
        <v>-</v>
      </c>
    </row>
    <row r="104" spans="1:14" ht="11.1" customHeight="1" x14ac:dyDescent="0.25">
      <c r="A104" s="93">
        <f t="shared" si="2"/>
        <v>63</v>
      </c>
      <c r="B104"/>
      <c r="C104"/>
      <c r="D104" s="75" t="str">
        <f>IF(COUNTIFS(Таблица2[2],B104)+SUMIFS(Таблица2[R],Таблица2[2],B104)=0,"",COUNTIFS(Таблица2[2],B104)+SUMIFS(Таблица2[R],Таблица2[2],B104))</f>
        <v/>
      </c>
      <c r="E104" s="76" t="str">
        <f>IF(SUMIFS(Таблица2[B$],Таблица2[2],B104)=0,"-",SUMIFS(Таблица2[B$],Таблица2[2],B104))</f>
        <v>-</v>
      </c>
      <c r="F104" s="77" t="str">
        <f>IFERROR(AVERAGEIFS(Таблица2[AFS],Таблица2[2],B104)+(AVERAGEIFS(Таблица2[AFS],Таблица2[2],B104)*0.2),"-")</f>
        <v>-</v>
      </c>
      <c r="G104" s="77" t="str">
        <f t="shared" si="3"/>
        <v>-</v>
      </c>
      <c r="H104" s="77" t="str">
        <f>IFERROR(COUNTIFS(Таблица2[2],B104,Таблица2[WIN$],"&gt;0")/D104*100,"-")</f>
        <v>-</v>
      </c>
      <c r="I104" s="77" t="str">
        <f>IF(IFERROR((COUNTIFS(Таблица2[2],B104,Таблица2[K],"K")+SUMIFS(Таблица2[R],Таблица2[2],B104,Таблица2[K],"K"))/D104*100,"-")=0,"-",IFERROR((COUNTIFS(Таблица2[2],B104,Таблица2[K],"K")+SUMIFS(Таблица2[R],Таблица2[2],B104,Таблица2[K],"K"))/D104*100,"-"))</f>
        <v>-</v>
      </c>
      <c r="J104" s="77" t="str">
        <f>IF(IFERROR((COUNTIFS(Таблица2[2],B104,Таблица2[T],"t")+SUMIFS(Таблица2[R],Таблица2[2],B104,Таблица2[T],"t"))/D104*100,"-")=0,"-",IFERROR((COUNTIFS(Таблица2[2],B104,Таблица2[T],"t")+SUMIFS(Таблица2[R],Таблица2[2],B104,Таблица2[T],"t"))/D104*100,"-"))</f>
        <v>-</v>
      </c>
      <c r="K104" s="76" t="str">
        <f>IF(SUMIFS(Таблица2[KO$],Таблица2[2],B104)=0,"-",SUMIFS(Таблица2[KO$],Таблица2[2],B104))</f>
        <v>-</v>
      </c>
      <c r="L104" s="76" t="str">
        <f>IF(SUMIFS(Таблица2[WIN$],Таблица2[2],B104)=0,"-",SUMIFS(Таблица2[WIN$],Таблица2[2],B104))</f>
        <v>-</v>
      </c>
      <c r="M104" s="76" t="str">
        <f t="shared" si="4"/>
        <v>-</v>
      </c>
      <c r="N104" s="78" t="str">
        <f>IFERROR(Таблица467[[#This Row],[PROF]]/Таблица467[[#This Row],[Games]],"-")</f>
        <v>-</v>
      </c>
    </row>
    <row r="105" spans="1:14" ht="11.1" customHeight="1" x14ac:dyDescent="0.25">
      <c r="A105" s="93">
        <f t="shared" si="2"/>
        <v>64</v>
      </c>
      <c r="B105"/>
      <c r="C105"/>
      <c r="D105" s="75" t="str">
        <f>IF(COUNTIFS(Таблица2[2],B105)+SUMIFS(Таблица2[R],Таблица2[2],B105)=0,"",COUNTIFS(Таблица2[2],B105)+SUMIFS(Таблица2[R],Таблица2[2],B105))</f>
        <v/>
      </c>
      <c r="E105" s="76" t="str">
        <f>IF(SUMIFS(Таблица2[B$],Таблица2[2],B105)=0,"-",SUMIFS(Таблица2[B$],Таблица2[2],B105))</f>
        <v>-</v>
      </c>
      <c r="F105" s="77" t="str">
        <f>IFERROR(AVERAGEIFS(Таблица2[AFS],Таблица2[2],B105)+(AVERAGEIFS(Таблица2[AFS],Таблица2[2],B105)*0.2),"-")</f>
        <v>-</v>
      </c>
      <c r="G105" s="77" t="str">
        <f t="shared" si="3"/>
        <v>-</v>
      </c>
      <c r="H105" s="77" t="str">
        <f>IFERROR(COUNTIFS(Таблица2[2],B105,Таблица2[WIN$],"&gt;0")/D105*100,"-")</f>
        <v>-</v>
      </c>
      <c r="I105" s="77" t="str">
        <f>IF(IFERROR((COUNTIFS(Таблица2[2],B105,Таблица2[K],"K")+SUMIFS(Таблица2[R],Таблица2[2],B105,Таблица2[K],"K"))/D105*100,"-")=0,"-",IFERROR((COUNTIFS(Таблица2[2],B105,Таблица2[K],"K")+SUMIFS(Таблица2[R],Таблица2[2],B105,Таблица2[K],"K"))/D105*100,"-"))</f>
        <v>-</v>
      </c>
      <c r="J105" s="77" t="str">
        <f>IF(IFERROR((COUNTIFS(Таблица2[2],B105,Таблица2[T],"t")+SUMIFS(Таблица2[R],Таблица2[2],B105,Таблица2[T],"t"))/D105*100,"-")=0,"-",IFERROR((COUNTIFS(Таблица2[2],B105,Таблица2[T],"t")+SUMIFS(Таблица2[R],Таблица2[2],B105,Таблица2[T],"t"))/D105*100,"-"))</f>
        <v>-</v>
      </c>
      <c r="K105" s="76" t="str">
        <f>IF(SUMIFS(Таблица2[KO$],Таблица2[2],B105)=0,"-",SUMIFS(Таблица2[KO$],Таблица2[2],B105))</f>
        <v>-</v>
      </c>
      <c r="L105" s="76" t="str">
        <f>IF(SUMIFS(Таблица2[WIN$],Таблица2[2],B105)=0,"-",SUMIFS(Таблица2[WIN$],Таблица2[2],B105))</f>
        <v>-</v>
      </c>
      <c r="M105" s="76" t="str">
        <f t="shared" si="4"/>
        <v>-</v>
      </c>
      <c r="N105" s="78" t="str">
        <f>IFERROR(Таблица467[[#This Row],[PROF]]/Таблица467[[#This Row],[Games]],"-")</f>
        <v>-</v>
      </c>
    </row>
    <row r="106" spans="1:14" ht="11.1" customHeight="1" x14ac:dyDescent="0.25">
      <c r="A106" s="93">
        <f t="shared" si="2"/>
        <v>65</v>
      </c>
      <c r="B106"/>
      <c r="C106"/>
      <c r="D106" s="75" t="str">
        <f>IF(COUNTIFS(Таблица2[2],B106)+SUMIFS(Таблица2[R],Таблица2[2],B106)=0,"",COUNTIFS(Таблица2[2],B106)+SUMIFS(Таблица2[R],Таблица2[2],B106))</f>
        <v/>
      </c>
      <c r="E106" s="76" t="str">
        <f>IF(SUMIFS(Таблица2[B$],Таблица2[2],B106)=0,"-",SUMIFS(Таблица2[B$],Таблица2[2],B106))</f>
        <v>-</v>
      </c>
      <c r="F106" s="77" t="str">
        <f>IFERROR(AVERAGEIFS(Таблица2[AFS],Таблица2[2],B106)+(AVERAGEIFS(Таблица2[AFS],Таблица2[2],B106)*0.2),"-")</f>
        <v>-</v>
      </c>
      <c r="G106" s="77" t="str">
        <f t="shared" ref="G106:G137" si="5">IFERROR(M106/E106*100,"-")</f>
        <v>-</v>
      </c>
      <c r="H106" s="77" t="str">
        <f>IFERROR(COUNTIFS(Таблица2[2],B106,Таблица2[WIN$],"&gt;0")/D106*100,"-")</f>
        <v>-</v>
      </c>
      <c r="I106" s="77" t="str">
        <f>IF(IFERROR((COUNTIFS(Таблица2[2],B106,Таблица2[K],"K")+SUMIFS(Таблица2[R],Таблица2[2],B106,Таблица2[K],"K"))/D106*100,"-")=0,"-",IFERROR((COUNTIFS(Таблица2[2],B106,Таблица2[K],"K")+SUMIFS(Таблица2[R],Таблица2[2],B106,Таблица2[K],"K"))/D106*100,"-"))</f>
        <v>-</v>
      </c>
      <c r="J106" s="77" t="str">
        <f>IF(IFERROR((COUNTIFS(Таблица2[2],B106,Таблица2[T],"t")+SUMIFS(Таблица2[R],Таблица2[2],B106,Таблица2[T],"t"))/D106*100,"-")=0,"-",IFERROR((COUNTIFS(Таблица2[2],B106,Таблица2[T],"t")+SUMIFS(Таблица2[R],Таблица2[2],B106,Таблица2[T],"t"))/D106*100,"-"))</f>
        <v>-</v>
      </c>
      <c r="K106" s="76" t="str">
        <f>IF(SUMIFS(Таблица2[KO$],Таблица2[2],B106)=0,"-",SUMIFS(Таблица2[KO$],Таблица2[2],B106))</f>
        <v>-</v>
      </c>
      <c r="L106" s="76" t="str">
        <f>IF(SUMIFS(Таблица2[WIN$],Таблица2[2],B106)=0,"-",SUMIFS(Таблица2[WIN$],Таблица2[2],B106))</f>
        <v>-</v>
      </c>
      <c r="M106" s="76" t="str">
        <f t="shared" ref="M106:M137" si="6">IFERROR(IF(L106="-",0,L106)+IF(K106="-",0,K106)-E106,"-")</f>
        <v>-</v>
      </c>
      <c r="N106" s="78" t="str">
        <f>IFERROR(Таблица467[[#This Row],[PROF]]/Таблица467[[#This Row],[Games]],"-")</f>
        <v>-</v>
      </c>
    </row>
    <row r="107" spans="1:14" ht="11.1" customHeight="1" x14ac:dyDescent="0.25">
      <c r="A107" s="93">
        <f t="shared" ref="A107:A170" si="7">A106+1</f>
        <v>66</v>
      </c>
      <c r="B107"/>
      <c r="C107"/>
      <c r="D107" s="75" t="str">
        <f>IF(COUNTIFS(Таблица2[2],B107)+SUMIFS(Таблица2[R],Таблица2[2],B107)=0,"",COUNTIFS(Таблица2[2],B107)+SUMIFS(Таблица2[R],Таблица2[2],B107))</f>
        <v/>
      </c>
      <c r="E107" s="76" t="str">
        <f>IF(SUMIFS(Таблица2[B$],Таблица2[2],B107)=0,"-",SUMIFS(Таблица2[B$],Таблица2[2],B107))</f>
        <v>-</v>
      </c>
      <c r="F107" s="77" t="str">
        <f>IFERROR(AVERAGEIFS(Таблица2[AFS],Таблица2[2],B107)+(AVERAGEIFS(Таблица2[AFS],Таблица2[2],B107)*0.2),"-")</f>
        <v>-</v>
      </c>
      <c r="G107" s="77" t="str">
        <f t="shared" si="5"/>
        <v>-</v>
      </c>
      <c r="H107" s="77" t="str">
        <f>IFERROR(COUNTIFS(Таблица2[2],B107,Таблица2[WIN$],"&gt;0")/D107*100,"-")</f>
        <v>-</v>
      </c>
      <c r="I107" s="77" t="str">
        <f>IF(IFERROR((COUNTIFS(Таблица2[2],B107,Таблица2[K],"K")+SUMIFS(Таблица2[R],Таблица2[2],B107,Таблица2[K],"K"))/D107*100,"-")=0,"-",IFERROR((COUNTIFS(Таблица2[2],B107,Таблица2[K],"K")+SUMIFS(Таблица2[R],Таблица2[2],B107,Таблица2[K],"K"))/D107*100,"-"))</f>
        <v>-</v>
      </c>
      <c r="J107" s="77" t="str">
        <f>IF(IFERROR((COUNTIFS(Таблица2[2],B107,Таблица2[T],"t")+SUMIFS(Таблица2[R],Таблица2[2],B107,Таблица2[T],"t"))/D107*100,"-")=0,"-",IFERROR((COUNTIFS(Таблица2[2],B107,Таблица2[T],"t")+SUMIFS(Таблица2[R],Таблица2[2],B107,Таблица2[T],"t"))/D107*100,"-"))</f>
        <v>-</v>
      </c>
      <c r="K107" s="76" t="str">
        <f>IF(SUMIFS(Таблица2[KO$],Таблица2[2],B107)=0,"-",SUMIFS(Таблица2[KO$],Таблица2[2],B107))</f>
        <v>-</v>
      </c>
      <c r="L107" s="76" t="str">
        <f>IF(SUMIFS(Таблица2[WIN$],Таблица2[2],B107)=0,"-",SUMIFS(Таблица2[WIN$],Таблица2[2],B107))</f>
        <v>-</v>
      </c>
      <c r="M107" s="76" t="str">
        <f t="shared" si="6"/>
        <v>-</v>
      </c>
      <c r="N107" s="78" t="str">
        <f>IFERROR(Таблица467[[#This Row],[PROF]]/Таблица467[[#This Row],[Games]],"-")</f>
        <v>-</v>
      </c>
    </row>
    <row r="108" spans="1:14" ht="11.1" customHeight="1" x14ac:dyDescent="0.25">
      <c r="A108" s="93">
        <f t="shared" si="7"/>
        <v>67</v>
      </c>
      <c r="B108"/>
      <c r="C108"/>
      <c r="D108" s="75" t="str">
        <f>IF(COUNTIFS(Таблица2[2],B108)+SUMIFS(Таблица2[R],Таблица2[2],B108)=0,"",COUNTIFS(Таблица2[2],B108)+SUMIFS(Таблица2[R],Таблица2[2],B108))</f>
        <v/>
      </c>
      <c r="E108" s="76" t="str">
        <f>IF(SUMIFS(Таблица2[B$],Таблица2[2],B108)=0,"-",SUMIFS(Таблица2[B$],Таблица2[2],B108))</f>
        <v>-</v>
      </c>
      <c r="F108" s="77" t="str">
        <f>IFERROR(AVERAGEIFS(Таблица2[AFS],Таблица2[2],B108)+(AVERAGEIFS(Таблица2[AFS],Таблица2[2],B108)*0.2),"-")</f>
        <v>-</v>
      </c>
      <c r="G108" s="77" t="str">
        <f t="shared" si="5"/>
        <v>-</v>
      </c>
      <c r="H108" s="77" t="str">
        <f>IFERROR(COUNTIFS(Таблица2[2],B108,Таблица2[WIN$],"&gt;0")/D108*100,"-")</f>
        <v>-</v>
      </c>
      <c r="I108" s="77" t="str">
        <f>IF(IFERROR((COUNTIFS(Таблица2[2],B108,Таблица2[K],"K")+SUMIFS(Таблица2[R],Таблица2[2],B108,Таблица2[K],"K"))/D108*100,"-")=0,"-",IFERROR((COUNTIFS(Таблица2[2],B108,Таблица2[K],"K")+SUMIFS(Таблица2[R],Таблица2[2],B108,Таблица2[K],"K"))/D108*100,"-"))</f>
        <v>-</v>
      </c>
      <c r="J108" s="77" t="str">
        <f>IF(IFERROR((COUNTIFS(Таблица2[2],B108,Таблица2[T],"t")+SUMIFS(Таблица2[R],Таблица2[2],B108,Таблица2[T],"t"))/D108*100,"-")=0,"-",IFERROR((COUNTIFS(Таблица2[2],B108,Таблица2[T],"t")+SUMIFS(Таблица2[R],Таблица2[2],B108,Таблица2[T],"t"))/D108*100,"-"))</f>
        <v>-</v>
      </c>
      <c r="K108" s="76" t="str">
        <f>IF(SUMIFS(Таблица2[KO$],Таблица2[2],B108)=0,"-",SUMIFS(Таблица2[KO$],Таблица2[2],B108))</f>
        <v>-</v>
      </c>
      <c r="L108" s="76" t="str">
        <f>IF(SUMIFS(Таблица2[WIN$],Таблица2[2],B108)=0,"-",SUMIFS(Таблица2[WIN$],Таблица2[2],B108))</f>
        <v>-</v>
      </c>
      <c r="M108" s="76" t="str">
        <f t="shared" si="6"/>
        <v>-</v>
      </c>
      <c r="N108" s="78" t="str">
        <f>IFERROR(Таблица467[[#This Row],[PROF]]/Таблица467[[#This Row],[Games]],"-")</f>
        <v>-</v>
      </c>
    </row>
    <row r="109" spans="1:14" ht="11.1" customHeight="1" x14ac:dyDescent="0.25">
      <c r="A109" s="93">
        <f t="shared" si="7"/>
        <v>68</v>
      </c>
      <c r="B109"/>
      <c r="C109"/>
      <c r="D109" s="75" t="str">
        <f>IF(COUNTIFS(Таблица2[2],B109)+SUMIFS(Таблица2[R],Таблица2[2],B109)=0,"",COUNTIFS(Таблица2[2],B109)+SUMIFS(Таблица2[R],Таблица2[2],B109))</f>
        <v/>
      </c>
      <c r="E109" s="76" t="str">
        <f>IF(SUMIFS(Таблица2[B$],Таблица2[2],B109)=0,"-",SUMIFS(Таблица2[B$],Таблица2[2],B109))</f>
        <v>-</v>
      </c>
      <c r="F109" s="77" t="str">
        <f>IFERROR(AVERAGEIFS(Таблица2[AFS],Таблица2[2],B109)+(AVERAGEIFS(Таблица2[AFS],Таблица2[2],B109)*0.2),"-")</f>
        <v>-</v>
      </c>
      <c r="G109" s="77" t="str">
        <f t="shared" si="5"/>
        <v>-</v>
      </c>
      <c r="H109" s="77" t="str">
        <f>IFERROR(COUNTIFS(Таблица2[2],B109,Таблица2[WIN$],"&gt;0")/D109*100,"-")</f>
        <v>-</v>
      </c>
      <c r="I109" s="77" t="str">
        <f>IF(IFERROR((COUNTIFS(Таблица2[2],B109,Таблица2[K],"K")+SUMIFS(Таблица2[R],Таблица2[2],B109,Таблица2[K],"K"))/D109*100,"-")=0,"-",IFERROR((COUNTIFS(Таблица2[2],B109,Таблица2[K],"K")+SUMIFS(Таблица2[R],Таблица2[2],B109,Таблица2[K],"K"))/D109*100,"-"))</f>
        <v>-</v>
      </c>
      <c r="J109" s="77" t="str">
        <f>IF(IFERROR((COUNTIFS(Таблица2[2],B109,Таблица2[T],"t")+SUMIFS(Таблица2[R],Таблица2[2],B109,Таблица2[T],"t"))/D109*100,"-")=0,"-",IFERROR((COUNTIFS(Таблица2[2],B109,Таблица2[T],"t")+SUMIFS(Таблица2[R],Таблица2[2],B109,Таблица2[T],"t"))/D109*100,"-"))</f>
        <v>-</v>
      </c>
      <c r="K109" s="76" t="str">
        <f>IF(SUMIFS(Таблица2[KO$],Таблица2[2],B109)=0,"-",SUMIFS(Таблица2[KO$],Таблица2[2],B109))</f>
        <v>-</v>
      </c>
      <c r="L109" s="76" t="str">
        <f>IF(SUMIFS(Таблица2[WIN$],Таблица2[2],B109)=0,"-",SUMIFS(Таблица2[WIN$],Таблица2[2],B109))</f>
        <v>-</v>
      </c>
      <c r="M109" s="76" t="str">
        <f t="shared" si="6"/>
        <v>-</v>
      </c>
      <c r="N109" s="78" t="str">
        <f>IFERROR(Таблица467[[#This Row],[PROF]]/Таблица467[[#This Row],[Games]],"-")</f>
        <v>-</v>
      </c>
    </row>
    <row r="110" spans="1:14" ht="11.1" customHeight="1" x14ac:dyDescent="0.25">
      <c r="A110" s="93">
        <f t="shared" si="7"/>
        <v>69</v>
      </c>
      <c r="B110"/>
      <c r="C110"/>
      <c r="D110" s="75" t="str">
        <f>IF(COUNTIFS(Таблица2[2],B110)+SUMIFS(Таблица2[R],Таблица2[2],B110)=0,"",COUNTIFS(Таблица2[2],B110)+SUMIFS(Таблица2[R],Таблица2[2],B110))</f>
        <v/>
      </c>
      <c r="E110" s="76" t="str">
        <f>IF(SUMIFS(Таблица2[B$],Таблица2[2],B110)=0,"-",SUMIFS(Таблица2[B$],Таблица2[2],B110))</f>
        <v>-</v>
      </c>
      <c r="F110" s="77" t="str">
        <f>IFERROR(AVERAGEIFS(Таблица2[AFS],Таблица2[2],B110)+(AVERAGEIFS(Таблица2[AFS],Таблица2[2],B110)*0.2),"-")</f>
        <v>-</v>
      </c>
      <c r="G110" s="77" t="str">
        <f t="shared" si="5"/>
        <v>-</v>
      </c>
      <c r="H110" s="77" t="str">
        <f>IFERROR(COUNTIFS(Таблица2[2],B110,Таблица2[WIN$],"&gt;0")/D110*100,"-")</f>
        <v>-</v>
      </c>
      <c r="I110" s="77" t="str">
        <f>IF(IFERROR((COUNTIFS(Таблица2[2],B110,Таблица2[K],"K")+SUMIFS(Таблица2[R],Таблица2[2],B110,Таблица2[K],"K"))/D110*100,"-")=0,"-",IFERROR((COUNTIFS(Таблица2[2],B110,Таблица2[K],"K")+SUMIFS(Таблица2[R],Таблица2[2],B110,Таблица2[K],"K"))/D110*100,"-"))</f>
        <v>-</v>
      </c>
      <c r="J110" s="77" t="str">
        <f>IF(IFERROR((COUNTIFS(Таблица2[2],B110,Таблица2[T],"t")+SUMIFS(Таблица2[R],Таблица2[2],B110,Таблица2[T],"t"))/D110*100,"-")=0,"-",IFERROR((COUNTIFS(Таблица2[2],B110,Таблица2[T],"t")+SUMIFS(Таблица2[R],Таблица2[2],B110,Таблица2[T],"t"))/D110*100,"-"))</f>
        <v>-</v>
      </c>
      <c r="K110" s="76" t="str">
        <f>IF(SUMIFS(Таблица2[KO$],Таблица2[2],B110)=0,"-",SUMIFS(Таблица2[KO$],Таблица2[2],B110))</f>
        <v>-</v>
      </c>
      <c r="L110" s="76" t="str">
        <f>IF(SUMIFS(Таблица2[WIN$],Таблица2[2],B110)=0,"-",SUMIFS(Таблица2[WIN$],Таблица2[2],B110))</f>
        <v>-</v>
      </c>
      <c r="M110" s="76" t="str">
        <f t="shared" si="6"/>
        <v>-</v>
      </c>
      <c r="N110" s="78" t="str">
        <f>IFERROR(Таблица467[[#This Row],[PROF]]/Таблица467[[#This Row],[Games]],"-")</f>
        <v>-</v>
      </c>
    </row>
    <row r="111" spans="1:14" ht="11.1" customHeight="1" x14ac:dyDescent="0.25">
      <c r="A111" s="93">
        <f t="shared" si="7"/>
        <v>70</v>
      </c>
      <c r="B111"/>
      <c r="C111"/>
      <c r="D111" s="75" t="str">
        <f>IF(COUNTIFS(Таблица2[2],B111)+SUMIFS(Таблица2[R],Таблица2[2],B111)=0,"",COUNTIFS(Таблица2[2],B111)+SUMIFS(Таблица2[R],Таблица2[2],B111))</f>
        <v/>
      </c>
      <c r="E111" s="76" t="str">
        <f>IF(SUMIFS(Таблица2[B$],Таблица2[2],B111)=0,"-",SUMIFS(Таблица2[B$],Таблица2[2],B111))</f>
        <v>-</v>
      </c>
      <c r="F111" s="77" t="str">
        <f>IFERROR(AVERAGEIFS(Таблица2[AFS],Таблица2[2],B111)+(AVERAGEIFS(Таблица2[AFS],Таблица2[2],B111)*0.2),"-")</f>
        <v>-</v>
      </c>
      <c r="G111" s="77" t="str">
        <f t="shared" si="5"/>
        <v>-</v>
      </c>
      <c r="H111" s="77" t="str">
        <f>IFERROR(COUNTIFS(Таблица2[2],B111,Таблица2[WIN$],"&gt;0")/D111*100,"-")</f>
        <v>-</v>
      </c>
      <c r="I111" s="77" t="str">
        <f>IF(IFERROR((COUNTIFS(Таблица2[2],B111,Таблица2[K],"K")+SUMIFS(Таблица2[R],Таблица2[2],B111,Таблица2[K],"K"))/D111*100,"-")=0,"-",IFERROR((COUNTIFS(Таблица2[2],B111,Таблица2[K],"K")+SUMIFS(Таблица2[R],Таблица2[2],B111,Таблица2[K],"K"))/D111*100,"-"))</f>
        <v>-</v>
      </c>
      <c r="J111" s="77" t="str">
        <f>IF(IFERROR((COUNTIFS(Таблица2[2],B111,Таблица2[T],"t")+SUMIFS(Таблица2[R],Таблица2[2],B111,Таблица2[T],"t"))/D111*100,"-")=0,"-",IFERROR((COUNTIFS(Таблица2[2],B111,Таблица2[T],"t")+SUMIFS(Таблица2[R],Таблица2[2],B111,Таблица2[T],"t"))/D111*100,"-"))</f>
        <v>-</v>
      </c>
      <c r="K111" s="76" t="str">
        <f>IF(SUMIFS(Таблица2[KO$],Таблица2[2],B111)=0,"-",SUMIFS(Таблица2[KO$],Таблица2[2],B111))</f>
        <v>-</v>
      </c>
      <c r="L111" s="76" t="str">
        <f>IF(SUMIFS(Таблица2[WIN$],Таблица2[2],B111)=0,"-",SUMIFS(Таблица2[WIN$],Таблица2[2],B111))</f>
        <v>-</v>
      </c>
      <c r="M111" s="76" t="str">
        <f t="shared" si="6"/>
        <v>-</v>
      </c>
      <c r="N111" s="78" t="str">
        <f>IFERROR(Таблица467[[#This Row],[PROF]]/Таблица467[[#This Row],[Games]],"-")</f>
        <v>-</v>
      </c>
    </row>
    <row r="112" spans="1:14" ht="11.1" customHeight="1" x14ac:dyDescent="0.25">
      <c r="A112" s="93">
        <f t="shared" si="7"/>
        <v>71</v>
      </c>
      <c r="B112"/>
      <c r="C112"/>
      <c r="D112" s="75" t="str">
        <f>IF(COUNTIFS(Таблица2[2],B112)+SUMIFS(Таблица2[R],Таблица2[2],B112)=0,"",COUNTIFS(Таблица2[2],B112)+SUMIFS(Таблица2[R],Таблица2[2],B112))</f>
        <v/>
      </c>
      <c r="E112" s="76" t="str">
        <f>IF(SUMIFS(Таблица2[B$],Таблица2[2],B112)=0,"-",SUMIFS(Таблица2[B$],Таблица2[2],B112))</f>
        <v>-</v>
      </c>
      <c r="F112" s="77" t="str">
        <f>IFERROR(AVERAGEIFS(Таблица2[AFS],Таблица2[2],B112)+(AVERAGEIFS(Таблица2[AFS],Таблица2[2],B112)*0.2),"-")</f>
        <v>-</v>
      </c>
      <c r="G112" s="77" t="str">
        <f t="shared" si="5"/>
        <v>-</v>
      </c>
      <c r="H112" s="77" t="str">
        <f>IFERROR(COUNTIFS(Таблица2[2],B112,Таблица2[WIN$],"&gt;0")/D112*100,"-")</f>
        <v>-</v>
      </c>
      <c r="I112" s="77" t="str">
        <f>IF(IFERROR((COUNTIFS(Таблица2[2],B112,Таблица2[K],"K")+SUMIFS(Таблица2[R],Таблица2[2],B112,Таблица2[K],"K"))/D112*100,"-")=0,"-",IFERROR((COUNTIFS(Таблица2[2],B112,Таблица2[K],"K")+SUMIFS(Таблица2[R],Таблица2[2],B112,Таблица2[K],"K"))/D112*100,"-"))</f>
        <v>-</v>
      </c>
      <c r="J112" s="77" t="str">
        <f>IF(IFERROR((COUNTIFS(Таблица2[2],B112,Таблица2[T],"t")+SUMIFS(Таблица2[R],Таблица2[2],B112,Таблица2[T],"t"))/D112*100,"-")=0,"-",IFERROR((COUNTIFS(Таблица2[2],B112,Таблица2[T],"t")+SUMIFS(Таблица2[R],Таблица2[2],B112,Таблица2[T],"t"))/D112*100,"-"))</f>
        <v>-</v>
      </c>
      <c r="K112" s="76" t="str">
        <f>IF(SUMIFS(Таблица2[KO$],Таблица2[2],B112)=0,"-",SUMIFS(Таблица2[KO$],Таблица2[2],B112))</f>
        <v>-</v>
      </c>
      <c r="L112" s="76" t="str">
        <f>IF(SUMIFS(Таблица2[WIN$],Таблица2[2],B112)=0,"-",SUMIFS(Таблица2[WIN$],Таблица2[2],B112))</f>
        <v>-</v>
      </c>
      <c r="M112" s="76" t="str">
        <f t="shared" si="6"/>
        <v>-</v>
      </c>
      <c r="N112" s="78" t="str">
        <f>IFERROR(Таблица467[[#This Row],[PROF]]/Таблица467[[#This Row],[Games]],"-")</f>
        <v>-</v>
      </c>
    </row>
    <row r="113" spans="1:14" ht="11.1" customHeight="1" x14ac:dyDescent="0.25">
      <c r="A113" s="93">
        <f t="shared" si="7"/>
        <v>72</v>
      </c>
      <c r="B113"/>
      <c r="C113"/>
      <c r="D113" s="75" t="str">
        <f>IF(COUNTIFS(Таблица2[2],B113)+SUMIFS(Таблица2[R],Таблица2[2],B113)=0,"",COUNTIFS(Таблица2[2],B113)+SUMIFS(Таблица2[R],Таблица2[2],B113))</f>
        <v/>
      </c>
      <c r="E113" s="76" t="str">
        <f>IF(SUMIFS(Таблица2[B$],Таблица2[2],B113)=0,"-",SUMIFS(Таблица2[B$],Таблица2[2],B113))</f>
        <v>-</v>
      </c>
      <c r="F113" s="77" t="str">
        <f>IFERROR(AVERAGEIFS(Таблица2[AFS],Таблица2[2],B113)+(AVERAGEIFS(Таблица2[AFS],Таблица2[2],B113)*0.2),"-")</f>
        <v>-</v>
      </c>
      <c r="G113" s="77" t="str">
        <f t="shared" si="5"/>
        <v>-</v>
      </c>
      <c r="H113" s="77" t="str">
        <f>IFERROR(COUNTIFS(Таблица2[2],B113,Таблица2[WIN$],"&gt;0")/D113*100,"-")</f>
        <v>-</v>
      </c>
      <c r="I113" s="77" t="str">
        <f>IF(IFERROR((COUNTIFS(Таблица2[2],B113,Таблица2[K],"K")+SUMIFS(Таблица2[R],Таблица2[2],B113,Таблица2[K],"K"))/D113*100,"-")=0,"-",IFERROR((COUNTIFS(Таблица2[2],B113,Таблица2[K],"K")+SUMIFS(Таблица2[R],Таблица2[2],B113,Таблица2[K],"K"))/D113*100,"-"))</f>
        <v>-</v>
      </c>
      <c r="J113" s="77" t="str">
        <f>IF(IFERROR((COUNTIFS(Таблица2[2],B113,Таблица2[T],"t")+SUMIFS(Таблица2[R],Таблица2[2],B113,Таблица2[T],"t"))/D113*100,"-")=0,"-",IFERROR((COUNTIFS(Таблица2[2],B113,Таблица2[T],"t")+SUMIFS(Таблица2[R],Таблица2[2],B113,Таблица2[T],"t"))/D113*100,"-"))</f>
        <v>-</v>
      </c>
      <c r="K113" s="76" t="str">
        <f>IF(SUMIFS(Таблица2[KO$],Таблица2[2],B113)=0,"-",SUMIFS(Таблица2[KO$],Таблица2[2],B113))</f>
        <v>-</v>
      </c>
      <c r="L113" s="76" t="str">
        <f>IF(SUMIFS(Таблица2[WIN$],Таблица2[2],B113)=0,"-",SUMIFS(Таблица2[WIN$],Таблица2[2],B113))</f>
        <v>-</v>
      </c>
      <c r="M113" s="76" t="str">
        <f t="shared" si="6"/>
        <v>-</v>
      </c>
      <c r="N113" s="78" t="str">
        <f>IFERROR(Таблица467[[#This Row],[PROF]]/Таблица467[[#This Row],[Games]],"-")</f>
        <v>-</v>
      </c>
    </row>
    <row r="114" spans="1:14" ht="11.1" customHeight="1" x14ac:dyDescent="0.25">
      <c r="A114" s="93">
        <f t="shared" si="7"/>
        <v>73</v>
      </c>
      <c r="B114"/>
      <c r="C114"/>
      <c r="D114" s="75" t="str">
        <f>IF(COUNTIFS(Таблица2[2],B114)+SUMIFS(Таблица2[R],Таблица2[2],B114)=0,"",COUNTIFS(Таблица2[2],B114)+SUMIFS(Таблица2[R],Таблица2[2],B114))</f>
        <v/>
      </c>
      <c r="E114" s="76" t="str">
        <f>IF(SUMIFS(Таблица2[B$],Таблица2[2],B114)=0,"-",SUMIFS(Таблица2[B$],Таблица2[2],B114))</f>
        <v>-</v>
      </c>
      <c r="F114" s="77" t="str">
        <f>IFERROR(AVERAGEIFS(Таблица2[AFS],Таблица2[2],B114)+(AVERAGEIFS(Таблица2[AFS],Таблица2[2],B114)*0.2),"-")</f>
        <v>-</v>
      </c>
      <c r="G114" s="77" t="str">
        <f t="shared" si="5"/>
        <v>-</v>
      </c>
      <c r="H114" s="77" t="str">
        <f>IFERROR(COUNTIFS(Таблица2[2],B114,Таблица2[WIN$],"&gt;0")/D114*100,"-")</f>
        <v>-</v>
      </c>
      <c r="I114" s="77" t="str">
        <f>IF(IFERROR((COUNTIFS(Таблица2[2],B114,Таблица2[K],"K")+SUMIFS(Таблица2[R],Таблица2[2],B114,Таблица2[K],"K"))/D114*100,"-")=0,"-",IFERROR((COUNTIFS(Таблица2[2],B114,Таблица2[K],"K")+SUMIFS(Таблица2[R],Таблица2[2],B114,Таблица2[K],"K"))/D114*100,"-"))</f>
        <v>-</v>
      </c>
      <c r="J114" s="77" t="str">
        <f>IF(IFERROR((COUNTIFS(Таблица2[2],B114,Таблица2[T],"t")+SUMIFS(Таблица2[R],Таблица2[2],B114,Таблица2[T],"t"))/D114*100,"-")=0,"-",IFERROR((COUNTIFS(Таблица2[2],B114,Таблица2[T],"t")+SUMIFS(Таблица2[R],Таблица2[2],B114,Таблица2[T],"t"))/D114*100,"-"))</f>
        <v>-</v>
      </c>
      <c r="K114" s="76" t="str">
        <f>IF(SUMIFS(Таблица2[KO$],Таблица2[2],B114)=0,"-",SUMIFS(Таблица2[KO$],Таблица2[2],B114))</f>
        <v>-</v>
      </c>
      <c r="L114" s="76" t="str">
        <f>IF(SUMIFS(Таблица2[WIN$],Таблица2[2],B114)=0,"-",SUMIFS(Таблица2[WIN$],Таблица2[2],B114))</f>
        <v>-</v>
      </c>
      <c r="M114" s="76" t="str">
        <f t="shared" si="6"/>
        <v>-</v>
      </c>
      <c r="N114" s="78" t="str">
        <f>IFERROR(Таблица467[[#This Row],[PROF]]/Таблица467[[#This Row],[Games]],"-")</f>
        <v>-</v>
      </c>
    </row>
    <row r="115" spans="1:14" ht="11.1" customHeight="1" x14ac:dyDescent="0.25">
      <c r="A115" s="93">
        <f t="shared" si="7"/>
        <v>74</v>
      </c>
      <c r="B115"/>
      <c r="C115"/>
      <c r="D115" s="75" t="str">
        <f>IF(COUNTIFS(Таблица2[2],B115)+SUMIFS(Таблица2[R],Таблица2[2],B115)=0,"",COUNTIFS(Таблица2[2],B115)+SUMIFS(Таблица2[R],Таблица2[2],B115))</f>
        <v/>
      </c>
      <c r="E115" s="76" t="str">
        <f>IF(SUMIFS(Таблица2[B$],Таблица2[2],B115)=0,"-",SUMIFS(Таблица2[B$],Таблица2[2],B115))</f>
        <v>-</v>
      </c>
      <c r="F115" s="77" t="str">
        <f>IFERROR(AVERAGEIFS(Таблица2[AFS],Таблица2[2],B115)+(AVERAGEIFS(Таблица2[AFS],Таблица2[2],B115)*0.2),"-")</f>
        <v>-</v>
      </c>
      <c r="G115" s="77" t="str">
        <f t="shared" si="5"/>
        <v>-</v>
      </c>
      <c r="H115" s="77" t="str">
        <f>IFERROR(COUNTIFS(Таблица2[2],B115,Таблица2[WIN$],"&gt;0")/D115*100,"-")</f>
        <v>-</v>
      </c>
      <c r="I115" s="77" t="str">
        <f>IF(IFERROR((COUNTIFS(Таблица2[2],B115,Таблица2[K],"K")+SUMIFS(Таблица2[R],Таблица2[2],B115,Таблица2[K],"K"))/D115*100,"-")=0,"-",IFERROR((COUNTIFS(Таблица2[2],B115,Таблица2[K],"K")+SUMIFS(Таблица2[R],Таблица2[2],B115,Таблица2[K],"K"))/D115*100,"-"))</f>
        <v>-</v>
      </c>
      <c r="J115" s="77" t="str">
        <f>IF(IFERROR((COUNTIFS(Таблица2[2],B115,Таблица2[T],"t")+SUMIFS(Таблица2[R],Таблица2[2],B115,Таблица2[T],"t"))/D115*100,"-")=0,"-",IFERROR((COUNTIFS(Таблица2[2],B115,Таблица2[T],"t")+SUMIFS(Таблица2[R],Таблица2[2],B115,Таблица2[T],"t"))/D115*100,"-"))</f>
        <v>-</v>
      </c>
      <c r="K115" s="76" t="str">
        <f>IF(SUMIFS(Таблица2[KO$],Таблица2[2],B115)=0,"-",SUMIFS(Таблица2[KO$],Таблица2[2],B115))</f>
        <v>-</v>
      </c>
      <c r="L115" s="76" t="str">
        <f>IF(SUMIFS(Таблица2[WIN$],Таблица2[2],B115)=0,"-",SUMIFS(Таблица2[WIN$],Таблица2[2],B115))</f>
        <v>-</v>
      </c>
      <c r="M115" s="76" t="str">
        <f t="shared" si="6"/>
        <v>-</v>
      </c>
      <c r="N115" s="78" t="str">
        <f>IFERROR(Таблица467[[#This Row],[PROF]]/Таблица467[[#This Row],[Games]],"-")</f>
        <v>-</v>
      </c>
    </row>
    <row r="116" spans="1:14" ht="11.1" customHeight="1" x14ac:dyDescent="0.25">
      <c r="A116" s="93">
        <f t="shared" si="7"/>
        <v>75</v>
      </c>
      <c r="B116"/>
      <c r="C116"/>
      <c r="D116" s="75" t="str">
        <f>IF(COUNTIFS(Таблица2[2],B116)+SUMIFS(Таблица2[R],Таблица2[2],B116)=0,"",COUNTIFS(Таблица2[2],B116)+SUMIFS(Таблица2[R],Таблица2[2],B116))</f>
        <v/>
      </c>
      <c r="E116" s="76" t="str">
        <f>IF(SUMIFS(Таблица2[B$],Таблица2[2],B116)=0,"-",SUMIFS(Таблица2[B$],Таблица2[2],B116))</f>
        <v>-</v>
      </c>
      <c r="F116" s="77" t="str">
        <f>IFERROR(AVERAGEIFS(Таблица2[AFS],Таблица2[2],B116)+(AVERAGEIFS(Таблица2[AFS],Таблица2[2],B116)*0.2),"-")</f>
        <v>-</v>
      </c>
      <c r="G116" s="77" t="str">
        <f t="shared" si="5"/>
        <v>-</v>
      </c>
      <c r="H116" s="77" t="str">
        <f>IFERROR(COUNTIFS(Таблица2[2],B116,Таблица2[WIN$],"&gt;0")/D116*100,"-")</f>
        <v>-</v>
      </c>
      <c r="I116" s="77" t="str">
        <f>IF(IFERROR((COUNTIFS(Таблица2[2],B116,Таблица2[K],"K")+SUMIFS(Таблица2[R],Таблица2[2],B116,Таблица2[K],"K"))/D116*100,"-")=0,"-",IFERROR((COUNTIFS(Таблица2[2],B116,Таблица2[K],"K")+SUMIFS(Таблица2[R],Таблица2[2],B116,Таблица2[K],"K"))/D116*100,"-"))</f>
        <v>-</v>
      </c>
      <c r="J116" s="77" t="str">
        <f>IF(IFERROR((COUNTIFS(Таблица2[2],B116,Таблица2[T],"t")+SUMIFS(Таблица2[R],Таблица2[2],B116,Таблица2[T],"t"))/D116*100,"-")=0,"-",IFERROR((COUNTIFS(Таблица2[2],B116,Таблица2[T],"t")+SUMIFS(Таблица2[R],Таблица2[2],B116,Таблица2[T],"t"))/D116*100,"-"))</f>
        <v>-</v>
      </c>
      <c r="K116" s="76" t="str">
        <f>IF(SUMIFS(Таблица2[KO$],Таблица2[2],B116)=0,"-",SUMIFS(Таблица2[KO$],Таблица2[2],B116))</f>
        <v>-</v>
      </c>
      <c r="L116" s="76" t="str">
        <f>IF(SUMIFS(Таблица2[WIN$],Таблица2[2],B116)=0,"-",SUMIFS(Таблица2[WIN$],Таблица2[2],B116))</f>
        <v>-</v>
      </c>
      <c r="M116" s="76" t="str">
        <f t="shared" si="6"/>
        <v>-</v>
      </c>
      <c r="N116" s="78" t="str">
        <f>IFERROR(Таблица467[[#This Row],[PROF]]/Таблица467[[#This Row],[Games]],"-")</f>
        <v>-</v>
      </c>
    </row>
    <row r="117" spans="1:14" ht="11.1" customHeight="1" x14ac:dyDescent="0.25">
      <c r="A117" s="93">
        <f t="shared" si="7"/>
        <v>76</v>
      </c>
      <c r="B117"/>
      <c r="C117"/>
      <c r="D117" s="75" t="str">
        <f>IF(COUNTIFS(Таблица2[2],B117)+SUMIFS(Таблица2[R],Таблица2[2],B117)=0,"",COUNTIFS(Таблица2[2],B117)+SUMIFS(Таблица2[R],Таблица2[2],B117))</f>
        <v/>
      </c>
      <c r="E117" s="76" t="str">
        <f>IF(SUMIFS(Таблица2[B$],Таблица2[2],B117)=0,"-",SUMIFS(Таблица2[B$],Таблица2[2],B117))</f>
        <v>-</v>
      </c>
      <c r="F117" s="77" t="str">
        <f>IFERROR(AVERAGEIFS(Таблица2[AFS],Таблица2[2],B117)+(AVERAGEIFS(Таблица2[AFS],Таблица2[2],B117)*0.2),"-")</f>
        <v>-</v>
      </c>
      <c r="G117" s="77" t="str">
        <f t="shared" si="5"/>
        <v>-</v>
      </c>
      <c r="H117" s="77" t="str">
        <f>IFERROR(COUNTIFS(Таблица2[2],B117,Таблица2[WIN$],"&gt;0")/D117*100,"-")</f>
        <v>-</v>
      </c>
      <c r="I117" s="77" t="str">
        <f>IF(IFERROR((COUNTIFS(Таблица2[2],B117,Таблица2[K],"K")+SUMIFS(Таблица2[R],Таблица2[2],B117,Таблица2[K],"K"))/D117*100,"-")=0,"-",IFERROR((COUNTIFS(Таблица2[2],B117,Таблица2[K],"K")+SUMIFS(Таблица2[R],Таблица2[2],B117,Таблица2[K],"K"))/D117*100,"-"))</f>
        <v>-</v>
      </c>
      <c r="J117" s="77" t="str">
        <f>IF(IFERROR((COUNTIFS(Таблица2[2],B117,Таблица2[T],"t")+SUMIFS(Таблица2[R],Таблица2[2],B117,Таблица2[T],"t"))/D117*100,"-")=0,"-",IFERROR((COUNTIFS(Таблица2[2],B117,Таблица2[T],"t")+SUMIFS(Таблица2[R],Таблица2[2],B117,Таблица2[T],"t"))/D117*100,"-"))</f>
        <v>-</v>
      </c>
      <c r="K117" s="76" t="str">
        <f>IF(SUMIFS(Таблица2[KO$],Таблица2[2],B117)=0,"-",SUMIFS(Таблица2[KO$],Таблица2[2],B117))</f>
        <v>-</v>
      </c>
      <c r="L117" s="76" t="str">
        <f>IF(SUMIFS(Таблица2[WIN$],Таблица2[2],B117)=0,"-",SUMIFS(Таблица2[WIN$],Таблица2[2],B117))</f>
        <v>-</v>
      </c>
      <c r="M117" s="76" t="str">
        <f t="shared" si="6"/>
        <v>-</v>
      </c>
      <c r="N117" s="78" t="str">
        <f>IFERROR(Таблица467[[#This Row],[PROF]]/Таблица467[[#This Row],[Games]],"-")</f>
        <v>-</v>
      </c>
    </row>
    <row r="118" spans="1:14" ht="11.1" customHeight="1" x14ac:dyDescent="0.25">
      <c r="A118" s="93">
        <f t="shared" si="7"/>
        <v>77</v>
      </c>
      <c r="B118"/>
      <c r="C118"/>
      <c r="D118" s="75" t="str">
        <f>IF(COUNTIFS(Таблица2[2],B118)+SUMIFS(Таблица2[R],Таблица2[2],B118)=0,"",COUNTIFS(Таблица2[2],B118)+SUMIFS(Таблица2[R],Таблица2[2],B118))</f>
        <v/>
      </c>
      <c r="E118" s="76" t="str">
        <f>IF(SUMIFS(Таблица2[B$],Таблица2[2],B118)=0,"-",SUMIFS(Таблица2[B$],Таблица2[2],B118))</f>
        <v>-</v>
      </c>
      <c r="F118" s="77" t="str">
        <f>IFERROR(AVERAGEIFS(Таблица2[AFS],Таблица2[2],B118)+(AVERAGEIFS(Таблица2[AFS],Таблица2[2],B118)*0.2),"-")</f>
        <v>-</v>
      </c>
      <c r="G118" s="77" t="str">
        <f t="shared" si="5"/>
        <v>-</v>
      </c>
      <c r="H118" s="77" t="str">
        <f>IFERROR(COUNTIFS(Таблица2[2],B118,Таблица2[WIN$],"&gt;0")/D118*100,"-")</f>
        <v>-</v>
      </c>
      <c r="I118" s="77" t="str">
        <f>IF(IFERROR((COUNTIFS(Таблица2[2],B118,Таблица2[K],"K")+SUMIFS(Таблица2[R],Таблица2[2],B118,Таблица2[K],"K"))/D118*100,"-")=0,"-",IFERROR((COUNTIFS(Таблица2[2],B118,Таблица2[K],"K")+SUMIFS(Таблица2[R],Таблица2[2],B118,Таблица2[K],"K"))/D118*100,"-"))</f>
        <v>-</v>
      </c>
      <c r="J118" s="77" t="str">
        <f>IF(IFERROR((COUNTIFS(Таблица2[2],B118,Таблица2[T],"t")+SUMIFS(Таблица2[R],Таблица2[2],B118,Таблица2[T],"t"))/D118*100,"-")=0,"-",IFERROR((COUNTIFS(Таблица2[2],B118,Таблица2[T],"t")+SUMIFS(Таблица2[R],Таблица2[2],B118,Таблица2[T],"t"))/D118*100,"-"))</f>
        <v>-</v>
      </c>
      <c r="K118" s="76" t="str">
        <f>IF(SUMIFS(Таблица2[KO$],Таблица2[2],B118)=0,"-",SUMIFS(Таблица2[KO$],Таблица2[2],B118))</f>
        <v>-</v>
      </c>
      <c r="L118" s="76" t="str">
        <f>IF(SUMIFS(Таблица2[WIN$],Таблица2[2],B118)=0,"-",SUMIFS(Таблица2[WIN$],Таблица2[2],B118))</f>
        <v>-</v>
      </c>
      <c r="M118" s="76" t="str">
        <f t="shared" si="6"/>
        <v>-</v>
      </c>
      <c r="N118" s="78" t="str">
        <f>IFERROR(Таблица467[[#This Row],[PROF]]/Таблица467[[#This Row],[Games]],"-")</f>
        <v>-</v>
      </c>
    </row>
    <row r="119" spans="1:14" ht="11.1" customHeight="1" x14ac:dyDescent="0.25">
      <c r="A119" s="93">
        <f t="shared" si="7"/>
        <v>78</v>
      </c>
      <c r="B119"/>
      <c r="C119"/>
      <c r="D119" s="75" t="str">
        <f>IF(COUNTIFS(Таблица2[2],B119)+SUMIFS(Таблица2[R],Таблица2[2],B119)=0,"",COUNTIFS(Таблица2[2],B119)+SUMIFS(Таблица2[R],Таблица2[2],B119))</f>
        <v/>
      </c>
      <c r="E119" s="76" t="str">
        <f>IF(SUMIFS(Таблица2[B$],Таблица2[2],B119)=0,"-",SUMIFS(Таблица2[B$],Таблица2[2],B119))</f>
        <v>-</v>
      </c>
      <c r="F119" s="77" t="str">
        <f>IFERROR(AVERAGEIFS(Таблица2[AFS],Таблица2[2],B119)+(AVERAGEIFS(Таблица2[AFS],Таблица2[2],B119)*0.2),"-")</f>
        <v>-</v>
      </c>
      <c r="G119" s="77" t="str">
        <f t="shared" si="5"/>
        <v>-</v>
      </c>
      <c r="H119" s="77" t="str">
        <f>IFERROR(COUNTIFS(Таблица2[2],B119,Таблица2[WIN$],"&gt;0")/D119*100,"-")</f>
        <v>-</v>
      </c>
      <c r="I119" s="77" t="str">
        <f>IF(IFERROR((COUNTIFS(Таблица2[2],B119,Таблица2[K],"K")+SUMIFS(Таблица2[R],Таблица2[2],B119,Таблица2[K],"K"))/D119*100,"-")=0,"-",IFERROR((COUNTIFS(Таблица2[2],B119,Таблица2[K],"K")+SUMIFS(Таблица2[R],Таблица2[2],B119,Таблица2[K],"K"))/D119*100,"-"))</f>
        <v>-</v>
      </c>
      <c r="J119" s="77" t="str">
        <f>IF(IFERROR((COUNTIFS(Таблица2[2],B119,Таблица2[T],"t")+SUMIFS(Таблица2[R],Таблица2[2],B119,Таблица2[T],"t"))/D119*100,"-")=0,"-",IFERROR((COUNTIFS(Таблица2[2],B119,Таблица2[T],"t")+SUMIFS(Таблица2[R],Таблица2[2],B119,Таблица2[T],"t"))/D119*100,"-"))</f>
        <v>-</v>
      </c>
      <c r="K119" s="76" t="str">
        <f>IF(SUMIFS(Таблица2[KO$],Таблица2[2],B119)=0,"-",SUMIFS(Таблица2[KO$],Таблица2[2],B119))</f>
        <v>-</v>
      </c>
      <c r="L119" s="76" t="str">
        <f>IF(SUMIFS(Таблица2[WIN$],Таблица2[2],B119)=0,"-",SUMIFS(Таблица2[WIN$],Таблица2[2],B119))</f>
        <v>-</v>
      </c>
      <c r="M119" s="76" t="str">
        <f t="shared" si="6"/>
        <v>-</v>
      </c>
      <c r="N119" s="78" t="str">
        <f>IFERROR(Таблица467[[#This Row],[PROF]]/Таблица467[[#This Row],[Games]],"-")</f>
        <v>-</v>
      </c>
    </row>
    <row r="120" spans="1:14" ht="11.1" customHeight="1" x14ac:dyDescent="0.25">
      <c r="A120" s="93">
        <f t="shared" si="7"/>
        <v>79</v>
      </c>
      <c r="B120"/>
      <c r="C120"/>
      <c r="D120" s="75" t="str">
        <f>IF(COUNTIFS(Таблица2[2],B120)+SUMIFS(Таблица2[R],Таблица2[2],B120)=0,"",COUNTIFS(Таблица2[2],B120)+SUMIFS(Таблица2[R],Таблица2[2],B120))</f>
        <v/>
      </c>
      <c r="E120" s="76" t="str">
        <f>IF(SUMIFS(Таблица2[B$],Таблица2[2],B120)=0,"-",SUMIFS(Таблица2[B$],Таблица2[2],B120))</f>
        <v>-</v>
      </c>
      <c r="F120" s="77" t="str">
        <f>IFERROR(AVERAGEIFS(Таблица2[AFS],Таблица2[2],B120)+(AVERAGEIFS(Таблица2[AFS],Таблица2[2],B120)*0.2),"-")</f>
        <v>-</v>
      </c>
      <c r="G120" s="77" t="str">
        <f t="shared" si="5"/>
        <v>-</v>
      </c>
      <c r="H120" s="77" t="str">
        <f>IFERROR(COUNTIFS(Таблица2[2],B120,Таблица2[WIN$],"&gt;0")/D120*100,"-")</f>
        <v>-</v>
      </c>
      <c r="I120" s="77" t="str">
        <f>IF(IFERROR((COUNTIFS(Таблица2[2],B120,Таблица2[K],"K")+SUMIFS(Таблица2[R],Таблица2[2],B120,Таблица2[K],"K"))/D120*100,"-")=0,"-",IFERROR((COUNTIFS(Таблица2[2],B120,Таблица2[K],"K")+SUMIFS(Таблица2[R],Таблица2[2],B120,Таблица2[K],"K"))/D120*100,"-"))</f>
        <v>-</v>
      </c>
      <c r="J120" s="77" t="str">
        <f>IF(IFERROR((COUNTIFS(Таблица2[2],B120,Таблица2[T],"t")+SUMIFS(Таблица2[R],Таблица2[2],B120,Таблица2[T],"t"))/D120*100,"-")=0,"-",IFERROR((COUNTIFS(Таблица2[2],B120,Таблица2[T],"t")+SUMIFS(Таблица2[R],Таблица2[2],B120,Таблица2[T],"t"))/D120*100,"-"))</f>
        <v>-</v>
      </c>
      <c r="K120" s="76" t="str">
        <f>IF(SUMIFS(Таблица2[KO$],Таблица2[2],B120)=0,"-",SUMIFS(Таблица2[KO$],Таблица2[2],B120))</f>
        <v>-</v>
      </c>
      <c r="L120" s="76" t="str">
        <f>IF(SUMIFS(Таблица2[WIN$],Таблица2[2],B120)=0,"-",SUMIFS(Таблица2[WIN$],Таблица2[2],B120))</f>
        <v>-</v>
      </c>
      <c r="M120" s="76" t="str">
        <f t="shared" si="6"/>
        <v>-</v>
      </c>
      <c r="N120" s="78" t="str">
        <f>IFERROR(Таблица467[[#This Row],[PROF]]/Таблица467[[#This Row],[Games]],"-")</f>
        <v>-</v>
      </c>
    </row>
    <row r="121" spans="1:14" ht="11.1" customHeight="1" x14ac:dyDescent="0.25">
      <c r="A121" s="93">
        <f t="shared" si="7"/>
        <v>80</v>
      </c>
      <c r="B121"/>
      <c r="C121"/>
      <c r="D121" s="75" t="str">
        <f>IF(COUNTIFS(Таблица2[2],B121)+SUMIFS(Таблица2[R],Таблица2[2],B121)=0,"",COUNTIFS(Таблица2[2],B121)+SUMIFS(Таблица2[R],Таблица2[2],B121))</f>
        <v/>
      </c>
      <c r="E121" s="76" t="str">
        <f>IF(SUMIFS(Таблица2[B$],Таблица2[2],B121)=0,"-",SUMIFS(Таблица2[B$],Таблица2[2],B121))</f>
        <v>-</v>
      </c>
      <c r="F121" s="77" t="str">
        <f>IFERROR(AVERAGEIFS(Таблица2[AFS],Таблица2[2],B121)+(AVERAGEIFS(Таблица2[AFS],Таблица2[2],B121)*0.2),"-")</f>
        <v>-</v>
      </c>
      <c r="G121" s="77" t="str">
        <f t="shared" si="5"/>
        <v>-</v>
      </c>
      <c r="H121" s="77" t="str">
        <f>IFERROR(COUNTIFS(Таблица2[2],B121,Таблица2[WIN$],"&gt;0")/D121*100,"-")</f>
        <v>-</v>
      </c>
      <c r="I121" s="77" t="str">
        <f>IF(IFERROR((COUNTIFS(Таблица2[2],B121,Таблица2[K],"K")+SUMIFS(Таблица2[R],Таблица2[2],B121,Таблица2[K],"K"))/D121*100,"-")=0,"-",IFERROR((COUNTIFS(Таблица2[2],B121,Таблица2[K],"K")+SUMIFS(Таблица2[R],Таблица2[2],B121,Таблица2[K],"K"))/D121*100,"-"))</f>
        <v>-</v>
      </c>
      <c r="J121" s="77" t="str">
        <f>IF(IFERROR((COUNTIFS(Таблица2[2],B121,Таблица2[T],"t")+SUMIFS(Таблица2[R],Таблица2[2],B121,Таблица2[T],"t"))/D121*100,"-")=0,"-",IFERROR((COUNTIFS(Таблица2[2],B121,Таблица2[T],"t")+SUMIFS(Таблица2[R],Таблица2[2],B121,Таблица2[T],"t"))/D121*100,"-"))</f>
        <v>-</v>
      </c>
      <c r="K121" s="76" t="str">
        <f>IF(SUMIFS(Таблица2[KO$],Таблица2[2],B121)=0,"-",SUMIFS(Таблица2[KO$],Таблица2[2],B121))</f>
        <v>-</v>
      </c>
      <c r="L121" s="76" t="str">
        <f>IF(SUMIFS(Таблица2[WIN$],Таблица2[2],B121)=0,"-",SUMIFS(Таблица2[WIN$],Таблица2[2],B121))</f>
        <v>-</v>
      </c>
      <c r="M121" s="76" t="str">
        <f t="shared" si="6"/>
        <v>-</v>
      </c>
      <c r="N121" s="78" t="str">
        <f>IFERROR(Таблица467[[#This Row],[PROF]]/Таблица467[[#This Row],[Games]],"-")</f>
        <v>-</v>
      </c>
    </row>
    <row r="122" spans="1:14" ht="11.1" customHeight="1" x14ac:dyDescent="0.25">
      <c r="A122" s="93">
        <f t="shared" si="7"/>
        <v>81</v>
      </c>
      <c r="B122"/>
      <c r="C122"/>
      <c r="D122" s="75" t="str">
        <f>IF(COUNTIFS(Таблица2[2],B122)+SUMIFS(Таблица2[R],Таблица2[2],B122)=0,"",COUNTIFS(Таблица2[2],B122)+SUMIFS(Таблица2[R],Таблица2[2],B122))</f>
        <v/>
      </c>
      <c r="E122" s="76" t="str">
        <f>IF(SUMIFS(Таблица2[B$],Таблица2[2],B122)=0,"-",SUMIFS(Таблица2[B$],Таблица2[2],B122))</f>
        <v>-</v>
      </c>
      <c r="F122" s="77" t="str">
        <f>IFERROR(AVERAGEIFS(Таблица2[AFS],Таблица2[2],B122)+(AVERAGEIFS(Таблица2[AFS],Таблица2[2],B122)*0.2),"-")</f>
        <v>-</v>
      </c>
      <c r="G122" s="77" t="str">
        <f t="shared" si="5"/>
        <v>-</v>
      </c>
      <c r="H122" s="77" t="str">
        <f>IFERROR(COUNTIFS(Таблица2[2],B122,Таблица2[WIN$],"&gt;0")/D122*100,"-")</f>
        <v>-</v>
      </c>
      <c r="I122" s="77" t="str">
        <f>IF(IFERROR((COUNTIFS(Таблица2[2],B122,Таблица2[K],"K")+SUMIFS(Таблица2[R],Таблица2[2],B122,Таблица2[K],"K"))/D122*100,"-")=0,"-",IFERROR((COUNTIFS(Таблица2[2],B122,Таблица2[K],"K")+SUMIFS(Таблица2[R],Таблица2[2],B122,Таблица2[K],"K"))/D122*100,"-"))</f>
        <v>-</v>
      </c>
      <c r="J122" s="77" t="str">
        <f>IF(IFERROR((COUNTIFS(Таблица2[2],B122,Таблица2[T],"t")+SUMIFS(Таблица2[R],Таблица2[2],B122,Таблица2[T],"t"))/D122*100,"-")=0,"-",IFERROR((COUNTIFS(Таблица2[2],B122,Таблица2[T],"t")+SUMIFS(Таблица2[R],Таблица2[2],B122,Таблица2[T],"t"))/D122*100,"-"))</f>
        <v>-</v>
      </c>
      <c r="K122" s="76" t="str">
        <f>IF(SUMIFS(Таблица2[KO$],Таблица2[2],B122)=0,"-",SUMIFS(Таблица2[KO$],Таблица2[2],B122))</f>
        <v>-</v>
      </c>
      <c r="L122" s="76" t="str">
        <f>IF(SUMIFS(Таблица2[WIN$],Таблица2[2],B122)=0,"-",SUMIFS(Таблица2[WIN$],Таблица2[2],B122))</f>
        <v>-</v>
      </c>
      <c r="M122" s="76" t="str">
        <f t="shared" si="6"/>
        <v>-</v>
      </c>
      <c r="N122" s="78" t="str">
        <f>IFERROR(Таблица467[[#This Row],[PROF]]/Таблица467[[#This Row],[Games]],"-")</f>
        <v>-</v>
      </c>
    </row>
    <row r="123" spans="1:14" ht="11.1" customHeight="1" x14ac:dyDescent="0.25">
      <c r="A123" s="93">
        <f t="shared" si="7"/>
        <v>82</v>
      </c>
      <c r="B123"/>
      <c r="C123"/>
      <c r="D123" s="75" t="str">
        <f>IF(COUNTIFS(Таблица2[2],B123)+SUMIFS(Таблица2[R],Таблица2[2],B123)=0,"",COUNTIFS(Таблица2[2],B123)+SUMIFS(Таблица2[R],Таблица2[2],B123))</f>
        <v/>
      </c>
      <c r="E123" s="76" t="str">
        <f>IF(SUMIFS(Таблица2[B$],Таблица2[2],B123)=0,"-",SUMIFS(Таблица2[B$],Таблица2[2],B123))</f>
        <v>-</v>
      </c>
      <c r="F123" s="77" t="str">
        <f>IFERROR(AVERAGEIFS(Таблица2[AFS],Таблица2[2],B123)+(AVERAGEIFS(Таблица2[AFS],Таблица2[2],B123)*0.2),"-")</f>
        <v>-</v>
      </c>
      <c r="G123" s="77" t="str">
        <f t="shared" si="5"/>
        <v>-</v>
      </c>
      <c r="H123" s="77" t="str">
        <f>IFERROR(COUNTIFS(Таблица2[2],B123,Таблица2[WIN$],"&gt;0")/D123*100,"-")</f>
        <v>-</v>
      </c>
      <c r="I123" s="77" t="str">
        <f>IF(IFERROR((COUNTIFS(Таблица2[2],B123,Таблица2[K],"K")+SUMIFS(Таблица2[R],Таблица2[2],B123,Таблица2[K],"K"))/D123*100,"-")=0,"-",IFERROR((COUNTIFS(Таблица2[2],B123,Таблица2[K],"K")+SUMIFS(Таблица2[R],Таблица2[2],B123,Таблица2[K],"K"))/D123*100,"-"))</f>
        <v>-</v>
      </c>
      <c r="J123" s="77" t="str">
        <f>IF(IFERROR((COUNTIFS(Таблица2[2],B123,Таблица2[T],"t")+SUMIFS(Таблица2[R],Таблица2[2],B123,Таблица2[T],"t"))/D123*100,"-")=0,"-",IFERROR((COUNTIFS(Таблица2[2],B123,Таблица2[T],"t")+SUMIFS(Таблица2[R],Таблица2[2],B123,Таблица2[T],"t"))/D123*100,"-"))</f>
        <v>-</v>
      </c>
      <c r="K123" s="76" t="str">
        <f>IF(SUMIFS(Таблица2[KO$],Таблица2[2],B123)=0,"-",SUMIFS(Таблица2[KO$],Таблица2[2],B123))</f>
        <v>-</v>
      </c>
      <c r="L123" s="76" t="str">
        <f>IF(SUMIFS(Таблица2[WIN$],Таблица2[2],B123)=0,"-",SUMIFS(Таблица2[WIN$],Таблица2[2],B123))</f>
        <v>-</v>
      </c>
      <c r="M123" s="76" t="str">
        <f t="shared" si="6"/>
        <v>-</v>
      </c>
      <c r="N123" s="78" t="str">
        <f>IFERROR(Таблица467[[#This Row],[PROF]]/Таблица467[[#This Row],[Games]],"-")</f>
        <v>-</v>
      </c>
    </row>
    <row r="124" spans="1:14" ht="11.1" customHeight="1" x14ac:dyDescent="0.25">
      <c r="A124" s="93">
        <f t="shared" si="7"/>
        <v>83</v>
      </c>
      <c r="B124"/>
      <c r="C124"/>
      <c r="D124" s="75" t="str">
        <f>IF(COUNTIFS(Таблица2[2],B124)+SUMIFS(Таблица2[R],Таблица2[2],B124)=0,"",COUNTIFS(Таблица2[2],B124)+SUMIFS(Таблица2[R],Таблица2[2],B124))</f>
        <v/>
      </c>
      <c r="E124" s="76" t="str">
        <f>IF(SUMIFS(Таблица2[B$],Таблица2[2],B124)=0,"-",SUMIFS(Таблица2[B$],Таблица2[2],B124))</f>
        <v>-</v>
      </c>
      <c r="F124" s="77" t="str">
        <f>IFERROR(AVERAGEIFS(Таблица2[AFS],Таблица2[2],B124)+(AVERAGEIFS(Таблица2[AFS],Таблица2[2],B124)*0.2),"-")</f>
        <v>-</v>
      </c>
      <c r="G124" s="77" t="str">
        <f t="shared" si="5"/>
        <v>-</v>
      </c>
      <c r="H124" s="77" t="str">
        <f>IFERROR(COUNTIFS(Таблица2[2],B124,Таблица2[WIN$],"&gt;0")/D124*100,"-")</f>
        <v>-</v>
      </c>
      <c r="I124" s="77" t="str">
        <f>IF(IFERROR((COUNTIFS(Таблица2[2],B124,Таблица2[K],"K")+SUMIFS(Таблица2[R],Таблица2[2],B124,Таблица2[K],"K"))/D124*100,"-")=0,"-",IFERROR((COUNTIFS(Таблица2[2],B124,Таблица2[K],"K")+SUMIFS(Таблица2[R],Таблица2[2],B124,Таблица2[K],"K"))/D124*100,"-"))</f>
        <v>-</v>
      </c>
      <c r="J124" s="77" t="str">
        <f>IF(IFERROR((COUNTIFS(Таблица2[2],B124,Таблица2[T],"t")+SUMIFS(Таблица2[R],Таблица2[2],B124,Таблица2[T],"t"))/D124*100,"-")=0,"-",IFERROR((COUNTIFS(Таблица2[2],B124,Таблица2[T],"t")+SUMIFS(Таблица2[R],Таблица2[2],B124,Таблица2[T],"t"))/D124*100,"-"))</f>
        <v>-</v>
      </c>
      <c r="K124" s="76" t="str">
        <f>IF(SUMIFS(Таблица2[KO$],Таблица2[2],B124)=0,"-",SUMIFS(Таблица2[KO$],Таблица2[2],B124))</f>
        <v>-</v>
      </c>
      <c r="L124" s="76" t="str">
        <f>IF(SUMIFS(Таблица2[WIN$],Таблица2[2],B124)=0,"-",SUMIFS(Таблица2[WIN$],Таблица2[2],B124))</f>
        <v>-</v>
      </c>
      <c r="M124" s="76" t="str">
        <f t="shared" si="6"/>
        <v>-</v>
      </c>
      <c r="N124" s="78" t="str">
        <f>IFERROR(Таблица467[[#This Row],[PROF]]/Таблица467[[#This Row],[Games]],"-")</f>
        <v>-</v>
      </c>
    </row>
    <row r="125" spans="1:14" ht="11.1" customHeight="1" x14ac:dyDescent="0.25">
      <c r="A125" s="93">
        <f t="shared" si="7"/>
        <v>84</v>
      </c>
      <c r="B125"/>
      <c r="C125"/>
      <c r="D125" s="75" t="str">
        <f>IF(COUNTIFS(Таблица2[2],B125)+SUMIFS(Таблица2[R],Таблица2[2],B125)=0,"",COUNTIFS(Таблица2[2],B125)+SUMIFS(Таблица2[R],Таблица2[2],B125))</f>
        <v/>
      </c>
      <c r="E125" s="76" t="str">
        <f>IF(SUMIFS(Таблица2[B$],Таблица2[2],B125)=0,"-",SUMIFS(Таблица2[B$],Таблица2[2],B125))</f>
        <v>-</v>
      </c>
      <c r="F125" s="77" t="str">
        <f>IFERROR(AVERAGEIFS(Таблица2[AFS],Таблица2[2],B125)+(AVERAGEIFS(Таблица2[AFS],Таблица2[2],B125)*0.2),"-")</f>
        <v>-</v>
      </c>
      <c r="G125" s="77" t="str">
        <f t="shared" si="5"/>
        <v>-</v>
      </c>
      <c r="H125" s="77" t="str">
        <f>IFERROR(COUNTIFS(Таблица2[2],B125,Таблица2[WIN$],"&gt;0")/D125*100,"-")</f>
        <v>-</v>
      </c>
      <c r="I125" s="77" t="str">
        <f>IF(IFERROR((COUNTIFS(Таблица2[2],B125,Таблица2[K],"K")+SUMIFS(Таблица2[R],Таблица2[2],B125,Таблица2[K],"K"))/D125*100,"-")=0,"-",IFERROR((COUNTIFS(Таблица2[2],B125,Таблица2[K],"K")+SUMIFS(Таблица2[R],Таблица2[2],B125,Таблица2[K],"K"))/D125*100,"-"))</f>
        <v>-</v>
      </c>
      <c r="J125" s="77" t="str">
        <f>IF(IFERROR((COUNTIFS(Таблица2[2],B125,Таблица2[T],"t")+SUMIFS(Таблица2[R],Таблица2[2],B125,Таблица2[T],"t"))/D125*100,"-")=0,"-",IFERROR((COUNTIFS(Таблица2[2],B125,Таблица2[T],"t")+SUMIFS(Таблица2[R],Таблица2[2],B125,Таблица2[T],"t"))/D125*100,"-"))</f>
        <v>-</v>
      </c>
      <c r="K125" s="76" t="str">
        <f>IF(SUMIFS(Таблица2[KO$],Таблица2[2],B125)=0,"-",SUMIFS(Таблица2[KO$],Таблица2[2],B125))</f>
        <v>-</v>
      </c>
      <c r="L125" s="76" t="str">
        <f>IF(SUMIFS(Таблица2[WIN$],Таблица2[2],B125)=0,"-",SUMIFS(Таблица2[WIN$],Таблица2[2],B125))</f>
        <v>-</v>
      </c>
      <c r="M125" s="76" t="str">
        <f t="shared" si="6"/>
        <v>-</v>
      </c>
      <c r="N125" s="78" t="str">
        <f>IFERROR(Таблица467[[#This Row],[PROF]]/Таблица467[[#This Row],[Games]],"-")</f>
        <v>-</v>
      </c>
    </row>
    <row r="126" spans="1:14" ht="11.1" customHeight="1" x14ac:dyDescent="0.25">
      <c r="A126" s="93">
        <f t="shared" si="7"/>
        <v>85</v>
      </c>
      <c r="B126"/>
      <c r="C126"/>
      <c r="D126" s="75" t="str">
        <f>IF(COUNTIFS(Таблица2[2],B126)+SUMIFS(Таблица2[R],Таблица2[2],B126)=0,"",COUNTIFS(Таблица2[2],B126)+SUMIFS(Таблица2[R],Таблица2[2],B126))</f>
        <v/>
      </c>
      <c r="E126" s="76" t="str">
        <f>IF(SUMIFS(Таблица2[B$],Таблица2[2],B126)=0,"-",SUMIFS(Таблица2[B$],Таблица2[2],B126))</f>
        <v>-</v>
      </c>
      <c r="F126" s="77" t="str">
        <f>IFERROR(AVERAGEIFS(Таблица2[AFS],Таблица2[2],B126)+(AVERAGEIFS(Таблица2[AFS],Таблица2[2],B126)*0.2),"-")</f>
        <v>-</v>
      </c>
      <c r="G126" s="77" t="str">
        <f t="shared" si="5"/>
        <v>-</v>
      </c>
      <c r="H126" s="77" t="str">
        <f>IFERROR(COUNTIFS(Таблица2[2],B126,Таблица2[WIN$],"&gt;0")/D126*100,"-")</f>
        <v>-</v>
      </c>
      <c r="I126" s="77" t="str">
        <f>IF(IFERROR((COUNTIFS(Таблица2[2],B126,Таблица2[K],"K")+SUMIFS(Таблица2[R],Таблица2[2],B126,Таблица2[K],"K"))/D126*100,"-")=0,"-",IFERROR((COUNTIFS(Таблица2[2],B126,Таблица2[K],"K")+SUMIFS(Таблица2[R],Таблица2[2],B126,Таблица2[K],"K"))/D126*100,"-"))</f>
        <v>-</v>
      </c>
      <c r="J126" s="77" t="str">
        <f>IF(IFERROR((COUNTIFS(Таблица2[2],B126,Таблица2[T],"t")+SUMIFS(Таблица2[R],Таблица2[2],B126,Таблица2[T],"t"))/D126*100,"-")=0,"-",IFERROR((COUNTIFS(Таблица2[2],B126,Таблица2[T],"t")+SUMIFS(Таблица2[R],Таблица2[2],B126,Таблица2[T],"t"))/D126*100,"-"))</f>
        <v>-</v>
      </c>
      <c r="K126" s="76" t="str">
        <f>IF(SUMIFS(Таблица2[KO$],Таблица2[2],B126)=0,"-",SUMIFS(Таблица2[KO$],Таблица2[2],B126))</f>
        <v>-</v>
      </c>
      <c r="L126" s="76" t="str">
        <f>IF(SUMIFS(Таблица2[WIN$],Таблица2[2],B126)=0,"-",SUMIFS(Таблица2[WIN$],Таблица2[2],B126))</f>
        <v>-</v>
      </c>
      <c r="M126" s="76" t="str">
        <f t="shared" si="6"/>
        <v>-</v>
      </c>
      <c r="N126" s="78" t="str">
        <f>IFERROR(Таблица467[[#This Row],[PROF]]/Таблица467[[#This Row],[Games]],"-")</f>
        <v>-</v>
      </c>
    </row>
    <row r="127" spans="1:14" ht="11.1" customHeight="1" x14ac:dyDescent="0.25">
      <c r="A127" s="93">
        <f t="shared" si="7"/>
        <v>86</v>
      </c>
      <c r="B127"/>
      <c r="C127"/>
      <c r="D127" s="75" t="str">
        <f>IF(COUNTIFS(Таблица2[2],B127)+SUMIFS(Таблица2[R],Таблица2[2],B127)=0,"",COUNTIFS(Таблица2[2],B127)+SUMIFS(Таблица2[R],Таблица2[2],B127))</f>
        <v/>
      </c>
      <c r="E127" s="76" t="str">
        <f>IF(SUMIFS(Таблица2[B$],Таблица2[2],B127)=0,"-",SUMIFS(Таблица2[B$],Таблица2[2],B127))</f>
        <v>-</v>
      </c>
      <c r="F127" s="77" t="str">
        <f>IFERROR(AVERAGEIFS(Таблица2[AFS],Таблица2[2],B127)+(AVERAGEIFS(Таблица2[AFS],Таблица2[2],B127)*0.2),"-")</f>
        <v>-</v>
      </c>
      <c r="G127" s="77" t="str">
        <f t="shared" si="5"/>
        <v>-</v>
      </c>
      <c r="H127" s="77" t="str">
        <f>IFERROR(COUNTIFS(Таблица2[2],B127,Таблица2[WIN$],"&gt;0")/D127*100,"-")</f>
        <v>-</v>
      </c>
      <c r="I127" s="77" t="str">
        <f>IF(IFERROR((COUNTIFS(Таблица2[2],B127,Таблица2[K],"K")+SUMIFS(Таблица2[R],Таблица2[2],B127,Таблица2[K],"K"))/D127*100,"-")=0,"-",IFERROR((COUNTIFS(Таблица2[2],B127,Таблица2[K],"K")+SUMIFS(Таблица2[R],Таблица2[2],B127,Таблица2[K],"K"))/D127*100,"-"))</f>
        <v>-</v>
      </c>
      <c r="J127" s="77" t="str">
        <f>IF(IFERROR((COUNTIFS(Таблица2[2],B127,Таблица2[T],"t")+SUMIFS(Таблица2[R],Таблица2[2],B127,Таблица2[T],"t"))/D127*100,"-")=0,"-",IFERROR((COUNTIFS(Таблица2[2],B127,Таблица2[T],"t")+SUMIFS(Таблица2[R],Таблица2[2],B127,Таблица2[T],"t"))/D127*100,"-"))</f>
        <v>-</v>
      </c>
      <c r="K127" s="76" t="str">
        <f>IF(SUMIFS(Таблица2[KO$],Таблица2[2],B127)=0,"-",SUMIFS(Таблица2[KO$],Таблица2[2],B127))</f>
        <v>-</v>
      </c>
      <c r="L127" s="76" t="str">
        <f>IF(SUMIFS(Таблица2[WIN$],Таблица2[2],B127)=0,"-",SUMIFS(Таблица2[WIN$],Таблица2[2],B127))</f>
        <v>-</v>
      </c>
      <c r="M127" s="76" t="str">
        <f t="shared" si="6"/>
        <v>-</v>
      </c>
      <c r="N127" s="78" t="str">
        <f>IFERROR(Таблица467[[#This Row],[PROF]]/Таблица467[[#This Row],[Games]],"-")</f>
        <v>-</v>
      </c>
    </row>
    <row r="128" spans="1:14" ht="11.1" customHeight="1" x14ac:dyDescent="0.25">
      <c r="A128" s="93">
        <f t="shared" si="7"/>
        <v>87</v>
      </c>
      <c r="B128"/>
      <c r="C128"/>
      <c r="D128" s="75" t="str">
        <f>IF(COUNTIFS(Таблица2[2],B128)+SUMIFS(Таблица2[R],Таблица2[2],B128)=0,"",COUNTIFS(Таблица2[2],B128)+SUMIFS(Таблица2[R],Таблица2[2],B128))</f>
        <v/>
      </c>
      <c r="E128" s="76" t="str">
        <f>IF(SUMIFS(Таблица2[B$],Таблица2[2],B128)=0,"-",SUMIFS(Таблица2[B$],Таблица2[2],B128))</f>
        <v>-</v>
      </c>
      <c r="F128" s="77" t="str">
        <f>IFERROR(AVERAGEIFS(Таблица2[AFS],Таблица2[2],B128)+(AVERAGEIFS(Таблица2[AFS],Таблица2[2],B128)*0.2),"-")</f>
        <v>-</v>
      </c>
      <c r="G128" s="77" t="str">
        <f t="shared" si="5"/>
        <v>-</v>
      </c>
      <c r="H128" s="77" t="str">
        <f>IFERROR(COUNTIFS(Таблица2[2],B128,Таблица2[WIN$],"&gt;0")/D128*100,"-")</f>
        <v>-</v>
      </c>
      <c r="I128" s="77" t="str">
        <f>IF(IFERROR((COUNTIFS(Таблица2[2],B128,Таблица2[K],"K")+SUMIFS(Таблица2[R],Таблица2[2],B128,Таблица2[K],"K"))/D128*100,"-")=0,"-",IFERROR((COUNTIFS(Таблица2[2],B128,Таблица2[K],"K")+SUMIFS(Таблица2[R],Таблица2[2],B128,Таблица2[K],"K"))/D128*100,"-"))</f>
        <v>-</v>
      </c>
      <c r="J128" s="77" t="str">
        <f>IF(IFERROR((COUNTIFS(Таблица2[2],B128,Таблица2[T],"t")+SUMIFS(Таблица2[R],Таблица2[2],B128,Таблица2[T],"t"))/D128*100,"-")=0,"-",IFERROR((COUNTIFS(Таблица2[2],B128,Таблица2[T],"t")+SUMIFS(Таблица2[R],Таблица2[2],B128,Таблица2[T],"t"))/D128*100,"-"))</f>
        <v>-</v>
      </c>
      <c r="K128" s="76" t="str">
        <f>IF(SUMIFS(Таблица2[KO$],Таблица2[2],B128)=0,"-",SUMIFS(Таблица2[KO$],Таблица2[2],B128))</f>
        <v>-</v>
      </c>
      <c r="L128" s="76" t="str">
        <f>IF(SUMIFS(Таблица2[WIN$],Таблица2[2],B128)=0,"-",SUMIFS(Таблица2[WIN$],Таблица2[2],B128))</f>
        <v>-</v>
      </c>
      <c r="M128" s="76" t="str">
        <f t="shared" si="6"/>
        <v>-</v>
      </c>
      <c r="N128" s="78" t="str">
        <f>IFERROR(Таблица467[[#This Row],[PROF]]/Таблица467[[#This Row],[Games]],"-")</f>
        <v>-</v>
      </c>
    </row>
    <row r="129" spans="1:14" ht="11.1" customHeight="1" x14ac:dyDescent="0.25">
      <c r="A129" s="93">
        <f t="shared" si="7"/>
        <v>88</v>
      </c>
      <c r="B129"/>
      <c r="C129"/>
      <c r="D129" s="75" t="str">
        <f>IF(COUNTIFS(Таблица2[2],B129)+SUMIFS(Таблица2[R],Таблица2[2],B129)=0,"",COUNTIFS(Таблица2[2],B129)+SUMIFS(Таблица2[R],Таблица2[2],B129))</f>
        <v/>
      </c>
      <c r="E129" s="76" t="str">
        <f>IF(SUMIFS(Таблица2[B$],Таблица2[2],B129)=0,"-",SUMIFS(Таблица2[B$],Таблица2[2],B129))</f>
        <v>-</v>
      </c>
      <c r="F129" s="77" t="str">
        <f>IFERROR(AVERAGEIFS(Таблица2[AFS],Таблица2[2],B129)+(AVERAGEIFS(Таблица2[AFS],Таблица2[2],B129)*0.2),"-")</f>
        <v>-</v>
      </c>
      <c r="G129" s="77" t="str">
        <f t="shared" si="5"/>
        <v>-</v>
      </c>
      <c r="H129" s="77" t="str">
        <f>IFERROR(COUNTIFS(Таблица2[2],B129,Таблица2[WIN$],"&gt;0")/D129*100,"-")</f>
        <v>-</v>
      </c>
      <c r="I129" s="77" t="str">
        <f>IF(IFERROR((COUNTIFS(Таблица2[2],B129,Таблица2[K],"K")+SUMIFS(Таблица2[R],Таблица2[2],B129,Таблица2[K],"K"))/D129*100,"-")=0,"-",IFERROR((COUNTIFS(Таблица2[2],B129,Таблица2[K],"K")+SUMIFS(Таблица2[R],Таблица2[2],B129,Таблица2[K],"K"))/D129*100,"-"))</f>
        <v>-</v>
      </c>
      <c r="J129" s="77" t="str">
        <f>IF(IFERROR((COUNTIFS(Таблица2[2],B129,Таблица2[T],"t")+SUMIFS(Таблица2[R],Таблица2[2],B129,Таблица2[T],"t"))/D129*100,"-")=0,"-",IFERROR((COUNTIFS(Таблица2[2],B129,Таблица2[T],"t")+SUMIFS(Таблица2[R],Таблица2[2],B129,Таблица2[T],"t"))/D129*100,"-"))</f>
        <v>-</v>
      </c>
      <c r="K129" s="76" t="str">
        <f>IF(SUMIFS(Таблица2[KO$],Таблица2[2],B129)=0,"-",SUMIFS(Таблица2[KO$],Таблица2[2],B129))</f>
        <v>-</v>
      </c>
      <c r="L129" s="76" t="str">
        <f>IF(SUMIFS(Таблица2[WIN$],Таблица2[2],B129)=0,"-",SUMIFS(Таблица2[WIN$],Таблица2[2],B129))</f>
        <v>-</v>
      </c>
      <c r="M129" s="76" t="str">
        <f t="shared" si="6"/>
        <v>-</v>
      </c>
      <c r="N129" s="78" t="str">
        <f>IFERROR(Таблица467[[#This Row],[PROF]]/Таблица467[[#This Row],[Games]],"-")</f>
        <v>-</v>
      </c>
    </row>
    <row r="130" spans="1:14" ht="11.1" customHeight="1" x14ac:dyDescent="0.25">
      <c r="A130" s="93">
        <f t="shared" si="7"/>
        <v>89</v>
      </c>
      <c r="B130"/>
      <c r="C130"/>
      <c r="D130" s="75" t="str">
        <f>IF(COUNTIFS(Таблица2[2],B130)+SUMIFS(Таблица2[R],Таблица2[2],B130)=0,"",COUNTIFS(Таблица2[2],B130)+SUMIFS(Таблица2[R],Таблица2[2],B130))</f>
        <v/>
      </c>
      <c r="E130" s="76" t="str">
        <f>IF(SUMIFS(Таблица2[B$],Таблица2[2],B130)=0,"-",SUMIFS(Таблица2[B$],Таблица2[2],B130))</f>
        <v>-</v>
      </c>
      <c r="F130" s="77" t="str">
        <f>IFERROR(AVERAGEIFS(Таблица2[AFS],Таблица2[2],B130)+(AVERAGEIFS(Таблица2[AFS],Таблица2[2],B130)*0.2),"-")</f>
        <v>-</v>
      </c>
      <c r="G130" s="77" t="str">
        <f t="shared" si="5"/>
        <v>-</v>
      </c>
      <c r="H130" s="77" t="str">
        <f>IFERROR(COUNTIFS(Таблица2[2],B130,Таблица2[WIN$],"&gt;0")/D130*100,"-")</f>
        <v>-</v>
      </c>
      <c r="I130" s="77" t="str">
        <f>IF(IFERROR((COUNTIFS(Таблица2[2],B130,Таблица2[K],"K")+SUMIFS(Таблица2[R],Таблица2[2],B130,Таблица2[K],"K"))/D130*100,"-")=0,"-",IFERROR((COUNTIFS(Таблица2[2],B130,Таблица2[K],"K")+SUMIFS(Таблица2[R],Таблица2[2],B130,Таблица2[K],"K"))/D130*100,"-"))</f>
        <v>-</v>
      </c>
      <c r="J130" s="77" t="str">
        <f>IF(IFERROR((COUNTIFS(Таблица2[2],B130,Таблица2[T],"t")+SUMIFS(Таблица2[R],Таблица2[2],B130,Таблица2[T],"t"))/D130*100,"-")=0,"-",IFERROR((COUNTIFS(Таблица2[2],B130,Таблица2[T],"t")+SUMIFS(Таблица2[R],Таблица2[2],B130,Таблица2[T],"t"))/D130*100,"-"))</f>
        <v>-</v>
      </c>
      <c r="K130" s="76" t="str">
        <f>IF(SUMIFS(Таблица2[KO$],Таблица2[2],B130)=0,"-",SUMIFS(Таблица2[KO$],Таблица2[2],B130))</f>
        <v>-</v>
      </c>
      <c r="L130" s="76" t="str">
        <f>IF(SUMIFS(Таблица2[WIN$],Таблица2[2],B130)=0,"-",SUMIFS(Таблица2[WIN$],Таблица2[2],B130))</f>
        <v>-</v>
      </c>
      <c r="M130" s="76" t="str">
        <f t="shared" si="6"/>
        <v>-</v>
      </c>
      <c r="N130" s="78" t="str">
        <f>IFERROR(Таблица467[[#This Row],[PROF]]/Таблица467[[#This Row],[Games]],"-")</f>
        <v>-</v>
      </c>
    </row>
    <row r="131" spans="1:14" ht="11.1" customHeight="1" x14ac:dyDescent="0.25">
      <c r="A131" s="93">
        <f t="shared" si="7"/>
        <v>90</v>
      </c>
      <c r="B131"/>
      <c r="C131"/>
      <c r="D131" s="75" t="str">
        <f>IF(COUNTIFS(Таблица2[2],B131)+SUMIFS(Таблица2[R],Таблица2[2],B131)=0,"",COUNTIFS(Таблица2[2],B131)+SUMIFS(Таблица2[R],Таблица2[2],B131))</f>
        <v/>
      </c>
      <c r="E131" s="76" t="str">
        <f>IF(SUMIFS(Таблица2[B$],Таблица2[2],B131)=0,"-",SUMIFS(Таблица2[B$],Таблица2[2],B131))</f>
        <v>-</v>
      </c>
      <c r="F131" s="77" t="str">
        <f>IFERROR(AVERAGEIFS(Таблица2[AFS],Таблица2[2],B131)+(AVERAGEIFS(Таблица2[AFS],Таблица2[2],B131)*0.2),"-")</f>
        <v>-</v>
      </c>
      <c r="G131" s="77" t="str">
        <f t="shared" si="5"/>
        <v>-</v>
      </c>
      <c r="H131" s="77" t="str">
        <f>IFERROR(COUNTIFS(Таблица2[2],B131,Таблица2[WIN$],"&gt;0")/D131*100,"-")</f>
        <v>-</v>
      </c>
      <c r="I131" s="77" t="str">
        <f>IF(IFERROR((COUNTIFS(Таблица2[2],B131,Таблица2[K],"K")+SUMIFS(Таблица2[R],Таблица2[2],B131,Таблица2[K],"K"))/D131*100,"-")=0,"-",IFERROR((COUNTIFS(Таблица2[2],B131,Таблица2[K],"K")+SUMIFS(Таблица2[R],Таблица2[2],B131,Таблица2[K],"K"))/D131*100,"-"))</f>
        <v>-</v>
      </c>
      <c r="J131" s="77" t="str">
        <f>IF(IFERROR((COUNTIFS(Таблица2[2],B131,Таблица2[T],"t")+SUMIFS(Таблица2[R],Таблица2[2],B131,Таблица2[T],"t"))/D131*100,"-")=0,"-",IFERROR((COUNTIFS(Таблица2[2],B131,Таблица2[T],"t")+SUMIFS(Таблица2[R],Таблица2[2],B131,Таблица2[T],"t"))/D131*100,"-"))</f>
        <v>-</v>
      </c>
      <c r="K131" s="76" t="str">
        <f>IF(SUMIFS(Таблица2[KO$],Таблица2[2],B131)=0,"-",SUMIFS(Таблица2[KO$],Таблица2[2],B131))</f>
        <v>-</v>
      </c>
      <c r="L131" s="76" t="str">
        <f>IF(SUMIFS(Таблица2[WIN$],Таблица2[2],B131)=0,"-",SUMIFS(Таблица2[WIN$],Таблица2[2],B131))</f>
        <v>-</v>
      </c>
      <c r="M131" s="76" t="str">
        <f t="shared" si="6"/>
        <v>-</v>
      </c>
      <c r="N131" s="78" t="str">
        <f>IFERROR(Таблица467[[#This Row],[PROF]]/Таблица467[[#This Row],[Games]],"-")</f>
        <v>-</v>
      </c>
    </row>
    <row r="132" spans="1:14" ht="11.1" customHeight="1" x14ac:dyDescent="0.25">
      <c r="A132" s="93">
        <f t="shared" si="7"/>
        <v>91</v>
      </c>
      <c r="B132"/>
      <c r="C132"/>
      <c r="D132" s="75" t="str">
        <f>IF(COUNTIFS(Таблица2[2],B132)+SUMIFS(Таблица2[R],Таблица2[2],B132)=0,"",COUNTIFS(Таблица2[2],B132)+SUMIFS(Таблица2[R],Таблица2[2],B132))</f>
        <v/>
      </c>
      <c r="E132" s="76" t="str">
        <f>IF(SUMIFS(Таблица2[B$],Таблица2[2],B132)=0,"-",SUMIFS(Таблица2[B$],Таблица2[2],B132))</f>
        <v>-</v>
      </c>
      <c r="F132" s="77" t="str">
        <f>IFERROR(AVERAGEIFS(Таблица2[AFS],Таблица2[2],B132)+(AVERAGEIFS(Таблица2[AFS],Таблица2[2],B132)*0.2),"-")</f>
        <v>-</v>
      </c>
      <c r="G132" s="77" t="str">
        <f t="shared" si="5"/>
        <v>-</v>
      </c>
      <c r="H132" s="77" t="str">
        <f>IFERROR(COUNTIFS(Таблица2[2],B132,Таблица2[WIN$],"&gt;0")/D132*100,"-")</f>
        <v>-</v>
      </c>
      <c r="I132" s="77" t="str">
        <f>IF(IFERROR((COUNTIFS(Таблица2[2],B132,Таблица2[K],"K")+SUMIFS(Таблица2[R],Таблица2[2],B132,Таблица2[K],"K"))/D132*100,"-")=0,"-",IFERROR((COUNTIFS(Таблица2[2],B132,Таблица2[K],"K")+SUMIFS(Таблица2[R],Таблица2[2],B132,Таблица2[K],"K"))/D132*100,"-"))</f>
        <v>-</v>
      </c>
      <c r="J132" s="77" t="str">
        <f>IF(IFERROR((COUNTIFS(Таблица2[2],B132,Таблица2[T],"t")+SUMIFS(Таблица2[R],Таблица2[2],B132,Таблица2[T],"t"))/D132*100,"-")=0,"-",IFERROR((COUNTIFS(Таблица2[2],B132,Таблица2[T],"t")+SUMIFS(Таблица2[R],Таблица2[2],B132,Таблица2[T],"t"))/D132*100,"-"))</f>
        <v>-</v>
      </c>
      <c r="K132" s="76" t="str">
        <f>IF(SUMIFS(Таблица2[KO$],Таблица2[2],B132)=0,"-",SUMIFS(Таблица2[KO$],Таблица2[2],B132))</f>
        <v>-</v>
      </c>
      <c r="L132" s="76" t="str">
        <f>IF(SUMIFS(Таблица2[WIN$],Таблица2[2],B132)=0,"-",SUMIFS(Таблица2[WIN$],Таблица2[2],B132))</f>
        <v>-</v>
      </c>
      <c r="M132" s="76" t="str">
        <f t="shared" si="6"/>
        <v>-</v>
      </c>
      <c r="N132" s="78" t="str">
        <f>IFERROR(Таблица467[[#This Row],[PROF]]/Таблица467[[#This Row],[Games]],"-")</f>
        <v>-</v>
      </c>
    </row>
    <row r="133" spans="1:14" ht="11.1" customHeight="1" x14ac:dyDescent="0.25">
      <c r="A133" s="93">
        <f t="shared" si="7"/>
        <v>92</v>
      </c>
      <c r="B133"/>
      <c r="C133"/>
      <c r="D133" s="75" t="str">
        <f>IF(COUNTIFS(Таблица2[2],B133)+SUMIFS(Таблица2[R],Таблица2[2],B133)=0,"",COUNTIFS(Таблица2[2],B133)+SUMIFS(Таблица2[R],Таблица2[2],B133))</f>
        <v/>
      </c>
      <c r="E133" s="76" t="str">
        <f>IF(SUMIFS(Таблица2[B$],Таблица2[2],B133)=0,"-",SUMIFS(Таблица2[B$],Таблица2[2],B133))</f>
        <v>-</v>
      </c>
      <c r="F133" s="77" t="str">
        <f>IFERROR(AVERAGEIFS(Таблица2[AFS],Таблица2[2],B133)+(AVERAGEIFS(Таблица2[AFS],Таблица2[2],B133)*0.2),"-")</f>
        <v>-</v>
      </c>
      <c r="G133" s="77" t="str">
        <f t="shared" si="5"/>
        <v>-</v>
      </c>
      <c r="H133" s="77" t="str">
        <f>IFERROR(COUNTIFS(Таблица2[2],B133,Таблица2[WIN$],"&gt;0")/D133*100,"-")</f>
        <v>-</v>
      </c>
      <c r="I133" s="77" t="str">
        <f>IF(IFERROR((COUNTIFS(Таблица2[2],B133,Таблица2[K],"K")+SUMIFS(Таблица2[R],Таблица2[2],B133,Таблица2[K],"K"))/D133*100,"-")=0,"-",IFERROR((COUNTIFS(Таблица2[2],B133,Таблица2[K],"K")+SUMIFS(Таблица2[R],Таблица2[2],B133,Таблица2[K],"K"))/D133*100,"-"))</f>
        <v>-</v>
      </c>
      <c r="J133" s="77" t="str">
        <f>IF(IFERROR((COUNTIFS(Таблица2[2],B133,Таблица2[T],"t")+SUMIFS(Таблица2[R],Таблица2[2],B133,Таблица2[T],"t"))/D133*100,"-")=0,"-",IFERROR((COUNTIFS(Таблица2[2],B133,Таблица2[T],"t")+SUMIFS(Таблица2[R],Таблица2[2],B133,Таблица2[T],"t"))/D133*100,"-"))</f>
        <v>-</v>
      </c>
      <c r="K133" s="76" t="str">
        <f>IF(SUMIFS(Таблица2[KO$],Таблица2[2],B133)=0,"-",SUMIFS(Таблица2[KO$],Таблица2[2],B133))</f>
        <v>-</v>
      </c>
      <c r="L133" s="76" t="str">
        <f>IF(SUMIFS(Таблица2[WIN$],Таблица2[2],B133)=0,"-",SUMIFS(Таблица2[WIN$],Таблица2[2],B133))</f>
        <v>-</v>
      </c>
      <c r="M133" s="76" t="str">
        <f t="shared" si="6"/>
        <v>-</v>
      </c>
      <c r="N133" s="78" t="str">
        <f>IFERROR(Таблица467[[#This Row],[PROF]]/Таблица467[[#This Row],[Games]],"-")</f>
        <v>-</v>
      </c>
    </row>
    <row r="134" spans="1:14" ht="11.1" customHeight="1" x14ac:dyDescent="0.25">
      <c r="A134" s="93">
        <f t="shared" si="7"/>
        <v>93</v>
      </c>
      <c r="B134"/>
      <c r="C134"/>
      <c r="D134" s="75" t="str">
        <f>IF(COUNTIFS(Таблица2[2],B134)+SUMIFS(Таблица2[R],Таблица2[2],B134)=0,"",COUNTIFS(Таблица2[2],B134)+SUMIFS(Таблица2[R],Таблица2[2],B134))</f>
        <v/>
      </c>
      <c r="E134" s="76" t="str">
        <f>IF(SUMIFS(Таблица2[B$],Таблица2[2],B134)=0,"-",SUMIFS(Таблица2[B$],Таблица2[2],B134))</f>
        <v>-</v>
      </c>
      <c r="F134" s="77" t="str">
        <f>IFERROR(AVERAGEIFS(Таблица2[AFS],Таблица2[2],B134)+(AVERAGEIFS(Таблица2[AFS],Таблица2[2],B134)*0.2),"-")</f>
        <v>-</v>
      </c>
      <c r="G134" s="77" t="str">
        <f t="shared" si="5"/>
        <v>-</v>
      </c>
      <c r="H134" s="77" t="str">
        <f>IFERROR(COUNTIFS(Таблица2[2],B134,Таблица2[WIN$],"&gt;0")/D134*100,"-")</f>
        <v>-</v>
      </c>
      <c r="I134" s="77" t="str">
        <f>IF(IFERROR((COUNTIFS(Таблица2[2],B134,Таблица2[K],"K")+SUMIFS(Таблица2[R],Таблица2[2],B134,Таблица2[K],"K"))/D134*100,"-")=0,"-",IFERROR((COUNTIFS(Таблица2[2],B134,Таблица2[K],"K")+SUMIFS(Таблица2[R],Таблица2[2],B134,Таблица2[K],"K"))/D134*100,"-"))</f>
        <v>-</v>
      </c>
      <c r="J134" s="77" t="str">
        <f>IF(IFERROR((COUNTIFS(Таблица2[2],B134,Таблица2[T],"t")+SUMIFS(Таблица2[R],Таблица2[2],B134,Таблица2[T],"t"))/D134*100,"-")=0,"-",IFERROR((COUNTIFS(Таблица2[2],B134,Таблица2[T],"t")+SUMIFS(Таблица2[R],Таблица2[2],B134,Таблица2[T],"t"))/D134*100,"-"))</f>
        <v>-</v>
      </c>
      <c r="K134" s="76" t="str">
        <f>IF(SUMIFS(Таблица2[KO$],Таблица2[2],B134)=0,"-",SUMIFS(Таблица2[KO$],Таблица2[2],B134))</f>
        <v>-</v>
      </c>
      <c r="L134" s="76" t="str">
        <f>IF(SUMIFS(Таблица2[WIN$],Таблица2[2],B134)=0,"-",SUMIFS(Таблица2[WIN$],Таблица2[2],B134))</f>
        <v>-</v>
      </c>
      <c r="M134" s="76" t="str">
        <f t="shared" si="6"/>
        <v>-</v>
      </c>
      <c r="N134" s="78" t="str">
        <f>IFERROR(Таблица467[[#This Row],[PROF]]/Таблица467[[#This Row],[Games]],"-")</f>
        <v>-</v>
      </c>
    </row>
    <row r="135" spans="1:14" ht="11.1" customHeight="1" x14ac:dyDescent="0.25">
      <c r="A135" s="93">
        <f t="shared" si="7"/>
        <v>94</v>
      </c>
      <c r="B135"/>
      <c r="C135"/>
      <c r="D135" s="75" t="str">
        <f>IF(COUNTIFS(Таблица2[2],B135)+SUMIFS(Таблица2[R],Таблица2[2],B135)=0,"",COUNTIFS(Таблица2[2],B135)+SUMIFS(Таблица2[R],Таблица2[2],B135))</f>
        <v/>
      </c>
      <c r="E135" s="76" t="str">
        <f>IF(SUMIFS(Таблица2[B$],Таблица2[2],B135)=0,"-",SUMIFS(Таблица2[B$],Таблица2[2],B135))</f>
        <v>-</v>
      </c>
      <c r="F135" s="77" t="str">
        <f>IFERROR(AVERAGEIFS(Таблица2[AFS],Таблица2[2],B135)+(AVERAGEIFS(Таблица2[AFS],Таблица2[2],B135)*0.2),"-")</f>
        <v>-</v>
      </c>
      <c r="G135" s="77" t="str">
        <f t="shared" si="5"/>
        <v>-</v>
      </c>
      <c r="H135" s="77" t="str">
        <f>IFERROR(COUNTIFS(Таблица2[2],B135,Таблица2[WIN$],"&gt;0")/D135*100,"-")</f>
        <v>-</v>
      </c>
      <c r="I135" s="77" t="str">
        <f>IF(IFERROR((COUNTIFS(Таблица2[2],B135,Таблица2[K],"K")+SUMIFS(Таблица2[R],Таблица2[2],B135,Таблица2[K],"K"))/D135*100,"-")=0,"-",IFERROR((COUNTIFS(Таблица2[2],B135,Таблица2[K],"K")+SUMIFS(Таблица2[R],Таблица2[2],B135,Таблица2[K],"K"))/D135*100,"-"))</f>
        <v>-</v>
      </c>
      <c r="J135" s="77" t="str">
        <f>IF(IFERROR((COUNTIFS(Таблица2[2],B135,Таблица2[T],"t")+SUMIFS(Таблица2[R],Таблица2[2],B135,Таблица2[T],"t"))/D135*100,"-")=0,"-",IFERROR((COUNTIFS(Таблица2[2],B135,Таблица2[T],"t")+SUMIFS(Таблица2[R],Таблица2[2],B135,Таблица2[T],"t"))/D135*100,"-"))</f>
        <v>-</v>
      </c>
      <c r="K135" s="76" t="str">
        <f>IF(SUMIFS(Таблица2[KO$],Таблица2[2],B135)=0,"-",SUMIFS(Таблица2[KO$],Таблица2[2],B135))</f>
        <v>-</v>
      </c>
      <c r="L135" s="76" t="str">
        <f>IF(SUMIFS(Таблица2[WIN$],Таблица2[2],B135)=0,"-",SUMIFS(Таблица2[WIN$],Таблица2[2],B135))</f>
        <v>-</v>
      </c>
      <c r="M135" s="76" t="str">
        <f t="shared" si="6"/>
        <v>-</v>
      </c>
      <c r="N135" s="78" t="str">
        <f>IFERROR(Таблица467[[#This Row],[PROF]]/Таблица467[[#This Row],[Games]],"-")</f>
        <v>-</v>
      </c>
    </row>
    <row r="136" spans="1:14" ht="11.1" customHeight="1" x14ac:dyDescent="0.25">
      <c r="A136" s="93">
        <f t="shared" si="7"/>
        <v>95</v>
      </c>
      <c r="B136"/>
      <c r="C136"/>
      <c r="D136" s="75" t="str">
        <f>IF(COUNTIFS(Таблица2[2],B136)+SUMIFS(Таблица2[R],Таблица2[2],B136)=0,"",COUNTIFS(Таблица2[2],B136)+SUMIFS(Таблица2[R],Таблица2[2],B136))</f>
        <v/>
      </c>
      <c r="E136" s="76" t="str">
        <f>IF(SUMIFS(Таблица2[B$],Таблица2[2],B136)=0,"-",SUMIFS(Таблица2[B$],Таблица2[2],B136))</f>
        <v>-</v>
      </c>
      <c r="F136" s="77" t="str">
        <f>IFERROR(AVERAGEIFS(Таблица2[AFS],Таблица2[2],B136)+(AVERAGEIFS(Таблица2[AFS],Таблица2[2],B136)*0.2),"-")</f>
        <v>-</v>
      </c>
      <c r="G136" s="77" t="str">
        <f t="shared" si="5"/>
        <v>-</v>
      </c>
      <c r="H136" s="77" t="str">
        <f>IFERROR(COUNTIFS(Таблица2[2],B136,Таблица2[WIN$],"&gt;0")/D136*100,"-")</f>
        <v>-</v>
      </c>
      <c r="I136" s="77" t="str">
        <f>IF(IFERROR((COUNTIFS(Таблица2[2],B136,Таблица2[K],"K")+SUMIFS(Таблица2[R],Таблица2[2],B136,Таблица2[K],"K"))/D136*100,"-")=0,"-",IFERROR((COUNTIFS(Таблица2[2],B136,Таблица2[K],"K")+SUMIFS(Таблица2[R],Таблица2[2],B136,Таблица2[K],"K"))/D136*100,"-"))</f>
        <v>-</v>
      </c>
      <c r="J136" s="77" t="str">
        <f>IF(IFERROR((COUNTIFS(Таблица2[2],B136,Таблица2[T],"t")+SUMIFS(Таблица2[R],Таблица2[2],B136,Таблица2[T],"t"))/D136*100,"-")=0,"-",IFERROR((COUNTIFS(Таблица2[2],B136,Таблица2[T],"t")+SUMIFS(Таблица2[R],Таблица2[2],B136,Таблица2[T],"t"))/D136*100,"-"))</f>
        <v>-</v>
      </c>
      <c r="K136" s="76" t="str">
        <f>IF(SUMIFS(Таблица2[KO$],Таблица2[2],B136)=0,"-",SUMIFS(Таблица2[KO$],Таблица2[2],B136))</f>
        <v>-</v>
      </c>
      <c r="L136" s="76" t="str">
        <f>IF(SUMIFS(Таблица2[WIN$],Таблица2[2],B136)=0,"-",SUMIFS(Таблица2[WIN$],Таблица2[2],B136))</f>
        <v>-</v>
      </c>
      <c r="M136" s="76" t="str">
        <f t="shared" si="6"/>
        <v>-</v>
      </c>
      <c r="N136" s="78" t="str">
        <f>IFERROR(Таблица467[[#This Row],[PROF]]/Таблица467[[#This Row],[Games]],"-")</f>
        <v>-</v>
      </c>
    </row>
    <row r="137" spans="1:14" ht="11.1" customHeight="1" x14ac:dyDescent="0.25">
      <c r="A137" s="93">
        <f t="shared" si="7"/>
        <v>96</v>
      </c>
      <c r="B137"/>
      <c r="C137"/>
      <c r="D137" s="75" t="str">
        <f>IF(COUNTIFS(Таблица2[2],B137)+SUMIFS(Таблица2[R],Таблица2[2],B137)=0,"",COUNTIFS(Таблица2[2],B137)+SUMIFS(Таблица2[R],Таблица2[2],B137))</f>
        <v/>
      </c>
      <c r="E137" s="76" t="str">
        <f>IF(SUMIFS(Таблица2[B$],Таблица2[2],B137)=0,"-",SUMIFS(Таблица2[B$],Таблица2[2],B137))</f>
        <v>-</v>
      </c>
      <c r="F137" s="77" t="str">
        <f>IFERROR(AVERAGEIFS(Таблица2[AFS],Таблица2[2],B137)+(AVERAGEIFS(Таблица2[AFS],Таблица2[2],B137)*0.2),"-")</f>
        <v>-</v>
      </c>
      <c r="G137" s="77" t="str">
        <f t="shared" si="5"/>
        <v>-</v>
      </c>
      <c r="H137" s="77" t="str">
        <f>IFERROR(COUNTIFS(Таблица2[2],B137,Таблица2[WIN$],"&gt;0")/D137*100,"-")</f>
        <v>-</v>
      </c>
      <c r="I137" s="77" t="str">
        <f>IF(IFERROR((COUNTIFS(Таблица2[2],B137,Таблица2[K],"K")+SUMIFS(Таблица2[R],Таблица2[2],B137,Таблица2[K],"K"))/D137*100,"-")=0,"-",IFERROR((COUNTIFS(Таблица2[2],B137,Таблица2[K],"K")+SUMIFS(Таблица2[R],Таблица2[2],B137,Таблица2[K],"K"))/D137*100,"-"))</f>
        <v>-</v>
      </c>
      <c r="J137" s="77" t="str">
        <f>IF(IFERROR((COUNTIFS(Таблица2[2],B137,Таблица2[T],"t")+SUMIFS(Таблица2[R],Таблица2[2],B137,Таблица2[T],"t"))/D137*100,"-")=0,"-",IFERROR((COUNTIFS(Таблица2[2],B137,Таблица2[T],"t")+SUMIFS(Таблица2[R],Таблица2[2],B137,Таблица2[T],"t"))/D137*100,"-"))</f>
        <v>-</v>
      </c>
      <c r="K137" s="76" t="str">
        <f>IF(SUMIFS(Таблица2[KO$],Таблица2[2],B137)=0,"-",SUMIFS(Таблица2[KO$],Таблица2[2],B137))</f>
        <v>-</v>
      </c>
      <c r="L137" s="76" t="str">
        <f>IF(SUMIFS(Таблица2[WIN$],Таблица2[2],B137)=0,"-",SUMIFS(Таблица2[WIN$],Таблица2[2],B137))</f>
        <v>-</v>
      </c>
      <c r="M137" s="76" t="str">
        <f t="shared" si="6"/>
        <v>-</v>
      </c>
      <c r="N137" s="78" t="str">
        <f>IFERROR(Таблица467[[#This Row],[PROF]]/Таблица467[[#This Row],[Games]],"-")</f>
        <v>-</v>
      </c>
    </row>
    <row r="138" spans="1:14" ht="11.1" customHeight="1" x14ac:dyDescent="0.25">
      <c r="A138" s="93">
        <f t="shared" si="7"/>
        <v>97</v>
      </c>
      <c r="B138"/>
      <c r="C138"/>
      <c r="D138" s="75" t="str">
        <f>IF(COUNTIFS(Таблица2[2],B138)+SUMIFS(Таблица2[R],Таблица2[2],B138)=0,"",COUNTIFS(Таблица2[2],B138)+SUMIFS(Таблица2[R],Таблица2[2],B138))</f>
        <v/>
      </c>
      <c r="E138" s="76" t="str">
        <f>IF(SUMIFS(Таблица2[B$],Таблица2[2],B138)=0,"-",SUMIFS(Таблица2[B$],Таблица2[2],B138))</f>
        <v>-</v>
      </c>
      <c r="F138" s="77" t="str">
        <f>IFERROR(AVERAGEIFS(Таблица2[AFS],Таблица2[2],B138)+(AVERAGEIFS(Таблица2[AFS],Таблица2[2],B138)*0.2),"-")</f>
        <v>-</v>
      </c>
      <c r="G138" s="77" t="str">
        <f t="shared" ref="G138:G169" si="8">IFERROR(M138/E138*100,"-")</f>
        <v>-</v>
      </c>
      <c r="H138" s="77" t="str">
        <f>IFERROR(COUNTIFS(Таблица2[2],B138,Таблица2[WIN$],"&gt;0")/D138*100,"-")</f>
        <v>-</v>
      </c>
      <c r="I138" s="77" t="str">
        <f>IF(IFERROR((COUNTIFS(Таблица2[2],B138,Таблица2[K],"K")+SUMIFS(Таблица2[R],Таблица2[2],B138,Таблица2[K],"K"))/D138*100,"-")=0,"-",IFERROR((COUNTIFS(Таблица2[2],B138,Таблица2[K],"K")+SUMIFS(Таблица2[R],Таблица2[2],B138,Таблица2[K],"K"))/D138*100,"-"))</f>
        <v>-</v>
      </c>
      <c r="J138" s="77" t="str">
        <f>IF(IFERROR((COUNTIFS(Таблица2[2],B138,Таблица2[T],"t")+SUMIFS(Таблица2[R],Таблица2[2],B138,Таблица2[T],"t"))/D138*100,"-")=0,"-",IFERROR((COUNTIFS(Таблица2[2],B138,Таблица2[T],"t")+SUMIFS(Таблица2[R],Таблица2[2],B138,Таблица2[T],"t"))/D138*100,"-"))</f>
        <v>-</v>
      </c>
      <c r="K138" s="76" t="str">
        <f>IF(SUMIFS(Таблица2[KO$],Таблица2[2],B138)=0,"-",SUMIFS(Таблица2[KO$],Таблица2[2],B138))</f>
        <v>-</v>
      </c>
      <c r="L138" s="76" t="str">
        <f>IF(SUMIFS(Таблица2[WIN$],Таблица2[2],B138)=0,"-",SUMIFS(Таблица2[WIN$],Таблица2[2],B138))</f>
        <v>-</v>
      </c>
      <c r="M138" s="76" t="str">
        <f t="shared" ref="M138:M169" si="9">IFERROR(IF(L138="-",0,L138)+IF(K138="-",0,K138)-E138,"-")</f>
        <v>-</v>
      </c>
      <c r="N138" s="78" t="str">
        <f>IFERROR(Таблица467[[#This Row],[PROF]]/Таблица467[[#This Row],[Games]],"-")</f>
        <v>-</v>
      </c>
    </row>
    <row r="139" spans="1:14" ht="11.1" customHeight="1" x14ac:dyDescent="0.25">
      <c r="A139" s="93">
        <f t="shared" si="7"/>
        <v>98</v>
      </c>
      <c r="B139"/>
      <c r="C139"/>
      <c r="D139" s="75" t="str">
        <f>IF(COUNTIFS(Таблица2[2],B139)+SUMIFS(Таблица2[R],Таблица2[2],B139)=0,"",COUNTIFS(Таблица2[2],B139)+SUMIFS(Таблица2[R],Таблица2[2],B139))</f>
        <v/>
      </c>
      <c r="E139" s="76" t="str">
        <f>IF(SUMIFS(Таблица2[B$],Таблица2[2],B139)=0,"-",SUMIFS(Таблица2[B$],Таблица2[2],B139))</f>
        <v>-</v>
      </c>
      <c r="F139" s="77" t="str">
        <f>IFERROR(AVERAGEIFS(Таблица2[AFS],Таблица2[2],B139)+(AVERAGEIFS(Таблица2[AFS],Таблица2[2],B139)*0.2),"-")</f>
        <v>-</v>
      </c>
      <c r="G139" s="77" t="str">
        <f t="shared" si="8"/>
        <v>-</v>
      </c>
      <c r="H139" s="77" t="str">
        <f>IFERROR(COUNTIFS(Таблица2[2],B139,Таблица2[WIN$],"&gt;0")/D139*100,"-")</f>
        <v>-</v>
      </c>
      <c r="I139" s="77" t="str">
        <f>IF(IFERROR((COUNTIFS(Таблица2[2],B139,Таблица2[K],"K")+SUMIFS(Таблица2[R],Таблица2[2],B139,Таблица2[K],"K"))/D139*100,"-")=0,"-",IFERROR((COUNTIFS(Таблица2[2],B139,Таблица2[K],"K")+SUMIFS(Таблица2[R],Таблица2[2],B139,Таблица2[K],"K"))/D139*100,"-"))</f>
        <v>-</v>
      </c>
      <c r="J139" s="77" t="str">
        <f>IF(IFERROR((COUNTIFS(Таблица2[2],B139,Таблица2[T],"t")+SUMIFS(Таблица2[R],Таблица2[2],B139,Таблица2[T],"t"))/D139*100,"-")=0,"-",IFERROR((COUNTIFS(Таблица2[2],B139,Таблица2[T],"t")+SUMIFS(Таблица2[R],Таблица2[2],B139,Таблица2[T],"t"))/D139*100,"-"))</f>
        <v>-</v>
      </c>
      <c r="K139" s="76" t="str">
        <f>IF(SUMIFS(Таблица2[KO$],Таблица2[2],B139)=0,"-",SUMIFS(Таблица2[KO$],Таблица2[2],B139))</f>
        <v>-</v>
      </c>
      <c r="L139" s="76" t="str">
        <f>IF(SUMIFS(Таблица2[WIN$],Таблица2[2],B139)=0,"-",SUMIFS(Таблица2[WIN$],Таблица2[2],B139))</f>
        <v>-</v>
      </c>
      <c r="M139" s="76" t="str">
        <f t="shared" si="9"/>
        <v>-</v>
      </c>
      <c r="N139" s="78" t="str">
        <f>IFERROR(Таблица467[[#This Row],[PROF]]/Таблица467[[#This Row],[Games]],"-")</f>
        <v>-</v>
      </c>
    </row>
    <row r="140" spans="1:14" ht="11.1" customHeight="1" x14ac:dyDescent="0.25">
      <c r="A140" s="93">
        <f t="shared" si="7"/>
        <v>99</v>
      </c>
      <c r="B140"/>
      <c r="C140"/>
      <c r="D140" s="75" t="str">
        <f>IF(COUNTIFS(Таблица2[2],B140)+SUMIFS(Таблица2[R],Таблица2[2],B140)=0,"",COUNTIFS(Таблица2[2],B140)+SUMIFS(Таблица2[R],Таблица2[2],B140))</f>
        <v/>
      </c>
      <c r="E140" s="76" t="str">
        <f>IF(SUMIFS(Таблица2[B$],Таблица2[2],B140)=0,"-",SUMIFS(Таблица2[B$],Таблица2[2],B140))</f>
        <v>-</v>
      </c>
      <c r="F140" s="77" t="str">
        <f>IFERROR(AVERAGEIFS(Таблица2[AFS],Таблица2[2],B140)+(AVERAGEIFS(Таблица2[AFS],Таблица2[2],B140)*0.2),"-")</f>
        <v>-</v>
      </c>
      <c r="G140" s="77" t="str">
        <f t="shared" si="8"/>
        <v>-</v>
      </c>
      <c r="H140" s="77" t="str">
        <f>IFERROR(COUNTIFS(Таблица2[2],B140,Таблица2[WIN$],"&gt;0")/D140*100,"-")</f>
        <v>-</v>
      </c>
      <c r="I140" s="77" t="str">
        <f>IF(IFERROR((COUNTIFS(Таблица2[2],B140,Таблица2[K],"K")+SUMIFS(Таблица2[R],Таблица2[2],B140,Таблица2[K],"K"))/D140*100,"-")=0,"-",IFERROR((COUNTIFS(Таблица2[2],B140,Таблица2[K],"K")+SUMIFS(Таблица2[R],Таблица2[2],B140,Таблица2[K],"K"))/D140*100,"-"))</f>
        <v>-</v>
      </c>
      <c r="J140" s="77" t="str">
        <f>IF(IFERROR((COUNTIFS(Таблица2[2],B140,Таблица2[T],"t")+SUMIFS(Таблица2[R],Таблица2[2],B140,Таблица2[T],"t"))/D140*100,"-")=0,"-",IFERROR((COUNTIFS(Таблица2[2],B140,Таблица2[T],"t")+SUMIFS(Таблица2[R],Таблица2[2],B140,Таблица2[T],"t"))/D140*100,"-"))</f>
        <v>-</v>
      </c>
      <c r="K140" s="76" t="str">
        <f>IF(SUMIFS(Таблица2[KO$],Таблица2[2],B140)=0,"-",SUMIFS(Таблица2[KO$],Таблица2[2],B140))</f>
        <v>-</v>
      </c>
      <c r="L140" s="76" t="str">
        <f>IF(SUMIFS(Таблица2[WIN$],Таблица2[2],B140)=0,"-",SUMIFS(Таблица2[WIN$],Таблица2[2],B140))</f>
        <v>-</v>
      </c>
      <c r="M140" s="76" t="str">
        <f t="shared" si="9"/>
        <v>-</v>
      </c>
      <c r="N140" s="78" t="str">
        <f>IFERROR(Таблица467[[#This Row],[PROF]]/Таблица467[[#This Row],[Games]],"-")</f>
        <v>-</v>
      </c>
    </row>
    <row r="141" spans="1:14" ht="11.1" customHeight="1" x14ac:dyDescent="0.25">
      <c r="A141" s="93">
        <f t="shared" si="7"/>
        <v>100</v>
      </c>
      <c r="B141"/>
      <c r="C141"/>
      <c r="D141" s="75" t="str">
        <f>IF(COUNTIFS(Таблица2[2],B141)+SUMIFS(Таблица2[R],Таблица2[2],B141)=0,"",COUNTIFS(Таблица2[2],B141)+SUMIFS(Таблица2[R],Таблица2[2],B141))</f>
        <v/>
      </c>
      <c r="E141" s="76" t="str">
        <f>IF(SUMIFS(Таблица2[B$],Таблица2[2],B141)=0,"-",SUMIFS(Таблица2[B$],Таблица2[2],B141))</f>
        <v>-</v>
      </c>
      <c r="F141" s="77" t="str">
        <f>IFERROR(AVERAGEIFS(Таблица2[AFS],Таблица2[2],B141)+(AVERAGEIFS(Таблица2[AFS],Таблица2[2],B141)*0.2),"-")</f>
        <v>-</v>
      </c>
      <c r="G141" s="77" t="str">
        <f t="shared" si="8"/>
        <v>-</v>
      </c>
      <c r="H141" s="77" t="str">
        <f>IFERROR(COUNTIFS(Таблица2[2],B141,Таблица2[WIN$],"&gt;0")/D141*100,"-")</f>
        <v>-</v>
      </c>
      <c r="I141" s="77" t="str">
        <f>IF(IFERROR((COUNTIFS(Таблица2[2],B141,Таблица2[K],"K")+SUMIFS(Таблица2[R],Таблица2[2],B141,Таблица2[K],"K"))/D141*100,"-")=0,"-",IFERROR((COUNTIFS(Таблица2[2],B141,Таблица2[K],"K")+SUMIFS(Таблица2[R],Таблица2[2],B141,Таблица2[K],"K"))/D141*100,"-"))</f>
        <v>-</v>
      </c>
      <c r="J141" s="77" t="str">
        <f>IF(IFERROR((COUNTIFS(Таблица2[2],B141,Таблица2[T],"t")+SUMIFS(Таблица2[R],Таблица2[2],B141,Таблица2[T],"t"))/D141*100,"-")=0,"-",IFERROR((COUNTIFS(Таблица2[2],B141,Таблица2[T],"t")+SUMIFS(Таблица2[R],Таблица2[2],B141,Таблица2[T],"t"))/D141*100,"-"))</f>
        <v>-</v>
      </c>
      <c r="K141" s="76" t="str">
        <f>IF(SUMIFS(Таблица2[KO$],Таблица2[2],B141)=0,"-",SUMIFS(Таблица2[KO$],Таблица2[2],B141))</f>
        <v>-</v>
      </c>
      <c r="L141" s="76" t="str">
        <f>IF(SUMIFS(Таблица2[WIN$],Таблица2[2],B141)=0,"-",SUMIFS(Таблица2[WIN$],Таблица2[2],B141))</f>
        <v>-</v>
      </c>
      <c r="M141" s="76" t="str">
        <f t="shared" si="9"/>
        <v>-</v>
      </c>
      <c r="N141" s="78" t="str">
        <f>IFERROR(Таблица467[[#This Row],[PROF]]/Таблица467[[#This Row],[Games]],"-")</f>
        <v>-</v>
      </c>
    </row>
    <row r="142" spans="1:14" ht="11.1" customHeight="1" x14ac:dyDescent="0.25">
      <c r="A142" s="93">
        <f t="shared" si="7"/>
        <v>101</v>
      </c>
      <c r="B142"/>
      <c r="C142"/>
      <c r="D142" s="75" t="str">
        <f>IF(COUNTIFS(Таблица2[2],B142)+SUMIFS(Таблица2[R],Таблица2[2],B142)=0,"",COUNTIFS(Таблица2[2],B142)+SUMIFS(Таблица2[R],Таблица2[2],B142))</f>
        <v/>
      </c>
      <c r="E142" s="76" t="str">
        <f>IF(SUMIFS(Таблица2[B$],Таблица2[2],B142)=0,"-",SUMIFS(Таблица2[B$],Таблица2[2],B142))</f>
        <v>-</v>
      </c>
      <c r="F142" s="77" t="str">
        <f>IFERROR(AVERAGEIFS(Таблица2[AFS],Таблица2[2],B142)+(AVERAGEIFS(Таблица2[AFS],Таблица2[2],B142)*0.2),"-")</f>
        <v>-</v>
      </c>
      <c r="G142" s="77" t="str">
        <f t="shared" si="8"/>
        <v>-</v>
      </c>
      <c r="H142" s="77" t="str">
        <f>IFERROR(COUNTIFS(Таблица2[2],B142,Таблица2[WIN$],"&gt;0")/D142*100,"-")</f>
        <v>-</v>
      </c>
      <c r="I142" s="77" t="str">
        <f>IF(IFERROR((COUNTIFS(Таблица2[2],B142,Таблица2[K],"K")+SUMIFS(Таблица2[R],Таблица2[2],B142,Таблица2[K],"K"))/D142*100,"-")=0,"-",IFERROR((COUNTIFS(Таблица2[2],B142,Таблица2[K],"K")+SUMIFS(Таблица2[R],Таблица2[2],B142,Таблица2[K],"K"))/D142*100,"-"))</f>
        <v>-</v>
      </c>
      <c r="J142" s="77" t="str">
        <f>IF(IFERROR((COUNTIFS(Таблица2[2],B142,Таблица2[T],"t")+SUMIFS(Таблица2[R],Таблица2[2],B142,Таблица2[T],"t"))/D142*100,"-")=0,"-",IFERROR((COUNTIFS(Таблица2[2],B142,Таблица2[T],"t")+SUMIFS(Таблица2[R],Таблица2[2],B142,Таблица2[T],"t"))/D142*100,"-"))</f>
        <v>-</v>
      </c>
      <c r="K142" s="76" t="str">
        <f>IF(SUMIFS(Таблица2[KO$],Таблица2[2],B142)=0,"-",SUMIFS(Таблица2[KO$],Таблица2[2],B142))</f>
        <v>-</v>
      </c>
      <c r="L142" s="76" t="str">
        <f>IF(SUMIFS(Таблица2[WIN$],Таблица2[2],B142)=0,"-",SUMIFS(Таблица2[WIN$],Таблица2[2],B142))</f>
        <v>-</v>
      </c>
      <c r="M142" s="76" t="str">
        <f t="shared" si="9"/>
        <v>-</v>
      </c>
      <c r="N142" s="78" t="str">
        <f>IFERROR(Таблица467[[#This Row],[PROF]]/Таблица467[[#This Row],[Games]],"-")</f>
        <v>-</v>
      </c>
    </row>
    <row r="143" spans="1:14" ht="11.1" customHeight="1" x14ac:dyDescent="0.25">
      <c r="A143" s="93">
        <f t="shared" si="7"/>
        <v>102</v>
      </c>
      <c r="B143"/>
      <c r="C143"/>
      <c r="D143" s="75" t="str">
        <f>IF(COUNTIFS(Таблица2[2],B143)+SUMIFS(Таблица2[R],Таблица2[2],B143)=0,"",COUNTIFS(Таблица2[2],B143)+SUMIFS(Таблица2[R],Таблица2[2],B143))</f>
        <v/>
      </c>
      <c r="E143" s="76" t="str">
        <f>IF(SUMIFS(Таблица2[B$],Таблица2[2],B143)=0,"-",SUMIFS(Таблица2[B$],Таблица2[2],B143))</f>
        <v>-</v>
      </c>
      <c r="F143" s="77" t="str">
        <f>IFERROR(AVERAGEIFS(Таблица2[AFS],Таблица2[2],B143)+(AVERAGEIFS(Таблица2[AFS],Таблица2[2],B143)*0.2),"-")</f>
        <v>-</v>
      </c>
      <c r="G143" s="77" t="str">
        <f t="shared" si="8"/>
        <v>-</v>
      </c>
      <c r="H143" s="77" t="str">
        <f>IFERROR(COUNTIFS(Таблица2[2],B143,Таблица2[WIN$],"&gt;0")/D143*100,"-")</f>
        <v>-</v>
      </c>
      <c r="I143" s="77" t="str">
        <f>IF(IFERROR((COUNTIFS(Таблица2[2],B143,Таблица2[K],"K")+SUMIFS(Таблица2[R],Таблица2[2],B143,Таблица2[K],"K"))/D143*100,"-")=0,"-",IFERROR((COUNTIFS(Таблица2[2],B143,Таблица2[K],"K")+SUMIFS(Таблица2[R],Таблица2[2],B143,Таблица2[K],"K"))/D143*100,"-"))</f>
        <v>-</v>
      </c>
      <c r="J143" s="77" t="str">
        <f>IF(IFERROR((COUNTIFS(Таблица2[2],B143,Таблица2[T],"t")+SUMIFS(Таблица2[R],Таблица2[2],B143,Таблица2[T],"t"))/D143*100,"-")=0,"-",IFERROR((COUNTIFS(Таблица2[2],B143,Таблица2[T],"t")+SUMIFS(Таблица2[R],Таблица2[2],B143,Таблица2[T],"t"))/D143*100,"-"))</f>
        <v>-</v>
      </c>
      <c r="K143" s="76" t="str">
        <f>IF(SUMIFS(Таблица2[KO$],Таблица2[2],B143)=0,"-",SUMIFS(Таблица2[KO$],Таблица2[2],B143))</f>
        <v>-</v>
      </c>
      <c r="L143" s="76" t="str">
        <f>IF(SUMIFS(Таблица2[WIN$],Таблица2[2],B143)=0,"-",SUMIFS(Таблица2[WIN$],Таблица2[2],B143))</f>
        <v>-</v>
      </c>
      <c r="M143" s="76" t="str">
        <f t="shared" si="9"/>
        <v>-</v>
      </c>
      <c r="N143" s="78" t="str">
        <f>IFERROR(Таблица467[[#This Row],[PROF]]/Таблица467[[#This Row],[Games]],"-")</f>
        <v>-</v>
      </c>
    </row>
    <row r="144" spans="1:14" ht="11.1" customHeight="1" x14ac:dyDescent="0.25">
      <c r="A144" s="93">
        <f t="shared" si="7"/>
        <v>103</v>
      </c>
      <c r="B144"/>
      <c r="C144"/>
      <c r="D144" s="75" t="str">
        <f>IF(COUNTIFS(Таблица2[2],B144)+SUMIFS(Таблица2[R],Таблица2[2],B144)=0,"",COUNTIFS(Таблица2[2],B144)+SUMIFS(Таблица2[R],Таблица2[2],B144))</f>
        <v/>
      </c>
      <c r="E144" s="76" t="str">
        <f>IF(SUMIFS(Таблица2[B$],Таблица2[2],B144)=0,"-",SUMIFS(Таблица2[B$],Таблица2[2],B144))</f>
        <v>-</v>
      </c>
      <c r="F144" s="77" t="str">
        <f>IFERROR(AVERAGEIFS(Таблица2[AFS],Таблица2[2],B144)+(AVERAGEIFS(Таблица2[AFS],Таблица2[2],B144)*0.2),"-")</f>
        <v>-</v>
      </c>
      <c r="G144" s="77" t="str">
        <f t="shared" si="8"/>
        <v>-</v>
      </c>
      <c r="H144" s="77" t="str">
        <f>IFERROR(COUNTIFS(Таблица2[2],B144,Таблица2[WIN$],"&gt;0")/D144*100,"-")</f>
        <v>-</v>
      </c>
      <c r="I144" s="77" t="str">
        <f>IF(IFERROR((COUNTIFS(Таблица2[2],B144,Таблица2[K],"K")+SUMIFS(Таблица2[R],Таблица2[2],B144,Таблица2[K],"K"))/D144*100,"-")=0,"-",IFERROR((COUNTIFS(Таблица2[2],B144,Таблица2[K],"K")+SUMIFS(Таблица2[R],Таблица2[2],B144,Таблица2[K],"K"))/D144*100,"-"))</f>
        <v>-</v>
      </c>
      <c r="J144" s="77" t="str">
        <f>IF(IFERROR((COUNTIFS(Таблица2[2],B144,Таблица2[T],"t")+SUMIFS(Таблица2[R],Таблица2[2],B144,Таблица2[T],"t"))/D144*100,"-")=0,"-",IFERROR((COUNTIFS(Таблица2[2],B144,Таблица2[T],"t")+SUMIFS(Таблица2[R],Таблица2[2],B144,Таблица2[T],"t"))/D144*100,"-"))</f>
        <v>-</v>
      </c>
      <c r="K144" s="76" t="str">
        <f>IF(SUMIFS(Таблица2[KO$],Таблица2[2],B144)=0,"-",SUMIFS(Таблица2[KO$],Таблица2[2],B144))</f>
        <v>-</v>
      </c>
      <c r="L144" s="76" t="str">
        <f>IF(SUMIFS(Таблица2[WIN$],Таблица2[2],B144)=0,"-",SUMIFS(Таблица2[WIN$],Таблица2[2],B144))</f>
        <v>-</v>
      </c>
      <c r="M144" s="76" t="str">
        <f t="shared" si="9"/>
        <v>-</v>
      </c>
      <c r="N144" s="78" t="str">
        <f>IFERROR(Таблица467[[#This Row],[PROF]]/Таблица467[[#This Row],[Games]],"-")</f>
        <v>-</v>
      </c>
    </row>
    <row r="145" spans="1:14" ht="11.1" customHeight="1" x14ac:dyDescent="0.25">
      <c r="A145" s="93">
        <f t="shared" si="7"/>
        <v>104</v>
      </c>
      <c r="B145"/>
      <c r="C145"/>
      <c r="D145" s="75" t="str">
        <f>IF(COUNTIFS(Таблица2[2],B145)+SUMIFS(Таблица2[R],Таблица2[2],B145)=0,"",COUNTIFS(Таблица2[2],B145)+SUMIFS(Таблица2[R],Таблица2[2],B145))</f>
        <v/>
      </c>
      <c r="E145" s="76" t="str">
        <f>IF(SUMIFS(Таблица2[B$],Таблица2[2],B145)=0,"-",SUMIFS(Таблица2[B$],Таблица2[2],B145))</f>
        <v>-</v>
      </c>
      <c r="F145" s="77" t="str">
        <f>IFERROR(AVERAGEIFS(Таблица2[AFS],Таблица2[2],B145)+(AVERAGEIFS(Таблица2[AFS],Таблица2[2],B145)*0.2),"-")</f>
        <v>-</v>
      </c>
      <c r="G145" s="77" t="str">
        <f t="shared" si="8"/>
        <v>-</v>
      </c>
      <c r="H145" s="77" t="str">
        <f>IFERROR(COUNTIFS(Таблица2[2],B145,Таблица2[WIN$],"&gt;0")/D145*100,"-")</f>
        <v>-</v>
      </c>
      <c r="I145" s="77" t="str">
        <f>IF(IFERROR((COUNTIFS(Таблица2[2],B145,Таблица2[K],"K")+SUMIFS(Таблица2[R],Таблица2[2],B145,Таблица2[K],"K"))/D145*100,"-")=0,"-",IFERROR((COUNTIFS(Таблица2[2],B145,Таблица2[K],"K")+SUMIFS(Таблица2[R],Таблица2[2],B145,Таблица2[K],"K"))/D145*100,"-"))</f>
        <v>-</v>
      </c>
      <c r="J145" s="77" t="str">
        <f>IF(IFERROR((COUNTIFS(Таблица2[2],B145,Таблица2[T],"t")+SUMIFS(Таблица2[R],Таблица2[2],B145,Таблица2[T],"t"))/D145*100,"-")=0,"-",IFERROR((COUNTIFS(Таблица2[2],B145,Таблица2[T],"t")+SUMIFS(Таблица2[R],Таблица2[2],B145,Таблица2[T],"t"))/D145*100,"-"))</f>
        <v>-</v>
      </c>
      <c r="K145" s="76" t="str">
        <f>IF(SUMIFS(Таблица2[KO$],Таблица2[2],B145)=0,"-",SUMIFS(Таблица2[KO$],Таблица2[2],B145))</f>
        <v>-</v>
      </c>
      <c r="L145" s="76" t="str">
        <f>IF(SUMIFS(Таблица2[WIN$],Таблица2[2],B145)=0,"-",SUMIFS(Таблица2[WIN$],Таблица2[2],B145))</f>
        <v>-</v>
      </c>
      <c r="M145" s="76" t="str">
        <f t="shared" si="9"/>
        <v>-</v>
      </c>
      <c r="N145" s="78" t="str">
        <f>IFERROR(Таблица467[[#This Row],[PROF]]/Таблица467[[#This Row],[Games]],"-")</f>
        <v>-</v>
      </c>
    </row>
    <row r="146" spans="1:14" ht="11.1" customHeight="1" x14ac:dyDescent="0.25">
      <c r="A146" s="93">
        <f t="shared" si="7"/>
        <v>105</v>
      </c>
      <c r="B146"/>
      <c r="C146"/>
      <c r="D146" s="75" t="str">
        <f>IF(COUNTIFS(Таблица2[2],B146)+SUMIFS(Таблица2[R],Таблица2[2],B146)=0,"",COUNTIFS(Таблица2[2],B146)+SUMIFS(Таблица2[R],Таблица2[2],B146))</f>
        <v/>
      </c>
      <c r="E146" s="76" t="str">
        <f>IF(SUMIFS(Таблица2[B$],Таблица2[2],B146)=0,"-",SUMIFS(Таблица2[B$],Таблица2[2],B146))</f>
        <v>-</v>
      </c>
      <c r="F146" s="77" t="str">
        <f>IFERROR(AVERAGEIFS(Таблица2[AFS],Таблица2[2],B146)+(AVERAGEIFS(Таблица2[AFS],Таблица2[2],B146)*0.2),"-")</f>
        <v>-</v>
      </c>
      <c r="G146" s="77" t="str">
        <f t="shared" si="8"/>
        <v>-</v>
      </c>
      <c r="H146" s="77" t="str">
        <f>IFERROR(COUNTIFS(Таблица2[2],B146,Таблица2[WIN$],"&gt;0")/D146*100,"-")</f>
        <v>-</v>
      </c>
      <c r="I146" s="77" t="str">
        <f>IF(IFERROR((COUNTIFS(Таблица2[2],B146,Таблица2[K],"K")+SUMIFS(Таблица2[R],Таблица2[2],B146,Таблица2[K],"K"))/D146*100,"-")=0,"-",IFERROR((COUNTIFS(Таблица2[2],B146,Таблица2[K],"K")+SUMIFS(Таблица2[R],Таблица2[2],B146,Таблица2[K],"K"))/D146*100,"-"))</f>
        <v>-</v>
      </c>
      <c r="J146" s="77" t="str">
        <f>IF(IFERROR((COUNTIFS(Таблица2[2],B146,Таблица2[T],"t")+SUMIFS(Таблица2[R],Таблица2[2],B146,Таблица2[T],"t"))/D146*100,"-")=0,"-",IFERROR((COUNTIFS(Таблица2[2],B146,Таблица2[T],"t")+SUMIFS(Таблица2[R],Таблица2[2],B146,Таблица2[T],"t"))/D146*100,"-"))</f>
        <v>-</v>
      </c>
      <c r="K146" s="76" t="str">
        <f>IF(SUMIFS(Таблица2[KO$],Таблица2[2],B146)=0,"-",SUMIFS(Таблица2[KO$],Таблица2[2],B146))</f>
        <v>-</v>
      </c>
      <c r="L146" s="76" t="str">
        <f>IF(SUMIFS(Таблица2[WIN$],Таблица2[2],B146)=0,"-",SUMIFS(Таблица2[WIN$],Таблица2[2],B146))</f>
        <v>-</v>
      </c>
      <c r="M146" s="76" t="str">
        <f t="shared" si="9"/>
        <v>-</v>
      </c>
      <c r="N146" s="78" t="str">
        <f>IFERROR(Таблица467[[#This Row],[PROF]]/Таблица467[[#This Row],[Games]],"-")</f>
        <v>-</v>
      </c>
    </row>
    <row r="147" spans="1:14" ht="11.1" customHeight="1" x14ac:dyDescent="0.25">
      <c r="A147" s="93">
        <f t="shared" si="7"/>
        <v>106</v>
      </c>
      <c r="B147"/>
      <c r="C147"/>
      <c r="D147" s="75" t="str">
        <f>IF(COUNTIFS(Таблица2[2],B147)+SUMIFS(Таблица2[R],Таблица2[2],B147)=0,"",COUNTIFS(Таблица2[2],B147)+SUMIFS(Таблица2[R],Таблица2[2],B147))</f>
        <v/>
      </c>
      <c r="E147" s="76" t="str">
        <f>IF(SUMIFS(Таблица2[B$],Таблица2[2],B147)=0,"-",SUMIFS(Таблица2[B$],Таблица2[2],B147))</f>
        <v>-</v>
      </c>
      <c r="F147" s="77" t="str">
        <f>IFERROR(AVERAGEIFS(Таблица2[AFS],Таблица2[2],B147)+(AVERAGEIFS(Таблица2[AFS],Таблица2[2],B147)*0.2),"-")</f>
        <v>-</v>
      </c>
      <c r="G147" s="77" t="str">
        <f t="shared" si="8"/>
        <v>-</v>
      </c>
      <c r="H147" s="77" t="str">
        <f>IFERROR(COUNTIFS(Таблица2[2],B147,Таблица2[WIN$],"&gt;0")/D147*100,"-")</f>
        <v>-</v>
      </c>
      <c r="I147" s="77" t="str">
        <f>IF(IFERROR((COUNTIFS(Таблица2[2],B147,Таблица2[K],"K")+SUMIFS(Таблица2[R],Таблица2[2],B147,Таблица2[K],"K"))/D147*100,"-")=0,"-",IFERROR((COUNTIFS(Таблица2[2],B147,Таблица2[K],"K")+SUMIFS(Таблица2[R],Таблица2[2],B147,Таблица2[K],"K"))/D147*100,"-"))</f>
        <v>-</v>
      </c>
      <c r="J147" s="77" t="str">
        <f>IF(IFERROR((COUNTIFS(Таблица2[2],B147,Таблица2[T],"t")+SUMIFS(Таблица2[R],Таблица2[2],B147,Таблица2[T],"t"))/D147*100,"-")=0,"-",IFERROR((COUNTIFS(Таблица2[2],B147,Таблица2[T],"t")+SUMIFS(Таблица2[R],Таблица2[2],B147,Таблица2[T],"t"))/D147*100,"-"))</f>
        <v>-</v>
      </c>
      <c r="K147" s="76" t="str">
        <f>IF(SUMIFS(Таблица2[KO$],Таблица2[2],B147)=0,"-",SUMIFS(Таблица2[KO$],Таблица2[2],B147))</f>
        <v>-</v>
      </c>
      <c r="L147" s="76" t="str">
        <f>IF(SUMIFS(Таблица2[WIN$],Таблица2[2],B147)=0,"-",SUMIFS(Таблица2[WIN$],Таблица2[2],B147))</f>
        <v>-</v>
      </c>
      <c r="M147" s="76" t="str">
        <f t="shared" si="9"/>
        <v>-</v>
      </c>
      <c r="N147" s="78" t="str">
        <f>IFERROR(Таблица467[[#This Row],[PROF]]/Таблица467[[#This Row],[Games]],"-")</f>
        <v>-</v>
      </c>
    </row>
    <row r="148" spans="1:14" ht="11.1" customHeight="1" x14ac:dyDescent="0.25">
      <c r="A148" s="93">
        <f t="shared" si="7"/>
        <v>107</v>
      </c>
      <c r="B148"/>
      <c r="C148"/>
      <c r="D148" s="75" t="str">
        <f>IF(COUNTIFS(Таблица2[2],B148)+SUMIFS(Таблица2[R],Таблица2[2],B148)=0,"",COUNTIFS(Таблица2[2],B148)+SUMIFS(Таблица2[R],Таблица2[2],B148))</f>
        <v/>
      </c>
      <c r="E148" s="76" t="str">
        <f>IF(SUMIFS(Таблица2[B$],Таблица2[2],B148)=0,"-",SUMIFS(Таблица2[B$],Таблица2[2],B148))</f>
        <v>-</v>
      </c>
      <c r="F148" s="77" t="str">
        <f>IFERROR(AVERAGEIFS(Таблица2[AFS],Таблица2[2],B148)+(AVERAGEIFS(Таблица2[AFS],Таблица2[2],B148)*0.2),"-")</f>
        <v>-</v>
      </c>
      <c r="G148" s="77" t="str">
        <f t="shared" si="8"/>
        <v>-</v>
      </c>
      <c r="H148" s="77" t="str">
        <f>IFERROR(COUNTIFS(Таблица2[2],B148,Таблица2[WIN$],"&gt;0")/D148*100,"-")</f>
        <v>-</v>
      </c>
      <c r="I148" s="77" t="str">
        <f>IF(IFERROR((COUNTIFS(Таблица2[2],B148,Таблица2[K],"K")+SUMIFS(Таблица2[R],Таблица2[2],B148,Таблица2[K],"K"))/D148*100,"-")=0,"-",IFERROR((COUNTIFS(Таблица2[2],B148,Таблица2[K],"K")+SUMIFS(Таблица2[R],Таблица2[2],B148,Таблица2[K],"K"))/D148*100,"-"))</f>
        <v>-</v>
      </c>
      <c r="J148" s="77" t="str">
        <f>IF(IFERROR((COUNTIFS(Таблица2[2],B148,Таблица2[T],"t")+SUMIFS(Таблица2[R],Таблица2[2],B148,Таблица2[T],"t"))/D148*100,"-")=0,"-",IFERROR((COUNTIFS(Таблица2[2],B148,Таблица2[T],"t")+SUMIFS(Таблица2[R],Таблица2[2],B148,Таблица2[T],"t"))/D148*100,"-"))</f>
        <v>-</v>
      </c>
      <c r="K148" s="76" t="str">
        <f>IF(SUMIFS(Таблица2[KO$],Таблица2[2],B148)=0,"-",SUMIFS(Таблица2[KO$],Таблица2[2],B148))</f>
        <v>-</v>
      </c>
      <c r="L148" s="76" t="str">
        <f>IF(SUMIFS(Таблица2[WIN$],Таблица2[2],B148)=0,"-",SUMIFS(Таблица2[WIN$],Таблица2[2],B148))</f>
        <v>-</v>
      </c>
      <c r="M148" s="76" t="str">
        <f t="shared" si="9"/>
        <v>-</v>
      </c>
      <c r="N148" s="78" t="str">
        <f>IFERROR(Таблица467[[#This Row],[PROF]]/Таблица467[[#This Row],[Games]],"-")</f>
        <v>-</v>
      </c>
    </row>
    <row r="149" spans="1:14" ht="11.1" customHeight="1" x14ac:dyDescent="0.25">
      <c r="A149" s="93">
        <f t="shared" si="7"/>
        <v>108</v>
      </c>
      <c r="B149"/>
      <c r="C149"/>
      <c r="D149" s="75" t="str">
        <f>IF(COUNTIFS(Таблица2[2],B149)+SUMIFS(Таблица2[R],Таблица2[2],B149)=0,"",COUNTIFS(Таблица2[2],B149)+SUMIFS(Таблица2[R],Таблица2[2],B149))</f>
        <v/>
      </c>
      <c r="E149" s="76" t="str">
        <f>IF(SUMIFS(Таблица2[B$],Таблица2[2],B149)=0,"-",SUMIFS(Таблица2[B$],Таблица2[2],B149))</f>
        <v>-</v>
      </c>
      <c r="F149" s="77" t="str">
        <f>IFERROR(AVERAGEIFS(Таблица2[AFS],Таблица2[2],B149)+(AVERAGEIFS(Таблица2[AFS],Таблица2[2],B149)*0.2),"-")</f>
        <v>-</v>
      </c>
      <c r="G149" s="77" t="str">
        <f t="shared" si="8"/>
        <v>-</v>
      </c>
      <c r="H149" s="77" t="str">
        <f>IFERROR(COUNTIFS(Таблица2[2],B149,Таблица2[WIN$],"&gt;0")/D149*100,"-")</f>
        <v>-</v>
      </c>
      <c r="I149" s="77" t="str">
        <f>IF(IFERROR((COUNTIFS(Таблица2[2],B149,Таблица2[K],"K")+SUMIFS(Таблица2[R],Таблица2[2],B149,Таблица2[K],"K"))/D149*100,"-")=0,"-",IFERROR((COUNTIFS(Таблица2[2],B149,Таблица2[K],"K")+SUMIFS(Таблица2[R],Таблица2[2],B149,Таблица2[K],"K"))/D149*100,"-"))</f>
        <v>-</v>
      </c>
      <c r="J149" s="77" t="str">
        <f>IF(IFERROR((COUNTIFS(Таблица2[2],B149,Таблица2[T],"t")+SUMIFS(Таблица2[R],Таблица2[2],B149,Таблица2[T],"t"))/D149*100,"-")=0,"-",IFERROR((COUNTIFS(Таблица2[2],B149,Таблица2[T],"t")+SUMIFS(Таблица2[R],Таблица2[2],B149,Таблица2[T],"t"))/D149*100,"-"))</f>
        <v>-</v>
      </c>
      <c r="K149" s="76" t="str">
        <f>IF(SUMIFS(Таблица2[KO$],Таблица2[2],B149)=0,"-",SUMIFS(Таблица2[KO$],Таблица2[2],B149))</f>
        <v>-</v>
      </c>
      <c r="L149" s="76" t="str">
        <f>IF(SUMIFS(Таблица2[WIN$],Таблица2[2],B149)=0,"-",SUMIFS(Таблица2[WIN$],Таблица2[2],B149))</f>
        <v>-</v>
      </c>
      <c r="M149" s="76" t="str">
        <f t="shared" si="9"/>
        <v>-</v>
      </c>
      <c r="N149" s="78" t="str">
        <f>IFERROR(Таблица467[[#This Row],[PROF]]/Таблица467[[#This Row],[Games]],"-")</f>
        <v>-</v>
      </c>
    </row>
    <row r="150" spans="1:14" ht="11.1" customHeight="1" x14ac:dyDescent="0.25">
      <c r="A150" s="93">
        <f t="shared" si="7"/>
        <v>109</v>
      </c>
      <c r="B150"/>
      <c r="C150"/>
      <c r="D150" s="75" t="str">
        <f>IF(COUNTIFS(Таблица2[2],B150)+SUMIFS(Таблица2[R],Таблица2[2],B150)=0,"",COUNTIFS(Таблица2[2],B150)+SUMIFS(Таблица2[R],Таблица2[2],B150))</f>
        <v/>
      </c>
      <c r="E150" s="76" t="str">
        <f>IF(SUMIFS(Таблица2[B$],Таблица2[2],B150)=0,"-",SUMIFS(Таблица2[B$],Таблица2[2],B150))</f>
        <v>-</v>
      </c>
      <c r="F150" s="77" t="str">
        <f>IFERROR(AVERAGEIFS(Таблица2[AFS],Таблица2[2],B150)+(AVERAGEIFS(Таблица2[AFS],Таблица2[2],B150)*0.2),"-")</f>
        <v>-</v>
      </c>
      <c r="G150" s="77" t="str">
        <f t="shared" si="8"/>
        <v>-</v>
      </c>
      <c r="H150" s="77" t="str">
        <f>IFERROR(COUNTIFS(Таблица2[2],B150,Таблица2[WIN$],"&gt;0")/D150*100,"-")</f>
        <v>-</v>
      </c>
      <c r="I150" s="77" t="str">
        <f>IF(IFERROR((COUNTIFS(Таблица2[2],B150,Таблица2[K],"K")+SUMIFS(Таблица2[R],Таблица2[2],B150,Таблица2[K],"K"))/D150*100,"-")=0,"-",IFERROR((COUNTIFS(Таблица2[2],B150,Таблица2[K],"K")+SUMIFS(Таблица2[R],Таблица2[2],B150,Таблица2[K],"K"))/D150*100,"-"))</f>
        <v>-</v>
      </c>
      <c r="J150" s="77" t="str">
        <f>IF(IFERROR((COUNTIFS(Таблица2[2],B150,Таблица2[T],"t")+SUMIFS(Таблица2[R],Таблица2[2],B150,Таблица2[T],"t"))/D150*100,"-")=0,"-",IFERROR((COUNTIFS(Таблица2[2],B150,Таблица2[T],"t")+SUMIFS(Таблица2[R],Таблица2[2],B150,Таблица2[T],"t"))/D150*100,"-"))</f>
        <v>-</v>
      </c>
      <c r="K150" s="76" t="str">
        <f>IF(SUMIFS(Таблица2[KO$],Таблица2[2],B150)=0,"-",SUMIFS(Таблица2[KO$],Таблица2[2],B150))</f>
        <v>-</v>
      </c>
      <c r="L150" s="76" t="str">
        <f>IF(SUMIFS(Таблица2[WIN$],Таблица2[2],B150)=0,"-",SUMIFS(Таблица2[WIN$],Таблица2[2],B150))</f>
        <v>-</v>
      </c>
      <c r="M150" s="76" t="str">
        <f t="shared" si="9"/>
        <v>-</v>
      </c>
      <c r="N150" s="78" t="str">
        <f>IFERROR(Таблица467[[#This Row],[PROF]]/Таблица467[[#This Row],[Games]],"-")</f>
        <v>-</v>
      </c>
    </row>
    <row r="151" spans="1:14" ht="11.1" customHeight="1" x14ac:dyDescent="0.25">
      <c r="A151" s="93">
        <f t="shared" si="7"/>
        <v>110</v>
      </c>
      <c r="B151"/>
      <c r="C151"/>
      <c r="D151" s="75" t="str">
        <f>IF(COUNTIFS(Таблица2[2],B151)+SUMIFS(Таблица2[R],Таблица2[2],B151)=0,"",COUNTIFS(Таблица2[2],B151)+SUMIFS(Таблица2[R],Таблица2[2],B151))</f>
        <v/>
      </c>
      <c r="E151" s="76" t="str">
        <f>IF(SUMIFS(Таблица2[B$],Таблица2[2],B151)=0,"-",SUMIFS(Таблица2[B$],Таблица2[2],B151))</f>
        <v>-</v>
      </c>
      <c r="F151" s="77" t="str">
        <f>IFERROR(AVERAGEIFS(Таблица2[AFS],Таблица2[2],B151)+(AVERAGEIFS(Таблица2[AFS],Таблица2[2],B151)*0.2),"-")</f>
        <v>-</v>
      </c>
      <c r="G151" s="77" t="str">
        <f t="shared" si="8"/>
        <v>-</v>
      </c>
      <c r="H151" s="77" t="str">
        <f>IFERROR(COUNTIFS(Таблица2[2],B151,Таблица2[WIN$],"&gt;0")/D151*100,"-")</f>
        <v>-</v>
      </c>
      <c r="I151" s="77" t="str">
        <f>IF(IFERROR((COUNTIFS(Таблица2[2],B151,Таблица2[K],"K")+SUMIFS(Таблица2[R],Таблица2[2],B151,Таблица2[K],"K"))/D151*100,"-")=0,"-",IFERROR((COUNTIFS(Таблица2[2],B151,Таблица2[K],"K")+SUMIFS(Таблица2[R],Таблица2[2],B151,Таблица2[K],"K"))/D151*100,"-"))</f>
        <v>-</v>
      </c>
      <c r="J151" s="77" t="str">
        <f>IF(IFERROR((COUNTIFS(Таблица2[2],B151,Таблица2[T],"t")+SUMIFS(Таблица2[R],Таблица2[2],B151,Таблица2[T],"t"))/D151*100,"-")=0,"-",IFERROR((COUNTIFS(Таблица2[2],B151,Таблица2[T],"t")+SUMIFS(Таблица2[R],Таблица2[2],B151,Таблица2[T],"t"))/D151*100,"-"))</f>
        <v>-</v>
      </c>
      <c r="K151" s="76" t="str">
        <f>IF(SUMIFS(Таблица2[KO$],Таблица2[2],B151)=0,"-",SUMIFS(Таблица2[KO$],Таблица2[2],B151))</f>
        <v>-</v>
      </c>
      <c r="L151" s="76" t="str">
        <f>IF(SUMIFS(Таблица2[WIN$],Таблица2[2],B151)=0,"-",SUMIFS(Таблица2[WIN$],Таблица2[2],B151))</f>
        <v>-</v>
      </c>
      <c r="M151" s="76" t="str">
        <f t="shared" si="9"/>
        <v>-</v>
      </c>
      <c r="N151" s="78" t="str">
        <f>IFERROR(Таблица467[[#This Row],[PROF]]/Таблица467[[#This Row],[Games]],"-")</f>
        <v>-</v>
      </c>
    </row>
    <row r="152" spans="1:14" ht="11.1" customHeight="1" x14ac:dyDescent="0.25">
      <c r="A152" s="93">
        <f t="shared" si="7"/>
        <v>111</v>
      </c>
      <c r="B152"/>
      <c r="C152"/>
      <c r="D152" s="75" t="str">
        <f>IF(COUNTIFS(Таблица2[2],B152)+SUMIFS(Таблица2[R],Таблица2[2],B152)=0,"",COUNTIFS(Таблица2[2],B152)+SUMIFS(Таблица2[R],Таблица2[2],B152))</f>
        <v/>
      </c>
      <c r="E152" s="76" t="str">
        <f>IF(SUMIFS(Таблица2[B$],Таблица2[2],B152)=0,"-",SUMIFS(Таблица2[B$],Таблица2[2],B152))</f>
        <v>-</v>
      </c>
      <c r="F152" s="77" t="str">
        <f>IFERROR(AVERAGEIFS(Таблица2[AFS],Таблица2[2],B152)+(AVERAGEIFS(Таблица2[AFS],Таблица2[2],B152)*0.2),"-")</f>
        <v>-</v>
      </c>
      <c r="G152" s="77" t="str">
        <f t="shared" si="8"/>
        <v>-</v>
      </c>
      <c r="H152" s="77" t="str">
        <f>IFERROR(COUNTIFS(Таблица2[2],B152,Таблица2[WIN$],"&gt;0")/D152*100,"-")</f>
        <v>-</v>
      </c>
      <c r="I152" s="77" t="str">
        <f>IF(IFERROR((COUNTIFS(Таблица2[2],B152,Таблица2[K],"K")+SUMIFS(Таблица2[R],Таблица2[2],B152,Таблица2[K],"K"))/D152*100,"-")=0,"-",IFERROR((COUNTIFS(Таблица2[2],B152,Таблица2[K],"K")+SUMIFS(Таблица2[R],Таблица2[2],B152,Таблица2[K],"K"))/D152*100,"-"))</f>
        <v>-</v>
      </c>
      <c r="J152" s="77" t="str">
        <f>IF(IFERROR((COUNTIFS(Таблица2[2],B152,Таблица2[T],"t")+SUMIFS(Таблица2[R],Таблица2[2],B152,Таблица2[T],"t"))/D152*100,"-")=0,"-",IFERROR((COUNTIFS(Таблица2[2],B152,Таблица2[T],"t")+SUMIFS(Таблица2[R],Таблица2[2],B152,Таблица2[T],"t"))/D152*100,"-"))</f>
        <v>-</v>
      </c>
      <c r="K152" s="76" t="str">
        <f>IF(SUMIFS(Таблица2[KO$],Таблица2[2],B152)=0,"-",SUMIFS(Таблица2[KO$],Таблица2[2],B152))</f>
        <v>-</v>
      </c>
      <c r="L152" s="76" t="str">
        <f>IF(SUMIFS(Таблица2[WIN$],Таблица2[2],B152)=0,"-",SUMIFS(Таблица2[WIN$],Таблица2[2],B152))</f>
        <v>-</v>
      </c>
      <c r="M152" s="76" t="str">
        <f t="shared" si="9"/>
        <v>-</v>
      </c>
      <c r="N152" s="78" t="str">
        <f>IFERROR(Таблица467[[#This Row],[PROF]]/Таблица467[[#This Row],[Games]],"-")</f>
        <v>-</v>
      </c>
    </row>
    <row r="153" spans="1:14" ht="11.1" customHeight="1" x14ac:dyDescent="0.25">
      <c r="A153" s="93">
        <f t="shared" si="7"/>
        <v>112</v>
      </c>
      <c r="B153"/>
      <c r="C153"/>
      <c r="D153" s="75" t="str">
        <f>IF(COUNTIFS(Таблица2[2],B153)+SUMIFS(Таблица2[R],Таблица2[2],B153)=0,"",COUNTIFS(Таблица2[2],B153)+SUMIFS(Таблица2[R],Таблица2[2],B153))</f>
        <v/>
      </c>
      <c r="E153" s="76" t="str">
        <f>IF(SUMIFS(Таблица2[B$],Таблица2[2],B153)=0,"-",SUMIFS(Таблица2[B$],Таблица2[2],B153))</f>
        <v>-</v>
      </c>
      <c r="F153" s="77" t="str">
        <f>IFERROR(AVERAGEIFS(Таблица2[AFS],Таблица2[2],B153)+(AVERAGEIFS(Таблица2[AFS],Таблица2[2],B153)*0.2),"-")</f>
        <v>-</v>
      </c>
      <c r="G153" s="77" t="str">
        <f t="shared" si="8"/>
        <v>-</v>
      </c>
      <c r="H153" s="77" t="str">
        <f>IFERROR(COUNTIFS(Таблица2[2],B153,Таблица2[WIN$],"&gt;0")/D153*100,"-")</f>
        <v>-</v>
      </c>
      <c r="I153" s="77" t="str">
        <f>IF(IFERROR((COUNTIFS(Таблица2[2],B153,Таблица2[K],"K")+SUMIFS(Таблица2[R],Таблица2[2],B153,Таблица2[K],"K"))/D153*100,"-")=0,"-",IFERROR((COUNTIFS(Таблица2[2],B153,Таблица2[K],"K")+SUMIFS(Таблица2[R],Таблица2[2],B153,Таблица2[K],"K"))/D153*100,"-"))</f>
        <v>-</v>
      </c>
      <c r="J153" s="77" t="str">
        <f>IF(IFERROR((COUNTIFS(Таблица2[2],B153,Таблица2[T],"t")+SUMIFS(Таблица2[R],Таблица2[2],B153,Таблица2[T],"t"))/D153*100,"-")=0,"-",IFERROR((COUNTIFS(Таблица2[2],B153,Таблица2[T],"t")+SUMIFS(Таблица2[R],Таблица2[2],B153,Таблица2[T],"t"))/D153*100,"-"))</f>
        <v>-</v>
      </c>
      <c r="K153" s="76" t="str">
        <f>IF(SUMIFS(Таблица2[KO$],Таблица2[2],B153)=0,"-",SUMIFS(Таблица2[KO$],Таблица2[2],B153))</f>
        <v>-</v>
      </c>
      <c r="L153" s="76" t="str">
        <f>IF(SUMIFS(Таблица2[WIN$],Таблица2[2],B153)=0,"-",SUMIFS(Таблица2[WIN$],Таблица2[2],B153))</f>
        <v>-</v>
      </c>
      <c r="M153" s="76" t="str">
        <f t="shared" si="9"/>
        <v>-</v>
      </c>
      <c r="N153" s="78" t="str">
        <f>IFERROR(Таблица467[[#This Row],[PROF]]/Таблица467[[#This Row],[Games]],"-")</f>
        <v>-</v>
      </c>
    </row>
    <row r="154" spans="1:14" ht="11.1" customHeight="1" x14ac:dyDescent="0.25">
      <c r="A154" s="93">
        <f t="shared" si="7"/>
        <v>113</v>
      </c>
      <c r="B154"/>
      <c r="C154"/>
      <c r="D154" s="75" t="str">
        <f>IF(COUNTIFS(Таблица2[2],B154)+SUMIFS(Таблица2[R],Таблица2[2],B154)=0,"",COUNTIFS(Таблица2[2],B154)+SUMIFS(Таблица2[R],Таблица2[2],B154))</f>
        <v/>
      </c>
      <c r="E154" s="76" t="str">
        <f>IF(SUMIFS(Таблица2[B$],Таблица2[2],B154)=0,"-",SUMIFS(Таблица2[B$],Таблица2[2],B154))</f>
        <v>-</v>
      </c>
      <c r="F154" s="77" t="str">
        <f>IFERROR(AVERAGEIFS(Таблица2[AFS],Таблица2[2],B154)+(AVERAGEIFS(Таблица2[AFS],Таблица2[2],B154)*0.2),"-")</f>
        <v>-</v>
      </c>
      <c r="G154" s="77" t="str">
        <f t="shared" si="8"/>
        <v>-</v>
      </c>
      <c r="H154" s="77" t="str">
        <f>IFERROR(COUNTIFS(Таблица2[2],B154,Таблица2[WIN$],"&gt;0")/D154*100,"-")</f>
        <v>-</v>
      </c>
      <c r="I154" s="77" t="str">
        <f>IF(IFERROR((COUNTIFS(Таблица2[2],B154,Таблица2[K],"K")+SUMIFS(Таблица2[R],Таблица2[2],B154,Таблица2[K],"K"))/D154*100,"-")=0,"-",IFERROR((COUNTIFS(Таблица2[2],B154,Таблица2[K],"K")+SUMIFS(Таблица2[R],Таблица2[2],B154,Таблица2[K],"K"))/D154*100,"-"))</f>
        <v>-</v>
      </c>
      <c r="J154" s="77" t="str">
        <f>IF(IFERROR((COUNTIFS(Таблица2[2],B154,Таблица2[T],"t")+SUMIFS(Таблица2[R],Таблица2[2],B154,Таблица2[T],"t"))/D154*100,"-")=0,"-",IFERROR((COUNTIFS(Таблица2[2],B154,Таблица2[T],"t")+SUMIFS(Таблица2[R],Таблица2[2],B154,Таблица2[T],"t"))/D154*100,"-"))</f>
        <v>-</v>
      </c>
      <c r="K154" s="76" t="str">
        <f>IF(SUMIFS(Таблица2[KO$],Таблица2[2],B154)=0,"-",SUMIFS(Таблица2[KO$],Таблица2[2],B154))</f>
        <v>-</v>
      </c>
      <c r="L154" s="76" t="str">
        <f>IF(SUMIFS(Таблица2[WIN$],Таблица2[2],B154)=0,"-",SUMIFS(Таблица2[WIN$],Таблица2[2],B154))</f>
        <v>-</v>
      </c>
      <c r="M154" s="76" t="str">
        <f t="shared" si="9"/>
        <v>-</v>
      </c>
      <c r="N154" s="78" t="str">
        <f>IFERROR(Таблица467[[#This Row],[PROF]]/Таблица467[[#This Row],[Games]],"-")</f>
        <v>-</v>
      </c>
    </row>
    <row r="155" spans="1:14" ht="11.1" customHeight="1" x14ac:dyDescent="0.25">
      <c r="A155" s="93">
        <f t="shared" si="7"/>
        <v>114</v>
      </c>
      <c r="B155"/>
      <c r="C155"/>
      <c r="D155" s="75" t="str">
        <f>IF(COUNTIFS(Таблица2[2],B155)+SUMIFS(Таблица2[R],Таблица2[2],B155)=0,"",COUNTIFS(Таблица2[2],B155)+SUMIFS(Таблица2[R],Таблица2[2],B155))</f>
        <v/>
      </c>
      <c r="E155" s="76" t="str">
        <f>IF(SUMIFS(Таблица2[B$],Таблица2[2],B155)=0,"-",SUMIFS(Таблица2[B$],Таблица2[2],B155))</f>
        <v>-</v>
      </c>
      <c r="F155" s="77" t="str">
        <f>IFERROR(AVERAGEIFS(Таблица2[AFS],Таблица2[2],B155)+(AVERAGEIFS(Таблица2[AFS],Таблица2[2],B155)*0.2),"-")</f>
        <v>-</v>
      </c>
      <c r="G155" s="77" t="str">
        <f t="shared" si="8"/>
        <v>-</v>
      </c>
      <c r="H155" s="77" t="str">
        <f>IFERROR(COUNTIFS(Таблица2[2],B155,Таблица2[WIN$],"&gt;0")/D155*100,"-")</f>
        <v>-</v>
      </c>
      <c r="I155" s="77" t="str">
        <f>IF(IFERROR((COUNTIFS(Таблица2[2],B155,Таблица2[K],"K")+SUMIFS(Таблица2[R],Таблица2[2],B155,Таблица2[K],"K"))/D155*100,"-")=0,"-",IFERROR((COUNTIFS(Таблица2[2],B155,Таблица2[K],"K")+SUMIFS(Таблица2[R],Таблица2[2],B155,Таблица2[K],"K"))/D155*100,"-"))</f>
        <v>-</v>
      </c>
      <c r="J155" s="77" t="str">
        <f>IF(IFERROR((COUNTIFS(Таблица2[2],B155,Таблица2[T],"t")+SUMIFS(Таблица2[R],Таблица2[2],B155,Таблица2[T],"t"))/D155*100,"-")=0,"-",IFERROR((COUNTIFS(Таблица2[2],B155,Таблица2[T],"t")+SUMIFS(Таблица2[R],Таблица2[2],B155,Таблица2[T],"t"))/D155*100,"-"))</f>
        <v>-</v>
      </c>
      <c r="K155" s="76" t="str">
        <f>IF(SUMIFS(Таблица2[KO$],Таблица2[2],B155)=0,"-",SUMIFS(Таблица2[KO$],Таблица2[2],B155))</f>
        <v>-</v>
      </c>
      <c r="L155" s="76" t="str">
        <f>IF(SUMIFS(Таблица2[WIN$],Таблица2[2],B155)=0,"-",SUMIFS(Таблица2[WIN$],Таблица2[2],B155))</f>
        <v>-</v>
      </c>
      <c r="M155" s="76" t="str">
        <f t="shared" si="9"/>
        <v>-</v>
      </c>
      <c r="N155" s="78" t="str">
        <f>IFERROR(Таблица467[[#This Row],[PROF]]/Таблица467[[#This Row],[Games]],"-")</f>
        <v>-</v>
      </c>
    </row>
    <row r="156" spans="1:14" ht="11.1" customHeight="1" x14ac:dyDescent="0.25">
      <c r="A156" s="93">
        <f t="shared" si="7"/>
        <v>115</v>
      </c>
      <c r="B156"/>
      <c r="C156"/>
      <c r="D156" s="75" t="str">
        <f>IF(COUNTIFS(Таблица2[2],B156)+SUMIFS(Таблица2[R],Таблица2[2],B156)=0,"",COUNTIFS(Таблица2[2],B156)+SUMIFS(Таблица2[R],Таблица2[2],B156))</f>
        <v/>
      </c>
      <c r="E156" s="76" t="str">
        <f>IF(SUMIFS(Таблица2[B$],Таблица2[2],B156)=0,"-",SUMIFS(Таблица2[B$],Таблица2[2],B156))</f>
        <v>-</v>
      </c>
      <c r="F156" s="77" t="str">
        <f>IFERROR(AVERAGEIFS(Таблица2[AFS],Таблица2[2],B156)+(AVERAGEIFS(Таблица2[AFS],Таблица2[2],B156)*0.2),"-")</f>
        <v>-</v>
      </c>
      <c r="G156" s="77" t="str">
        <f t="shared" si="8"/>
        <v>-</v>
      </c>
      <c r="H156" s="77" t="str">
        <f>IFERROR(COUNTIFS(Таблица2[2],B156,Таблица2[WIN$],"&gt;0")/D156*100,"-")</f>
        <v>-</v>
      </c>
      <c r="I156" s="77" t="str">
        <f>IF(IFERROR((COUNTIFS(Таблица2[2],B156,Таблица2[K],"K")+SUMIFS(Таблица2[R],Таблица2[2],B156,Таблица2[K],"K"))/D156*100,"-")=0,"-",IFERROR((COUNTIFS(Таблица2[2],B156,Таблица2[K],"K")+SUMIFS(Таблица2[R],Таблица2[2],B156,Таблица2[K],"K"))/D156*100,"-"))</f>
        <v>-</v>
      </c>
      <c r="J156" s="77" t="str">
        <f>IF(IFERROR((COUNTIFS(Таблица2[2],B156,Таблица2[T],"t")+SUMIFS(Таблица2[R],Таблица2[2],B156,Таблица2[T],"t"))/D156*100,"-")=0,"-",IFERROR((COUNTIFS(Таблица2[2],B156,Таблица2[T],"t")+SUMIFS(Таблица2[R],Таблица2[2],B156,Таблица2[T],"t"))/D156*100,"-"))</f>
        <v>-</v>
      </c>
      <c r="K156" s="76" t="str">
        <f>IF(SUMIFS(Таблица2[KO$],Таблица2[2],B156)=0,"-",SUMIFS(Таблица2[KO$],Таблица2[2],B156))</f>
        <v>-</v>
      </c>
      <c r="L156" s="76" t="str">
        <f>IF(SUMIFS(Таблица2[WIN$],Таблица2[2],B156)=0,"-",SUMIFS(Таблица2[WIN$],Таблица2[2],B156))</f>
        <v>-</v>
      </c>
      <c r="M156" s="76" t="str">
        <f t="shared" si="9"/>
        <v>-</v>
      </c>
      <c r="N156" s="78" t="str">
        <f>IFERROR(Таблица467[[#This Row],[PROF]]/Таблица467[[#This Row],[Games]],"-")</f>
        <v>-</v>
      </c>
    </row>
    <row r="157" spans="1:14" ht="11.1" customHeight="1" x14ac:dyDescent="0.25">
      <c r="A157" s="93">
        <f t="shared" si="7"/>
        <v>116</v>
      </c>
      <c r="B157"/>
      <c r="C157"/>
      <c r="D157" s="75" t="str">
        <f>IF(COUNTIFS(Таблица2[2],B157)+SUMIFS(Таблица2[R],Таблица2[2],B157)=0,"",COUNTIFS(Таблица2[2],B157)+SUMIFS(Таблица2[R],Таблица2[2],B157))</f>
        <v/>
      </c>
      <c r="E157" s="76" t="str">
        <f>IF(SUMIFS(Таблица2[B$],Таблица2[2],B157)=0,"-",SUMIFS(Таблица2[B$],Таблица2[2],B157))</f>
        <v>-</v>
      </c>
      <c r="F157" s="77" t="str">
        <f>IFERROR(AVERAGEIFS(Таблица2[AFS],Таблица2[2],B157)+(AVERAGEIFS(Таблица2[AFS],Таблица2[2],B157)*0.2),"-")</f>
        <v>-</v>
      </c>
      <c r="G157" s="77" t="str">
        <f t="shared" si="8"/>
        <v>-</v>
      </c>
      <c r="H157" s="77" t="str">
        <f>IFERROR(COUNTIFS(Таблица2[2],B157,Таблица2[WIN$],"&gt;0")/D157*100,"-")</f>
        <v>-</v>
      </c>
      <c r="I157" s="77" t="str">
        <f>IF(IFERROR((COUNTIFS(Таблица2[2],B157,Таблица2[K],"K")+SUMIFS(Таблица2[R],Таблица2[2],B157,Таблица2[K],"K"))/D157*100,"-")=0,"-",IFERROR((COUNTIFS(Таблица2[2],B157,Таблица2[K],"K")+SUMIFS(Таблица2[R],Таблица2[2],B157,Таблица2[K],"K"))/D157*100,"-"))</f>
        <v>-</v>
      </c>
      <c r="J157" s="77" t="str">
        <f>IF(IFERROR((COUNTIFS(Таблица2[2],B157,Таблица2[T],"t")+SUMIFS(Таблица2[R],Таблица2[2],B157,Таблица2[T],"t"))/D157*100,"-")=0,"-",IFERROR((COUNTIFS(Таблица2[2],B157,Таблица2[T],"t")+SUMIFS(Таблица2[R],Таблица2[2],B157,Таблица2[T],"t"))/D157*100,"-"))</f>
        <v>-</v>
      </c>
      <c r="K157" s="76" t="str">
        <f>IF(SUMIFS(Таблица2[KO$],Таблица2[2],B157)=0,"-",SUMIFS(Таблица2[KO$],Таблица2[2],B157))</f>
        <v>-</v>
      </c>
      <c r="L157" s="76" t="str">
        <f>IF(SUMIFS(Таблица2[WIN$],Таблица2[2],B157)=0,"-",SUMIFS(Таблица2[WIN$],Таблица2[2],B157))</f>
        <v>-</v>
      </c>
      <c r="M157" s="76" t="str">
        <f t="shared" si="9"/>
        <v>-</v>
      </c>
      <c r="N157" s="78" t="str">
        <f>IFERROR(Таблица467[[#This Row],[PROF]]/Таблица467[[#This Row],[Games]],"-")</f>
        <v>-</v>
      </c>
    </row>
    <row r="158" spans="1:14" ht="11.1" customHeight="1" x14ac:dyDescent="0.25">
      <c r="A158" s="93">
        <f t="shared" si="7"/>
        <v>117</v>
      </c>
      <c r="B158"/>
      <c r="C158"/>
      <c r="D158" s="75" t="str">
        <f>IF(COUNTIFS(Таблица2[2],B158)+SUMIFS(Таблица2[R],Таблица2[2],B158)=0,"",COUNTIFS(Таблица2[2],B158)+SUMIFS(Таблица2[R],Таблица2[2],B158))</f>
        <v/>
      </c>
      <c r="E158" s="76" t="str">
        <f>IF(SUMIFS(Таблица2[B$],Таблица2[2],B158)=0,"-",SUMIFS(Таблица2[B$],Таблица2[2],B158))</f>
        <v>-</v>
      </c>
      <c r="F158" s="77" t="str">
        <f>IFERROR(AVERAGEIFS(Таблица2[AFS],Таблица2[2],B158)+(AVERAGEIFS(Таблица2[AFS],Таблица2[2],B158)*0.2),"-")</f>
        <v>-</v>
      </c>
      <c r="G158" s="77" t="str">
        <f t="shared" si="8"/>
        <v>-</v>
      </c>
      <c r="H158" s="77" t="str">
        <f>IFERROR(COUNTIFS(Таблица2[2],B158,Таблица2[WIN$],"&gt;0")/D158*100,"-")</f>
        <v>-</v>
      </c>
      <c r="I158" s="77" t="str">
        <f>IF(IFERROR((COUNTIFS(Таблица2[2],B158,Таблица2[K],"K")+SUMIFS(Таблица2[R],Таблица2[2],B158,Таблица2[K],"K"))/D158*100,"-")=0,"-",IFERROR((COUNTIFS(Таблица2[2],B158,Таблица2[K],"K")+SUMIFS(Таблица2[R],Таблица2[2],B158,Таблица2[K],"K"))/D158*100,"-"))</f>
        <v>-</v>
      </c>
      <c r="J158" s="77" t="str">
        <f>IF(IFERROR((COUNTIFS(Таблица2[2],B158,Таблица2[T],"t")+SUMIFS(Таблица2[R],Таблица2[2],B158,Таблица2[T],"t"))/D158*100,"-")=0,"-",IFERROR((COUNTIFS(Таблица2[2],B158,Таблица2[T],"t")+SUMIFS(Таблица2[R],Таблица2[2],B158,Таблица2[T],"t"))/D158*100,"-"))</f>
        <v>-</v>
      </c>
      <c r="K158" s="76" t="str">
        <f>IF(SUMIFS(Таблица2[KO$],Таблица2[2],B158)=0,"-",SUMIFS(Таблица2[KO$],Таблица2[2],B158))</f>
        <v>-</v>
      </c>
      <c r="L158" s="76" t="str">
        <f>IF(SUMIFS(Таблица2[WIN$],Таблица2[2],B158)=0,"-",SUMIFS(Таблица2[WIN$],Таблица2[2],B158))</f>
        <v>-</v>
      </c>
      <c r="M158" s="76" t="str">
        <f t="shared" si="9"/>
        <v>-</v>
      </c>
      <c r="N158" s="78" t="str">
        <f>IFERROR(Таблица467[[#This Row],[PROF]]/Таблица467[[#This Row],[Games]],"-")</f>
        <v>-</v>
      </c>
    </row>
    <row r="159" spans="1:14" ht="11.1" customHeight="1" x14ac:dyDescent="0.25">
      <c r="A159" s="93">
        <f t="shared" si="7"/>
        <v>118</v>
      </c>
      <c r="B159"/>
      <c r="C159"/>
      <c r="D159" s="75" t="str">
        <f>IF(COUNTIFS(Таблица2[2],B159)+SUMIFS(Таблица2[R],Таблица2[2],B159)=0,"",COUNTIFS(Таблица2[2],B159)+SUMIFS(Таблица2[R],Таблица2[2],B159))</f>
        <v/>
      </c>
      <c r="E159" s="76" t="str">
        <f>IF(SUMIFS(Таблица2[B$],Таблица2[2],B159)=0,"-",SUMIFS(Таблица2[B$],Таблица2[2],B159))</f>
        <v>-</v>
      </c>
      <c r="F159" s="77" t="str">
        <f>IFERROR(AVERAGEIFS(Таблица2[AFS],Таблица2[2],B159)+(AVERAGEIFS(Таблица2[AFS],Таблица2[2],B159)*0.2),"-")</f>
        <v>-</v>
      </c>
      <c r="G159" s="77" t="str">
        <f t="shared" si="8"/>
        <v>-</v>
      </c>
      <c r="H159" s="77" t="str">
        <f>IFERROR(COUNTIFS(Таблица2[2],B159,Таблица2[WIN$],"&gt;0")/D159*100,"-")</f>
        <v>-</v>
      </c>
      <c r="I159" s="77" t="str">
        <f>IF(IFERROR((COUNTIFS(Таблица2[2],B159,Таблица2[K],"K")+SUMIFS(Таблица2[R],Таблица2[2],B159,Таблица2[K],"K"))/D159*100,"-")=0,"-",IFERROR((COUNTIFS(Таблица2[2],B159,Таблица2[K],"K")+SUMIFS(Таблица2[R],Таблица2[2],B159,Таблица2[K],"K"))/D159*100,"-"))</f>
        <v>-</v>
      </c>
      <c r="J159" s="77" t="str">
        <f>IF(IFERROR((COUNTIFS(Таблица2[2],B159,Таблица2[T],"t")+SUMIFS(Таблица2[R],Таблица2[2],B159,Таблица2[T],"t"))/D159*100,"-")=0,"-",IFERROR((COUNTIFS(Таблица2[2],B159,Таблица2[T],"t")+SUMIFS(Таблица2[R],Таблица2[2],B159,Таблица2[T],"t"))/D159*100,"-"))</f>
        <v>-</v>
      </c>
      <c r="K159" s="76" t="str">
        <f>IF(SUMIFS(Таблица2[KO$],Таблица2[2],B159)=0,"-",SUMIFS(Таблица2[KO$],Таблица2[2],B159))</f>
        <v>-</v>
      </c>
      <c r="L159" s="76" t="str">
        <f>IF(SUMIFS(Таблица2[WIN$],Таблица2[2],B159)=0,"-",SUMIFS(Таблица2[WIN$],Таблица2[2],B159))</f>
        <v>-</v>
      </c>
      <c r="M159" s="76" t="str">
        <f t="shared" si="9"/>
        <v>-</v>
      </c>
      <c r="N159" s="78" t="str">
        <f>IFERROR(Таблица467[[#This Row],[PROF]]/Таблица467[[#This Row],[Games]],"-")</f>
        <v>-</v>
      </c>
    </row>
    <row r="160" spans="1:14" ht="11.1" customHeight="1" x14ac:dyDescent="0.25">
      <c r="A160" s="93">
        <f t="shared" si="7"/>
        <v>119</v>
      </c>
      <c r="B160"/>
      <c r="C160"/>
      <c r="D160" s="75" t="str">
        <f>IF(COUNTIFS(Таблица2[2],B160)+SUMIFS(Таблица2[R],Таблица2[2],B160)=0,"",COUNTIFS(Таблица2[2],B160)+SUMIFS(Таблица2[R],Таблица2[2],B160))</f>
        <v/>
      </c>
      <c r="E160" s="76" t="str">
        <f>IF(SUMIFS(Таблица2[B$],Таблица2[2],B160)=0,"-",SUMIFS(Таблица2[B$],Таблица2[2],B160))</f>
        <v>-</v>
      </c>
      <c r="F160" s="77" t="str">
        <f>IFERROR(AVERAGEIFS(Таблица2[AFS],Таблица2[2],B160)+(AVERAGEIFS(Таблица2[AFS],Таблица2[2],B160)*0.2),"-")</f>
        <v>-</v>
      </c>
      <c r="G160" s="77" t="str">
        <f t="shared" si="8"/>
        <v>-</v>
      </c>
      <c r="H160" s="77" t="str">
        <f>IFERROR(COUNTIFS(Таблица2[2],B160,Таблица2[WIN$],"&gt;0")/D160*100,"-")</f>
        <v>-</v>
      </c>
      <c r="I160" s="77" t="str">
        <f>IF(IFERROR((COUNTIFS(Таблица2[2],B160,Таблица2[K],"K")+SUMIFS(Таблица2[R],Таблица2[2],B160,Таблица2[K],"K"))/D160*100,"-")=0,"-",IFERROR((COUNTIFS(Таблица2[2],B160,Таблица2[K],"K")+SUMIFS(Таблица2[R],Таблица2[2],B160,Таблица2[K],"K"))/D160*100,"-"))</f>
        <v>-</v>
      </c>
      <c r="J160" s="77" t="str">
        <f>IF(IFERROR((COUNTIFS(Таблица2[2],B160,Таблица2[T],"t")+SUMIFS(Таблица2[R],Таблица2[2],B160,Таблица2[T],"t"))/D160*100,"-")=0,"-",IFERROR((COUNTIFS(Таблица2[2],B160,Таблица2[T],"t")+SUMIFS(Таблица2[R],Таблица2[2],B160,Таблица2[T],"t"))/D160*100,"-"))</f>
        <v>-</v>
      </c>
      <c r="K160" s="76" t="str">
        <f>IF(SUMIFS(Таблица2[KO$],Таблица2[2],B160)=0,"-",SUMIFS(Таблица2[KO$],Таблица2[2],B160))</f>
        <v>-</v>
      </c>
      <c r="L160" s="76" t="str">
        <f>IF(SUMIFS(Таблица2[WIN$],Таблица2[2],B160)=0,"-",SUMIFS(Таблица2[WIN$],Таблица2[2],B160))</f>
        <v>-</v>
      </c>
      <c r="M160" s="76" t="str">
        <f t="shared" si="9"/>
        <v>-</v>
      </c>
      <c r="N160" s="78" t="str">
        <f>IFERROR(Таблица467[[#This Row],[PROF]]/Таблица467[[#This Row],[Games]],"-")</f>
        <v>-</v>
      </c>
    </row>
    <row r="161" spans="1:14" ht="11.1" customHeight="1" x14ac:dyDescent="0.25">
      <c r="A161" s="93">
        <f t="shared" si="7"/>
        <v>120</v>
      </c>
      <c r="B161"/>
      <c r="C161"/>
      <c r="D161" s="75" t="str">
        <f>IF(COUNTIFS(Таблица2[2],B161)+SUMIFS(Таблица2[R],Таблица2[2],B161)=0,"",COUNTIFS(Таблица2[2],B161)+SUMIFS(Таблица2[R],Таблица2[2],B161))</f>
        <v/>
      </c>
      <c r="E161" s="76" t="str">
        <f>IF(SUMIFS(Таблица2[B$],Таблица2[2],B161)=0,"-",SUMIFS(Таблица2[B$],Таблица2[2],B161))</f>
        <v>-</v>
      </c>
      <c r="F161" s="77" t="str">
        <f>IFERROR(AVERAGEIFS(Таблица2[AFS],Таблица2[2],B161)+(AVERAGEIFS(Таблица2[AFS],Таблица2[2],B161)*0.2),"-")</f>
        <v>-</v>
      </c>
      <c r="G161" s="77" t="str">
        <f t="shared" si="8"/>
        <v>-</v>
      </c>
      <c r="H161" s="77" t="str">
        <f>IFERROR(COUNTIFS(Таблица2[2],B161,Таблица2[WIN$],"&gt;0")/D161*100,"-")</f>
        <v>-</v>
      </c>
      <c r="I161" s="77" t="str">
        <f>IF(IFERROR((COUNTIFS(Таблица2[2],B161,Таблица2[K],"K")+SUMIFS(Таблица2[R],Таблица2[2],B161,Таблица2[K],"K"))/D161*100,"-")=0,"-",IFERROR((COUNTIFS(Таблица2[2],B161,Таблица2[K],"K")+SUMIFS(Таблица2[R],Таблица2[2],B161,Таблица2[K],"K"))/D161*100,"-"))</f>
        <v>-</v>
      </c>
      <c r="J161" s="77" t="str">
        <f>IF(IFERROR((COUNTIFS(Таблица2[2],B161,Таблица2[T],"t")+SUMIFS(Таблица2[R],Таблица2[2],B161,Таблица2[T],"t"))/D161*100,"-")=0,"-",IFERROR((COUNTIFS(Таблица2[2],B161,Таблица2[T],"t")+SUMIFS(Таблица2[R],Таблица2[2],B161,Таблица2[T],"t"))/D161*100,"-"))</f>
        <v>-</v>
      </c>
      <c r="K161" s="76" t="str">
        <f>IF(SUMIFS(Таблица2[KO$],Таблица2[2],B161)=0,"-",SUMIFS(Таблица2[KO$],Таблица2[2],B161))</f>
        <v>-</v>
      </c>
      <c r="L161" s="76" t="str">
        <f>IF(SUMIFS(Таблица2[WIN$],Таблица2[2],B161)=0,"-",SUMIFS(Таблица2[WIN$],Таблица2[2],B161))</f>
        <v>-</v>
      </c>
      <c r="M161" s="76" t="str">
        <f t="shared" si="9"/>
        <v>-</v>
      </c>
      <c r="N161" s="78" t="str">
        <f>IFERROR(Таблица467[[#This Row],[PROF]]/Таблица467[[#This Row],[Games]],"-")</f>
        <v>-</v>
      </c>
    </row>
    <row r="162" spans="1:14" ht="11.1" customHeight="1" x14ac:dyDescent="0.25">
      <c r="A162" s="93">
        <f t="shared" si="7"/>
        <v>121</v>
      </c>
      <c r="B162"/>
      <c r="C162"/>
      <c r="D162" s="75" t="str">
        <f>IF(COUNTIFS(Таблица2[2],B162)+SUMIFS(Таблица2[R],Таблица2[2],B162)=0,"",COUNTIFS(Таблица2[2],B162)+SUMIFS(Таблица2[R],Таблица2[2],B162))</f>
        <v/>
      </c>
      <c r="E162" s="76" t="str">
        <f>IF(SUMIFS(Таблица2[B$],Таблица2[2],B162)=0,"-",SUMIFS(Таблица2[B$],Таблица2[2],B162))</f>
        <v>-</v>
      </c>
      <c r="F162" s="77" t="str">
        <f>IFERROR(AVERAGEIFS(Таблица2[AFS],Таблица2[2],B162)+(AVERAGEIFS(Таблица2[AFS],Таблица2[2],B162)*0.2),"-")</f>
        <v>-</v>
      </c>
      <c r="G162" s="77" t="str">
        <f t="shared" si="8"/>
        <v>-</v>
      </c>
      <c r="H162" s="77" t="str">
        <f>IFERROR(COUNTIFS(Таблица2[2],B162,Таблица2[WIN$],"&gt;0")/D162*100,"-")</f>
        <v>-</v>
      </c>
      <c r="I162" s="77" t="str">
        <f>IF(IFERROR((COUNTIFS(Таблица2[2],B162,Таблица2[K],"K")+SUMIFS(Таблица2[R],Таблица2[2],B162,Таблица2[K],"K"))/D162*100,"-")=0,"-",IFERROR((COUNTIFS(Таблица2[2],B162,Таблица2[K],"K")+SUMIFS(Таблица2[R],Таблица2[2],B162,Таблица2[K],"K"))/D162*100,"-"))</f>
        <v>-</v>
      </c>
      <c r="J162" s="77" t="str">
        <f>IF(IFERROR((COUNTIFS(Таблица2[2],B162,Таблица2[T],"t")+SUMIFS(Таблица2[R],Таблица2[2],B162,Таблица2[T],"t"))/D162*100,"-")=0,"-",IFERROR((COUNTIFS(Таблица2[2],B162,Таблица2[T],"t")+SUMIFS(Таблица2[R],Таблица2[2],B162,Таблица2[T],"t"))/D162*100,"-"))</f>
        <v>-</v>
      </c>
      <c r="K162" s="76" t="str">
        <f>IF(SUMIFS(Таблица2[KO$],Таблица2[2],B162)=0,"-",SUMIFS(Таблица2[KO$],Таблица2[2],B162))</f>
        <v>-</v>
      </c>
      <c r="L162" s="76" t="str">
        <f>IF(SUMIFS(Таблица2[WIN$],Таблица2[2],B162)=0,"-",SUMIFS(Таблица2[WIN$],Таблица2[2],B162))</f>
        <v>-</v>
      </c>
      <c r="M162" s="76" t="str">
        <f t="shared" si="9"/>
        <v>-</v>
      </c>
      <c r="N162" s="78" t="str">
        <f>IFERROR(Таблица467[[#This Row],[PROF]]/Таблица467[[#This Row],[Games]],"-")</f>
        <v>-</v>
      </c>
    </row>
    <row r="163" spans="1:14" ht="11.1" customHeight="1" x14ac:dyDescent="0.25">
      <c r="A163" s="93">
        <f t="shared" si="7"/>
        <v>122</v>
      </c>
      <c r="B163"/>
      <c r="C163"/>
      <c r="D163" s="75" t="str">
        <f>IF(COUNTIFS(Таблица2[2],B163)+SUMIFS(Таблица2[R],Таблица2[2],B163)=0,"",COUNTIFS(Таблица2[2],B163)+SUMIFS(Таблица2[R],Таблица2[2],B163))</f>
        <v/>
      </c>
      <c r="E163" s="76" t="str">
        <f>IF(SUMIFS(Таблица2[B$],Таблица2[2],B163)=0,"-",SUMIFS(Таблица2[B$],Таблица2[2],B163))</f>
        <v>-</v>
      </c>
      <c r="F163" s="77" t="str">
        <f>IFERROR(AVERAGEIFS(Таблица2[AFS],Таблица2[2],B163)+(AVERAGEIFS(Таблица2[AFS],Таблица2[2],B163)*0.2),"-")</f>
        <v>-</v>
      </c>
      <c r="G163" s="77" t="str">
        <f t="shared" si="8"/>
        <v>-</v>
      </c>
      <c r="H163" s="77" t="str">
        <f>IFERROR(COUNTIFS(Таблица2[2],B163,Таблица2[WIN$],"&gt;0")/D163*100,"-")</f>
        <v>-</v>
      </c>
      <c r="I163" s="77" t="str">
        <f>IF(IFERROR((COUNTIFS(Таблица2[2],B163,Таблица2[K],"K")+SUMIFS(Таблица2[R],Таблица2[2],B163,Таблица2[K],"K"))/D163*100,"-")=0,"-",IFERROR((COUNTIFS(Таблица2[2],B163,Таблица2[K],"K")+SUMIFS(Таблица2[R],Таблица2[2],B163,Таблица2[K],"K"))/D163*100,"-"))</f>
        <v>-</v>
      </c>
      <c r="J163" s="77" t="str">
        <f>IF(IFERROR((COUNTIFS(Таблица2[2],B163,Таблица2[T],"t")+SUMIFS(Таблица2[R],Таблица2[2],B163,Таблица2[T],"t"))/D163*100,"-")=0,"-",IFERROR((COUNTIFS(Таблица2[2],B163,Таблица2[T],"t")+SUMIFS(Таблица2[R],Таблица2[2],B163,Таблица2[T],"t"))/D163*100,"-"))</f>
        <v>-</v>
      </c>
      <c r="K163" s="76" t="str">
        <f>IF(SUMIFS(Таблица2[KO$],Таблица2[2],B163)=0,"-",SUMIFS(Таблица2[KO$],Таблица2[2],B163))</f>
        <v>-</v>
      </c>
      <c r="L163" s="76" t="str">
        <f>IF(SUMIFS(Таблица2[WIN$],Таблица2[2],B163)=0,"-",SUMIFS(Таблица2[WIN$],Таблица2[2],B163))</f>
        <v>-</v>
      </c>
      <c r="M163" s="76" t="str">
        <f t="shared" si="9"/>
        <v>-</v>
      </c>
      <c r="N163" s="78" t="str">
        <f>IFERROR(Таблица467[[#This Row],[PROF]]/Таблица467[[#This Row],[Games]],"-")</f>
        <v>-</v>
      </c>
    </row>
    <row r="164" spans="1:14" ht="11.1" customHeight="1" x14ac:dyDescent="0.25">
      <c r="A164" s="93">
        <f t="shared" si="7"/>
        <v>123</v>
      </c>
      <c r="B164"/>
      <c r="C164"/>
      <c r="D164" s="75" t="str">
        <f>IF(COUNTIFS(Таблица2[2],B164)+SUMIFS(Таблица2[R],Таблица2[2],B164)=0,"",COUNTIFS(Таблица2[2],B164)+SUMIFS(Таблица2[R],Таблица2[2],B164))</f>
        <v/>
      </c>
      <c r="E164" s="76" t="str">
        <f>IF(SUMIFS(Таблица2[B$],Таблица2[2],B164)=0,"-",SUMIFS(Таблица2[B$],Таблица2[2],B164))</f>
        <v>-</v>
      </c>
      <c r="F164" s="77" t="str">
        <f>IFERROR(AVERAGEIFS(Таблица2[AFS],Таблица2[2],B164)+(AVERAGEIFS(Таблица2[AFS],Таблица2[2],B164)*0.2),"-")</f>
        <v>-</v>
      </c>
      <c r="G164" s="77" t="str">
        <f t="shared" si="8"/>
        <v>-</v>
      </c>
      <c r="H164" s="77" t="str">
        <f>IFERROR(COUNTIFS(Таблица2[2],B164,Таблица2[WIN$],"&gt;0")/D164*100,"-")</f>
        <v>-</v>
      </c>
      <c r="I164" s="77" t="str">
        <f>IF(IFERROR((COUNTIFS(Таблица2[2],B164,Таблица2[K],"K")+SUMIFS(Таблица2[R],Таблица2[2],B164,Таблица2[K],"K"))/D164*100,"-")=0,"-",IFERROR((COUNTIFS(Таблица2[2],B164,Таблица2[K],"K")+SUMIFS(Таблица2[R],Таблица2[2],B164,Таблица2[K],"K"))/D164*100,"-"))</f>
        <v>-</v>
      </c>
      <c r="J164" s="77" t="str">
        <f>IF(IFERROR((COUNTIFS(Таблица2[2],B164,Таблица2[T],"t")+SUMIFS(Таблица2[R],Таблица2[2],B164,Таблица2[T],"t"))/D164*100,"-")=0,"-",IFERROR((COUNTIFS(Таблица2[2],B164,Таблица2[T],"t")+SUMIFS(Таблица2[R],Таблица2[2],B164,Таблица2[T],"t"))/D164*100,"-"))</f>
        <v>-</v>
      </c>
      <c r="K164" s="76" t="str">
        <f>IF(SUMIFS(Таблица2[KO$],Таблица2[2],B164)=0,"-",SUMIFS(Таблица2[KO$],Таблица2[2],B164))</f>
        <v>-</v>
      </c>
      <c r="L164" s="76" t="str">
        <f>IF(SUMIFS(Таблица2[WIN$],Таблица2[2],B164)=0,"-",SUMIFS(Таблица2[WIN$],Таблица2[2],B164))</f>
        <v>-</v>
      </c>
      <c r="M164" s="76" t="str">
        <f t="shared" si="9"/>
        <v>-</v>
      </c>
      <c r="N164" s="78" t="str">
        <f>IFERROR(Таблица467[[#This Row],[PROF]]/Таблица467[[#This Row],[Games]],"-")</f>
        <v>-</v>
      </c>
    </row>
    <row r="165" spans="1:14" ht="11.1" customHeight="1" x14ac:dyDescent="0.25">
      <c r="A165" s="93">
        <f t="shared" si="7"/>
        <v>124</v>
      </c>
      <c r="B165"/>
      <c r="C165"/>
      <c r="D165" s="75" t="str">
        <f>IF(COUNTIFS(Таблица2[2],B165)+SUMIFS(Таблица2[R],Таблица2[2],B165)=0,"",COUNTIFS(Таблица2[2],B165)+SUMIFS(Таблица2[R],Таблица2[2],B165))</f>
        <v/>
      </c>
      <c r="E165" s="76" t="str">
        <f>IF(SUMIFS(Таблица2[B$],Таблица2[2],B165)=0,"-",SUMIFS(Таблица2[B$],Таблица2[2],B165))</f>
        <v>-</v>
      </c>
      <c r="F165" s="77" t="str">
        <f>IFERROR(AVERAGEIFS(Таблица2[AFS],Таблица2[2],B165)+(AVERAGEIFS(Таблица2[AFS],Таблица2[2],B165)*0.2),"-")</f>
        <v>-</v>
      </c>
      <c r="G165" s="77" t="str">
        <f t="shared" si="8"/>
        <v>-</v>
      </c>
      <c r="H165" s="77" t="str">
        <f>IFERROR(COUNTIFS(Таблица2[2],B165,Таблица2[WIN$],"&gt;0")/D165*100,"-")</f>
        <v>-</v>
      </c>
      <c r="I165" s="77" t="str">
        <f>IF(IFERROR((COUNTIFS(Таблица2[2],B165,Таблица2[K],"K")+SUMIFS(Таблица2[R],Таблица2[2],B165,Таблица2[K],"K"))/D165*100,"-")=0,"-",IFERROR((COUNTIFS(Таблица2[2],B165,Таблица2[K],"K")+SUMIFS(Таблица2[R],Таблица2[2],B165,Таблица2[K],"K"))/D165*100,"-"))</f>
        <v>-</v>
      </c>
      <c r="J165" s="77" t="str">
        <f>IF(IFERROR((COUNTIFS(Таблица2[2],B165,Таблица2[T],"t")+SUMIFS(Таблица2[R],Таблица2[2],B165,Таблица2[T],"t"))/D165*100,"-")=0,"-",IFERROR((COUNTIFS(Таблица2[2],B165,Таблица2[T],"t")+SUMIFS(Таблица2[R],Таблица2[2],B165,Таблица2[T],"t"))/D165*100,"-"))</f>
        <v>-</v>
      </c>
      <c r="K165" s="76" t="str">
        <f>IF(SUMIFS(Таблица2[KO$],Таблица2[2],B165)=0,"-",SUMIFS(Таблица2[KO$],Таблица2[2],B165))</f>
        <v>-</v>
      </c>
      <c r="L165" s="76" t="str">
        <f>IF(SUMIFS(Таблица2[WIN$],Таблица2[2],B165)=0,"-",SUMIFS(Таблица2[WIN$],Таблица2[2],B165))</f>
        <v>-</v>
      </c>
      <c r="M165" s="76" t="str">
        <f t="shared" si="9"/>
        <v>-</v>
      </c>
      <c r="N165" s="78" t="str">
        <f>IFERROR(Таблица467[[#This Row],[PROF]]/Таблица467[[#This Row],[Games]],"-")</f>
        <v>-</v>
      </c>
    </row>
    <row r="166" spans="1:14" ht="11.1" customHeight="1" x14ac:dyDescent="0.25">
      <c r="A166" s="93">
        <f t="shared" si="7"/>
        <v>125</v>
      </c>
      <c r="B166"/>
      <c r="C166"/>
      <c r="D166" s="75" t="str">
        <f>IF(COUNTIFS(Таблица2[2],B166)+SUMIFS(Таблица2[R],Таблица2[2],B166)=0,"",COUNTIFS(Таблица2[2],B166)+SUMIFS(Таблица2[R],Таблица2[2],B166))</f>
        <v/>
      </c>
      <c r="E166" s="76" t="str">
        <f>IF(SUMIFS(Таблица2[B$],Таблица2[2],B166)=0,"-",SUMIFS(Таблица2[B$],Таблица2[2],B166))</f>
        <v>-</v>
      </c>
      <c r="F166" s="77" t="str">
        <f>IFERROR(AVERAGEIFS(Таблица2[AFS],Таблица2[2],B166)+(AVERAGEIFS(Таблица2[AFS],Таблица2[2],B166)*0.2),"-")</f>
        <v>-</v>
      </c>
      <c r="G166" s="77" t="str">
        <f t="shared" si="8"/>
        <v>-</v>
      </c>
      <c r="H166" s="77" t="str">
        <f>IFERROR(COUNTIFS(Таблица2[2],B166,Таблица2[WIN$],"&gt;0")/D166*100,"-")</f>
        <v>-</v>
      </c>
      <c r="I166" s="77" t="str">
        <f>IF(IFERROR((COUNTIFS(Таблица2[2],B166,Таблица2[K],"K")+SUMIFS(Таблица2[R],Таблица2[2],B166,Таблица2[K],"K"))/D166*100,"-")=0,"-",IFERROR((COUNTIFS(Таблица2[2],B166,Таблица2[K],"K")+SUMIFS(Таблица2[R],Таблица2[2],B166,Таблица2[K],"K"))/D166*100,"-"))</f>
        <v>-</v>
      </c>
      <c r="J166" s="77" t="str">
        <f>IF(IFERROR((COUNTIFS(Таблица2[2],B166,Таблица2[T],"t")+SUMIFS(Таблица2[R],Таблица2[2],B166,Таблица2[T],"t"))/D166*100,"-")=0,"-",IFERROR((COUNTIFS(Таблица2[2],B166,Таблица2[T],"t")+SUMIFS(Таблица2[R],Таблица2[2],B166,Таблица2[T],"t"))/D166*100,"-"))</f>
        <v>-</v>
      </c>
      <c r="K166" s="76" t="str">
        <f>IF(SUMIFS(Таблица2[KO$],Таблица2[2],B166)=0,"-",SUMIFS(Таблица2[KO$],Таблица2[2],B166))</f>
        <v>-</v>
      </c>
      <c r="L166" s="76" t="str">
        <f>IF(SUMIFS(Таблица2[WIN$],Таблица2[2],B166)=0,"-",SUMIFS(Таблица2[WIN$],Таблица2[2],B166))</f>
        <v>-</v>
      </c>
      <c r="M166" s="76" t="str">
        <f t="shared" si="9"/>
        <v>-</v>
      </c>
      <c r="N166" s="78" t="str">
        <f>IFERROR(Таблица467[[#This Row],[PROF]]/Таблица467[[#This Row],[Games]],"-")</f>
        <v>-</v>
      </c>
    </row>
    <row r="167" spans="1:14" ht="11.1" customHeight="1" x14ac:dyDescent="0.25">
      <c r="A167" s="93">
        <f t="shared" si="7"/>
        <v>126</v>
      </c>
      <c r="B167"/>
      <c r="C167"/>
      <c r="D167" s="75" t="str">
        <f>IF(COUNTIFS(Таблица2[2],B167)+SUMIFS(Таблица2[R],Таблица2[2],B167)=0,"",COUNTIFS(Таблица2[2],B167)+SUMIFS(Таблица2[R],Таблица2[2],B167))</f>
        <v/>
      </c>
      <c r="E167" s="76" t="str">
        <f>IF(SUMIFS(Таблица2[B$],Таблица2[2],B167)=0,"-",SUMIFS(Таблица2[B$],Таблица2[2],B167))</f>
        <v>-</v>
      </c>
      <c r="F167" s="77" t="str">
        <f>IFERROR(AVERAGEIFS(Таблица2[AFS],Таблица2[2],B167)+(AVERAGEIFS(Таблица2[AFS],Таблица2[2],B167)*0.2),"-")</f>
        <v>-</v>
      </c>
      <c r="G167" s="77" t="str">
        <f t="shared" si="8"/>
        <v>-</v>
      </c>
      <c r="H167" s="77" t="str">
        <f>IFERROR(COUNTIFS(Таблица2[2],B167,Таблица2[WIN$],"&gt;0")/D167*100,"-")</f>
        <v>-</v>
      </c>
      <c r="I167" s="77" t="str">
        <f>IF(IFERROR((COUNTIFS(Таблица2[2],B167,Таблица2[K],"K")+SUMIFS(Таблица2[R],Таблица2[2],B167,Таблица2[K],"K"))/D167*100,"-")=0,"-",IFERROR((COUNTIFS(Таблица2[2],B167,Таблица2[K],"K")+SUMIFS(Таблица2[R],Таблица2[2],B167,Таблица2[K],"K"))/D167*100,"-"))</f>
        <v>-</v>
      </c>
      <c r="J167" s="77" t="str">
        <f>IF(IFERROR((COUNTIFS(Таблица2[2],B167,Таблица2[T],"t")+SUMIFS(Таблица2[R],Таблица2[2],B167,Таблица2[T],"t"))/D167*100,"-")=0,"-",IFERROR((COUNTIFS(Таблица2[2],B167,Таблица2[T],"t")+SUMIFS(Таблица2[R],Таблица2[2],B167,Таблица2[T],"t"))/D167*100,"-"))</f>
        <v>-</v>
      </c>
      <c r="K167" s="76" t="str">
        <f>IF(SUMIFS(Таблица2[KO$],Таблица2[2],B167)=0,"-",SUMIFS(Таблица2[KO$],Таблица2[2],B167))</f>
        <v>-</v>
      </c>
      <c r="L167" s="76" t="str">
        <f>IF(SUMIFS(Таблица2[WIN$],Таблица2[2],B167)=0,"-",SUMIFS(Таблица2[WIN$],Таблица2[2],B167))</f>
        <v>-</v>
      </c>
      <c r="M167" s="76" t="str">
        <f t="shared" si="9"/>
        <v>-</v>
      </c>
      <c r="N167" s="78" t="str">
        <f>IFERROR(Таблица467[[#This Row],[PROF]]/Таблица467[[#This Row],[Games]],"-")</f>
        <v>-</v>
      </c>
    </row>
    <row r="168" spans="1:14" ht="11.1" customHeight="1" x14ac:dyDescent="0.25">
      <c r="A168" s="93">
        <f t="shared" si="7"/>
        <v>127</v>
      </c>
      <c r="B168"/>
      <c r="C168"/>
      <c r="D168" s="75" t="str">
        <f>IF(COUNTIFS(Таблица2[2],B168)+SUMIFS(Таблица2[R],Таблица2[2],B168)=0,"",COUNTIFS(Таблица2[2],B168)+SUMIFS(Таблица2[R],Таблица2[2],B168))</f>
        <v/>
      </c>
      <c r="E168" s="76" t="str">
        <f>IF(SUMIFS(Таблица2[B$],Таблица2[2],B168)=0,"-",SUMIFS(Таблица2[B$],Таблица2[2],B168))</f>
        <v>-</v>
      </c>
      <c r="F168" s="77" t="str">
        <f>IFERROR(AVERAGEIFS(Таблица2[AFS],Таблица2[2],B168)+(AVERAGEIFS(Таблица2[AFS],Таблица2[2],B168)*0.2),"-")</f>
        <v>-</v>
      </c>
      <c r="G168" s="77" t="str">
        <f t="shared" si="8"/>
        <v>-</v>
      </c>
      <c r="H168" s="77" t="str">
        <f>IFERROR(COUNTIFS(Таблица2[2],B168,Таблица2[WIN$],"&gt;0")/D168*100,"-")</f>
        <v>-</v>
      </c>
      <c r="I168" s="77" t="str">
        <f>IF(IFERROR((COUNTIFS(Таблица2[2],B168,Таблица2[K],"K")+SUMIFS(Таблица2[R],Таблица2[2],B168,Таблица2[K],"K"))/D168*100,"-")=0,"-",IFERROR((COUNTIFS(Таблица2[2],B168,Таблица2[K],"K")+SUMIFS(Таблица2[R],Таблица2[2],B168,Таблица2[K],"K"))/D168*100,"-"))</f>
        <v>-</v>
      </c>
      <c r="J168" s="77" t="str">
        <f>IF(IFERROR((COUNTIFS(Таблица2[2],B168,Таблица2[T],"t")+SUMIFS(Таблица2[R],Таблица2[2],B168,Таблица2[T],"t"))/D168*100,"-")=0,"-",IFERROR((COUNTIFS(Таблица2[2],B168,Таблица2[T],"t")+SUMIFS(Таблица2[R],Таблица2[2],B168,Таблица2[T],"t"))/D168*100,"-"))</f>
        <v>-</v>
      </c>
      <c r="K168" s="76" t="str">
        <f>IF(SUMIFS(Таблица2[KO$],Таблица2[2],B168)=0,"-",SUMIFS(Таблица2[KO$],Таблица2[2],B168))</f>
        <v>-</v>
      </c>
      <c r="L168" s="76" t="str">
        <f>IF(SUMIFS(Таблица2[WIN$],Таблица2[2],B168)=0,"-",SUMIFS(Таблица2[WIN$],Таблица2[2],B168))</f>
        <v>-</v>
      </c>
      <c r="M168" s="76" t="str">
        <f t="shared" si="9"/>
        <v>-</v>
      </c>
      <c r="N168" s="78" t="str">
        <f>IFERROR(Таблица467[[#This Row],[PROF]]/Таблица467[[#This Row],[Games]],"-")</f>
        <v>-</v>
      </c>
    </row>
    <row r="169" spans="1:14" ht="11.1" customHeight="1" x14ac:dyDescent="0.25">
      <c r="A169" s="93">
        <f t="shared" si="7"/>
        <v>128</v>
      </c>
      <c r="B169"/>
      <c r="C169"/>
      <c r="D169" s="75" t="str">
        <f>IF(COUNTIFS(Таблица2[2],B169)+SUMIFS(Таблица2[R],Таблица2[2],B169)=0,"",COUNTIFS(Таблица2[2],B169)+SUMIFS(Таблица2[R],Таблица2[2],B169))</f>
        <v/>
      </c>
      <c r="E169" s="76" t="str">
        <f>IF(SUMIFS(Таблица2[B$],Таблица2[2],B169)=0,"-",SUMIFS(Таблица2[B$],Таблица2[2],B169))</f>
        <v>-</v>
      </c>
      <c r="F169" s="77" t="str">
        <f>IFERROR(AVERAGEIFS(Таблица2[AFS],Таблица2[2],B169)+(AVERAGEIFS(Таблица2[AFS],Таблица2[2],B169)*0.2),"-")</f>
        <v>-</v>
      </c>
      <c r="G169" s="77" t="str">
        <f t="shared" si="8"/>
        <v>-</v>
      </c>
      <c r="H169" s="77" t="str">
        <f>IFERROR(COUNTIFS(Таблица2[2],B169,Таблица2[WIN$],"&gt;0")/D169*100,"-")</f>
        <v>-</v>
      </c>
      <c r="I169" s="77" t="str">
        <f>IF(IFERROR((COUNTIFS(Таблица2[2],B169,Таблица2[K],"K")+SUMIFS(Таблица2[R],Таблица2[2],B169,Таблица2[K],"K"))/D169*100,"-")=0,"-",IFERROR((COUNTIFS(Таблица2[2],B169,Таблица2[K],"K")+SUMIFS(Таблица2[R],Таблица2[2],B169,Таблица2[K],"K"))/D169*100,"-"))</f>
        <v>-</v>
      </c>
      <c r="J169" s="77" t="str">
        <f>IF(IFERROR((COUNTIFS(Таблица2[2],B169,Таблица2[T],"t")+SUMIFS(Таблица2[R],Таблица2[2],B169,Таблица2[T],"t"))/D169*100,"-")=0,"-",IFERROR((COUNTIFS(Таблица2[2],B169,Таблица2[T],"t")+SUMIFS(Таблица2[R],Таблица2[2],B169,Таблица2[T],"t"))/D169*100,"-"))</f>
        <v>-</v>
      </c>
      <c r="K169" s="76" t="str">
        <f>IF(SUMIFS(Таблица2[KO$],Таблица2[2],B169)=0,"-",SUMIFS(Таблица2[KO$],Таблица2[2],B169))</f>
        <v>-</v>
      </c>
      <c r="L169" s="76" t="str">
        <f>IF(SUMIFS(Таблица2[WIN$],Таблица2[2],B169)=0,"-",SUMIFS(Таблица2[WIN$],Таблица2[2],B169))</f>
        <v>-</v>
      </c>
      <c r="M169" s="76" t="str">
        <f t="shared" si="9"/>
        <v>-</v>
      </c>
      <c r="N169" s="78" t="str">
        <f>IFERROR(Таблица467[[#This Row],[PROF]]/Таблица467[[#This Row],[Games]],"-")</f>
        <v>-</v>
      </c>
    </row>
    <row r="170" spans="1:14" ht="11.1" customHeight="1" x14ac:dyDescent="0.25">
      <c r="A170" s="93">
        <f t="shared" si="7"/>
        <v>129</v>
      </c>
      <c r="B170"/>
      <c r="C170"/>
      <c r="D170" s="75" t="str">
        <f>IF(COUNTIFS(Таблица2[2],B170)+SUMIFS(Таблица2[R],Таблица2[2],B170)=0,"",COUNTIFS(Таблица2[2],B170)+SUMIFS(Таблица2[R],Таблица2[2],B170))</f>
        <v/>
      </c>
      <c r="E170" s="76" t="str">
        <f>IF(SUMIFS(Таблица2[B$],Таблица2[2],B170)=0,"-",SUMIFS(Таблица2[B$],Таблица2[2],B170))</f>
        <v>-</v>
      </c>
      <c r="F170" s="77" t="str">
        <f>IFERROR(AVERAGEIFS(Таблица2[AFS],Таблица2[2],B170)+(AVERAGEIFS(Таблица2[AFS],Таблица2[2],B170)*0.2),"-")</f>
        <v>-</v>
      </c>
      <c r="G170" s="77" t="str">
        <f t="shared" ref="G170:G177" si="10">IFERROR(M170/E170*100,"-")</f>
        <v>-</v>
      </c>
      <c r="H170" s="77" t="str">
        <f>IFERROR(COUNTIFS(Таблица2[2],B170,Таблица2[WIN$],"&gt;0")/D170*100,"-")</f>
        <v>-</v>
      </c>
      <c r="I170" s="77" t="str">
        <f>IF(IFERROR((COUNTIFS(Таблица2[2],B170,Таблица2[K],"K")+SUMIFS(Таблица2[R],Таблица2[2],B170,Таблица2[K],"K"))/D170*100,"-")=0,"-",IFERROR((COUNTIFS(Таблица2[2],B170,Таблица2[K],"K")+SUMIFS(Таблица2[R],Таблица2[2],B170,Таблица2[K],"K"))/D170*100,"-"))</f>
        <v>-</v>
      </c>
      <c r="J170" s="77" t="str">
        <f>IF(IFERROR((COUNTIFS(Таблица2[2],B170,Таблица2[T],"t")+SUMIFS(Таблица2[R],Таблица2[2],B170,Таблица2[T],"t"))/D170*100,"-")=0,"-",IFERROR((COUNTIFS(Таблица2[2],B170,Таблица2[T],"t")+SUMIFS(Таблица2[R],Таблица2[2],B170,Таблица2[T],"t"))/D170*100,"-"))</f>
        <v>-</v>
      </c>
      <c r="K170" s="76" t="str">
        <f>IF(SUMIFS(Таблица2[KO$],Таблица2[2],B170)=0,"-",SUMIFS(Таблица2[KO$],Таблица2[2],B170))</f>
        <v>-</v>
      </c>
      <c r="L170" s="76" t="str">
        <f>IF(SUMIFS(Таблица2[WIN$],Таблица2[2],B170)=0,"-",SUMIFS(Таблица2[WIN$],Таблица2[2],B170))</f>
        <v>-</v>
      </c>
      <c r="M170" s="76" t="str">
        <f t="shared" ref="M170:M177" si="11">IFERROR(IF(L170="-",0,L170)+IF(K170="-",0,K170)-E170,"-")</f>
        <v>-</v>
      </c>
      <c r="N170" s="78" t="str">
        <f>IFERROR(Таблица467[[#This Row],[PROF]]/Таблица467[[#This Row],[Games]],"-")</f>
        <v>-</v>
      </c>
    </row>
    <row r="171" spans="1:14" ht="11.1" customHeight="1" x14ac:dyDescent="0.25">
      <c r="A171" s="93">
        <f t="shared" ref="A171:A234" si="12">A170+1</f>
        <v>130</v>
      </c>
      <c r="B171"/>
      <c r="C171"/>
      <c r="D171" s="75" t="str">
        <f>IF(COUNTIFS(Таблица2[2],B171)+SUMIFS(Таблица2[R],Таблица2[2],B171)=0,"",COUNTIFS(Таблица2[2],B171)+SUMIFS(Таблица2[R],Таблица2[2],B171))</f>
        <v/>
      </c>
      <c r="E171" s="76" t="str">
        <f>IF(SUMIFS(Таблица2[B$],Таблица2[2],B171)=0,"-",SUMIFS(Таблица2[B$],Таблица2[2],B171))</f>
        <v>-</v>
      </c>
      <c r="F171" s="77" t="str">
        <f>IFERROR(AVERAGEIFS(Таблица2[AFS],Таблица2[2],B171)+(AVERAGEIFS(Таблица2[AFS],Таблица2[2],B171)*0.2),"-")</f>
        <v>-</v>
      </c>
      <c r="G171" s="77" t="str">
        <f t="shared" si="10"/>
        <v>-</v>
      </c>
      <c r="H171" s="77" t="str">
        <f>IFERROR(COUNTIFS(Таблица2[2],B171,Таблица2[WIN$],"&gt;0")/D171*100,"-")</f>
        <v>-</v>
      </c>
      <c r="I171" s="77" t="str">
        <f>IF(IFERROR((COUNTIFS(Таблица2[2],B171,Таблица2[K],"K")+SUMIFS(Таблица2[R],Таблица2[2],B171,Таблица2[K],"K"))/D171*100,"-")=0,"-",IFERROR((COUNTIFS(Таблица2[2],B171,Таблица2[K],"K")+SUMIFS(Таблица2[R],Таблица2[2],B171,Таблица2[K],"K"))/D171*100,"-"))</f>
        <v>-</v>
      </c>
      <c r="J171" s="77" t="str">
        <f>IF(IFERROR((COUNTIFS(Таблица2[2],B171,Таблица2[T],"t")+SUMIFS(Таблица2[R],Таблица2[2],B171,Таблица2[T],"t"))/D171*100,"-")=0,"-",IFERROR((COUNTIFS(Таблица2[2],B171,Таблица2[T],"t")+SUMIFS(Таблица2[R],Таблица2[2],B171,Таблица2[T],"t"))/D171*100,"-"))</f>
        <v>-</v>
      </c>
      <c r="K171" s="76" t="str">
        <f>IF(SUMIFS(Таблица2[KO$],Таблица2[2],B171)=0,"-",SUMIFS(Таблица2[KO$],Таблица2[2],B171))</f>
        <v>-</v>
      </c>
      <c r="L171" s="76" t="str">
        <f>IF(SUMIFS(Таблица2[WIN$],Таблица2[2],B171)=0,"-",SUMIFS(Таблица2[WIN$],Таблица2[2],B171))</f>
        <v>-</v>
      </c>
      <c r="M171" s="76" t="str">
        <f t="shared" si="11"/>
        <v>-</v>
      </c>
      <c r="N171" s="78" t="str">
        <f>IFERROR(Таблица467[[#This Row],[PROF]]/Таблица467[[#This Row],[Games]],"-")</f>
        <v>-</v>
      </c>
    </row>
    <row r="172" spans="1:14" ht="11.1" customHeight="1" x14ac:dyDescent="0.25">
      <c r="A172" s="93">
        <f t="shared" si="12"/>
        <v>131</v>
      </c>
      <c r="B172"/>
      <c r="C172"/>
      <c r="D172" s="75" t="str">
        <f>IF(COUNTIFS(Таблица2[2],B172)+SUMIFS(Таблица2[R],Таблица2[2],B172)=0,"",COUNTIFS(Таблица2[2],B172)+SUMIFS(Таблица2[R],Таблица2[2],B172))</f>
        <v/>
      </c>
      <c r="E172" s="76" t="str">
        <f>IF(SUMIFS(Таблица2[B$],Таблица2[2],B172)=0,"-",SUMIFS(Таблица2[B$],Таблица2[2],B172))</f>
        <v>-</v>
      </c>
      <c r="F172" s="77" t="str">
        <f>IFERROR(AVERAGEIFS(Таблица2[AFS],Таблица2[2],B172)+(AVERAGEIFS(Таблица2[AFS],Таблица2[2],B172)*0.2),"-")</f>
        <v>-</v>
      </c>
      <c r="G172" s="77" t="str">
        <f t="shared" si="10"/>
        <v>-</v>
      </c>
      <c r="H172" s="77" t="str">
        <f>IFERROR(COUNTIFS(Таблица2[2],B172,Таблица2[WIN$],"&gt;0")/D172*100,"-")</f>
        <v>-</v>
      </c>
      <c r="I172" s="77" t="str">
        <f>IF(IFERROR((COUNTIFS(Таблица2[2],B172,Таблица2[K],"K")+SUMIFS(Таблица2[R],Таблица2[2],B172,Таблица2[K],"K"))/D172*100,"-")=0,"-",IFERROR((COUNTIFS(Таблица2[2],B172,Таблица2[K],"K")+SUMIFS(Таблица2[R],Таблица2[2],B172,Таблица2[K],"K"))/D172*100,"-"))</f>
        <v>-</v>
      </c>
      <c r="J172" s="77" t="str">
        <f>IF(IFERROR((COUNTIFS(Таблица2[2],B172,Таблица2[T],"t")+SUMIFS(Таблица2[R],Таблица2[2],B172,Таблица2[T],"t"))/D172*100,"-")=0,"-",IFERROR((COUNTIFS(Таблица2[2],B172,Таблица2[T],"t")+SUMIFS(Таблица2[R],Таблица2[2],B172,Таблица2[T],"t"))/D172*100,"-"))</f>
        <v>-</v>
      </c>
      <c r="K172" s="76" t="str">
        <f>IF(SUMIFS(Таблица2[KO$],Таблица2[2],B172)=0,"-",SUMIFS(Таблица2[KO$],Таблица2[2],B172))</f>
        <v>-</v>
      </c>
      <c r="L172" s="76" t="str">
        <f>IF(SUMIFS(Таблица2[WIN$],Таблица2[2],B172)=0,"-",SUMIFS(Таблица2[WIN$],Таблица2[2],B172))</f>
        <v>-</v>
      </c>
      <c r="M172" s="76" t="str">
        <f t="shared" si="11"/>
        <v>-</v>
      </c>
      <c r="N172" s="78" t="str">
        <f>IFERROR(Таблица467[[#This Row],[PROF]]/Таблица467[[#This Row],[Games]],"-")</f>
        <v>-</v>
      </c>
    </row>
    <row r="173" spans="1:14" ht="11.1" customHeight="1" x14ac:dyDescent="0.25">
      <c r="A173" s="93">
        <f t="shared" si="12"/>
        <v>132</v>
      </c>
      <c r="B173"/>
      <c r="C173"/>
      <c r="D173" s="75" t="str">
        <f>IF(COUNTIFS(Таблица2[2],B173)+SUMIFS(Таблица2[R],Таблица2[2],B173)=0,"",COUNTIFS(Таблица2[2],B173)+SUMIFS(Таблица2[R],Таблица2[2],B173))</f>
        <v/>
      </c>
      <c r="E173" s="76" t="str">
        <f>IF(SUMIFS(Таблица2[B$],Таблица2[2],B173)=0,"-",SUMIFS(Таблица2[B$],Таблица2[2],B173))</f>
        <v>-</v>
      </c>
      <c r="F173" s="77" t="str">
        <f>IFERROR(AVERAGEIFS(Таблица2[AFS],Таблица2[2],B173)+(AVERAGEIFS(Таблица2[AFS],Таблица2[2],B173)*0.2),"-")</f>
        <v>-</v>
      </c>
      <c r="G173" s="77" t="str">
        <f t="shared" si="10"/>
        <v>-</v>
      </c>
      <c r="H173" s="77" t="str">
        <f>IFERROR(COUNTIFS(Таблица2[2],B173,Таблица2[WIN$],"&gt;0")/D173*100,"-")</f>
        <v>-</v>
      </c>
      <c r="I173" s="77" t="str">
        <f>IF(IFERROR((COUNTIFS(Таблица2[2],B173,Таблица2[K],"K")+SUMIFS(Таблица2[R],Таблица2[2],B173,Таблица2[K],"K"))/D173*100,"-")=0,"-",IFERROR((COUNTIFS(Таблица2[2],B173,Таблица2[K],"K")+SUMIFS(Таблица2[R],Таблица2[2],B173,Таблица2[K],"K"))/D173*100,"-"))</f>
        <v>-</v>
      </c>
      <c r="J173" s="77" t="str">
        <f>IF(IFERROR((COUNTIFS(Таблица2[2],B173,Таблица2[T],"t")+SUMIFS(Таблица2[R],Таблица2[2],B173,Таблица2[T],"t"))/D173*100,"-")=0,"-",IFERROR((COUNTIFS(Таблица2[2],B173,Таблица2[T],"t")+SUMIFS(Таблица2[R],Таблица2[2],B173,Таблица2[T],"t"))/D173*100,"-"))</f>
        <v>-</v>
      </c>
      <c r="K173" s="76" t="str">
        <f>IF(SUMIFS(Таблица2[KO$],Таблица2[2],B173)=0,"-",SUMIFS(Таблица2[KO$],Таблица2[2],B173))</f>
        <v>-</v>
      </c>
      <c r="L173" s="76" t="str">
        <f>IF(SUMIFS(Таблица2[WIN$],Таблица2[2],B173)=0,"-",SUMIFS(Таблица2[WIN$],Таблица2[2],B173))</f>
        <v>-</v>
      </c>
      <c r="M173" s="76" t="str">
        <f t="shared" si="11"/>
        <v>-</v>
      </c>
      <c r="N173" s="78" t="str">
        <f>IFERROR(Таблица467[[#This Row],[PROF]]/Таблица467[[#This Row],[Games]],"-")</f>
        <v>-</v>
      </c>
    </row>
    <row r="174" spans="1:14" ht="11.1" customHeight="1" x14ac:dyDescent="0.25">
      <c r="A174" s="93">
        <f t="shared" si="12"/>
        <v>133</v>
      </c>
      <c r="B174"/>
      <c r="C174"/>
      <c r="D174" s="75" t="str">
        <f>IF(COUNTIFS(Таблица2[2],B174)+SUMIFS(Таблица2[R],Таблица2[2],B174)=0,"",COUNTIFS(Таблица2[2],B174)+SUMIFS(Таблица2[R],Таблица2[2],B174))</f>
        <v/>
      </c>
      <c r="E174" s="76" t="str">
        <f>IF(SUMIFS(Таблица2[B$],Таблица2[2],B174)=0,"-",SUMIFS(Таблица2[B$],Таблица2[2],B174))</f>
        <v>-</v>
      </c>
      <c r="F174" s="77" t="str">
        <f>IFERROR(AVERAGEIFS(Таблица2[AFS],Таблица2[2],B174)+(AVERAGEIFS(Таблица2[AFS],Таблица2[2],B174)*0.2),"-")</f>
        <v>-</v>
      </c>
      <c r="G174" s="77" t="str">
        <f t="shared" si="10"/>
        <v>-</v>
      </c>
      <c r="H174" s="77" t="str">
        <f>IFERROR(COUNTIFS(Таблица2[2],B174,Таблица2[WIN$],"&gt;0")/D174*100,"-")</f>
        <v>-</v>
      </c>
      <c r="I174" s="77" t="str">
        <f>IF(IFERROR((COUNTIFS(Таблица2[2],B174,Таблица2[K],"K")+SUMIFS(Таблица2[R],Таблица2[2],B174,Таблица2[K],"K"))/D174*100,"-")=0,"-",IFERROR((COUNTIFS(Таблица2[2],B174,Таблица2[K],"K")+SUMIFS(Таблица2[R],Таблица2[2],B174,Таблица2[K],"K"))/D174*100,"-"))</f>
        <v>-</v>
      </c>
      <c r="J174" s="77" t="str">
        <f>IF(IFERROR((COUNTIFS(Таблица2[2],B174,Таблица2[T],"t")+SUMIFS(Таблица2[R],Таблица2[2],B174,Таблица2[T],"t"))/D174*100,"-")=0,"-",IFERROR((COUNTIFS(Таблица2[2],B174,Таблица2[T],"t")+SUMIFS(Таблица2[R],Таблица2[2],B174,Таблица2[T],"t"))/D174*100,"-"))</f>
        <v>-</v>
      </c>
      <c r="K174" s="76" t="str">
        <f>IF(SUMIFS(Таблица2[KO$],Таблица2[2],B174)=0,"-",SUMIFS(Таблица2[KO$],Таблица2[2],B174))</f>
        <v>-</v>
      </c>
      <c r="L174" s="76" t="str">
        <f>IF(SUMIFS(Таблица2[WIN$],Таблица2[2],B174)=0,"-",SUMIFS(Таблица2[WIN$],Таблица2[2],B174))</f>
        <v>-</v>
      </c>
      <c r="M174" s="76" t="str">
        <f t="shared" si="11"/>
        <v>-</v>
      </c>
      <c r="N174" s="78" t="str">
        <f>IFERROR(Таблица467[[#This Row],[PROF]]/Таблица467[[#This Row],[Games]],"-")</f>
        <v>-</v>
      </c>
    </row>
    <row r="175" spans="1:14" ht="11.1" customHeight="1" x14ac:dyDescent="0.25">
      <c r="A175" s="93">
        <f t="shared" si="12"/>
        <v>134</v>
      </c>
      <c r="B175"/>
      <c r="C175"/>
      <c r="D175" s="75" t="str">
        <f>IF(COUNTIFS(Таблица2[2],B175)+SUMIFS(Таблица2[R],Таблица2[2],B175)=0,"",COUNTIFS(Таблица2[2],B175)+SUMIFS(Таблица2[R],Таблица2[2],B175))</f>
        <v/>
      </c>
      <c r="E175" s="76" t="str">
        <f>IF(SUMIFS(Таблица2[B$],Таблица2[2],B175)=0,"-",SUMIFS(Таблица2[B$],Таблица2[2],B175))</f>
        <v>-</v>
      </c>
      <c r="F175" s="77" t="str">
        <f>IFERROR(AVERAGEIFS(Таблица2[AFS],Таблица2[2],B175)+(AVERAGEIFS(Таблица2[AFS],Таблица2[2],B175)*0.2),"-")</f>
        <v>-</v>
      </c>
      <c r="G175" s="77" t="str">
        <f t="shared" si="10"/>
        <v>-</v>
      </c>
      <c r="H175" s="77" t="str">
        <f>IFERROR(COUNTIFS(Таблица2[2],B175,Таблица2[WIN$],"&gt;0")/D175*100,"-")</f>
        <v>-</v>
      </c>
      <c r="I175" s="77" t="str">
        <f>IF(IFERROR((COUNTIFS(Таблица2[2],B175,Таблица2[K],"K")+SUMIFS(Таблица2[R],Таблица2[2],B175,Таблица2[K],"K"))/D175*100,"-")=0,"-",IFERROR((COUNTIFS(Таблица2[2],B175,Таблица2[K],"K")+SUMIFS(Таблица2[R],Таблица2[2],B175,Таблица2[K],"K"))/D175*100,"-"))</f>
        <v>-</v>
      </c>
      <c r="J175" s="77" t="str">
        <f>IF(IFERROR((COUNTIFS(Таблица2[2],B175,Таблица2[T],"t")+SUMIFS(Таблица2[R],Таблица2[2],B175,Таблица2[T],"t"))/D175*100,"-")=0,"-",IFERROR((COUNTIFS(Таблица2[2],B175,Таблица2[T],"t")+SUMIFS(Таблица2[R],Таблица2[2],B175,Таблица2[T],"t"))/D175*100,"-"))</f>
        <v>-</v>
      </c>
      <c r="K175" s="76" t="str">
        <f>IF(SUMIFS(Таблица2[KO$],Таблица2[2],B175)=0,"-",SUMIFS(Таблица2[KO$],Таблица2[2],B175))</f>
        <v>-</v>
      </c>
      <c r="L175" s="76" t="str">
        <f>IF(SUMIFS(Таблица2[WIN$],Таблица2[2],B175)=0,"-",SUMIFS(Таблица2[WIN$],Таблица2[2],B175))</f>
        <v>-</v>
      </c>
      <c r="M175" s="76" t="str">
        <f t="shared" si="11"/>
        <v>-</v>
      </c>
      <c r="N175" s="78" t="str">
        <f>IFERROR(Таблица467[[#This Row],[PROF]]/Таблица467[[#This Row],[Games]],"-")</f>
        <v>-</v>
      </c>
    </row>
    <row r="176" spans="1:14" ht="11.1" customHeight="1" x14ac:dyDescent="0.25">
      <c r="A176" s="93">
        <f t="shared" si="12"/>
        <v>135</v>
      </c>
      <c r="B176"/>
      <c r="C176"/>
      <c r="D176" s="75" t="str">
        <f>IF(COUNTIFS(Таблица2[2],B176)+SUMIFS(Таблица2[R],Таблица2[2],B176)=0,"",COUNTIFS(Таблица2[2],B176)+SUMIFS(Таблица2[R],Таблица2[2],B176))</f>
        <v/>
      </c>
      <c r="E176" s="76" t="str">
        <f>IF(SUMIFS(Таблица2[B$],Таблица2[2],B176)=0,"-",SUMIFS(Таблица2[B$],Таблица2[2],B176))</f>
        <v>-</v>
      </c>
      <c r="F176" s="77" t="str">
        <f>IFERROR(AVERAGEIFS(Таблица2[AFS],Таблица2[2],B176)+(AVERAGEIFS(Таблица2[AFS],Таблица2[2],B176)*0.2),"-")</f>
        <v>-</v>
      </c>
      <c r="G176" s="77" t="str">
        <f t="shared" si="10"/>
        <v>-</v>
      </c>
      <c r="H176" s="77" t="str">
        <f>IFERROR(COUNTIFS(Таблица2[2],B176,Таблица2[WIN$],"&gt;0")/D176*100,"-")</f>
        <v>-</v>
      </c>
      <c r="I176" s="77" t="str">
        <f>IF(IFERROR((COUNTIFS(Таблица2[2],B176,Таблица2[K],"K")+SUMIFS(Таблица2[R],Таблица2[2],B176,Таблица2[K],"K"))/D176*100,"-")=0,"-",IFERROR((COUNTIFS(Таблица2[2],B176,Таблица2[K],"K")+SUMIFS(Таблица2[R],Таблица2[2],B176,Таблица2[K],"K"))/D176*100,"-"))</f>
        <v>-</v>
      </c>
      <c r="J176" s="77" t="str">
        <f>IF(IFERROR((COUNTIFS(Таблица2[2],B176,Таблица2[T],"t")+SUMIFS(Таблица2[R],Таблица2[2],B176,Таблица2[T],"t"))/D176*100,"-")=0,"-",IFERROR((COUNTIFS(Таблица2[2],B176,Таблица2[T],"t")+SUMIFS(Таблица2[R],Таблица2[2],B176,Таблица2[T],"t"))/D176*100,"-"))</f>
        <v>-</v>
      </c>
      <c r="K176" s="76" t="str">
        <f>IF(SUMIFS(Таблица2[KO$],Таблица2[2],B176)=0,"-",SUMIFS(Таблица2[KO$],Таблица2[2],B176))</f>
        <v>-</v>
      </c>
      <c r="L176" s="76" t="str">
        <f>IF(SUMIFS(Таблица2[WIN$],Таблица2[2],B176)=0,"-",SUMIFS(Таблица2[WIN$],Таблица2[2],B176))</f>
        <v>-</v>
      </c>
      <c r="M176" s="76" t="str">
        <f t="shared" si="11"/>
        <v>-</v>
      </c>
      <c r="N176" s="78" t="str">
        <f>IFERROR(Таблица467[[#This Row],[PROF]]/Таблица467[[#This Row],[Games]],"-")</f>
        <v>-</v>
      </c>
    </row>
    <row r="177" spans="1:14" ht="11.1" customHeight="1" x14ac:dyDescent="0.25">
      <c r="A177" s="93">
        <f t="shared" si="12"/>
        <v>136</v>
      </c>
      <c r="B177"/>
      <c r="C177"/>
      <c r="D177" s="53" t="str">
        <f>IF(COUNTIFS(Таблица2[2],B177)+SUMIFS(Таблица2[R],Таблица2[2],B177)=0,"",COUNTIFS(Таблица2[2],B177)+SUMIFS(Таблица2[R],Таблица2[2],B177))</f>
        <v/>
      </c>
      <c r="E177" s="54" t="str">
        <f>IF(SUMIFS(Таблица2[B$],Таблица2[2],B177)=0,"-",SUMIFS(Таблица2[B$],Таблица2[2],B177))</f>
        <v>-</v>
      </c>
      <c r="F177" s="55" t="str">
        <f>IFERROR(AVERAGEIFS(Таблица2[AFS],Таблица2[2],B177)+(AVERAGEIFS(Таблица2[AFS],Таблица2[2],B177)*0.2),"-")</f>
        <v>-</v>
      </c>
      <c r="G177" s="55" t="str">
        <f t="shared" si="10"/>
        <v>-</v>
      </c>
      <c r="H177" s="55" t="str">
        <f>IFERROR(COUNTIFS(Таблица2[2],B177,Таблица2[WIN$],"&gt;0")/D177*100,"-")</f>
        <v>-</v>
      </c>
      <c r="I177" s="55" t="str">
        <f>IF(IFERROR((COUNTIFS(Таблица2[2],B177,Таблица2[K],"K")+SUMIFS(Таблица2[R],Таблица2[2],B177,Таблица2[K],"K"))/D177*100,"-")=0,"-",IFERROR((COUNTIFS(Таблица2[2],B177,Таблица2[K],"K")+SUMIFS(Таблица2[R],Таблица2[2],B177,Таблица2[K],"K"))/D177*100,"-"))</f>
        <v>-</v>
      </c>
      <c r="J177" s="55" t="str">
        <f>IF(IFERROR((COUNTIFS(Таблица2[2],B177,Таблица2[T],"t")+SUMIFS(Таблица2[R],Таблица2[2],B177,Таблица2[T],"t"))/D177*100,"-")=0,"-",IFERROR((COUNTIFS(Таблица2[2],B177,Таблица2[T],"t")+SUMIFS(Таблица2[R],Таблица2[2],B177,Таблица2[T],"t"))/D177*100,"-"))</f>
        <v>-</v>
      </c>
      <c r="K177" s="54" t="str">
        <f>IF(SUMIFS(Таблица2[KO$],Таблица2[2],B177)=0,"-",SUMIFS(Таблица2[KO$],Таблица2[2],B177))</f>
        <v>-</v>
      </c>
      <c r="L177" s="54" t="str">
        <f>IF(SUMIFS(Таблица2[WIN$],Таблица2[2],B177)=0,"-",SUMIFS(Таблица2[WIN$],Таблица2[2],B177))</f>
        <v>-</v>
      </c>
      <c r="M177" s="54" t="str">
        <f t="shared" si="11"/>
        <v>-</v>
      </c>
      <c r="N177" s="79" t="str">
        <f>IFERROR(Таблица467[[#This Row],[PROF]]/Таблица467[[#This Row],[Games]],"-")</f>
        <v>-</v>
      </c>
    </row>
    <row r="178" spans="1:14" ht="11.1" customHeight="1" x14ac:dyDescent="0.25">
      <c r="A178" s="93">
        <f t="shared" si="12"/>
        <v>137</v>
      </c>
      <c r="B178"/>
      <c r="C178"/>
      <c r="D178" s="117" t="str">
        <f>IF(COUNTIFS(Таблица2[2],B178)+SUMIFS(Таблица2[R],Таблица2[2],B178)=0,"",COUNTIFS(Таблица2[2],B178)+SUMIFS(Таблица2[R],Таблица2[2],B178))</f>
        <v/>
      </c>
      <c r="E178" s="76" t="str">
        <f>IF(SUMIFS(Таблица2[B$],Таблица2[2],B178)=0,"-",SUMIFS(Таблица2[B$],Таблица2[2],B178))</f>
        <v>-</v>
      </c>
      <c r="F178" s="77" t="str">
        <f>IFERROR(AVERAGEIFS(Таблица2[AFS],Таблица2[2],B178)+(AVERAGEIFS(Таблица2[AFS],Таблица2[2],B178)*0.2),"-")</f>
        <v>-</v>
      </c>
      <c r="G178" s="77" t="str">
        <f t="shared" ref="G178:G209" si="13">IFERROR(M178/E178*100,"-")</f>
        <v>-</v>
      </c>
      <c r="H178" s="77" t="str">
        <f>IFERROR(COUNTIFS(Таблица2[2],B178,Таблица2[WIN$],"&gt;0")/D178*100,"-")</f>
        <v>-</v>
      </c>
      <c r="I178" s="77" t="str">
        <f>IF(IFERROR((COUNTIFS(Таблица2[2],B178,Таблица2[K],"K")+SUMIFS(Таблица2[R],Таблица2[2],B178,Таблица2[K],"K"))/D178*100,"-")=0,"-",IFERROR((COUNTIFS(Таблица2[2],B178,Таблица2[K],"K")+SUMIFS(Таблица2[R],Таблица2[2],B178,Таблица2[K],"K"))/D178*100,"-"))</f>
        <v>-</v>
      </c>
      <c r="J178" s="77" t="str">
        <f>IF(IFERROR((COUNTIFS(Таблица2[2],B178,Таблица2[T],"t")+SUMIFS(Таблица2[R],Таблица2[2],B178,Таблица2[T],"t"))/D178*100,"-")=0,"-",IFERROR((COUNTIFS(Таблица2[2],B178,Таблица2[T],"t")+SUMIFS(Таблица2[R],Таблица2[2],B178,Таблица2[T],"t"))/D178*100,"-"))</f>
        <v>-</v>
      </c>
      <c r="K178" s="76" t="str">
        <f>IF(SUMIFS(Таблица2[KO$],Таблица2[2],B178)=0,"-",SUMIFS(Таблица2[KO$],Таблица2[2],B178))</f>
        <v>-</v>
      </c>
      <c r="L178" s="76" t="str">
        <f>IF(SUMIFS(Таблица2[WIN$],Таблица2[2],B178)=0,"-",SUMIFS(Таблица2[WIN$],Таблица2[2],B178))</f>
        <v>-</v>
      </c>
      <c r="M178" s="76" t="str">
        <f t="shared" ref="M178:M209" si="14">IFERROR(IF(L178="-",0,L178)+IF(K178="-",0,K178)-E178,"-")</f>
        <v>-</v>
      </c>
      <c r="N178" s="78" t="str">
        <f>IFERROR(Таблица467[[#This Row],[PROF]]/Таблица467[[#This Row],[Games]],"-")</f>
        <v>-</v>
      </c>
    </row>
    <row r="179" spans="1:14" ht="11.1" customHeight="1" x14ac:dyDescent="0.25">
      <c r="A179" s="93">
        <f t="shared" si="12"/>
        <v>138</v>
      </c>
      <c r="B179"/>
      <c r="C179"/>
      <c r="D179" s="117" t="str">
        <f>IF(COUNTIFS(Таблица2[2],B179)+SUMIFS(Таблица2[R],Таблица2[2],B179)=0,"",COUNTIFS(Таблица2[2],B179)+SUMIFS(Таблица2[R],Таблица2[2],B179))</f>
        <v/>
      </c>
      <c r="E179" s="76" t="str">
        <f>IF(SUMIFS(Таблица2[B$],Таблица2[2],B179)=0,"-",SUMIFS(Таблица2[B$],Таблица2[2],B179))</f>
        <v>-</v>
      </c>
      <c r="F179" s="77" t="str">
        <f>IFERROR(AVERAGEIFS(Таблица2[AFS],Таблица2[2],B179)+(AVERAGEIFS(Таблица2[AFS],Таблица2[2],B179)*0.2),"-")</f>
        <v>-</v>
      </c>
      <c r="G179" s="77" t="str">
        <f t="shared" si="13"/>
        <v>-</v>
      </c>
      <c r="H179" s="77" t="str">
        <f>IFERROR(COUNTIFS(Таблица2[2],B179,Таблица2[WIN$],"&gt;0")/D179*100,"-")</f>
        <v>-</v>
      </c>
      <c r="I179" s="77" t="str">
        <f>IF(IFERROR((COUNTIFS(Таблица2[2],B179,Таблица2[K],"K")+SUMIFS(Таблица2[R],Таблица2[2],B179,Таблица2[K],"K"))/D179*100,"-")=0,"-",IFERROR((COUNTIFS(Таблица2[2],B179,Таблица2[K],"K")+SUMIFS(Таблица2[R],Таблица2[2],B179,Таблица2[K],"K"))/D179*100,"-"))</f>
        <v>-</v>
      </c>
      <c r="J179" s="77" t="str">
        <f>IF(IFERROR((COUNTIFS(Таблица2[2],B179,Таблица2[T],"t")+SUMIFS(Таблица2[R],Таблица2[2],B179,Таблица2[T],"t"))/D179*100,"-")=0,"-",IFERROR((COUNTIFS(Таблица2[2],B179,Таблица2[T],"t")+SUMIFS(Таблица2[R],Таблица2[2],B179,Таблица2[T],"t"))/D179*100,"-"))</f>
        <v>-</v>
      </c>
      <c r="K179" s="76" t="str">
        <f>IF(SUMIFS(Таблица2[KO$],Таблица2[2],B179)=0,"-",SUMIFS(Таблица2[KO$],Таблица2[2],B179))</f>
        <v>-</v>
      </c>
      <c r="L179" s="76" t="str">
        <f>IF(SUMIFS(Таблица2[WIN$],Таблица2[2],B179)=0,"-",SUMIFS(Таблица2[WIN$],Таблица2[2],B179))</f>
        <v>-</v>
      </c>
      <c r="M179" s="76" t="str">
        <f t="shared" si="14"/>
        <v>-</v>
      </c>
      <c r="N179" s="78" t="str">
        <f>IFERROR(Таблица467[[#This Row],[PROF]]/Таблица467[[#This Row],[Games]],"-")</f>
        <v>-</v>
      </c>
    </row>
    <row r="180" spans="1:14" ht="11.1" customHeight="1" x14ac:dyDescent="0.25">
      <c r="A180" s="93">
        <f t="shared" si="12"/>
        <v>139</v>
      </c>
      <c r="B180"/>
      <c r="C180"/>
      <c r="D180" s="117" t="str">
        <f>IF(COUNTIFS(Таблица2[2],B180)+SUMIFS(Таблица2[R],Таблица2[2],B180)=0,"",COUNTIFS(Таблица2[2],B180)+SUMIFS(Таблица2[R],Таблица2[2],B180))</f>
        <v/>
      </c>
      <c r="E180" s="76" t="str">
        <f>IF(SUMIFS(Таблица2[B$],Таблица2[2],B180)=0,"-",SUMIFS(Таблица2[B$],Таблица2[2],B180))</f>
        <v>-</v>
      </c>
      <c r="F180" s="77" t="str">
        <f>IFERROR(AVERAGEIFS(Таблица2[AFS],Таблица2[2],B180)+(AVERAGEIFS(Таблица2[AFS],Таблица2[2],B180)*0.2),"-")</f>
        <v>-</v>
      </c>
      <c r="G180" s="77" t="str">
        <f t="shared" si="13"/>
        <v>-</v>
      </c>
      <c r="H180" s="77" t="str">
        <f>IFERROR(COUNTIFS(Таблица2[2],B180,Таблица2[WIN$],"&gt;0")/D180*100,"-")</f>
        <v>-</v>
      </c>
      <c r="I180" s="77" t="str">
        <f>IF(IFERROR((COUNTIFS(Таблица2[2],B180,Таблица2[K],"K")+SUMIFS(Таблица2[R],Таблица2[2],B180,Таблица2[K],"K"))/D180*100,"-")=0,"-",IFERROR((COUNTIFS(Таблица2[2],B180,Таблица2[K],"K")+SUMIFS(Таблица2[R],Таблица2[2],B180,Таблица2[K],"K"))/D180*100,"-"))</f>
        <v>-</v>
      </c>
      <c r="J180" s="77" t="str">
        <f>IF(IFERROR((COUNTIFS(Таблица2[2],B180,Таблица2[T],"t")+SUMIFS(Таблица2[R],Таблица2[2],B180,Таблица2[T],"t"))/D180*100,"-")=0,"-",IFERROR((COUNTIFS(Таблица2[2],B180,Таблица2[T],"t")+SUMIFS(Таблица2[R],Таблица2[2],B180,Таблица2[T],"t"))/D180*100,"-"))</f>
        <v>-</v>
      </c>
      <c r="K180" s="76" t="str">
        <f>IF(SUMIFS(Таблица2[KO$],Таблица2[2],B180)=0,"-",SUMIFS(Таблица2[KO$],Таблица2[2],B180))</f>
        <v>-</v>
      </c>
      <c r="L180" s="76" t="str">
        <f>IF(SUMIFS(Таблица2[WIN$],Таблица2[2],B180)=0,"-",SUMIFS(Таблица2[WIN$],Таблица2[2],B180))</f>
        <v>-</v>
      </c>
      <c r="M180" s="76" t="str">
        <f t="shared" si="14"/>
        <v>-</v>
      </c>
      <c r="N180" s="78" t="str">
        <f>IFERROR(Таблица467[[#This Row],[PROF]]/Таблица467[[#This Row],[Games]],"-")</f>
        <v>-</v>
      </c>
    </row>
    <row r="181" spans="1:14" ht="11.1" customHeight="1" x14ac:dyDescent="0.25">
      <c r="A181" s="93">
        <f t="shared" si="12"/>
        <v>140</v>
      </c>
      <c r="B181"/>
      <c r="C181"/>
      <c r="D181" s="117" t="str">
        <f>IF(COUNTIFS(Таблица2[2],B181)+SUMIFS(Таблица2[R],Таблица2[2],B181)=0,"",COUNTIFS(Таблица2[2],B181)+SUMIFS(Таблица2[R],Таблица2[2],B181))</f>
        <v/>
      </c>
      <c r="E181" s="76" t="str">
        <f>IF(SUMIFS(Таблица2[B$],Таблица2[2],B181)=0,"-",SUMIFS(Таблица2[B$],Таблица2[2],B181))</f>
        <v>-</v>
      </c>
      <c r="F181" s="77" t="str">
        <f>IFERROR(AVERAGEIFS(Таблица2[AFS],Таблица2[2],B181)+(AVERAGEIFS(Таблица2[AFS],Таблица2[2],B181)*0.2),"-")</f>
        <v>-</v>
      </c>
      <c r="G181" s="77" t="str">
        <f t="shared" si="13"/>
        <v>-</v>
      </c>
      <c r="H181" s="77" t="str">
        <f>IFERROR(COUNTIFS(Таблица2[2],B181,Таблица2[WIN$],"&gt;0")/D181*100,"-")</f>
        <v>-</v>
      </c>
      <c r="I181" s="77" t="str">
        <f>IF(IFERROR((COUNTIFS(Таблица2[2],B181,Таблица2[K],"K")+SUMIFS(Таблица2[R],Таблица2[2],B181,Таблица2[K],"K"))/D181*100,"-")=0,"-",IFERROR((COUNTIFS(Таблица2[2],B181,Таблица2[K],"K")+SUMIFS(Таблица2[R],Таблица2[2],B181,Таблица2[K],"K"))/D181*100,"-"))</f>
        <v>-</v>
      </c>
      <c r="J181" s="77" t="str">
        <f>IF(IFERROR((COUNTIFS(Таблица2[2],B181,Таблица2[T],"t")+SUMIFS(Таблица2[R],Таблица2[2],B181,Таблица2[T],"t"))/D181*100,"-")=0,"-",IFERROR((COUNTIFS(Таблица2[2],B181,Таблица2[T],"t")+SUMIFS(Таблица2[R],Таблица2[2],B181,Таблица2[T],"t"))/D181*100,"-"))</f>
        <v>-</v>
      </c>
      <c r="K181" s="76" t="str">
        <f>IF(SUMIFS(Таблица2[KO$],Таблица2[2],B181)=0,"-",SUMIFS(Таблица2[KO$],Таблица2[2],B181))</f>
        <v>-</v>
      </c>
      <c r="L181" s="76" t="str">
        <f>IF(SUMIFS(Таблица2[WIN$],Таблица2[2],B181)=0,"-",SUMIFS(Таблица2[WIN$],Таблица2[2],B181))</f>
        <v>-</v>
      </c>
      <c r="M181" s="76" t="str">
        <f t="shared" si="14"/>
        <v>-</v>
      </c>
      <c r="N181" s="78" t="str">
        <f>IFERROR(Таблица467[[#This Row],[PROF]]/Таблица467[[#This Row],[Games]],"-")</f>
        <v>-</v>
      </c>
    </row>
    <row r="182" spans="1:14" ht="11.1" customHeight="1" x14ac:dyDescent="0.25">
      <c r="A182" s="93">
        <f t="shared" si="12"/>
        <v>141</v>
      </c>
      <c r="B182"/>
      <c r="C182"/>
      <c r="D182" s="117" t="str">
        <f>IF(COUNTIFS(Таблица2[2],B182)+SUMIFS(Таблица2[R],Таблица2[2],B182)=0,"",COUNTIFS(Таблица2[2],B182)+SUMIFS(Таблица2[R],Таблица2[2],B182))</f>
        <v/>
      </c>
      <c r="E182" s="76" t="str">
        <f>IF(SUMIFS(Таблица2[B$],Таблица2[2],B182)=0,"-",SUMIFS(Таблица2[B$],Таблица2[2],B182))</f>
        <v>-</v>
      </c>
      <c r="F182" s="77" t="str">
        <f>IFERROR(AVERAGEIFS(Таблица2[AFS],Таблица2[2],B182)+(AVERAGEIFS(Таблица2[AFS],Таблица2[2],B182)*0.2),"-")</f>
        <v>-</v>
      </c>
      <c r="G182" s="77" t="str">
        <f t="shared" si="13"/>
        <v>-</v>
      </c>
      <c r="H182" s="77" t="str">
        <f>IFERROR(COUNTIFS(Таблица2[2],B182,Таблица2[WIN$],"&gt;0")/D182*100,"-")</f>
        <v>-</v>
      </c>
      <c r="I182" s="77" t="str">
        <f>IF(IFERROR((COUNTIFS(Таблица2[2],B182,Таблица2[K],"K")+SUMIFS(Таблица2[R],Таблица2[2],B182,Таблица2[K],"K"))/D182*100,"-")=0,"-",IFERROR((COUNTIFS(Таблица2[2],B182,Таблица2[K],"K")+SUMIFS(Таблица2[R],Таблица2[2],B182,Таблица2[K],"K"))/D182*100,"-"))</f>
        <v>-</v>
      </c>
      <c r="J182" s="77" t="str">
        <f>IF(IFERROR((COUNTIFS(Таблица2[2],B182,Таблица2[T],"t")+SUMIFS(Таблица2[R],Таблица2[2],B182,Таблица2[T],"t"))/D182*100,"-")=0,"-",IFERROR((COUNTIFS(Таблица2[2],B182,Таблица2[T],"t")+SUMIFS(Таблица2[R],Таблица2[2],B182,Таблица2[T],"t"))/D182*100,"-"))</f>
        <v>-</v>
      </c>
      <c r="K182" s="76" t="str">
        <f>IF(SUMIFS(Таблица2[KO$],Таблица2[2],B182)=0,"-",SUMIFS(Таблица2[KO$],Таблица2[2],B182))</f>
        <v>-</v>
      </c>
      <c r="L182" s="76" t="str">
        <f>IF(SUMIFS(Таблица2[WIN$],Таблица2[2],B182)=0,"-",SUMIFS(Таблица2[WIN$],Таблица2[2],B182))</f>
        <v>-</v>
      </c>
      <c r="M182" s="76" t="str">
        <f t="shared" si="14"/>
        <v>-</v>
      </c>
      <c r="N182" s="78" t="str">
        <f>IFERROR(Таблица467[[#This Row],[PROF]]/Таблица467[[#This Row],[Games]],"-")</f>
        <v>-</v>
      </c>
    </row>
    <row r="183" spans="1:14" ht="11.1" customHeight="1" x14ac:dyDescent="0.25">
      <c r="A183" s="93">
        <f t="shared" si="12"/>
        <v>142</v>
      </c>
      <c r="B183"/>
      <c r="C183"/>
      <c r="D183" s="117" t="str">
        <f>IF(COUNTIFS(Таблица2[2],B183)+SUMIFS(Таблица2[R],Таблица2[2],B183)=0,"",COUNTIFS(Таблица2[2],B183)+SUMIFS(Таблица2[R],Таблица2[2],B183))</f>
        <v/>
      </c>
      <c r="E183" s="76" t="str">
        <f>IF(SUMIFS(Таблица2[B$],Таблица2[2],B183)=0,"-",SUMIFS(Таблица2[B$],Таблица2[2],B183))</f>
        <v>-</v>
      </c>
      <c r="F183" s="77" t="str">
        <f>IFERROR(AVERAGEIFS(Таблица2[AFS],Таблица2[2],B183)+(AVERAGEIFS(Таблица2[AFS],Таблица2[2],B183)*0.2),"-")</f>
        <v>-</v>
      </c>
      <c r="G183" s="77" t="str">
        <f t="shared" si="13"/>
        <v>-</v>
      </c>
      <c r="H183" s="77" t="str">
        <f>IFERROR(COUNTIFS(Таблица2[2],B183,Таблица2[WIN$],"&gt;0")/D183*100,"-")</f>
        <v>-</v>
      </c>
      <c r="I183" s="77" t="str">
        <f>IF(IFERROR((COUNTIFS(Таблица2[2],B183,Таблица2[K],"K")+SUMIFS(Таблица2[R],Таблица2[2],B183,Таблица2[K],"K"))/D183*100,"-")=0,"-",IFERROR((COUNTIFS(Таблица2[2],B183,Таблица2[K],"K")+SUMIFS(Таблица2[R],Таблица2[2],B183,Таблица2[K],"K"))/D183*100,"-"))</f>
        <v>-</v>
      </c>
      <c r="J183" s="77" t="str">
        <f>IF(IFERROR((COUNTIFS(Таблица2[2],B183,Таблица2[T],"t")+SUMIFS(Таблица2[R],Таблица2[2],B183,Таблица2[T],"t"))/D183*100,"-")=0,"-",IFERROR((COUNTIFS(Таблица2[2],B183,Таблица2[T],"t")+SUMIFS(Таблица2[R],Таблица2[2],B183,Таблица2[T],"t"))/D183*100,"-"))</f>
        <v>-</v>
      </c>
      <c r="K183" s="76" t="str">
        <f>IF(SUMIFS(Таблица2[KO$],Таблица2[2],B183)=0,"-",SUMIFS(Таблица2[KO$],Таблица2[2],B183))</f>
        <v>-</v>
      </c>
      <c r="L183" s="76" t="str">
        <f>IF(SUMIFS(Таблица2[WIN$],Таблица2[2],B183)=0,"-",SUMIFS(Таблица2[WIN$],Таблица2[2],B183))</f>
        <v>-</v>
      </c>
      <c r="M183" s="76" t="str">
        <f t="shared" si="14"/>
        <v>-</v>
      </c>
      <c r="N183" s="78" t="str">
        <f>IFERROR(Таблица467[[#This Row],[PROF]]/Таблица467[[#This Row],[Games]],"-")</f>
        <v>-</v>
      </c>
    </row>
    <row r="184" spans="1:14" ht="11.1" customHeight="1" x14ac:dyDescent="0.25">
      <c r="A184" s="93">
        <f t="shared" si="12"/>
        <v>143</v>
      </c>
      <c r="B184"/>
      <c r="C184"/>
      <c r="D184" s="117" t="str">
        <f>IF(COUNTIFS(Таблица2[2],B184)+SUMIFS(Таблица2[R],Таблица2[2],B184)=0,"",COUNTIFS(Таблица2[2],B184)+SUMIFS(Таблица2[R],Таблица2[2],B184))</f>
        <v/>
      </c>
      <c r="E184" s="76" t="str">
        <f>IF(SUMIFS(Таблица2[B$],Таблица2[2],B184)=0,"-",SUMIFS(Таблица2[B$],Таблица2[2],B184))</f>
        <v>-</v>
      </c>
      <c r="F184" s="77" t="str">
        <f>IFERROR(AVERAGEIFS(Таблица2[AFS],Таблица2[2],B184)+(AVERAGEIFS(Таблица2[AFS],Таблица2[2],B184)*0.2),"-")</f>
        <v>-</v>
      </c>
      <c r="G184" s="77" t="str">
        <f t="shared" si="13"/>
        <v>-</v>
      </c>
      <c r="H184" s="77" t="str">
        <f>IFERROR(COUNTIFS(Таблица2[2],B184,Таблица2[WIN$],"&gt;0")/D184*100,"-")</f>
        <v>-</v>
      </c>
      <c r="I184" s="77" t="str">
        <f>IF(IFERROR((COUNTIFS(Таблица2[2],B184,Таблица2[K],"K")+SUMIFS(Таблица2[R],Таблица2[2],B184,Таблица2[K],"K"))/D184*100,"-")=0,"-",IFERROR((COUNTIFS(Таблица2[2],B184,Таблица2[K],"K")+SUMIFS(Таблица2[R],Таблица2[2],B184,Таблица2[K],"K"))/D184*100,"-"))</f>
        <v>-</v>
      </c>
      <c r="J184" s="77" t="str">
        <f>IF(IFERROR((COUNTIFS(Таблица2[2],B184,Таблица2[T],"t")+SUMIFS(Таблица2[R],Таблица2[2],B184,Таблица2[T],"t"))/D184*100,"-")=0,"-",IFERROR((COUNTIFS(Таблица2[2],B184,Таблица2[T],"t")+SUMIFS(Таблица2[R],Таблица2[2],B184,Таблица2[T],"t"))/D184*100,"-"))</f>
        <v>-</v>
      </c>
      <c r="K184" s="76" t="str">
        <f>IF(SUMIFS(Таблица2[KO$],Таблица2[2],B184)=0,"-",SUMIFS(Таблица2[KO$],Таблица2[2],B184))</f>
        <v>-</v>
      </c>
      <c r="L184" s="76" t="str">
        <f>IF(SUMIFS(Таблица2[WIN$],Таблица2[2],B184)=0,"-",SUMIFS(Таблица2[WIN$],Таблица2[2],B184))</f>
        <v>-</v>
      </c>
      <c r="M184" s="76" t="str">
        <f t="shared" si="14"/>
        <v>-</v>
      </c>
      <c r="N184" s="78" t="str">
        <f>IFERROR(Таблица467[[#This Row],[PROF]]/Таблица467[[#This Row],[Games]],"-")</f>
        <v>-</v>
      </c>
    </row>
    <row r="185" spans="1:14" ht="11.1" customHeight="1" x14ac:dyDescent="0.25">
      <c r="A185" s="93">
        <f t="shared" si="12"/>
        <v>144</v>
      </c>
      <c r="B185"/>
      <c r="C185"/>
      <c r="D185" s="117" t="str">
        <f>IF(COUNTIFS(Таблица2[2],B185)+SUMIFS(Таблица2[R],Таблица2[2],B185)=0,"",COUNTIFS(Таблица2[2],B185)+SUMIFS(Таблица2[R],Таблица2[2],B185))</f>
        <v/>
      </c>
      <c r="E185" s="76" t="str">
        <f>IF(SUMIFS(Таблица2[B$],Таблица2[2],B185)=0,"-",SUMIFS(Таблица2[B$],Таблица2[2],B185))</f>
        <v>-</v>
      </c>
      <c r="F185" s="77" t="str">
        <f>IFERROR(AVERAGEIFS(Таблица2[AFS],Таблица2[2],B185)+(AVERAGEIFS(Таблица2[AFS],Таблица2[2],B185)*0.2),"-")</f>
        <v>-</v>
      </c>
      <c r="G185" s="77" t="str">
        <f t="shared" si="13"/>
        <v>-</v>
      </c>
      <c r="H185" s="77" t="str">
        <f>IFERROR(COUNTIFS(Таблица2[2],B185,Таблица2[WIN$],"&gt;0")/D185*100,"-")</f>
        <v>-</v>
      </c>
      <c r="I185" s="77" t="str">
        <f>IF(IFERROR((COUNTIFS(Таблица2[2],B185,Таблица2[K],"K")+SUMIFS(Таблица2[R],Таблица2[2],B185,Таблица2[K],"K"))/D185*100,"-")=0,"-",IFERROR((COUNTIFS(Таблица2[2],B185,Таблица2[K],"K")+SUMIFS(Таблица2[R],Таблица2[2],B185,Таблица2[K],"K"))/D185*100,"-"))</f>
        <v>-</v>
      </c>
      <c r="J185" s="77" t="str">
        <f>IF(IFERROR((COUNTIFS(Таблица2[2],B185,Таблица2[T],"t")+SUMIFS(Таблица2[R],Таблица2[2],B185,Таблица2[T],"t"))/D185*100,"-")=0,"-",IFERROR((COUNTIFS(Таблица2[2],B185,Таблица2[T],"t")+SUMIFS(Таблица2[R],Таблица2[2],B185,Таблица2[T],"t"))/D185*100,"-"))</f>
        <v>-</v>
      </c>
      <c r="K185" s="76" t="str">
        <f>IF(SUMIFS(Таблица2[KO$],Таблица2[2],B185)=0,"-",SUMIFS(Таблица2[KO$],Таблица2[2],B185))</f>
        <v>-</v>
      </c>
      <c r="L185" s="76" t="str">
        <f>IF(SUMIFS(Таблица2[WIN$],Таблица2[2],B185)=0,"-",SUMIFS(Таблица2[WIN$],Таблица2[2],B185))</f>
        <v>-</v>
      </c>
      <c r="M185" s="76" t="str">
        <f t="shared" si="14"/>
        <v>-</v>
      </c>
      <c r="N185" s="78" t="str">
        <f>IFERROR(Таблица467[[#This Row],[PROF]]/Таблица467[[#This Row],[Games]],"-")</f>
        <v>-</v>
      </c>
    </row>
    <row r="186" spans="1:14" ht="11.1" customHeight="1" x14ac:dyDescent="0.25">
      <c r="A186" s="93">
        <f t="shared" si="12"/>
        <v>145</v>
      </c>
      <c r="B186" s="50"/>
      <c r="C186"/>
      <c r="D186" s="117" t="str">
        <f>IF(COUNTIFS(Таблица2[2],B186)+SUMIFS(Таблица2[R],Таблица2[2],B186)=0,"",COUNTIFS(Таблица2[2],B186)+SUMIFS(Таблица2[R],Таблица2[2],B186))</f>
        <v/>
      </c>
      <c r="E186" s="76" t="str">
        <f>IF(SUMIFS(Таблица2[B$],Таблица2[2],B186)=0,"-",SUMIFS(Таблица2[B$],Таблица2[2],B186))</f>
        <v>-</v>
      </c>
      <c r="F186" s="77" t="str">
        <f>IFERROR(AVERAGEIFS(Таблица2[AFS],Таблица2[2],B186)+(AVERAGEIFS(Таблица2[AFS],Таблица2[2],B186)*0.2),"-")</f>
        <v>-</v>
      </c>
      <c r="G186" s="77" t="str">
        <f t="shared" si="13"/>
        <v>-</v>
      </c>
      <c r="H186" s="77" t="str">
        <f>IFERROR(COUNTIFS(Таблица2[2],B186,Таблица2[WIN$],"&gt;0")/D186*100,"-")</f>
        <v>-</v>
      </c>
      <c r="I186" s="77" t="str">
        <f>IF(IFERROR((COUNTIFS(Таблица2[2],B186,Таблица2[K],"K")+SUMIFS(Таблица2[R],Таблица2[2],B186,Таблица2[K],"K"))/D186*100,"-")=0,"-",IFERROR((COUNTIFS(Таблица2[2],B186,Таблица2[K],"K")+SUMIFS(Таблица2[R],Таблица2[2],B186,Таблица2[K],"K"))/D186*100,"-"))</f>
        <v>-</v>
      </c>
      <c r="J186" s="77" t="str">
        <f>IF(IFERROR((COUNTIFS(Таблица2[2],B186,Таблица2[T],"t")+SUMIFS(Таблица2[R],Таблица2[2],B186,Таблица2[T],"t"))/D186*100,"-")=0,"-",IFERROR((COUNTIFS(Таблица2[2],B186,Таблица2[T],"t")+SUMIFS(Таблица2[R],Таблица2[2],B186,Таблица2[T],"t"))/D186*100,"-"))</f>
        <v>-</v>
      </c>
      <c r="K186" s="76" t="str">
        <f>IF(SUMIFS(Таблица2[KO$],Таблица2[2],B186)=0,"-",SUMIFS(Таблица2[KO$],Таблица2[2],B186))</f>
        <v>-</v>
      </c>
      <c r="L186" s="76" t="str">
        <f>IF(SUMIFS(Таблица2[WIN$],Таблица2[2],B186)=0,"-",SUMIFS(Таблица2[WIN$],Таблица2[2],B186))</f>
        <v>-</v>
      </c>
      <c r="M186" s="76" t="str">
        <f t="shared" si="14"/>
        <v>-</v>
      </c>
      <c r="N186" s="78" t="str">
        <f>IFERROR(Таблица467[[#This Row],[PROF]]/Таблица467[[#This Row],[Games]],"-")</f>
        <v>-</v>
      </c>
    </row>
    <row r="187" spans="1:14" ht="11.1" customHeight="1" x14ac:dyDescent="0.25">
      <c r="A187" s="93">
        <f t="shared" si="12"/>
        <v>146</v>
      </c>
      <c r="B187" s="50"/>
      <c r="C187"/>
      <c r="D187" s="117" t="str">
        <f>IF(COUNTIFS(Таблица2[2],B187)+SUMIFS(Таблица2[R],Таблица2[2],B187)=0,"",COUNTIFS(Таблица2[2],B187)+SUMIFS(Таблица2[R],Таблица2[2],B187))</f>
        <v/>
      </c>
      <c r="E187" s="76" t="str">
        <f>IF(SUMIFS(Таблица2[B$],Таблица2[2],B187)=0,"-",SUMIFS(Таблица2[B$],Таблица2[2],B187))</f>
        <v>-</v>
      </c>
      <c r="F187" s="77" t="str">
        <f>IFERROR(AVERAGEIFS(Таблица2[AFS],Таблица2[2],B187)+(AVERAGEIFS(Таблица2[AFS],Таблица2[2],B187)*0.2),"-")</f>
        <v>-</v>
      </c>
      <c r="G187" s="77" t="str">
        <f t="shared" si="13"/>
        <v>-</v>
      </c>
      <c r="H187" s="77" t="str">
        <f>IFERROR(COUNTIFS(Таблица2[2],B187,Таблица2[WIN$],"&gt;0")/D187*100,"-")</f>
        <v>-</v>
      </c>
      <c r="I187" s="77" t="str">
        <f>IF(IFERROR((COUNTIFS(Таблица2[2],B187,Таблица2[K],"K")+SUMIFS(Таблица2[R],Таблица2[2],B187,Таблица2[K],"K"))/D187*100,"-")=0,"-",IFERROR((COUNTIFS(Таблица2[2],B187,Таблица2[K],"K")+SUMIFS(Таблица2[R],Таблица2[2],B187,Таблица2[K],"K"))/D187*100,"-"))</f>
        <v>-</v>
      </c>
      <c r="J187" s="77" t="str">
        <f>IF(IFERROR((COUNTIFS(Таблица2[2],B187,Таблица2[T],"t")+SUMIFS(Таблица2[R],Таблица2[2],B187,Таблица2[T],"t"))/D187*100,"-")=0,"-",IFERROR((COUNTIFS(Таблица2[2],B187,Таблица2[T],"t")+SUMIFS(Таблица2[R],Таблица2[2],B187,Таблица2[T],"t"))/D187*100,"-"))</f>
        <v>-</v>
      </c>
      <c r="K187" s="76" t="str">
        <f>IF(SUMIFS(Таблица2[KO$],Таблица2[2],B187)=0,"-",SUMIFS(Таблица2[KO$],Таблица2[2],B187))</f>
        <v>-</v>
      </c>
      <c r="L187" s="76" t="str">
        <f>IF(SUMIFS(Таблица2[WIN$],Таблица2[2],B187)=0,"-",SUMIFS(Таблица2[WIN$],Таблица2[2],B187))</f>
        <v>-</v>
      </c>
      <c r="M187" s="76" t="str">
        <f t="shared" si="14"/>
        <v>-</v>
      </c>
      <c r="N187" s="78" t="str">
        <f>IFERROR(Таблица467[[#This Row],[PROF]]/Таблица467[[#This Row],[Games]],"-")</f>
        <v>-</v>
      </c>
    </row>
    <row r="188" spans="1:14" ht="11.1" customHeight="1" x14ac:dyDescent="0.25">
      <c r="A188" s="93">
        <f t="shared" si="12"/>
        <v>147</v>
      </c>
      <c r="B188" s="50"/>
      <c r="C188"/>
      <c r="D188" s="117" t="str">
        <f>IF(COUNTIFS(Таблица2[2],B188)+SUMIFS(Таблица2[R],Таблица2[2],B188)=0,"",COUNTIFS(Таблица2[2],B188)+SUMIFS(Таблица2[R],Таблица2[2],B188))</f>
        <v/>
      </c>
      <c r="E188" s="76" t="str">
        <f>IF(SUMIFS(Таблица2[B$],Таблица2[2],B188)=0,"-",SUMIFS(Таблица2[B$],Таблица2[2],B188))</f>
        <v>-</v>
      </c>
      <c r="F188" s="77" t="str">
        <f>IFERROR(AVERAGEIFS(Таблица2[AFS],Таблица2[2],B188)+(AVERAGEIFS(Таблица2[AFS],Таблица2[2],B188)*0.2),"-")</f>
        <v>-</v>
      </c>
      <c r="G188" s="77" t="str">
        <f t="shared" si="13"/>
        <v>-</v>
      </c>
      <c r="H188" s="77" t="str">
        <f>IFERROR(COUNTIFS(Таблица2[2],B188,Таблица2[WIN$],"&gt;0")/D188*100,"-")</f>
        <v>-</v>
      </c>
      <c r="I188" s="77" t="str">
        <f>IF(IFERROR((COUNTIFS(Таблица2[2],B188,Таблица2[K],"K")+SUMIFS(Таблица2[R],Таблица2[2],B188,Таблица2[K],"K"))/D188*100,"-")=0,"-",IFERROR((COUNTIFS(Таблица2[2],B188,Таблица2[K],"K")+SUMIFS(Таблица2[R],Таблица2[2],B188,Таблица2[K],"K"))/D188*100,"-"))</f>
        <v>-</v>
      </c>
      <c r="J188" s="77" t="str">
        <f>IF(IFERROR((COUNTIFS(Таблица2[2],B188,Таблица2[T],"t")+SUMIFS(Таблица2[R],Таблица2[2],B188,Таблица2[T],"t"))/D188*100,"-")=0,"-",IFERROR((COUNTIFS(Таблица2[2],B188,Таблица2[T],"t")+SUMIFS(Таблица2[R],Таблица2[2],B188,Таблица2[T],"t"))/D188*100,"-"))</f>
        <v>-</v>
      </c>
      <c r="K188" s="76" t="str">
        <f>IF(SUMIFS(Таблица2[KO$],Таблица2[2],B188)=0,"-",SUMIFS(Таблица2[KO$],Таблица2[2],B188))</f>
        <v>-</v>
      </c>
      <c r="L188" s="76" t="str">
        <f>IF(SUMIFS(Таблица2[WIN$],Таблица2[2],B188)=0,"-",SUMIFS(Таблица2[WIN$],Таблица2[2],B188))</f>
        <v>-</v>
      </c>
      <c r="M188" s="76" t="str">
        <f t="shared" si="14"/>
        <v>-</v>
      </c>
      <c r="N188" s="78" t="str">
        <f>IFERROR(Таблица467[[#This Row],[PROF]]/Таблица467[[#This Row],[Games]],"-")</f>
        <v>-</v>
      </c>
    </row>
    <row r="189" spans="1:14" ht="11.1" customHeight="1" x14ac:dyDescent="0.25">
      <c r="A189" s="93">
        <f t="shared" si="12"/>
        <v>148</v>
      </c>
      <c r="B189" s="50"/>
      <c r="C189"/>
      <c r="D189" s="117" t="str">
        <f>IF(COUNTIFS(Таблица2[2],B189)+SUMIFS(Таблица2[R],Таблица2[2],B189)=0,"",COUNTIFS(Таблица2[2],B189)+SUMIFS(Таблица2[R],Таблица2[2],B189))</f>
        <v/>
      </c>
      <c r="E189" s="76" t="str">
        <f>IF(SUMIFS(Таблица2[B$],Таблица2[2],B189)=0,"-",SUMIFS(Таблица2[B$],Таблица2[2],B189))</f>
        <v>-</v>
      </c>
      <c r="F189" s="77" t="str">
        <f>IFERROR(AVERAGEIFS(Таблица2[AFS],Таблица2[2],B189)+(AVERAGEIFS(Таблица2[AFS],Таблица2[2],B189)*0.2),"-")</f>
        <v>-</v>
      </c>
      <c r="G189" s="77" t="str">
        <f t="shared" si="13"/>
        <v>-</v>
      </c>
      <c r="H189" s="77" t="str">
        <f>IFERROR(COUNTIFS(Таблица2[2],B189,Таблица2[WIN$],"&gt;0")/D189*100,"-")</f>
        <v>-</v>
      </c>
      <c r="I189" s="77" t="str">
        <f>IF(IFERROR((COUNTIFS(Таблица2[2],B189,Таблица2[K],"K")+SUMIFS(Таблица2[R],Таблица2[2],B189,Таблица2[K],"K"))/D189*100,"-")=0,"-",IFERROR((COUNTIFS(Таблица2[2],B189,Таблица2[K],"K")+SUMIFS(Таблица2[R],Таблица2[2],B189,Таблица2[K],"K"))/D189*100,"-"))</f>
        <v>-</v>
      </c>
      <c r="J189" s="77" t="str">
        <f>IF(IFERROR((COUNTIFS(Таблица2[2],B189,Таблица2[T],"t")+SUMIFS(Таблица2[R],Таблица2[2],B189,Таблица2[T],"t"))/D189*100,"-")=0,"-",IFERROR((COUNTIFS(Таблица2[2],B189,Таблица2[T],"t")+SUMIFS(Таблица2[R],Таблица2[2],B189,Таблица2[T],"t"))/D189*100,"-"))</f>
        <v>-</v>
      </c>
      <c r="K189" s="76" t="str">
        <f>IF(SUMIFS(Таблица2[KO$],Таблица2[2],B189)=0,"-",SUMIFS(Таблица2[KO$],Таблица2[2],B189))</f>
        <v>-</v>
      </c>
      <c r="L189" s="76" t="str">
        <f>IF(SUMIFS(Таблица2[WIN$],Таблица2[2],B189)=0,"-",SUMIFS(Таблица2[WIN$],Таблица2[2],B189))</f>
        <v>-</v>
      </c>
      <c r="M189" s="76" t="str">
        <f t="shared" si="14"/>
        <v>-</v>
      </c>
      <c r="N189" s="78" t="str">
        <f>IFERROR(Таблица467[[#This Row],[PROF]]/Таблица467[[#This Row],[Games]],"-")</f>
        <v>-</v>
      </c>
    </row>
    <row r="190" spans="1:14" ht="11.1" customHeight="1" x14ac:dyDescent="0.25">
      <c r="A190" s="93">
        <f t="shared" si="12"/>
        <v>149</v>
      </c>
      <c r="B190" s="50"/>
      <c r="C190"/>
      <c r="D190" s="117" t="str">
        <f>IF(COUNTIFS(Таблица2[2],B190)+SUMIFS(Таблица2[R],Таблица2[2],B190)=0,"",COUNTIFS(Таблица2[2],B190)+SUMIFS(Таблица2[R],Таблица2[2],B190))</f>
        <v/>
      </c>
      <c r="E190" s="76" t="str">
        <f>IF(SUMIFS(Таблица2[B$],Таблица2[2],B190)=0,"-",SUMIFS(Таблица2[B$],Таблица2[2],B190))</f>
        <v>-</v>
      </c>
      <c r="F190" s="77" t="str">
        <f>IFERROR(AVERAGEIFS(Таблица2[AFS],Таблица2[2],B190)+(AVERAGEIFS(Таблица2[AFS],Таблица2[2],B190)*0.2),"-")</f>
        <v>-</v>
      </c>
      <c r="G190" s="77" t="str">
        <f t="shared" si="13"/>
        <v>-</v>
      </c>
      <c r="H190" s="77" t="str">
        <f>IFERROR(COUNTIFS(Таблица2[2],B190,Таблица2[WIN$],"&gt;0")/D190*100,"-")</f>
        <v>-</v>
      </c>
      <c r="I190" s="77" t="str">
        <f>IF(IFERROR((COUNTIFS(Таблица2[2],B190,Таблица2[K],"K")+SUMIFS(Таблица2[R],Таблица2[2],B190,Таблица2[K],"K"))/D190*100,"-")=0,"-",IFERROR((COUNTIFS(Таблица2[2],B190,Таблица2[K],"K")+SUMIFS(Таблица2[R],Таблица2[2],B190,Таблица2[K],"K"))/D190*100,"-"))</f>
        <v>-</v>
      </c>
      <c r="J190" s="77" t="str">
        <f>IF(IFERROR((COUNTIFS(Таблица2[2],B190,Таблица2[T],"t")+SUMIFS(Таблица2[R],Таблица2[2],B190,Таблица2[T],"t"))/D190*100,"-")=0,"-",IFERROR((COUNTIFS(Таблица2[2],B190,Таблица2[T],"t")+SUMIFS(Таблица2[R],Таблица2[2],B190,Таблица2[T],"t"))/D190*100,"-"))</f>
        <v>-</v>
      </c>
      <c r="K190" s="76" t="str">
        <f>IF(SUMIFS(Таблица2[KO$],Таблица2[2],B190)=0,"-",SUMIFS(Таблица2[KO$],Таблица2[2],B190))</f>
        <v>-</v>
      </c>
      <c r="L190" s="76" t="str">
        <f>IF(SUMIFS(Таблица2[WIN$],Таблица2[2],B190)=0,"-",SUMIFS(Таблица2[WIN$],Таблица2[2],B190))</f>
        <v>-</v>
      </c>
      <c r="M190" s="76" t="str">
        <f t="shared" si="14"/>
        <v>-</v>
      </c>
      <c r="N190" s="78" t="str">
        <f>IFERROR(Таблица467[[#This Row],[PROF]]/Таблица467[[#This Row],[Games]],"-")</f>
        <v>-</v>
      </c>
    </row>
    <row r="191" spans="1:14" ht="11.1" customHeight="1" x14ac:dyDescent="0.25">
      <c r="A191" s="93">
        <f t="shared" si="12"/>
        <v>150</v>
      </c>
      <c r="B191" s="50"/>
      <c r="C191"/>
      <c r="D191" s="117" t="str">
        <f>IF(COUNTIFS(Таблица2[2],B191)+SUMIFS(Таблица2[R],Таблица2[2],B191)=0,"",COUNTIFS(Таблица2[2],B191)+SUMIFS(Таблица2[R],Таблица2[2],B191))</f>
        <v/>
      </c>
      <c r="E191" s="76" t="str">
        <f>IF(SUMIFS(Таблица2[B$],Таблица2[2],B191)=0,"-",SUMIFS(Таблица2[B$],Таблица2[2],B191))</f>
        <v>-</v>
      </c>
      <c r="F191" s="77" t="str">
        <f>IFERROR(AVERAGEIFS(Таблица2[AFS],Таблица2[2],B191)+(AVERAGEIFS(Таблица2[AFS],Таблица2[2],B191)*0.2),"-")</f>
        <v>-</v>
      </c>
      <c r="G191" s="77" t="str">
        <f t="shared" si="13"/>
        <v>-</v>
      </c>
      <c r="H191" s="77" t="str">
        <f>IFERROR(COUNTIFS(Таблица2[2],B191,Таблица2[WIN$],"&gt;0")/D191*100,"-")</f>
        <v>-</v>
      </c>
      <c r="I191" s="77" t="str">
        <f>IF(IFERROR((COUNTIFS(Таблица2[2],B191,Таблица2[K],"K")+SUMIFS(Таблица2[R],Таблица2[2],B191,Таблица2[K],"K"))/D191*100,"-")=0,"-",IFERROR((COUNTIFS(Таблица2[2],B191,Таблица2[K],"K")+SUMIFS(Таблица2[R],Таблица2[2],B191,Таблица2[K],"K"))/D191*100,"-"))</f>
        <v>-</v>
      </c>
      <c r="J191" s="77" t="str">
        <f>IF(IFERROR((COUNTIFS(Таблица2[2],B191,Таблица2[T],"t")+SUMIFS(Таблица2[R],Таблица2[2],B191,Таблица2[T],"t"))/D191*100,"-")=0,"-",IFERROR((COUNTIFS(Таблица2[2],B191,Таблица2[T],"t")+SUMIFS(Таблица2[R],Таблица2[2],B191,Таблица2[T],"t"))/D191*100,"-"))</f>
        <v>-</v>
      </c>
      <c r="K191" s="76" t="str">
        <f>IF(SUMIFS(Таблица2[KO$],Таблица2[2],B191)=0,"-",SUMIFS(Таблица2[KO$],Таблица2[2],B191))</f>
        <v>-</v>
      </c>
      <c r="L191" s="76" t="str">
        <f>IF(SUMIFS(Таблица2[WIN$],Таблица2[2],B191)=0,"-",SUMIFS(Таблица2[WIN$],Таблица2[2],B191))</f>
        <v>-</v>
      </c>
      <c r="M191" s="76" t="str">
        <f t="shared" si="14"/>
        <v>-</v>
      </c>
      <c r="N191" s="78" t="str">
        <f>IFERROR(Таблица467[[#This Row],[PROF]]/Таблица467[[#This Row],[Games]],"-")</f>
        <v>-</v>
      </c>
    </row>
    <row r="192" spans="1:14" ht="11.1" customHeight="1" x14ac:dyDescent="0.25">
      <c r="A192" s="93">
        <f t="shared" si="12"/>
        <v>151</v>
      </c>
      <c r="B192" s="50"/>
      <c r="C192"/>
      <c r="D192" s="117" t="str">
        <f>IF(COUNTIFS(Таблица2[2],B192)+SUMIFS(Таблица2[R],Таблица2[2],B192)=0,"",COUNTIFS(Таблица2[2],B192)+SUMIFS(Таблица2[R],Таблица2[2],B192))</f>
        <v/>
      </c>
      <c r="E192" s="76" t="str">
        <f>IF(SUMIFS(Таблица2[B$],Таблица2[2],B192)=0,"-",SUMIFS(Таблица2[B$],Таблица2[2],B192))</f>
        <v>-</v>
      </c>
      <c r="F192" s="77" t="str">
        <f>IFERROR(AVERAGEIFS(Таблица2[AFS],Таблица2[2],B192)+(AVERAGEIFS(Таблица2[AFS],Таблица2[2],B192)*0.2),"-")</f>
        <v>-</v>
      </c>
      <c r="G192" s="77" t="str">
        <f t="shared" si="13"/>
        <v>-</v>
      </c>
      <c r="H192" s="77" t="str">
        <f>IFERROR(COUNTIFS(Таблица2[2],B192,Таблица2[WIN$],"&gt;0")/D192*100,"-")</f>
        <v>-</v>
      </c>
      <c r="I192" s="77" t="str">
        <f>IF(IFERROR((COUNTIFS(Таблица2[2],B192,Таблица2[K],"K")+SUMIFS(Таблица2[R],Таблица2[2],B192,Таблица2[K],"K"))/D192*100,"-")=0,"-",IFERROR((COUNTIFS(Таблица2[2],B192,Таблица2[K],"K")+SUMIFS(Таблица2[R],Таблица2[2],B192,Таблица2[K],"K"))/D192*100,"-"))</f>
        <v>-</v>
      </c>
      <c r="J192" s="77" t="str">
        <f>IF(IFERROR((COUNTIFS(Таблица2[2],B192,Таблица2[T],"t")+SUMIFS(Таблица2[R],Таблица2[2],B192,Таблица2[T],"t"))/D192*100,"-")=0,"-",IFERROR((COUNTIFS(Таблица2[2],B192,Таблица2[T],"t")+SUMIFS(Таблица2[R],Таблица2[2],B192,Таблица2[T],"t"))/D192*100,"-"))</f>
        <v>-</v>
      </c>
      <c r="K192" s="76" t="str">
        <f>IF(SUMIFS(Таблица2[KO$],Таблица2[2],B192)=0,"-",SUMIFS(Таблица2[KO$],Таблица2[2],B192))</f>
        <v>-</v>
      </c>
      <c r="L192" s="76" t="str">
        <f>IF(SUMIFS(Таблица2[WIN$],Таблица2[2],B192)=0,"-",SUMIFS(Таблица2[WIN$],Таблица2[2],B192))</f>
        <v>-</v>
      </c>
      <c r="M192" s="76" t="str">
        <f t="shared" si="14"/>
        <v>-</v>
      </c>
      <c r="N192" s="78" t="str">
        <f>IFERROR(Таблица467[[#This Row],[PROF]]/Таблица467[[#This Row],[Games]],"-")</f>
        <v>-</v>
      </c>
    </row>
    <row r="193" spans="1:14" ht="11.1" customHeight="1" x14ac:dyDescent="0.25">
      <c r="A193" s="93">
        <f t="shared" si="12"/>
        <v>152</v>
      </c>
      <c r="B193" s="50"/>
      <c r="C193"/>
      <c r="D193" s="117" t="str">
        <f>IF(COUNTIFS(Таблица2[2],B193)+SUMIFS(Таблица2[R],Таблица2[2],B193)=0,"",COUNTIFS(Таблица2[2],B193)+SUMIFS(Таблица2[R],Таблица2[2],B193))</f>
        <v/>
      </c>
      <c r="E193" s="76" t="str">
        <f>IF(SUMIFS(Таблица2[B$],Таблица2[2],B193)=0,"-",SUMIFS(Таблица2[B$],Таблица2[2],B193))</f>
        <v>-</v>
      </c>
      <c r="F193" s="77" t="str">
        <f>IFERROR(AVERAGEIFS(Таблица2[AFS],Таблица2[2],B193)+(AVERAGEIFS(Таблица2[AFS],Таблица2[2],B193)*0.2),"-")</f>
        <v>-</v>
      </c>
      <c r="G193" s="77" t="str">
        <f t="shared" si="13"/>
        <v>-</v>
      </c>
      <c r="H193" s="77" t="str">
        <f>IFERROR(COUNTIFS(Таблица2[2],B193,Таблица2[WIN$],"&gt;0")/D193*100,"-")</f>
        <v>-</v>
      </c>
      <c r="I193" s="77" t="str">
        <f>IF(IFERROR((COUNTIFS(Таблица2[2],B193,Таблица2[K],"K")+SUMIFS(Таблица2[R],Таблица2[2],B193,Таблица2[K],"K"))/D193*100,"-")=0,"-",IFERROR((COUNTIFS(Таблица2[2],B193,Таблица2[K],"K")+SUMIFS(Таблица2[R],Таблица2[2],B193,Таблица2[K],"K"))/D193*100,"-"))</f>
        <v>-</v>
      </c>
      <c r="J193" s="77" t="str">
        <f>IF(IFERROR((COUNTIFS(Таблица2[2],B193,Таблица2[T],"t")+SUMIFS(Таблица2[R],Таблица2[2],B193,Таблица2[T],"t"))/D193*100,"-")=0,"-",IFERROR((COUNTIFS(Таблица2[2],B193,Таблица2[T],"t")+SUMIFS(Таблица2[R],Таблица2[2],B193,Таблица2[T],"t"))/D193*100,"-"))</f>
        <v>-</v>
      </c>
      <c r="K193" s="76" t="str">
        <f>IF(SUMIFS(Таблица2[KO$],Таблица2[2],B193)=0,"-",SUMIFS(Таблица2[KO$],Таблица2[2],B193))</f>
        <v>-</v>
      </c>
      <c r="L193" s="76" t="str">
        <f>IF(SUMIFS(Таблица2[WIN$],Таблица2[2],B193)=0,"-",SUMIFS(Таблица2[WIN$],Таблица2[2],B193))</f>
        <v>-</v>
      </c>
      <c r="M193" s="76" t="str">
        <f t="shared" si="14"/>
        <v>-</v>
      </c>
      <c r="N193" s="78" t="str">
        <f>IFERROR(Таблица467[[#This Row],[PROF]]/Таблица467[[#This Row],[Games]],"-")</f>
        <v>-</v>
      </c>
    </row>
    <row r="194" spans="1:14" ht="11.1" customHeight="1" x14ac:dyDescent="0.25">
      <c r="A194" s="93">
        <f t="shared" si="12"/>
        <v>153</v>
      </c>
      <c r="B194" s="50"/>
      <c r="C194"/>
      <c r="D194" s="117" t="str">
        <f>IF(COUNTIFS(Таблица2[2],B194)+SUMIFS(Таблица2[R],Таблица2[2],B194)=0,"",COUNTIFS(Таблица2[2],B194)+SUMIFS(Таблица2[R],Таблица2[2],B194))</f>
        <v/>
      </c>
      <c r="E194" s="76" t="str">
        <f>IF(SUMIFS(Таблица2[B$],Таблица2[2],B194)=0,"-",SUMIFS(Таблица2[B$],Таблица2[2],B194))</f>
        <v>-</v>
      </c>
      <c r="F194" s="77" t="str">
        <f>IFERROR(AVERAGEIFS(Таблица2[AFS],Таблица2[2],B194)+(AVERAGEIFS(Таблица2[AFS],Таблица2[2],B194)*0.2),"-")</f>
        <v>-</v>
      </c>
      <c r="G194" s="77" t="str">
        <f t="shared" si="13"/>
        <v>-</v>
      </c>
      <c r="H194" s="77" t="str">
        <f>IFERROR(COUNTIFS(Таблица2[2],B194,Таблица2[WIN$],"&gt;0")/D194*100,"-")</f>
        <v>-</v>
      </c>
      <c r="I194" s="77" t="str">
        <f>IF(IFERROR((COUNTIFS(Таблица2[2],B194,Таблица2[K],"K")+SUMIFS(Таблица2[R],Таблица2[2],B194,Таблица2[K],"K"))/D194*100,"-")=0,"-",IFERROR((COUNTIFS(Таблица2[2],B194,Таблица2[K],"K")+SUMIFS(Таблица2[R],Таблица2[2],B194,Таблица2[K],"K"))/D194*100,"-"))</f>
        <v>-</v>
      </c>
      <c r="J194" s="77" t="str">
        <f>IF(IFERROR((COUNTIFS(Таблица2[2],B194,Таблица2[T],"t")+SUMIFS(Таблица2[R],Таблица2[2],B194,Таблица2[T],"t"))/D194*100,"-")=0,"-",IFERROR((COUNTIFS(Таблица2[2],B194,Таблица2[T],"t")+SUMIFS(Таблица2[R],Таблица2[2],B194,Таблица2[T],"t"))/D194*100,"-"))</f>
        <v>-</v>
      </c>
      <c r="K194" s="76" t="str">
        <f>IF(SUMIFS(Таблица2[KO$],Таблица2[2],B194)=0,"-",SUMIFS(Таблица2[KO$],Таблица2[2],B194))</f>
        <v>-</v>
      </c>
      <c r="L194" s="76" t="str">
        <f>IF(SUMIFS(Таблица2[WIN$],Таблица2[2],B194)=0,"-",SUMIFS(Таблица2[WIN$],Таблица2[2],B194))</f>
        <v>-</v>
      </c>
      <c r="M194" s="76" t="str">
        <f t="shared" si="14"/>
        <v>-</v>
      </c>
      <c r="N194" s="78" t="str">
        <f>IFERROR(Таблица467[[#This Row],[PROF]]/Таблица467[[#This Row],[Games]],"-")</f>
        <v>-</v>
      </c>
    </row>
    <row r="195" spans="1:14" ht="11.1" customHeight="1" x14ac:dyDescent="0.25">
      <c r="A195" s="93">
        <f t="shared" si="12"/>
        <v>154</v>
      </c>
      <c r="B195" s="50"/>
      <c r="C195"/>
      <c r="D195" s="117" t="str">
        <f>IF(COUNTIFS(Таблица2[2],B195)+SUMIFS(Таблица2[R],Таблица2[2],B195)=0,"",COUNTIFS(Таблица2[2],B195)+SUMIFS(Таблица2[R],Таблица2[2],B195))</f>
        <v/>
      </c>
      <c r="E195" s="76" t="str">
        <f>IF(SUMIFS(Таблица2[B$],Таблица2[2],B195)=0,"-",SUMIFS(Таблица2[B$],Таблица2[2],B195))</f>
        <v>-</v>
      </c>
      <c r="F195" s="77" t="str">
        <f>IFERROR(AVERAGEIFS(Таблица2[AFS],Таблица2[2],B195)+(AVERAGEIFS(Таблица2[AFS],Таблица2[2],B195)*0.2),"-")</f>
        <v>-</v>
      </c>
      <c r="G195" s="77" t="str">
        <f t="shared" si="13"/>
        <v>-</v>
      </c>
      <c r="H195" s="77" t="str">
        <f>IFERROR(COUNTIFS(Таблица2[2],B195,Таблица2[WIN$],"&gt;0")/D195*100,"-")</f>
        <v>-</v>
      </c>
      <c r="I195" s="77" t="str">
        <f>IF(IFERROR((COUNTIFS(Таблица2[2],B195,Таблица2[K],"K")+SUMIFS(Таблица2[R],Таблица2[2],B195,Таблица2[K],"K"))/D195*100,"-")=0,"-",IFERROR((COUNTIFS(Таблица2[2],B195,Таблица2[K],"K")+SUMIFS(Таблица2[R],Таблица2[2],B195,Таблица2[K],"K"))/D195*100,"-"))</f>
        <v>-</v>
      </c>
      <c r="J195" s="77" t="str">
        <f>IF(IFERROR((COUNTIFS(Таблица2[2],B195,Таблица2[T],"t")+SUMIFS(Таблица2[R],Таблица2[2],B195,Таблица2[T],"t"))/D195*100,"-")=0,"-",IFERROR((COUNTIFS(Таблица2[2],B195,Таблица2[T],"t")+SUMIFS(Таблица2[R],Таблица2[2],B195,Таблица2[T],"t"))/D195*100,"-"))</f>
        <v>-</v>
      </c>
      <c r="K195" s="76" t="str">
        <f>IF(SUMIFS(Таблица2[KO$],Таблица2[2],B195)=0,"-",SUMIFS(Таблица2[KO$],Таблица2[2],B195))</f>
        <v>-</v>
      </c>
      <c r="L195" s="76" t="str">
        <f>IF(SUMIFS(Таблица2[WIN$],Таблица2[2],B195)=0,"-",SUMIFS(Таблица2[WIN$],Таблица2[2],B195))</f>
        <v>-</v>
      </c>
      <c r="M195" s="76" t="str">
        <f t="shared" si="14"/>
        <v>-</v>
      </c>
      <c r="N195" s="78" t="str">
        <f>IFERROR(Таблица467[[#This Row],[PROF]]/Таблица467[[#This Row],[Games]],"-")</f>
        <v>-</v>
      </c>
    </row>
    <row r="196" spans="1:14" ht="11.1" customHeight="1" x14ac:dyDescent="0.25">
      <c r="A196" s="93">
        <f t="shared" si="12"/>
        <v>155</v>
      </c>
      <c r="B196" s="50"/>
      <c r="C196"/>
      <c r="D196" s="117" t="str">
        <f>IF(COUNTIFS(Таблица2[2],B196)+SUMIFS(Таблица2[R],Таблица2[2],B196)=0,"",COUNTIFS(Таблица2[2],B196)+SUMIFS(Таблица2[R],Таблица2[2],B196))</f>
        <v/>
      </c>
      <c r="E196" s="76" t="str">
        <f>IF(SUMIFS(Таблица2[B$],Таблица2[2],B196)=0,"-",SUMIFS(Таблица2[B$],Таблица2[2],B196))</f>
        <v>-</v>
      </c>
      <c r="F196" s="77" t="str">
        <f>IFERROR(AVERAGEIFS(Таблица2[AFS],Таблица2[2],B196)+(AVERAGEIFS(Таблица2[AFS],Таблица2[2],B196)*0.2),"-")</f>
        <v>-</v>
      </c>
      <c r="G196" s="77" t="str">
        <f t="shared" si="13"/>
        <v>-</v>
      </c>
      <c r="H196" s="77" t="str">
        <f>IFERROR(COUNTIFS(Таблица2[2],B196,Таблица2[WIN$],"&gt;0")/D196*100,"-")</f>
        <v>-</v>
      </c>
      <c r="I196" s="77" t="str">
        <f>IF(IFERROR((COUNTIFS(Таблица2[2],B196,Таблица2[K],"K")+SUMIFS(Таблица2[R],Таблица2[2],B196,Таблица2[K],"K"))/D196*100,"-")=0,"-",IFERROR((COUNTIFS(Таблица2[2],B196,Таблица2[K],"K")+SUMIFS(Таблица2[R],Таблица2[2],B196,Таблица2[K],"K"))/D196*100,"-"))</f>
        <v>-</v>
      </c>
      <c r="J196" s="77" t="str">
        <f>IF(IFERROR((COUNTIFS(Таблица2[2],B196,Таблица2[T],"t")+SUMIFS(Таблица2[R],Таблица2[2],B196,Таблица2[T],"t"))/D196*100,"-")=0,"-",IFERROR((COUNTIFS(Таблица2[2],B196,Таблица2[T],"t")+SUMIFS(Таблица2[R],Таблица2[2],B196,Таблица2[T],"t"))/D196*100,"-"))</f>
        <v>-</v>
      </c>
      <c r="K196" s="76" t="str">
        <f>IF(SUMIFS(Таблица2[KO$],Таблица2[2],B196)=0,"-",SUMIFS(Таблица2[KO$],Таблица2[2],B196))</f>
        <v>-</v>
      </c>
      <c r="L196" s="76" t="str">
        <f>IF(SUMIFS(Таблица2[WIN$],Таблица2[2],B196)=0,"-",SUMIFS(Таблица2[WIN$],Таблица2[2],B196))</f>
        <v>-</v>
      </c>
      <c r="M196" s="76" t="str">
        <f t="shared" si="14"/>
        <v>-</v>
      </c>
      <c r="N196" s="78" t="str">
        <f>IFERROR(Таблица467[[#This Row],[PROF]]/Таблица467[[#This Row],[Games]],"-")</f>
        <v>-</v>
      </c>
    </row>
    <row r="197" spans="1:14" ht="11.1" customHeight="1" x14ac:dyDescent="0.25">
      <c r="A197" s="93">
        <f t="shared" si="12"/>
        <v>156</v>
      </c>
      <c r="B197" s="50"/>
      <c r="C197"/>
      <c r="D197" s="117" t="str">
        <f>IF(COUNTIFS(Таблица2[2],B197)+SUMIFS(Таблица2[R],Таблица2[2],B197)=0,"",COUNTIFS(Таблица2[2],B197)+SUMIFS(Таблица2[R],Таблица2[2],B197))</f>
        <v/>
      </c>
      <c r="E197" s="76" t="str">
        <f>IF(SUMIFS(Таблица2[B$],Таблица2[2],B197)=0,"-",SUMIFS(Таблица2[B$],Таблица2[2],B197))</f>
        <v>-</v>
      </c>
      <c r="F197" s="77" t="str">
        <f>IFERROR(AVERAGEIFS(Таблица2[AFS],Таблица2[2],B197)+(AVERAGEIFS(Таблица2[AFS],Таблица2[2],B197)*0.2),"-")</f>
        <v>-</v>
      </c>
      <c r="G197" s="77" t="str">
        <f t="shared" si="13"/>
        <v>-</v>
      </c>
      <c r="H197" s="77" t="str">
        <f>IFERROR(COUNTIFS(Таблица2[2],B197,Таблица2[WIN$],"&gt;0")/D197*100,"-")</f>
        <v>-</v>
      </c>
      <c r="I197" s="77" t="str">
        <f>IF(IFERROR((COUNTIFS(Таблица2[2],B197,Таблица2[K],"K")+SUMIFS(Таблица2[R],Таблица2[2],B197,Таблица2[K],"K"))/D197*100,"-")=0,"-",IFERROR((COUNTIFS(Таблица2[2],B197,Таблица2[K],"K")+SUMIFS(Таблица2[R],Таблица2[2],B197,Таблица2[K],"K"))/D197*100,"-"))</f>
        <v>-</v>
      </c>
      <c r="J197" s="77" t="str">
        <f>IF(IFERROR((COUNTIFS(Таблица2[2],B197,Таблица2[T],"t")+SUMIFS(Таблица2[R],Таблица2[2],B197,Таблица2[T],"t"))/D197*100,"-")=0,"-",IFERROR((COUNTIFS(Таблица2[2],B197,Таблица2[T],"t")+SUMIFS(Таблица2[R],Таблица2[2],B197,Таблица2[T],"t"))/D197*100,"-"))</f>
        <v>-</v>
      </c>
      <c r="K197" s="76" t="str">
        <f>IF(SUMIFS(Таблица2[KO$],Таблица2[2],B197)=0,"-",SUMIFS(Таблица2[KO$],Таблица2[2],B197))</f>
        <v>-</v>
      </c>
      <c r="L197" s="76" t="str">
        <f>IF(SUMIFS(Таблица2[WIN$],Таблица2[2],B197)=0,"-",SUMIFS(Таблица2[WIN$],Таблица2[2],B197))</f>
        <v>-</v>
      </c>
      <c r="M197" s="76" t="str">
        <f t="shared" si="14"/>
        <v>-</v>
      </c>
      <c r="N197" s="78" t="str">
        <f>IFERROR(Таблица467[[#This Row],[PROF]]/Таблица467[[#This Row],[Games]],"-")</f>
        <v>-</v>
      </c>
    </row>
    <row r="198" spans="1:14" ht="11.1" customHeight="1" x14ac:dyDescent="0.25">
      <c r="A198" s="93">
        <f t="shared" si="12"/>
        <v>157</v>
      </c>
      <c r="B198" s="50"/>
      <c r="C198"/>
      <c r="D198" s="117" t="str">
        <f>IF(COUNTIFS(Таблица2[2],B198)+SUMIFS(Таблица2[R],Таблица2[2],B198)=0,"",COUNTIFS(Таблица2[2],B198)+SUMIFS(Таблица2[R],Таблица2[2],B198))</f>
        <v/>
      </c>
      <c r="E198" s="76" t="str">
        <f>IF(SUMIFS(Таблица2[B$],Таблица2[2],B198)=0,"-",SUMIFS(Таблица2[B$],Таблица2[2],B198))</f>
        <v>-</v>
      </c>
      <c r="F198" s="77" t="str">
        <f>IFERROR(AVERAGEIFS(Таблица2[AFS],Таблица2[2],B198)+(AVERAGEIFS(Таблица2[AFS],Таблица2[2],B198)*0.2),"-")</f>
        <v>-</v>
      </c>
      <c r="G198" s="77" t="str">
        <f t="shared" si="13"/>
        <v>-</v>
      </c>
      <c r="H198" s="77" t="str">
        <f>IFERROR(COUNTIFS(Таблица2[2],B198,Таблица2[WIN$],"&gt;0")/D198*100,"-")</f>
        <v>-</v>
      </c>
      <c r="I198" s="77" t="str">
        <f>IF(IFERROR((COUNTIFS(Таблица2[2],B198,Таблица2[K],"K")+SUMIFS(Таблица2[R],Таблица2[2],B198,Таблица2[K],"K"))/D198*100,"-")=0,"-",IFERROR((COUNTIFS(Таблица2[2],B198,Таблица2[K],"K")+SUMIFS(Таблица2[R],Таблица2[2],B198,Таблица2[K],"K"))/D198*100,"-"))</f>
        <v>-</v>
      </c>
      <c r="J198" s="77" t="str">
        <f>IF(IFERROR((COUNTIFS(Таблица2[2],B198,Таблица2[T],"t")+SUMIFS(Таблица2[R],Таблица2[2],B198,Таблица2[T],"t"))/D198*100,"-")=0,"-",IFERROR((COUNTIFS(Таблица2[2],B198,Таблица2[T],"t")+SUMIFS(Таблица2[R],Таблица2[2],B198,Таблица2[T],"t"))/D198*100,"-"))</f>
        <v>-</v>
      </c>
      <c r="K198" s="76" t="str">
        <f>IF(SUMIFS(Таблица2[KO$],Таблица2[2],B198)=0,"-",SUMIFS(Таблица2[KO$],Таблица2[2],B198))</f>
        <v>-</v>
      </c>
      <c r="L198" s="76" t="str">
        <f>IF(SUMIFS(Таблица2[WIN$],Таблица2[2],B198)=0,"-",SUMIFS(Таблица2[WIN$],Таблица2[2],B198))</f>
        <v>-</v>
      </c>
      <c r="M198" s="76" t="str">
        <f t="shared" si="14"/>
        <v>-</v>
      </c>
      <c r="N198" s="78" t="str">
        <f>IFERROR(Таблица467[[#This Row],[PROF]]/Таблица467[[#This Row],[Games]],"-")</f>
        <v>-</v>
      </c>
    </row>
    <row r="199" spans="1:14" ht="11.1" customHeight="1" x14ac:dyDescent="0.25">
      <c r="A199" s="93">
        <f t="shared" si="12"/>
        <v>158</v>
      </c>
      <c r="B199" s="50"/>
      <c r="C199"/>
      <c r="D199" s="117" t="str">
        <f>IF(COUNTIFS(Таблица2[2],B199)+SUMIFS(Таблица2[R],Таблица2[2],B199)=0,"",COUNTIFS(Таблица2[2],B199)+SUMIFS(Таблица2[R],Таблица2[2],B199))</f>
        <v/>
      </c>
      <c r="E199" s="76" t="str">
        <f>IF(SUMIFS(Таблица2[B$],Таблица2[2],B199)=0,"-",SUMIFS(Таблица2[B$],Таблица2[2],B199))</f>
        <v>-</v>
      </c>
      <c r="F199" s="77" t="str">
        <f>IFERROR(AVERAGEIFS(Таблица2[AFS],Таблица2[2],B199)+(AVERAGEIFS(Таблица2[AFS],Таблица2[2],B199)*0.2),"-")</f>
        <v>-</v>
      </c>
      <c r="G199" s="77" t="str">
        <f t="shared" si="13"/>
        <v>-</v>
      </c>
      <c r="H199" s="77" t="str">
        <f>IFERROR(COUNTIFS(Таблица2[2],B199,Таблица2[WIN$],"&gt;0")/D199*100,"-")</f>
        <v>-</v>
      </c>
      <c r="I199" s="77" t="str">
        <f>IF(IFERROR((COUNTIFS(Таблица2[2],B199,Таблица2[K],"K")+SUMIFS(Таблица2[R],Таблица2[2],B199,Таблица2[K],"K"))/D199*100,"-")=0,"-",IFERROR((COUNTIFS(Таблица2[2],B199,Таблица2[K],"K")+SUMIFS(Таблица2[R],Таблица2[2],B199,Таблица2[K],"K"))/D199*100,"-"))</f>
        <v>-</v>
      </c>
      <c r="J199" s="77" t="str">
        <f>IF(IFERROR((COUNTIFS(Таблица2[2],B199,Таблица2[T],"t")+SUMIFS(Таблица2[R],Таблица2[2],B199,Таблица2[T],"t"))/D199*100,"-")=0,"-",IFERROR((COUNTIFS(Таблица2[2],B199,Таблица2[T],"t")+SUMIFS(Таблица2[R],Таблица2[2],B199,Таблица2[T],"t"))/D199*100,"-"))</f>
        <v>-</v>
      </c>
      <c r="K199" s="76" t="str">
        <f>IF(SUMIFS(Таблица2[KO$],Таблица2[2],B199)=0,"-",SUMIFS(Таблица2[KO$],Таблица2[2],B199))</f>
        <v>-</v>
      </c>
      <c r="L199" s="76" t="str">
        <f>IF(SUMIFS(Таблица2[WIN$],Таблица2[2],B199)=0,"-",SUMIFS(Таблица2[WIN$],Таблица2[2],B199))</f>
        <v>-</v>
      </c>
      <c r="M199" s="76" t="str">
        <f t="shared" si="14"/>
        <v>-</v>
      </c>
      <c r="N199" s="78" t="str">
        <f>IFERROR(Таблица467[[#This Row],[PROF]]/Таблица467[[#This Row],[Games]],"-")</f>
        <v>-</v>
      </c>
    </row>
    <row r="200" spans="1:14" ht="11.1" customHeight="1" x14ac:dyDescent="0.25">
      <c r="A200" s="93">
        <f t="shared" si="12"/>
        <v>159</v>
      </c>
      <c r="B200" s="50"/>
      <c r="C200"/>
      <c r="D200" s="117" t="str">
        <f>IF(COUNTIFS(Таблица2[2],B200)+SUMIFS(Таблица2[R],Таблица2[2],B200)=0,"",COUNTIFS(Таблица2[2],B200)+SUMIFS(Таблица2[R],Таблица2[2],B200))</f>
        <v/>
      </c>
      <c r="E200" s="76" t="str">
        <f>IF(SUMIFS(Таблица2[B$],Таблица2[2],B200)=0,"-",SUMIFS(Таблица2[B$],Таблица2[2],B200))</f>
        <v>-</v>
      </c>
      <c r="F200" s="77" t="str">
        <f>IFERROR(AVERAGEIFS(Таблица2[AFS],Таблица2[2],B200)+(AVERAGEIFS(Таблица2[AFS],Таблица2[2],B200)*0.2),"-")</f>
        <v>-</v>
      </c>
      <c r="G200" s="77" t="str">
        <f t="shared" si="13"/>
        <v>-</v>
      </c>
      <c r="H200" s="77" t="str">
        <f>IFERROR(COUNTIFS(Таблица2[2],B200,Таблица2[WIN$],"&gt;0")/D200*100,"-")</f>
        <v>-</v>
      </c>
      <c r="I200" s="77" t="str">
        <f>IF(IFERROR((COUNTIFS(Таблица2[2],B200,Таблица2[K],"K")+SUMIFS(Таблица2[R],Таблица2[2],B200,Таблица2[K],"K"))/D200*100,"-")=0,"-",IFERROR((COUNTIFS(Таблица2[2],B200,Таблица2[K],"K")+SUMIFS(Таблица2[R],Таблица2[2],B200,Таблица2[K],"K"))/D200*100,"-"))</f>
        <v>-</v>
      </c>
      <c r="J200" s="77" t="str">
        <f>IF(IFERROR((COUNTIFS(Таблица2[2],B200,Таблица2[T],"t")+SUMIFS(Таблица2[R],Таблица2[2],B200,Таблица2[T],"t"))/D200*100,"-")=0,"-",IFERROR((COUNTIFS(Таблица2[2],B200,Таблица2[T],"t")+SUMIFS(Таблица2[R],Таблица2[2],B200,Таблица2[T],"t"))/D200*100,"-"))</f>
        <v>-</v>
      </c>
      <c r="K200" s="76" t="str">
        <f>IF(SUMIFS(Таблица2[KO$],Таблица2[2],B200)=0,"-",SUMIFS(Таблица2[KO$],Таблица2[2],B200))</f>
        <v>-</v>
      </c>
      <c r="L200" s="76" t="str">
        <f>IF(SUMIFS(Таблица2[WIN$],Таблица2[2],B200)=0,"-",SUMIFS(Таблица2[WIN$],Таблица2[2],B200))</f>
        <v>-</v>
      </c>
      <c r="M200" s="76" t="str">
        <f t="shared" si="14"/>
        <v>-</v>
      </c>
      <c r="N200" s="78" t="str">
        <f>IFERROR(Таблица467[[#This Row],[PROF]]/Таблица467[[#This Row],[Games]],"-")</f>
        <v>-</v>
      </c>
    </row>
    <row r="201" spans="1:14" ht="11.1" customHeight="1" x14ac:dyDescent="0.25">
      <c r="A201" s="93">
        <f t="shared" si="12"/>
        <v>160</v>
      </c>
      <c r="B201" s="50"/>
      <c r="C201"/>
      <c r="D201" s="117" t="str">
        <f>IF(COUNTIFS(Таблица2[2],B201)+SUMIFS(Таблица2[R],Таблица2[2],B201)=0,"",COUNTIFS(Таблица2[2],B201)+SUMIFS(Таблица2[R],Таблица2[2],B201))</f>
        <v/>
      </c>
      <c r="E201" s="76" t="str">
        <f>IF(SUMIFS(Таблица2[B$],Таблица2[2],B201)=0,"-",SUMIFS(Таблица2[B$],Таблица2[2],B201))</f>
        <v>-</v>
      </c>
      <c r="F201" s="77" t="str">
        <f>IFERROR(AVERAGEIFS(Таблица2[AFS],Таблица2[2],B201)+(AVERAGEIFS(Таблица2[AFS],Таблица2[2],B201)*0.2),"-")</f>
        <v>-</v>
      </c>
      <c r="G201" s="77" t="str">
        <f t="shared" si="13"/>
        <v>-</v>
      </c>
      <c r="H201" s="77" t="str">
        <f>IFERROR(COUNTIFS(Таблица2[2],B201,Таблица2[WIN$],"&gt;0")/D201*100,"-")</f>
        <v>-</v>
      </c>
      <c r="I201" s="77" t="str">
        <f>IF(IFERROR((COUNTIFS(Таблица2[2],B201,Таблица2[K],"K")+SUMIFS(Таблица2[R],Таблица2[2],B201,Таблица2[K],"K"))/D201*100,"-")=0,"-",IFERROR((COUNTIFS(Таблица2[2],B201,Таблица2[K],"K")+SUMIFS(Таблица2[R],Таблица2[2],B201,Таблица2[K],"K"))/D201*100,"-"))</f>
        <v>-</v>
      </c>
      <c r="J201" s="77" t="str">
        <f>IF(IFERROR((COUNTIFS(Таблица2[2],B201,Таблица2[T],"t")+SUMIFS(Таблица2[R],Таблица2[2],B201,Таблица2[T],"t"))/D201*100,"-")=0,"-",IFERROR((COUNTIFS(Таблица2[2],B201,Таблица2[T],"t")+SUMIFS(Таблица2[R],Таблица2[2],B201,Таблица2[T],"t"))/D201*100,"-"))</f>
        <v>-</v>
      </c>
      <c r="K201" s="76" t="str">
        <f>IF(SUMIFS(Таблица2[KO$],Таблица2[2],B201)=0,"-",SUMIFS(Таблица2[KO$],Таблица2[2],B201))</f>
        <v>-</v>
      </c>
      <c r="L201" s="76" t="str">
        <f>IF(SUMIFS(Таблица2[WIN$],Таблица2[2],B201)=0,"-",SUMIFS(Таблица2[WIN$],Таблица2[2],B201))</f>
        <v>-</v>
      </c>
      <c r="M201" s="76" t="str">
        <f t="shared" si="14"/>
        <v>-</v>
      </c>
      <c r="N201" s="78" t="str">
        <f>IFERROR(Таблица467[[#This Row],[PROF]]/Таблица467[[#This Row],[Games]],"-")</f>
        <v>-</v>
      </c>
    </row>
    <row r="202" spans="1:14" ht="11.1" customHeight="1" x14ac:dyDescent="0.25">
      <c r="A202" s="93">
        <f t="shared" si="12"/>
        <v>161</v>
      </c>
      <c r="B202" s="50"/>
      <c r="C202"/>
      <c r="D202" s="117" t="str">
        <f>IF(COUNTIFS(Таблица2[2],B202)+SUMIFS(Таблица2[R],Таблица2[2],B202)=0,"",COUNTIFS(Таблица2[2],B202)+SUMIFS(Таблица2[R],Таблица2[2],B202))</f>
        <v/>
      </c>
      <c r="E202" s="76" t="str">
        <f>IF(SUMIFS(Таблица2[B$],Таблица2[2],B202)=0,"-",SUMIFS(Таблица2[B$],Таблица2[2],B202))</f>
        <v>-</v>
      </c>
      <c r="F202" s="77" t="str">
        <f>IFERROR(AVERAGEIFS(Таблица2[AFS],Таблица2[2],B202)+(AVERAGEIFS(Таблица2[AFS],Таблица2[2],B202)*0.2),"-")</f>
        <v>-</v>
      </c>
      <c r="G202" s="77" t="str">
        <f t="shared" si="13"/>
        <v>-</v>
      </c>
      <c r="H202" s="77" t="str">
        <f>IFERROR(COUNTIFS(Таблица2[2],B202,Таблица2[WIN$],"&gt;0")/D202*100,"-")</f>
        <v>-</v>
      </c>
      <c r="I202" s="77" t="str">
        <f>IF(IFERROR((COUNTIFS(Таблица2[2],B202,Таблица2[K],"K")+SUMIFS(Таблица2[R],Таблица2[2],B202,Таблица2[K],"K"))/D202*100,"-")=0,"-",IFERROR((COUNTIFS(Таблица2[2],B202,Таблица2[K],"K")+SUMIFS(Таблица2[R],Таблица2[2],B202,Таблица2[K],"K"))/D202*100,"-"))</f>
        <v>-</v>
      </c>
      <c r="J202" s="77" t="str">
        <f>IF(IFERROR((COUNTIFS(Таблица2[2],B202,Таблица2[T],"t")+SUMIFS(Таблица2[R],Таблица2[2],B202,Таблица2[T],"t"))/D202*100,"-")=0,"-",IFERROR((COUNTIFS(Таблица2[2],B202,Таблица2[T],"t")+SUMIFS(Таблица2[R],Таблица2[2],B202,Таблица2[T],"t"))/D202*100,"-"))</f>
        <v>-</v>
      </c>
      <c r="K202" s="76" t="str">
        <f>IF(SUMIFS(Таблица2[KO$],Таблица2[2],B202)=0,"-",SUMIFS(Таблица2[KO$],Таблица2[2],B202))</f>
        <v>-</v>
      </c>
      <c r="L202" s="76" t="str">
        <f>IF(SUMIFS(Таблица2[WIN$],Таблица2[2],B202)=0,"-",SUMIFS(Таблица2[WIN$],Таблица2[2],B202))</f>
        <v>-</v>
      </c>
      <c r="M202" s="76" t="str">
        <f t="shared" si="14"/>
        <v>-</v>
      </c>
      <c r="N202" s="78" t="str">
        <f>IFERROR(Таблица467[[#This Row],[PROF]]/Таблица467[[#This Row],[Games]],"-")</f>
        <v>-</v>
      </c>
    </row>
    <row r="203" spans="1:14" ht="11.1" customHeight="1" x14ac:dyDescent="0.25">
      <c r="A203" s="93">
        <f t="shared" si="12"/>
        <v>162</v>
      </c>
      <c r="B203" s="50"/>
      <c r="C203"/>
      <c r="D203" s="117" t="str">
        <f>IF(COUNTIFS(Таблица2[2],B203)+SUMIFS(Таблица2[R],Таблица2[2],B203)=0,"",COUNTIFS(Таблица2[2],B203)+SUMIFS(Таблица2[R],Таблица2[2],B203))</f>
        <v/>
      </c>
      <c r="E203" s="76" t="str">
        <f>IF(SUMIFS(Таблица2[B$],Таблица2[2],B203)=0,"-",SUMIFS(Таблица2[B$],Таблица2[2],B203))</f>
        <v>-</v>
      </c>
      <c r="F203" s="77" t="str">
        <f>IFERROR(AVERAGEIFS(Таблица2[AFS],Таблица2[2],B203)+(AVERAGEIFS(Таблица2[AFS],Таблица2[2],B203)*0.2),"-")</f>
        <v>-</v>
      </c>
      <c r="G203" s="77" t="str">
        <f t="shared" si="13"/>
        <v>-</v>
      </c>
      <c r="H203" s="77" t="str">
        <f>IFERROR(COUNTIFS(Таблица2[2],B203,Таблица2[WIN$],"&gt;0")/D203*100,"-")</f>
        <v>-</v>
      </c>
      <c r="I203" s="77" t="str">
        <f>IF(IFERROR((COUNTIFS(Таблица2[2],B203,Таблица2[K],"K")+SUMIFS(Таблица2[R],Таблица2[2],B203,Таблица2[K],"K"))/D203*100,"-")=0,"-",IFERROR((COUNTIFS(Таблица2[2],B203,Таблица2[K],"K")+SUMIFS(Таблица2[R],Таблица2[2],B203,Таблица2[K],"K"))/D203*100,"-"))</f>
        <v>-</v>
      </c>
      <c r="J203" s="77" t="str">
        <f>IF(IFERROR((COUNTIFS(Таблица2[2],B203,Таблица2[T],"t")+SUMIFS(Таблица2[R],Таблица2[2],B203,Таблица2[T],"t"))/D203*100,"-")=0,"-",IFERROR((COUNTIFS(Таблица2[2],B203,Таблица2[T],"t")+SUMIFS(Таблица2[R],Таблица2[2],B203,Таблица2[T],"t"))/D203*100,"-"))</f>
        <v>-</v>
      </c>
      <c r="K203" s="76" t="str">
        <f>IF(SUMIFS(Таблица2[KO$],Таблица2[2],B203)=0,"-",SUMIFS(Таблица2[KO$],Таблица2[2],B203))</f>
        <v>-</v>
      </c>
      <c r="L203" s="76" t="str">
        <f>IF(SUMIFS(Таблица2[WIN$],Таблица2[2],B203)=0,"-",SUMIFS(Таблица2[WIN$],Таблица2[2],B203))</f>
        <v>-</v>
      </c>
      <c r="M203" s="76" t="str">
        <f t="shared" si="14"/>
        <v>-</v>
      </c>
      <c r="N203" s="78" t="str">
        <f>IFERROR(Таблица467[[#This Row],[PROF]]/Таблица467[[#This Row],[Games]],"-")</f>
        <v>-</v>
      </c>
    </row>
    <row r="204" spans="1:14" ht="11.1" customHeight="1" x14ac:dyDescent="0.25">
      <c r="A204" s="93">
        <f t="shared" si="12"/>
        <v>163</v>
      </c>
      <c r="B204" s="50"/>
      <c r="C204"/>
      <c r="D204" s="117" t="str">
        <f>IF(COUNTIFS(Таблица2[2],B204)+SUMIFS(Таблица2[R],Таблица2[2],B204)=0,"",COUNTIFS(Таблица2[2],B204)+SUMIFS(Таблица2[R],Таблица2[2],B204))</f>
        <v/>
      </c>
      <c r="E204" s="76" t="str">
        <f>IF(SUMIFS(Таблица2[B$],Таблица2[2],B204)=0,"-",SUMIFS(Таблица2[B$],Таблица2[2],B204))</f>
        <v>-</v>
      </c>
      <c r="F204" s="77" t="str">
        <f>IFERROR(AVERAGEIFS(Таблица2[AFS],Таблица2[2],B204)+(AVERAGEIFS(Таблица2[AFS],Таблица2[2],B204)*0.2),"-")</f>
        <v>-</v>
      </c>
      <c r="G204" s="77" t="str">
        <f t="shared" si="13"/>
        <v>-</v>
      </c>
      <c r="H204" s="77" t="str">
        <f>IFERROR(COUNTIFS(Таблица2[2],B204,Таблица2[WIN$],"&gt;0")/D204*100,"-")</f>
        <v>-</v>
      </c>
      <c r="I204" s="77" t="str">
        <f>IF(IFERROR((COUNTIFS(Таблица2[2],B204,Таблица2[K],"K")+SUMIFS(Таблица2[R],Таблица2[2],B204,Таблица2[K],"K"))/D204*100,"-")=0,"-",IFERROR((COUNTIFS(Таблица2[2],B204,Таблица2[K],"K")+SUMIFS(Таблица2[R],Таблица2[2],B204,Таблица2[K],"K"))/D204*100,"-"))</f>
        <v>-</v>
      </c>
      <c r="J204" s="77" t="str">
        <f>IF(IFERROR((COUNTIFS(Таблица2[2],B204,Таблица2[T],"t")+SUMIFS(Таблица2[R],Таблица2[2],B204,Таблица2[T],"t"))/D204*100,"-")=0,"-",IFERROR((COUNTIFS(Таблица2[2],B204,Таблица2[T],"t")+SUMIFS(Таблица2[R],Таблица2[2],B204,Таблица2[T],"t"))/D204*100,"-"))</f>
        <v>-</v>
      </c>
      <c r="K204" s="76" t="str">
        <f>IF(SUMIFS(Таблица2[KO$],Таблица2[2],B204)=0,"-",SUMIFS(Таблица2[KO$],Таблица2[2],B204))</f>
        <v>-</v>
      </c>
      <c r="L204" s="76" t="str">
        <f>IF(SUMIFS(Таблица2[WIN$],Таблица2[2],B204)=0,"-",SUMIFS(Таблица2[WIN$],Таблица2[2],B204))</f>
        <v>-</v>
      </c>
      <c r="M204" s="76" t="str">
        <f t="shared" si="14"/>
        <v>-</v>
      </c>
      <c r="N204" s="78" t="str">
        <f>IFERROR(Таблица467[[#This Row],[PROF]]/Таблица467[[#This Row],[Games]],"-")</f>
        <v>-</v>
      </c>
    </row>
    <row r="205" spans="1:14" ht="11.1" customHeight="1" x14ac:dyDescent="0.25">
      <c r="A205" s="93">
        <f t="shared" si="12"/>
        <v>164</v>
      </c>
      <c r="B205" s="50"/>
      <c r="C205"/>
      <c r="D205" s="117" t="str">
        <f>IF(COUNTIFS(Таблица2[2],B205)+SUMIFS(Таблица2[R],Таблица2[2],B205)=0,"",COUNTIFS(Таблица2[2],B205)+SUMIFS(Таблица2[R],Таблица2[2],B205))</f>
        <v/>
      </c>
      <c r="E205" s="76" t="str">
        <f>IF(SUMIFS(Таблица2[B$],Таблица2[2],B205)=0,"-",SUMIFS(Таблица2[B$],Таблица2[2],B205))</f>
        <v>-</v>
      </c>
      <c r="F205" s="77" t="str">
        <f>IFERROR(AVERAGEIFS(Таблица2[AFS],Таблица2[2],B205)+(AVERAGEIFS(Таблица2[AFS],Таблица2[2],B205)*0.2),"-")</f>
        <v>-</v>
      </c>
      <c r="G205" s="77" t="str">
        <f t="shared" si="13"/>
        <v>-</v>
      </c>
      <c r="H205" s="77" t="str">
        <f>IFERROR(COUNTIFS(Таблица2[2],B205,Таблица2[WIN$],"&gt;0")/D205*100,"-")</f>
        <v>-</v>
      </c>
      <c r="I205" s="77" t="str">
        <f>IF(IFERROR((COUNTIFS(Таблица2[2],B205,Таблица2[K],"K")+SUMIFS(Таблица2[R],Таблица2[2],B205,Таблица2[K],"K"))/D205*100,"-")=0,"-",IFERROR((COUNTIFS(Таблица2[2],B205,Таблица2[K],"K")+SUMIFS(Таблица2[R],Таблица2[2],B205,Таблица2[K],"K"))/D205*100,"-"))</f>
        <v>-</v>
      </c>
      <c r="J205" s="77" t="str">
        <f>IF(IFERROR((COUNTIFS(Таблица2[2],B205,Таблица2[T],"t")+SUMIFS(Таблица2[R],Таблица2[2],B205,Таблица2[T],"t"))/D205*100,"-")=0,"-",IFERROR((COUNTIFS(Таблица2[2],B205,Таблица2[T],"t")+SUMIFS(Таблица2[R],Таблица2[2],B205,Таблица2[T],"t"))/D205*100,"-"))</f>
        <v>-</v>
      </c>
      <c r="K205" s="76" t="str">
        <f>IF(SUMIFS(Таблица2[KO$],Таблица2[2],B205)=0,"-",SUMIFS(Таблица2[KO$],Таблица2[2],B205))</f>
        <v>-</v>
      </c>
      <c r="L205" s="76" t="str">
        <f>IF(SUMIFS(Таблица2[WIN$],Таблица2[2],B205)=0,"-",SUMIFS(Таблица2[WIN$],Таблица2[2],B205))</f>
        <v>-</v>
      </c>
      <c r="M205" s="76" t="str">
        <f t="shared" si="14"/>
        <v>-</v>
      </c>
      <c r="N205" s="78" t="str">
        <f>IFERROR(Таблица467[[#This Row],[PROF]]/Таблица467[[#This Row],[Games]],"-")</f>
        <v>-</v>
      </c>
    </row>
    <row r="206" spans="1:14" ht="11.1" customHeight="1" x14ac:dyDescent="0.25">
      <c r="A206" s="93">
        <f t="shared" si="12"/>
        <v>165</v>
      </c>
      <c r="B206" s="50"/>
      <c r="C206"/>
      <c r="D206" s="117" t="str">
        <f>IF(COUNTIFS(Таблица2[2],B206)+SUMIFS(Таблица2[R],Таблица2[2],B206)=0,"",COUNTIFS(Таблица2[2],B206)+SUMIFS(Таблица2[R],Таблица2[2],B206))</f>
        <v/>
      </c>
      <c r="E206" s="76" t="str">
        <f>IF(SUMIFS(Таблица2[B$],Таблица2[2],B206)=0,"-",SUMIFS(Таблица2[B$],Таблица2[2],B206))</f>
        <v>-</v>
      </c>
      <c r="F206" s="77" t="str">
        <f>IFERROR(AVERAGEIFS(Таблица2[AFS],Таблица2[2],B206)+(AVERAGEIFS(Таблица2[AFS],Таблица2[2],B206)*0.2),"-")</f>
        <v>-</v>
      </c>
      <c r="G206" s="77" t="str">
        <f t="shared" si="13"/>
        <v>-</v>
      </c>
      <c r="H206" s="77" t="str">
        <f>IFERROR(COUNTIFS(Таблица2[2],B206,Таблица2[WIN$],"&gt;0")/D206*100,"-")</f>
        <v>-</v>
      </c>
      <c r="I206" s="77" t="str">
        <f>IF(IFERROR((COUNTIFS(Таблица2[2],B206,Таблица2[K],"K")+SUMIFS(Таблица2[R],Таблица2[2],B206,Таблица2[K],"K"))/D206*100,"-")=0,"-",IFERROR((COUNTIFS(Таблица2[2],B206,Таблица2[K],"K")+SUMIFS(Таблица2[R],Таблица2[2],B206,Таблица2[K],"K"))/D206*100,"-"))</f>
        <v>-</v>
      </c>
      <c r="J206" s="77" t="str">
        <f>IF(IFERROR((COUNTIFS(Таблица2[2],B206,Таблица2[T],"t")+SUMIFS(Таблица2[R],Таблица2[2],B206,Таблица2[T],"t"))/D206*100,"-")=0,"-",IFERROR((COUNTIFS(Таблица2[2],B206,Таблица2[T],"t")+SUMIFS(Таблица2[R],Таблица2[2],B206,Таблица2[T],"t"))/D206*100,"-"))</f>
        <v>-</v>
      </c>
      <c r="K206" s="76" t="str">
        <f>IF(SUMIFS(Таблица2[KO$],Таблица2[2],B206)=0,"-",SUMIFS(Таблица2[KO$],Таблица2[2],B206))</f>
        <v>-</v>
      </c>
      <c r="L206" s="76" t="str">
        <f>IF(SUMIFS(Таблица2[WIN$],Таблица2[2],B206)=0,"-",SUMIFS(Таблица2[WIN$],Таблица2[2],B206))</f>
        <v>-</v>
      </c>
      <c r="M206" s="76" t="str">
        <f t="shared" si="14"/>
        <v>-</v>
      </c>
      <c r="N206" s="78" t="str">
        <f>IFERROR(Таблица467[[#This Row],[PROF]]/Таблица467[[#This Row],[Games]],"-")</f>
        <v>-</v>
      </c>
    </row>
    <row r="207" spans="1:14" ht="11.1" customHeight="1" x14ac:dyDescent="0.25">
      <c r="A207" s="93">
        <f t="shared" si="12"/>
        <v>166</v>
      </c>
      <c r="B207" s="50"/>
      <c r="C207"/>
      <c r="D207" s="117" t="str">
        <f>IF(COUNTIFS(Таблица2[2],B207)+SUMIFS(Таблица2[R],Таблица2[2],B207)=0,"",COUNTIFS(Таблица2[2],B207)+SUMIFS(Таблица2[R],Таблица2[2],B207))</f>
        <v/>
      </c>
      <c r="E207" s="76" t="str">
        <f>IF(SUMIFS(Таблица2[B$],Таблица2[2],B207)=0,"-",SUMIFS(Таблица2[B$],Таблица2[2],B207))</f>
        <v>-</v>
      </c>
      <c r="F207" s="77" t="str">
        <f>IFERROR(AVERAGEIFS(Таблица2[AFS],Таблица2[2],B207)+(AVERAGEIFS(Таблица2[AFS],Таблица2[2],B207)*0.2),"-")</f>
        <v>-</v>
      </c>
      <c r="G207" s="77" t="str">
        <f t="shared" si="13"/>
        <v>-</v>
      </c>
      <c r="H207" s="77" t="str">
        <f>IFERROR(COUNTIFS(Таблица2[2],B207,Таблица2[WIN$],"&gt;0")/D207*100,"-")</f>
        <v>-</v>
      </c>
      <c r="I207" s="77" t="str">
        <f>IF(IFERROR((COUNTIFS(Таблица2[2],B207,Таблица2[K],"K")+SUMIFS(Таблица2[R],Таблица2[2],B207,Таблица2[K],"K"))/D207*100,"-")=0,"-",IFERROR((COUNTIFS(Таблица2[2],B207,Таблица2[K],"K")+SUMIFS(Таблица2[R],Таблица2[2],B207,Таблица2[K],"K"))/D207*100,"-"))</f>
        <v>-</v>
      </c>
      <c r="J207" s="77" t="str">
        <f>IF(IFERROR((COUNTIFS(Таблица2[2],B207,Таблица2[T],"t")+SUMIFS(Таблица2[R],Таблица2[2],B207,Таблица2[T],"t"))/D207*100,"-")=0,"-",IFERROR((COUNTIFS(Таблица2[2],B207,Таблица2[T],"t")+SUMIFS(Таблица2[R],Таблица2[2],B207,Таблица2[T],"t"))/D207*100,"-"))</f>
        <v>-</v>
      </c>
      <c r="K207" s="76" t="str">
        <f>IF(SUMIFS(Таблица2[KO$],Таблица2[2],B207)=0,"-",SUMIFS(Таблица2[KO$],Таблица2[2],B207))</f>
        <v>-</v>
      </c>
      <c r="L207" s="76" t="str">
        <f>IF(SUMIFS(Таблица2[WIN$],Таблица2[2],B207)=0,"-",SUMIFS(Таблица2[WIN$],Таблица2[2],B207))</f>
        <v>-</v>
      </c>
      <c r="M207" s="76" t="str">
        <f t="shared" si="14"/>
        <v>-</v>
      </c>
      <c r="N207" s="78" t="str">
        <f>IFERROR(Таблица467[[#This Row],[PROF]]/Таблица467[[#This Row],[Games]],"-")</f>
        <v>-</v>
      </c>
    </row>
    <row r="208" spans="1:14" ht="11.1" customHeight="1" x14ac:dyDescent="0.25">
      <c r="A208" s="93">
        <f t="shared" si="12"/>
        <v>167</v>
      </c>
      <c r="B208" s="50"/>
      <c r="C208"/>
      <c r="D208" s="117" t="str">
        <f>IF(COUNTIFS(Таблица2[2],B208)+SUMIFS(Таблица2[R],Таблица2[2],B208)=0,"",COUNTIFS(Таблица2[2],B208)+SUMIFS(Таблица2[R],Таблица2[2],B208))</f>
        <v/>
      </c>
      <c r="E208" s="76" t="str">
        <f>IF(SUMIFS(Таблица2[B$],Таблица2[2],B208)=0,"-",SUMIFS(Таблица2[B$],Таблица2[2],B208))</f>
        <v>-</v>
      </c>
      <c r="F208" s="77" t="str">
        <f>IFERROR(AVERAGEIFS(Таблица2[AFS],Таблица2[2],B208)+(AVERAGEIFS(Таблица2[AFS],Таблица2[2],B208)*0.2),"-")</f>
        <v>-</v>
      </c>
      <c r="G208" s="77" t="str">
        <f t="shared" si="13"/>
        <v>-</v>
      </c>
      <c r="H208" s="77" t="str">
        <f>IFERROR(COUNTIFS(Таблица2[2],B208,Таблица2[WIN$],"&gt;0")/D208*100,"-")</f>
        <v>-</v>
      </c>
      <c r="I208" s="77" t="str">
        <f>IF(IFERROR((COUNTIFS(Таблица2[2],B208,Таблица2[K],"K")+SUMIFS(Таблица2[R],Таблица2[2],B208,Таблица2[K],"K"))/D208*100,"-")=0,"-",IFERROR((COUNTIFS(Таблица2[2],B208,Таблица2[K],"K")+SUMIFS(Таблица2[R],Таблица2[2],B208,Таблица2[K],"K"))/D208*100,"-"))</f>
        <v>-</v>
      </c>
      <c r="J208" s="77" t="str">
        <f>IF(IFERROR((COUNTIFS(Таблица2[2],B208,Таблица2[T],"t")+SUMIFS(Таблица2[R],Таблица2[2],B208,Таблица2[T],"t"))/D208*100,"-")=0,"-",IFERROR((COUNTIFS(Таблица2[2],B208,Таблица2[T],"t")+SUMIFS(Таблица2[R],Таблица2[2],B208,Таблица2[T],"t"))/D208*100,"-"))</f>
        <v>-</v>
      </c>
      <c r="K208" s="76" t="str">
        <f>IF(SUMIFS(Таблица2[KO$],Таблица2[2],B208)=0,"-",SUMIFS(Таблица2[KO$],Таблица2[2],B208))</f>
        <v>-</v>
      </c>
      <c r="L208" s="76" t="str">
        <f>IF(SUMIFS(Таблица2[WIN$],Таблица2[2],B208)=0,"-",SUMIFS(Таблица2[WIN$],Таблица2[2],B208))</f>
        <v>-</v>
      </c>
      <c r="M208" s="76" t="str">
        <f t="shared" si="14"/>
        <v>-</v>
      </c>
      <c r="N208" s="78" t="str">
        <f>IFERROR(Таблица467[[#This Row],[PROF]]/Таблица467[[#This Row],[Games]],"-")</f>
        <v>-</v>
      </c>
    </row>
    <row r="209" spans="1:14" ht="11.1" customHeight="1" x14ac:dyDescent="0.25">
      <c r="A209" s="93">
        <f t="shared" si="12"/>
        <v>168</v>
      </c>
      <c r="B209" s="50"/>
      <c r="C209"/>
      <c r="D209" s="117" t="str">
        <f>IF(COUNTIFS(Таблица2[2],B209)+SUMIFS(Таблица2[R],Таблица2[2],B209)=0,"",COUNTIFS(Таблица2[2],B209)+SUMIFS(Таблица2[R],Таблица2[2],B209))</f>
        <v/>
      </c>
      <c r="E209" s="76" t="str">
        <f>IF(SUMIFS(Таблица2[B$],Таблица2[2],B209)=0,"-",SUMIFS(Таблица2[B$],Таблица2[2],B209))</f>
        <v>-</v>
      </c>
      <c r="F209" s="77" t="str">
        <f>IFERROR(AVERAGEIFS(Таблица2[AFS],Таблица2[2],B209)+(AVERAGEIFS(Таблица2[AFS],Таблица2[2],B209)*0.2),"-")</f>
        <v>-</v>
      </c>
      <c r="G209" s="77" t="str">
        <f t="shared" si="13"/>
        <v>-</v>
      </c>
      <c r="H209" s="77" t="str">
        <f>IFERROR(COUNTIFS(Таблица2[2],B209,Таблица2[WIN$],"&gt;0")/D209*100,"-")</f>
        <v>-</v>
      </c>
      <c r="I209" s="77" t="str">
        <f>IF(IFERROR((COUNTIFS(Таблица2[2],B209,Таблица2[K],"K")+SUMIFS(Таблица2[R],Таблица2[2],B209,Таблица2[K],"K"))/D209*100,"-")=0,"-",IFERROR((COUNTIFS(Таблица2[2],B209,Таблица2[K],"K")+SUMIFS(Таблица2[R],Таблица2[2],B209,Таблица2[K],"K"))/D209*100,"-"))</f>
        <v>-</v>
      </c>
      <c r="J209" s="77" t="str">
        <f>IF(IFERROR((COUNTIFS(Таблица2[2],B209,Таблица2[T],"t")+SUMIFS(Таблица2[R],Таблица2[2],B209,Таблица2[T],"t"))/D209*100,"-")=0,"-",IFERROR((COUNTIFS(Таблица2[2],B209,Таблица2[T],"t")+SUMIFS(Таблица2[R],Таблица2[2],B209,Таблица2[T],"t"))/D209*100,"-"))</f>
        <v>-</v>
      </c>
      <c r="K209" s="76" t="str">
        <f>IF(SUMIFS(Таблица2[KO$],Таблица2[2],B209)=0,"-",SUMIFS(Таблица2[KO$],Таблица2[2],B209))</f>
        <v>-</v>
      </c>
      <c r="L209" s="76" t="str">
        <f>IF(SUMIFS(Таблица2[WIN$],Таблица2[2],B209)=0,"-",SUMIFS(Таблица2[WIN$],Таблица2[2],B209))</f>
        <v>-</v>
      </c>
      <c r="M209" s="76" t="str">
        <f t="shared" si="14"/>
        <v>-</v>
      </c>
      <c r="N209" s="78" t="str">
        <f>IFERROR(Таблица467[[#This Row],[PROF]]/Таблица467[[#This Row],[Games]],"-")</f>
        <v>-</v>
      </c>
    </row>
    <row r="210" spans="1:14" ht="11.1" customHeight="1" x14ac:dyDescent="0.25">
      <c r="A210" s="93">
        <f t="shared" si="12"/>
        <v>169</v>
      </c>
      <c r="B210" s="50"/>
      <c r="C210"/>
      <c r="D210" s="117" t="str">
        <f>IF(COUNTIFS(Таблица2[2],B210)+SUMIFS(Таблица2[R],Таблица2[2],B210)=0,"",COUNTIFS(Таблица2[2],B210)+SUMIFS(Таблица2[R],Таблица2[2],B210))</f>
        <v/>
      </c>
      <c r="E210" s="76" t="str">
        <f>IF(SUMIFS(Таблица2[B$],Таблица2[2],B210)=0,"-",SUMIFS(Таблица2[B$],Таблица2[2],B210))</f>
        <v>-</v>
      </c>
      <c r="F210" s="77" t="str">
        <f>IFERROR(AVERAGEIFS(Таблица2[AFS],Таблица2[2],B210)+(AVERAGEIFS(Таблица2[AFS],Таблица2[2],B210)*0.2),"-")</f>
        <v>-</v>
      </c>
      <c r="G210" s="77" t="str">
        <f t="shared" ref="G210:G241" si="15">IFERROR(M210/E210*100,"-")</f>
        <v>-</v>
      </c>
      <c r="H210" s="77" t="str">
        <f>IFERROR(COUNTIFS(Таблица2[2],B210,Таблица2[WIN$],"&gt;0")/D210*100,"-")</f>
        <v>-</v>
      </c>
      <c r="I210" s="77" t="str">
        <f>IF(IFERROR((COUNTIFS(Таблица2[2],B210,Таблица2[K],"K")+SUMIFS(Таблица2[R],Таблица2[2],B210,Таблица2[K],"K"))/D210*100,"-")=0,"-",IFERROR((COUNTIFS(Таблица2[2],B210,Таблица2[K],"K")+SUMIFS(Таблица2[R],Таблица2[2],B210,Таблица2[K],"K"))/D210*100,"-"))</f>
        <v>-</v>
      </c>
      <c r="J210" s="77" t="str">
        <f>IF(IFERROR((COUNTIFS(Таблица2[2],B210,Таблица2[T],"t")+SUMIFS(Таблица2[R],Таблица2[2],B210,Таблица2[T],"t"))/D210*100,"-")=0,"-",IFERROR((COUNTIFS(Таблица2[2],B210,Таблица2[T],"t")+SUMIFS(Таблица2[R],Таблица2[2],B210,Таблица2[T],"t"))/D210*100,"-"))</f>
        <v>-</v>
      </c>
      <c r="K210" s="76" t="str">
        <f>IF(SUMIFS(Таблица2[KO$],Таблица2[2],B210)=0,"-",SUMIFS(Таблица2[KO$],Таблица2[2],B210))</f>
        <v>-</v>
      </c>
      <c r="L210" s="76" t="str">
        <f>IF(SUMIFS(Таблица2[WIN$],Таблица2[2],B210)=0,"-",SUMIFS(Таблица2[WIN$],Таблица2[2],B210))</f>
        <v>-</v>
      </c>
      <c r="M210" s="76" t="str">
        <f t="shared" ref="M210:M241" si="16">IFERROR(IF(L210="-",0,L210)+IF(K210="-",0,K210)-E210,"-")</f>
        <v>-</v>
      </c>
      <c r="N210" s="78" t="str">
        <f>IFERROR(Таблица467[[#This Row],[PROF]]/Таблица467[[#This Row],[Games]],"-")</f>
        <v>-</v>
      </c>
    </row>
    <row r="211" spans="1:14" ht="11.1" customHeight="1" x14ac:dyDescent="0.25">
      <c r="A211" s="93">
        <f t="shared" si="12"/>
        <v>170</v>
      </c>
      <c r="B211" s="50"/>
      <c r="C211"/>
      <c r="D211" s="117" t="str">
        <f>IF(COUNTIFS(Таблица2[2],B211)+SUMIFS(Таблица2[R],Таблица2[2],B211)=0,"",COUNTIFS(Таблица2[2],B211)+SUMIFS(Таблица2[R],Таблица2[2],B211))</f>
        <v/>
      </c>
      <c r="E211" s="76" t="str">
        <f>IF(SUMIFS(Таблица2[B$],Таблица2[2],B211)=0,"-",SUMIFS(Таблица2[B$],Таблица2[2],B211))</f>
        <v>-</v>
      </c>
      <c r="F211" s="77" t="str">
        <f>IFERROR(AVERAGEIFS(Таблица2[AFS],Таблица2[2],B211)+(AVERAGEIFS(Таблица2[AFS],Таблица2[2],B211)*0.2),"-")</f>
        <v>-</v>
      </c>
      <c r="G211" s="77" t="str">
        <f t="shared" si="15"/>
        <v>-</v>
      </c>
      <c r="H211" s="77" t="str">
        <f>IFERROR(COUNTIFS(Таблица2[2],B211,Таблица2[WIN$],"&gt;0")/D211*100,"-")</f>
        <v>-</v>
      </c>
      <c r="I211" s="77" t="str">
        <f>IF(IFERROR((COUNTIFS(Таблица2[2],B211,Таблица2[K],"K")+SUMIFS(Таблица2[R],Таблица2[2],B211,Таблица2[K],"K"))/D211*100,"-")=0,"-",IFERROR((COUNTIFS(Таблица2[2],B211,Таблица2[K],"K")+SUMIFS(Таблица2[R],Таблица2[2],B211,Таблица2[K],"K"))/D211*100,"-"))</f>
        <v>-</v>
      </c>
      <c r="J211" s="77" t="str">
        <f>IF(IFERROR((COUNTIFS(Таблица2[2],B211,Таблица2[T],"t")+SUMIFS(Таблица2[R],Таблица2[2],B211,Таблица2[T],"t"))/D211*100,"-")=0,"-",IFERROR((COUNTIFS(Таблица2[2],B211,Таблица2[T],"t")+SUMIFS(Таблица2[R],Таблица2[2],B211,Таблица2[T],"t"))/D211*100,"-"))</f>
        <v>-</v>
      </c>
      <c r="K211" s="76" t="str">
        <f>IF(SUMIFS(Таблица2[KO$],Таблица2[2],B211)=0,"-",SUMIFS(Таблица2[KO$],Таблица2[2],B211))</f>
        <v>-</v>
      </c>
      <c r="L211" s="76" t="str">
        <f>IF(SUMIFS(Таблица2[WIN$],Таблица2[2],B211)=0,"-",SUMIFS(Таблица2[WIN$],Таблица2[2],B211))</f>
        <v>-</v>
      </c>
      <c r="M211" s="76" t="str">
        <f t="shared" si="16"/>
        <v>-</v>
      </c>
      <c r="N211" s="78" t="str">
        <f>IFERROR(Таблица467[[#This Row],[PROF]]/Таблица467[[#This Row],[Games]],"-")</f>
        <v>-</v>
      </c>
    </row>
    <row r="212" spans="1:14" ht="11.1" customHeight="1" x14ac:dyDescent="0.25">
      <c r="A212" s="93">
        <f t="shared" si="12"/>
        <v>171</v>
      </c>
      <c r="B212" s="50"/>
      <c r="C212"/>
      <c r="D212" s="117" t="str">
        <f>IF(COUNTIFS(Таблица2[2],B212)+SUMIFS(Таблица2[R],Таблица2[2],B212)=0,"",COUNTIFS(Таблица2[2],B212)+SUMIFS(Таблица2[R],Таблица2[2],B212))</f>
        <v/>
      </c>
      <c r="E212" s="76" t="str">
        <f>IF(SUMIFS(Таблица2[B$],Таблица2[2],B212)=0,"-",SUMIFS(Таблица2[B$],Таблица2[2],B212))</f>
        <v>-</v>
      </c>
      <c r="F212" s="77" t="str">
        <f>IFERROR(AVERAGEIFS(Таблица2[AFS],Таблица2[2],B212)+(AVERAGEIFS(Таблица2[AFS],Таблица2[2],B212)*0.2),"-")</f>
        <v>-</v>
      </c>
      <c r="G212" s="77" t="str">
        <f t="shared" si="15"/>
        <v>-</v>
      </c>
      <c r="H212" s="77" t="str">
        <f>IFERROR(COUNTIFS(Таблица2[2],B212,Таблица2[WIN$],"&gt;0")/D212*100,"-")</f>
        <v>-</v>
      </c>
      <c r="I212" s="77" t="str">
        <f>IF(IFERROR((COUNTIFS(Таблица2[2],B212,Таблица2[K],"K")+SUMIFS(Таблица2[R],Таблица2[2],B212,Таблица2[K],"K"))/D212*100,"-")=0,"-",IFERROR((COUNTIFS(Таблица2[2],B212,Таблица2[K],"K")+SUMIFS(Таблица2[R],Таблица2[2],B212,Таблица2[K],"K"))/D212*100,"-"))</f>
        <v>-</v>
      </c>
      <c r="J212" s="77" t="str">
        <f>IF(IFERROR((COUNTIFS(Таблица2[2],B212,Таблица2[T],"t")+SUMIFS(Таблица2[R],Таблица2[2],B212,Таблица2[T],"t"))/D212*100,"-")=0,"-",IFERROR((COUNTIFS(Таблица2[2],B212,Таблица2[T],"t")+SUMIFS(Таблица2[R],Таблица2[2],B212,Таблица2[T],"t"))/D212*100,"-"))</f>
        <v>-</v>
      </c>
      <c r="K212" s="76" t="str">
        <f>IF(SUMIFS(Таблица2[KO$],Таблица2[2],B212)=0,"-",SUMIFS(Таблица2[KO$],Таблица2[2],B212))</f>
        <v>-</v>
      </c>
      <c r="L212" s="76" t="str">
        <f>IF(SUMIFS(Таблица2[WIN$],Таблица2[2],B212)=0,"-",SUMIFS(Таблица2[WIN$],Таблица2[2],B212))</f>
        <v>-</v>
      </c>
      <c r="M212" s="76" t="str">
        <f t="shared" si="16"/>
        <v>-</v>
      </c>
      <c r="N212" s="78" t="str">
        <f>IFERROR(Таблица467[[#This Row],[PROF]]/Таблица467[[#This Row],[Games]],"-")</f>
        <v>-</v>
      </c>
    </row>
    <row r="213" spans="1:14" ht="11.1" customHeight="1" x14ac:dyDescent="0.25">
      <c r="A213" s="93">
        <f t="shared" si="12"/>
        <v>172</v>
      </c>
      <c r="B213" s="50"/>
      <c r="C213"/>
      <c r="D213" s="117" t="str">
        <f>IF(COUNTIFS(Таблица2[2],B213)+SUMIFS(Таблица2[R],Таблица2[2],B213)=0,"",COUNTIFS(Таблица2[2],B213)+SUMIFS(Таблица2[R],Таблица2[2],B213))</f>
        <v/>
      </c>
      <c r="E213" s="76" t="str">
        <f>IF(SUMIFS(Таблица2[B$],Таблица2[2],B213)=0,"-",SUMIFS(Таблица2[B$],Таблица2[2],B213))</f>
        <v>-</v>
      </c>
      <c r="F213" s="77" t="str">
        <f>IFERROR(AVERAGEIFS(Таблица2[AFS],Таблица2[2],B213)+(AVERAGEIFS(Таблица2[AFS],Таблица2[2],B213)*0.2),"-")</f>
        <v>-</v>
      </c>
      <c r="G213" s="77" t="str">
        <f t="shared" si="15"/>
        <v>-</v>
      </c>
      <c r="H213" s="77" t="str">
        <f>IFERROR(COUNTIFS(Таблица2[2],B213,Таблица2[WIN$],"&gt;0")/D213*100,"-")</f>
        <v>-</v>
      </c>
      <c r="I213" s="77" t="str">
        <f>IF(IFERROR((COUNTIFS(Таблица2[2],B213,Таблица2[K],"K")+SUMIFS(Таблица2[R],Таблица2[2],B213,Таблица2[K],"K"))/D213*100,"-")=0,"-",IFERROR((COUNTIFS(Таблица2[2],B213,Таблица2[K],"K")+SUMIFS(Таблица2[R],Таблица2[2],B213,Таблица2[K],"K"))/D213*100,"-"))</f>
        <v>-</v>
      </c>
      <c r="J213" s="77" t="str">
        <f>IF(IFERROR((COUNTIFS(Таблица2[2],B213,Таблица2[T],"t")+SUMIFS(Таблица2[R],Таблица2[2],B213,Таблица2[T],"t"))/D213*100,"-")=0,"-",IFERROR((COUNTIFS(Таблица2[2],B213,Таблица2[T],"t")+SUMIFS(Таблица2[R],Таблица2[2],B213,Таблица2[T],"t"))/D213*100,"-"))</f>
        <v>-</v>
      </c>
      <c r="K213" s="76" t="str">
        <f>IF(SUMIFS(Таблица2[KO$],Таблица2[2],B213)=0,"-",SUMIFS(Таблица2[KO$],Таблица2[2],B213))</f>
        <v>-</v>
      </c>
      <c r="L213" s="76" t="str">
        <f>IF(SUMIFS(Таблица2[WIN$],Таблица2[2],B213)=0,"-",SUMIFS(Таблица2[WIN$],Таблица2[2],B213))</f>
        <v>-</v>
      </c>
      <c r="M213" s="76" t="str">
        <f t="shared" si="16"/>
        <v>-</v>
      </c>
      <c r="N213" s="78" t="str">
        <f>IFERROR(Таблица467[[#This Row],[PROF]]/Таблица467[[#This Row],[Games]],"-")</f>
        <v>-</v>
      </c>
    </row>
    <row r="214" spans="1:14" ht="11.1" customHeight="1" x14ac:dyDescent="0.25">
      <c r="A214" s="93">
        <f t="shared" si="12"/>
        <v>173</v>
      </c>
      <c r="B214" s="50"/>
      <c r="C214"/>
      <c r="D214" s="117" t="str">
        <f>IF(COUNTIFS(Таблица2[2],B214)+SUMIFS(Таблица2[R],Таблица2[2],B214)=0,"",COUNTIFS(Таблица2[2],B214)+SUMIFS(Таблица2[R],Таблица2[2],B214))</f>
        <v/>
      </c>
      <c r="E214" s="76" t="str">
        <f>IF(SUMIFS(Таблица2[B$],Таблица2[2],B214)=0,"-",SUMIFS(Таблица2[B$],Таблица2[2],B214))</f>
        <v>-</v>
      </c>
      <c r="F214" s="77" t="str">
        <f>IFERROR(AVERAGEIFS(Таблица2[AFS],Таблица2[2],B214)+(AVERAGEIFS(Таблица2[AFS],Таблица2[2],B214)*0.2),"-")</f>
        <v>-</v>
      </c>
      <c r="G214" s="77" t="str">
        <f t="shared" si="15"/>
        <v>-</v>
      </c>
      <c r="H214" s="77" t="str">
        <f>IFERROR(COUNTIFS(Таблица2[2],B214,Таблица2[WIN$],"&gt;0")/D214*100,"-")</f>
        <v>-</v>
      </c>
      <c r="I214" s="77" t="str">
        <f>IF(IFERROR((COUNTIFS(Таблица2[2],B214,Таблица2[K],"K")+SUMIFS(Таблица2[R],Таблица2[2],B214,Таблица2[K],"K"))/D214*100,"-")=0,"-",IFERROR((COUNTIFS(Таблица2[2],B214,Таблица2[K],"K")+SUMIFS(Таблица2[R],Таблица2[2],B214,Таблица2[K],"K"))/D214*100,"-"))</f>
        <v>-</v>
      </c>
      <c r="J214" s="77" t="str">
        <f>IF(IFERROR((COUNTIFS(Таблица2[2],B214,Таблица2[T],"t")+SUMIFS(Таблица2[R],Таблица2[2],B214,Таблица2[T],"t"))/D214*100,"-")=0,"-",IFERROR((COUNTIFS(Таблица2[2],B214,Таблица2[T],"t")+SUMIFS(Таблица2[R],Таблица2[2],B214,Таблица2[T],"t"))/D214*100,"-"))</f>
        <v>-</v>
      </c>
      <c r="K214" s="76" t="str">
        <f>IF(SUMIFS(Таблица2[KO$],Таблица2[2],B214)=0,"-",SUMIFS(Таблица2[KO$],Таблица2[2],B214))</f>
        <v>-</v>
      </c>
      <c r="L214" s="76" t="str">
        <f>IF(SUMIFS(Таблица2[WIN$],Таблица2[2],B214)=0,"-",SUMIFS(Таблица2[WIN$],Таблица2[2],B214))</f>
        <v>-</v>
      </c>
      <c r="M214" s="76" t="str">
        <f t="shared" si="16"/>
        <v>-</v>
      </c>
      <c r="N214" s="78" t="str">
        <f>IFERROR(Таблица467[[#This Row],[PROF]]/Таблица467[[#This Row],[Games]],"-")</f>
        <v>-</v>
      </c>
    </row>
    <row r="215" spans="1:14" ht="11.1" customHeight="1" x14ac:dyDescent="0.25">
      <c r="A215" s="93">
        <f t="shared" si="12"/>
        <v>174</v>
      </c>
      <c r="B215" s="50"/>
      <c r="C215"/>
      <c r="D215" s="117" t="str">
        <f>IF(COUNTIFS(Таблица2[2],B215)+SUMIFS(Таблица2[R],Таблица2[2],B215)=0,"",COUNTIFS(Таблица2[2],B215)+SUMIFS(Таблица2[R],Таблица2[2],B215))</f>
        <v/>
      </c>
      <c r="E215" s="76" t="str">
        <f>IF(SUMIFS(Таблица2[B$],Таблица2[2],B215)=0,"-",SUMIFS(Таблица2[B$],Таблица2[2],B215))</f>
        <v>-</v>
      </c>
      <c r="F215" s="77" t="str">
        <f>IFERROR(AVERAGEIFS(Таблица2[AFS],Таблица2[2],B215)+(AVERAGEIFS(Таблица2[AFS],Таблица2[2],B215)*0.2),"-")</f>
        <v>-</v>
      </c>
      <c r="G215" s="77" t="str">
        <f t="shared" si="15"/>
        <v>-</v>
      </c>
      <c r="H215" s="77" t="str">
        <f>IFERROR(COUNTIFS(Таблица2[2],B215,Таблица2[WIN$],"&gt;0")/D215*100,"-")</f>
        <v>-</v>
      </c>
      <c r="I215" s="77" t="str">
        <f>IF(IFERROR((COUNTIFS(Таблица2[2],B215,Таблица2[K],"K")+SUMIFS(Таблица2[R],Таблица2[2],B215,Таблица2[K],"K"))/D215*100,"-")=0,"-",IFERROR((COUNTIFS(Таблица2[2],B215,Таблица2[K],"K")+SUMIFS(Таблица2[R],Таблица2[2],B215,Таблица2[K],"K"))/D215*100,"-"))</f>
        <v>-</v>
      </c>
      <c r="J215" s="77" t="str">
        <f>IF(IFERROR((COUNTIFS(Таблица2[2],B215,Таблица2[T],"t")+SUMIFS(Таблица2[R],Таблица2[2],B215,Таблица2[T],"t"))/D215*100,"-")=0,"-",IFERROR((COUNTIFS(Таблица2[2],B215,Таблица2[T],"t")+SUMIFS(Таблица2[R],Таблица2[2],B215,Таблица2[T],"t"))/D215*100,"-"))</f>
        <v>-</v>
      </c>
      <c r="K215" s="76" t="str">
        <f>IF(SUMIFS(Таблица2[KO$],Таблица2[2],B215)=0,"-",SUMIFS(Таблица2[KO$],Таблица2[2],B215))</f>
        <v>-</v>
      </c>
      <c r="L215" s="76" t="str">
        <f>IF(SUMIFS(Таблица2[WIN$],Таблица2[2],B215)=0,"-",SUMIFS(Таблица2[WIN$],Таблица2[2],B215))</f>
        <v>-</v>
      </c>
      <c r="M215" s="76" t="str">
        <f t="shared" si="16"/>
        <v>-</v>
      </c>
      <c r="N215" s="78" t="str">
        <f>IFERROR(Таблица467[[#This Row],[PROF]]/Таблица467[[#This Row],[Games]],"-")</f>
        <v>-</v>
      </c>
    </row>
    <row r="216" spans="1:14" ht="11.1" customHeight="1" x14ac:dyDescent="0.25">
      <c r="A216" s="93">
        <f t="shared" si="12"/>
        <v>175</v>
      </c>
      <c r="B216" s="50"/>
      <c r="C216"/>
      <c r="D216" s="117" t="str">
        <f>IF(COUNTIFS(Таблица2[2],B216)+SUMIFS(Таблица2[R],Таблица2[2],B216)=0,"",COUNTIFS(Таблица2[2],B216)+SUMIFS(Таблица2[R],Таблица2[2],B216))</f>
        <v/>
      </c>
      <c r="E216" s="76" t="str">
        <f>IF(SUMIFS(Таблица2[B$],Таблица2[2],B216)=0,"-",SUMIFS(Таблица2[B$],Таблица2[2],B216))</f>
        <v>-</v>
      </c>
      <c r="F216" s="77" t="str">
        <f>IFERROR(AVERAGEIFS(Таблица2[AFS],Таблица2[2],B216)+(AVERAGEIFS(Таблица2[AFS],Таблица2[2],B216)*0.2),"-")</f>
        <v>-</v>
      </c>
      <c r="G216" s="77" t="str">
        <f t="shared" si="15"/>
        <v>-</v>
      </c>
      <c r="H216" s="77" t="str">
        <f>IFERROR(COUNTIFS(Таблица2[2],B216,Таблица2[WIN$],"&gt;0")/D216*100,"-")</f>
        <v>-</v>
      </c>
      <c r="I216" s="77" t="str">
        <f>IF(IFERROR((COUNTIFS(Таблица2[2],B216,Таблица2[K],"K")+SUMIFS(Таблица2[R],Таблица2[2],B216,Таблица2[K],"K"))/D216*100,"-")=0,"-",IFERROR((COUNTIFS(Таблица2[2],B216,Таблица2[K],"K")+SUMIFS(Таблица2[R],Таблица2[2],B216,Таблица2[K],"K"))/D216*100,"-"))</f>
        <v>-</v>
      </c>
      <c r="J216" s="77" t="str">
        <f>IF(IFERROR((COUNTIFS(Таблица2[2],B216,Таблица2[T],"t")+SUMIFS(Таблица2[R],Таблица2[2],B216,Таблица2[T],"t"))/D216*100,"-")=0,"-",IFERROR((COUNTIFS(Таблица2[2],B216,Таблица2[T],"t")+SUMIFS(Таблица2[R],Таблица2[2],B216,Таблица2[T],"t"))/D216*100,"-"))</f>
        <v>-</v>
      </c>
      <c r="K216" s="76" t="str">
        <f>IF(SUMIFS(Таблица2[KO$],Таблица2[2],B216)=0,"-",SUMIFS(Таблица2[KO$],Таблица2[2],B216))</f>
        <v>-</v>
      </c>
      <c r="L216" s="76" t="str">
        <f>IF(SUMIFS(Таблица2[WIN$],Таблица2[2],B216)=0,"-",SUMIFS(Таблица2[WIN$],Таблица2[2],B216))</f>
        <v>-</v>
      </c>
      <c r="M216" s="76" t="str">
        <f t="shared" si="16"/>
        <v>-</v>
      </c>
      <c r="N216" s="78" t="str">
        <f>IFERROR(Таблица467[[#This Row],[PROF]]/Таблица467[[#This Row],[Games]],"-")</f>
        <v>-</v>
      </c>
    </row>
    <row r="217" spans="1:14" ht="11.1" customHeight="1" x14ac:dyDescent="0.25">
      <c r="A217" s="93">
        <f t="shared" si="12"/>
        <v>176</v>
      </c>
      <c r="B217" s="50"/>
      <c r="C217"/>
      <c r="D217" s="117" t="str">
        <f>IF(COUNTIFS(Таблица2[2],B217)+SUMIFS(Таблица2[R],Таблица2[2],B217)=0,"",COUNTIFS(Таблица2[2],B217)+SUMIFS(Таблица2[R],Таблица2[2],B217))</f>
        <v/>
      </c>
      <c r="E217" s="76" t="str">
        <f>IF(SUMIFS(Таблица2[B$],Таблица2[2],B217)=0,"-",SUMIFS(Таблица2[B$],Таблица2[2],B217))</f>
        <v>-</v>
      </c>
      <c r="F217" s="77" t="str">
        <f>IFERROR(AVERAGEIFS(Таблица2[AFS],Таблица2[2],B217)+(AVERAGEIFS(Таблица2[AFS],Таблица2[2],B217)*0.2),"-")</f>
        <v>-</v>
      </c>
      <c r="G217" s="77" t="str">
        <f t="shared" si="15"/>
        <v>-</v>
      </c>
      <c r="H217" s="77" t="str">
        <f>IFERROR(COUNTIFS(Таблица2[2],B217,Таблица2[WIN$],"&gt;0")/D217*100,"-")</f>
        <v>-</v>
      </c>
      <c r="I217" s="77" t="str">
        <f>IF(IFERROR((COUNTIFS(Таблица2[2],B217,Таблица2[K],"K")+SUMIFS(Таблица2[R],Таблица2[2],B217,Таблица2[K],"K"))/D217*100,"-")=0,"-",IFERROR((COUNTIFS(Таблица2[2],B217,Таблица2[K],"K")+SUMIFS(Таблица2[R],Таблица2[2],B217,Таблица2[K],"K"))/D217*100,"-"))</f>
        <v>-</v>
      </c>
      <c r="J217" s="77" t="str">
        <f>IF(IFERROR((COUNTIFS(Таблица2[2],B217,Таблица2[T],"t")+SUMIFS(Таблица2[R],Таблица2[2],B217,Таблица2[T],"t"))/D217*100,"-")=0,"-",IFERROR((COUNTIFS(Таблица2[2],B217,Таблица2[T],"t")+SUMIFS(Таблица2[R],Таблица2[2],B217,Таблица2[T],"t"))/D217*100,"-"))</f>
        <v>-</v>
      </c>
      <c r="K217" s="76" t="str">
        <f>IF(SUMIFS(Таблица2[KO$],Таблица2[2],B217)=0,"-",SUMIFS(Таблица2[KO$],Таблица2[2],B217))</f>
        <v>-</v>
      </c>
      <c r="L217" s="76" t="str">
        <f>IF(SUMIFS(Таблица2[WIN$],Таблица2[2],B217)=0,"-",SUMIFS(Таблица2[WIN$],Таблица2[2],B217))</f>
        <v>-</v>
      </c>
      <c r="M217" s="76" t="str">
        <f t="shared" si="16"/>
        <v>-</v>
      </c>
      <c r="N217" s="78" t="str">
        <f>IFERROR(Таблица467[[#This Row],[PROF]]/Таблица467[[#This Row],[Games]],"-")</f>
        <v>-</v>
      </c>
    </row>
    <row r="218" spans="1:14" ht="11.1" customHeight="1" x14ac:dyDescent="0.25">
      <c r="A218" s="93">
        <f t="shared" si="12"/>
        <v>177</v>
      </c>
      <c r="B218" s="50"/>
      <c r="C218"/>
      <c r="D218" s="117" t="str">
        <f>IF(COUNTIFS(Таблица2[2],B218)+SUMIFS(Таблица2[R],Таблица2[2],B218)=0,"",COUNTIFS(Таблица2[2],B218)+SUMIFS(Таблица2[R],Таблица2[2],B218))</f>
        <v/>
      </c>
      <c r="E218" s="76" t="str">
        <f>IF(SUMIFS(Таблица2[B$],Таблица2[2],B218)=0,"-",SUMIFS(Таблица2[B$],Таблица2[2],B218))</f>
        <v>-</v>
      </c>
      <c r="F218" s="77" t="str">
        <f>IFERROR(AVERAGEIFS(Таблица2[AFS],Таблица2[2],B218)+(AVERAGEIFS(Таблица2[AFS],Таблица2[2],B218)*0.2),"-")</f>
        <v>-</v>
      </c>
      <c r="G218" s="77" t="str">
        <f t="shared" si="15"/>
        <v>-</v>
      </c>
      <c r="H218" s="77" t="str">
        <f>IFERROR(COUNTIFS(Таблица2[2],B218,Таблица2[WIN$],"&gt;0")/D218*100,"-")</f>
        <v>-</v>
      </c>
      <c r="I218" s="77" t="str">
        <f>IF(IFERROR((COUNTIFS(Таблица2[2],B218,Таблица2[K],"K")+SUMIFS(Таблица2[R],Таблица2[2],B218,Таблица2[K],"K"))/D218*100,"-")=0,"-",IFERROR((COUNTIFS(Таблица2[2],B218,Таблица2[K],"K")+SUMIFS(Таблица2[R],Таблица2[2],B218,Таблица2[K],"K"))/D218*100,"-"))</f>
        <v>-</v>
      </c>
      <c r="J218" s="77" t="str">
        <f>IF(IFERROR((COUNTIFS(Таблица2[2],B218,Таблица2[T],"t")+SUMIFS(Таблица2[R],Таблица2[2],B218,Таблица2[T],"t"))/D218*100,"-")=0,"-",IFERROR((COUNTIFS(Таблица2[2],B218,Таблица2[T],"t")+SUMIFS(Таблица2[R],Таблица2[2],B218,Таблица2[T],"t"))/D218*100,"-"))</f>
        <v>-</v>
      </c>
      <c r="K218" s="76" t="str">
        <f>IF(SUMIFS(Таблица2[KO$],Таблица2[2],B218)=0,"-",SUMIFS(Таблица2[KO$],Таблица2[2],B218))</f>
        <v>-</v>
      </c>
      <c r="L218" s="76" t="str">
        <f>IF(SUMIFS(Таблица2[WIN$],Таблица2[2],B218)=0,"-",SUMIFS(Таблица2[WIN$],Таблица2[2],B218))</f>
        <v>-</v>
      </c>
      <c r="M218" s="76" t="str">
        <f t="shared" si="16"/>
        <v>-</v>
      </c>
      <c r="N218" s="78" t="str">
        <f>IFERROR(Таблица467[[#This Row],[PROF]]/Таблица467[[#This Row],[Games]],"-")</f>
        <v>-</v>
      </c>
    </row>
    <row r="219" spans="1:14" ht="11.1" customHeight="1" x14ac:dyDescent="0.25">
      <c r="A219" s="93">
        <f t="shared" si="12"/>
        <v>178</v>
      </c>
      <c r="B219" s="50"/>
      <c r="C219"/>
      <c r="D219" s="117" t="str">
        <f>IF(COUNTIFS(Таблица2[2],B219)+SUMIFS(Таблица2[R],Таблица2[2],B219)=0,"",COUNTIFS(Таблица2[2],B219)+SUMIFS(Таблица2[R],Таблица2[2],B219))</f>
        <v/>
      </c>
      <c r="E219" s="76" t="str">
        <f>IF(SUMIFS(Таблица2[B$],Таблица2[2],B219)=0,"-",SUMIFS(Таблица2[B$],Таблица2[2],B219))</f>
        <v>-</v>
      </c>
      <c r="F219" s="77" t="str">
        <f>IFERROR(AVERAGEIFS(Таблица2[AFS],Таблица2[2],B219)+(AVERAGEIFS(Таблица2[AFS],Таблица2[2],B219)*0.2),"-")</f>
        <v>-</v>
      </c>
      <c r="G219" s="77" t="str">
        <f t="shared" si="15"/>
        <v>-</v>
      </c>
      <c r="H219" s="77" t="str">
        <f>IFERROR(COUNTIFS(Таблица2[2],B219,Таблица2[WIN$],"&gt;0")/D219*100,"-")</f>
        <v>-</v>
      </c>
      <c r="I219" s="77" t="str">
        <f>IF(IFERROR((COUNTIFS(Таблица2[2],B219,Таблица2[K],"K")+SUMIFS(Таблица2[R],Таблица2[2],B219,Таблица2[K],"K"))/D219*100,"-")=0,"-",IFERROR((COUNTIFS(Таблица2[2],B219,Таблица2[K],"K")+SUMIFS(Таблица2[R],Таблица2[2],B219,Таблица2[K],"K"))/D219*100,"-"))</f>
        <v>-</v>
      </c>
      <c r="J219" s="77" t="str">
        <f>IF(IFERROR((COUNTIFS(Таблица2[2],B219,Таблица2[T],"t")+SUMIFS(Таблица2[R],Таблица2[2],B219,Таблица2[T],"t"))/D219*100,"-")=0,"-",IFERROR((COUNTIFS(Таблица2[2],B219,Таблица2[T],"t")+SUMIFS(Таблица2[R],Таблица2[2],B219,Таблица2[T],"t"))/D219*100,"-"))</f>
        <v>-</v>
      </c>
      <c r="K219" s="76" t="str">
        <f>IF(SUMIFS(Таблица2[KO$],Таблица2[2],B219)=0,"-",SUMIFS(Таблица2[KO$],Таблица2[2],B219))</f>
        <v>-</v>
      </c>
      <c r="L219" s="76" t="str">
        <f>IF(SUMIFS(Таблица2[WIN$],Таблица2[2],B219)=0,"-",SUMIFS(Таблица2[WIN$],Таблица2[2],B219))</f>
        <v>-</v>
      </c>
      <c r="M219" s="76" t="str">
        <f t="shared" si="16"/>
        <v>-</v>
      </c>
      <c r="N219" s="78" t="str">
        <f>IFERROR(Таблица467[[#This Row],[PROF]]/Таблица467[[#This Row],[Games]],"-")</f>
        <v>-</v>
      </c>
    </row>
    <row r="220" spans="1:14" ht="11.1" customHeight="1" x14ac:dyDescent="0.25">
      <c r="A220" s="93">
        <f t="shared" si="12"/>
        <v>179</v>
      </c>
      <c r="B220" s="50"/>
      <c r="C220"/>
      <c r="D220" s="117" t="str">
        <f>IF(COUNTIFS(Таблица2[2],B220)+SUMIFS(Таблица2[R],Таблица2[2],B220)=0,"",COUNTIFS(Таблица2[2],B220)+SUMIFS(Таблица2[R],Таблица2[2],B220))</f>
        <v/>
      </c>
      <c r="E220" s="76" t="str">
        <f>IF(SUMIFS(Таблица2[B$],Таблица2[2],B220)=0,"-",SUMIFS(Таблица2[B$],Таблица2[2],B220))</f>
        <v>-</v>
      </c>
      <c r="F220" s="77" t="str">
        <f>IFERROR(AVERAGEIFS(Таблица2[AFS],Таблица2[2],B220)+(AVERAGEIFS(Таблица2[AFS],Таблица2[2],B220)*0.2),"-")</f>
        <v>-</v>
      </c>
      <c r="G220" s="77" t="str">
        <f t="shared" si="15"/>
        <v>-</v>
      </c>
      <c r="H220" s="77" t="str">
        <f>IFERROR(COUNTIFS(Таблица2[2],B220,Таблица2[WIN$],"&gt;0")/D220*100,"-")</f>
        <v>-</v>
      </c>
      <c r="I220" s="77" t="str">
        <f>IF(IFERROR((COUNTIFS(Таблица2[2],B220,Таблица2[K],"K")+SUMIFS(Таблица2[R],Таблица2[2],B220,Таблица2[K],"K"))/D220*100,"-")=0,"-",IFERROR((COUNTIFS(Таблица2[2],B220,Таблица2[K],"K")+SUMIFS(Таблица2[R],Таблица2[2],B220,Таблица2[K],"K"))/D220*100,"-"))</f>
        <v>-</v>
      </c>
      <c r="J220" s="77" t="str">
        <f>IF(IFERROR((COUNTIFS(Таблица2[2],B220,Таблица2[T],"t")+SUMIFS(Таблица2[R],Таблица2[2],B220,Таблица2[T],"t"))/D220*100,"-")=0,"-",IFERROR((COUNTIFS(Таблица2[2],B220,Таблица2[T],"t")+SUMIFS(Таблица2[R],Таблица2[2],B220,Таблица2[T],"t"))/D220*100,"-"))</f>
        <v>-</v>
      </c>
      <c r="K220" s="76" t="str">
        <f>IF(SUMIFS(Таблица2[KO$],Таблица2[2],B220)=0,"-",SUMIFS(Таблица2[KO$],Таблица2[2],B220))</f>
        <v>-</v>
      </c>
      <c r="L220" s="76" t="str">
        <f>IF(SUMIFS(Таблица2[WIN$],Таблица2[2],B220)=0,"-",SUMIFS(Таблица2[WIN$],Таблица2[2],B220))</f>
        <v>-</v>
      </c>
      <c r="M220" s="76" t="str">
        <f t="shared" si="16"/>
        <v>-</v>
      </c>
      <c r="N220" s="78" t="str">
        <f>IFERROR(Таблица467[[#This Row],[PROF]]/Таблица467[[#This Row],[Games]],"-")</f>
        <v>-</v>
      </c>
    </row>
    <row r="221" spans="1:14" ht="11.1" customHeight="1" x14ac:dyDescent="0.25">
      <c r="A221" s="93">
        <f t="shared" si="12"/>
        <v>180</v>
      </c>
      <c r="B221" s="50"/>
      <c r="C221"/>
      <c r="D221" s="117" t="str">
        <f>IF(COUNTIFS(Таблица2[2],B221)+SUMIFS(Таблица2[R],Таблица2[2],B221)=0,"",COUNTIFS(Таблица2[2],B221)+SUMIFS(Таблица2[R],Таблица2[2],B221))</f>
        <v/>
      </c>
      <c r="E221" s="76" t="str">
        <f>IF(SUMIFS(Таблица2[B$],Таблица2[2],B221)=0,"-",SUMIFS(Таблица2[B$],Таблица2[2],B221))</f>
        <v>-</v>
      </c>
      <c r="F221" s="77" t="str">
        <f>IFERROR(AVERAGEIFS(Таблица2[AFS],Таблица2[2],B221)+(AVERAGEIFS(Таблица2[AFS],Таблица2[2],B221)*0.2),"-")</f>
        <v>-</v>
      </c>
      <c r="G221" s="77" t="str">
        <f t="shared" si="15"/>
        <v>-</v>
      </c>
      <c r="H221" s="77" t="str">
        <f>IFERROR(COUNTIFS(Таблица2[2],B221,Таблица2[WIN$],"&gt;0")/D221*100,"-")</f>
        <v>-</v>
      </c>
      <c r="I221" s="77" t="str">
        <f>IF(IFERROR((COUNTIFS(Таблица2[2],B221,Таблица2[K],"K")+SUMIFS(Таблица2[R],Таблица2[2],B221,Таблица2[K],"K"))/D221*100,"-")=0,"-",IFERROR((COUNTIFS(Таблица2[2],B221,Таблица2[K],"K")+SUMIFS(Таблица2[R],Таблица2[2],B221,Таблица2[K],"K"))/D221*100,"-"))</f>
        <v>-</v>
      </c>
      <c r="J221" s="77" t="str">
        <f>IF(IFERROR((COUNTIFS(Таблица2[2],B221,Таблица2[T],"t")+SUMIFS(Таблица2[R],Таблица2[2],B221,Таблица2[T],"t"))/D221*100,"-")=0,"-",IFERROR((COUNTIFS(Таблица2[2],B221,Таблица2[T],"t")+SUMIFS(Таблица2[R],Таблица2[2],B221,Таблица2[T],"t"))/D221*100,"-"))</f>
        <v>-</v>
      </c>
      <c r="K221" s="76" t="str">
        <f>IF(SUMIFS(Таблица2[KO$],Таблица2[2],B221)=0,"-",SUMIFS(Таблица2[KO$],Таблица2[2],B221))</f>
        <v>-</v>
      </c>
      <c r="L221" s="76" t="str">
        <f>IF(SUMIFS(Таблица2[WIN$],Таблица2[2],B221)=0,"-",SUMIFS(Таблица2[WIN$],Таблица2[2],B221))</f>
        <v>-</v>
      </c>
      <c r="M221" s="76" t="str">
        <f t="shared" si="16"/>
        <v>-</v>
      </c>
      <c r="N221" s="78" t="str">
        <f>IFERROR(Таблица467[[#This Row],[PROF]]/Таблица467[[#This Row],[Games]],"-")</f>
        <v>-</v>
      </c>
    </row>
    <row r="222" spans="1:14" ht="11.1" customHeight="1" x14ac:dyDescent="0.25">
      <c r="A222" s="93">
        <f t="shared" si="12"/>
        <v>181</v>
      </c>
      <c r="B222" s="50"/>
      <c r="C222"/>
      <c r="D222" s="117" t="str">
        <f>IF(COUNTIFS(Таблица2[2],B222)+SUMIFS(Таблица2[R],Таблица2[2],B222)=0,"",COUNTIFS(Таблица2[2],B222)+SUMIFS(Таблица2[R],Таблица2[2],B222))</f>
        <v/>
      </c>
      <c r="E222" s="76" t="str">
        <f>IF(SUMIFS(Таблица2[B$],Таблица2[2],B222)=0,"-",SUMIFS(Таблица2[B$],Таблица2[2],B222))</f>
        <v>-</v>
      </c>
      <c r="F222" s="77" t="str">
        <f>IFERROR(AVERAGEIFS(Таблица2[AFS],Таблица2[2],B222)+(AVERAGEIFS(Таблица2[AFS],Таблица2[2],B222)*0.2),"-")</f>
        <v>-</v>
      </c>
      <c r="G222" s="77" t="str">
        <f t="shared" si="15"/>
        <v>-</v>
      </c>
      <c r="H222" s="77" t="str">
        <f>IFERROR(COUNTIFS(Таблица2[2],B222,Таблица2[WIN$],"&gt;0")/D222*100,"-")</f>
        <v>-</v>
      </c>
      <c r="I222" s="77" t="str">
        <f>IF(IFERROR((COUNTIFS(Таблица2[2],B222,Таблица2[K],"K")+SUMIFS(Таблица2[R],Таблица2[2],B222,Таблица2[K],"K"))/D222*100,"-")=0,"-",IFERROR((COUNTIFS(Таблица2[2],B222,Таблица2[K],"K")+SUMIFS(Таблица2[R],Таблица2[2],B222,Таблица2[K],"K"))/D222*100,"-"))</f>
        <v>-</v>
      </c>
      <c r="J222" s="77" t="str">
        <f>IF(IFERROR((COUNTIFS(Таблица2[2],B222,Таблица2[T],"t")+SUMIFS(Таблица2[R],Таблица2[2],B222,Таблица2[T],"t"))/D222*100,"-")=0,"-",IFERROR((COUNTIFS(Таблица2[2],B222,Таблица2[T],"t")+SUMIFS(Таблица2[R],Таблица2[2],B222,Таблица2[T],"t"))/D222*100,"-"))</f>
        <v>-</v>
      </c>
      <c r="K222" s="76" t="str">
        <f>IF(SUMIFS(Таблица2[KO$],Таблица2[2],B222)=0,"-",SUMIFS(Таблица2[KO$],Таблица2[2],B222))</f>
        <v>-</v>
      </c>
      <c r="L222" s="76" t="str">
        <f>IF(SUMIFS(Таблица2[WIN$],Таблица2[2],B222)=0,"-",SUMIFS(Таблица2[WIN$],Таблица2[2],B222))</f>
        <v>-</v>
      </c>
      <c r="M222" s="76" t="str">
        <f t="shared" si="16"/>
        <v>-</v>
      </c>
      <c r="N222" s="78" t="str">
        <f>IFERROR(Таблица467[[#This Row],[PROF]]/Таблица467[[#This Row],[Games]],"-")</f>
        <v>-</v>
      </c>
    </row>
    <row r="223" spans="1:14" ht="11.1" customHeight="1" x14ac:dyDescent="0.25">
      <c r="A223" s="93">
        <f t="shared" si="12"/>
        <v>182</v>
      </c>
      <c r="B223" s="50"/>
      <c r="C223"/>
      <c r="D223" s="117" t="str">
        <f>IF(COUNTIFS(Таблица2[2],B223)+SUMIFS(Таблица2[R],Таблица2[2],B223)=0,"",COUNTIFS(Таблица2[2],B223)+SUMIFS(Таблица2[R],Таблица2[2],B223))</f>
        <v/>
      </c>
      <c r="E223" s="76" t="str">
        <f>IF(SUMIFS(Таблица2[B$],Таблица2[2],B223)=0,"-",SUMIFS(Таблица2[B$],Таблица2[2],B223))</f>
        <v>-</v>
      </c>
      <c r="F223" s="77" t="str">
        <f>IFERROR(AVERAGEIFS(Таблица2[AFS],Таблица2[2],B223)+(AVERAGEIFS(Таблица2[AFS],Таблица2[2],B223)*0.2),"-")</f>
        <v>-</v>
      </c>
      <c r="G223" s="77" t="str">
        <f t="shared" si="15"/>
        <v>-</v>
      </c>
      <c r="H223" s="77" t="str">
        <f>IFERROR(COUNTIFS(Таблица2[2],B223,Таблица2[WIN$],"&gt;0")/D223*100,"-")</f>
        <v>-</v>
      </c>
      <c r="I223" s="77" t="str">
        <f>IF(IFERROR((COUNTIFS(Таблица2[2],B223,Таблица2[K],"K")+SUMIFS(Таблица2[R],Таблица2[2],B223,Таблица2[K],"K"))/D223*100,"-")=0,"-",IFERROR((COUNTIFS(Таблица2[2],B223,Таблица2[K],"K")+SUMIFS(Таблица2[R],Таблица2[2],B223,Таблица2[K],"K"))/D223*100,"-"))</f>
        <v>-</v>
      </c>
      <c r="J223" s="77" t="str">
        <f>IF(IFERROR((COUNTIFS(Таблица2[2],B223,Таблица2[T],"t")+SUMIFS(Таблица2[R],Таблица2[2],B223,Таблица2[T],"t"))/D223*100,"-")=0,"-",IFERROR((COUNTIFS(Таблица2[2],B223,Таблица2[T],"t")+SUMIFS(Таблица2[R],Таблица2[2],B223,Таблица2[T],"t"))/D223*100,"-"))</f>
        <v>-</v>
      </c>
      <c r="K223" s="76" t="str">
        <f>IF(SUMIFS(Таблица2[KO$],Таблица2[2],B223)=0,"-",SUMIFS(Таблица2[KO$],Таблица2[2],B223))</f>
        <v>-</v>
      </c>
      <c r="L223" s="76" t="str">
        <f>IF(SUMIFS(Таблица2[WIN$],Таблица2[2],B223)=0,"-",SUMIFS(Таблица2[WIN$],Таблица2[2],B223))</f>
        <v>-</v>
      </c>
      <c r="M223" s="76" t="str">
        <f t="shared" si="16"/>
        <v>-</v>
      </c>
      <c r="N223" s="78" t="str">
        <f>IFERROR(Таблица467[[#This Row],[PROF]]/Таблица467[[#This Row],[Games]],"-")</f>
        <v>-</v>
      </c>
    </row>
    <row r="224" spans="1:14" ht="11.1" customHeight="1" x14ac:dyDescent="0.25">
      <c r="A224" s="93">
        <f t="shared" si="12"/>
        <v>183</v>
      </c>
      <c r="B224" s="50"/>
      <c r="C224"/>
      <c r="D224" s="117" t="str">
        <f>IF(COUNTIFS(Таблица2[2],B224)+SUMIFS(Таблица2[R],Таблица2[2],B224)=0,"",COUNTIFS(Таблица2[2],B224)+SUMIFS(Таблица2[R],Таблица2[2],B224))</f>
        <v/>
      </c>
      <c r="E224" s="76" t="str">
        <f>IF(SUMIFS(Таблица2[B$],Таблица2[2],B224)=0,"-",SUMIFS(Таблица2[B$],Таблица2[2],B224))</f>
        <v>-</v>
      </c>
      <c r="F224" s="77" t="str">
        <f>IFERROR(AVERAGEIFS(Таблица2[AFS],Таблица2[2],B224)+(AVERAGEIFS(Таблица2[AFS],Таблица2[2],B224)*0.2),"-")</f>
        <v>-</v>
      </c>
      <c r="G224" s="77" t="str">
        <f t="shared" si="15"/>
        <v>-</v>
      </c>
      <c r="H224" s="77" t="str">
        <f>IFERROR(COUNTIFS(Таблица2[2],B224,Таблица2[WIN$],"&gt;0")/D224*100,"-")</f>
        <v>-</v>
      </c>
      <c r="I224" s="77" t="str">
        <f>IF(IFERROR((COUNTIFS(Таблица2[2],B224,Таблица2[K],"K")+SUMIFS(Таблица2[R],Таблица2[2],B224,Таблица2[K],"K"))/D224*100,"-")=0,"-",IFERROR((COUNTIFS(Таблица2[2],B224,Таблица2[K],"K")+SUMIFS(Таблица2[R],Таблица2[2],B224,Таблица2[K],"K"))/D224*100,"-"))</f>
        <v>-</v>
      </c>
      <c r="J224" s="77" t="str">
        <f>IF(IFERROR((COUNTIFS(Таблица2[2],B224,Таблица2[T],"t")+SUMIFS(Таблица2[R],Таблица2[2],B224,Таблица2[T],"t"))/D224*100,"-")=0,"-",IFERROR((COUNTIFS(Таблица2[2],B224,Таблица2[T],"t")+SUMIFS(Таблица2[R],Таблица2[2],B224,Таблица2[T],"t"))/D224*100,"-"))</f>
        <v>-</v>
      </c>
      <c r="K224" s="76" t="str">
        <f>IF(SUMIFS(Таблица2[KO$],Таблица2[2],B224)=0,"-",SUMIFS(Таблица2[KO$],Таблица2[2],B224))</f>
        <v>-</v>
      </c>
      <c r="L224" s="76" t="str">
        <f>IF(SUMIFS(Таблица2[WIN$],Таблица2[2],B224)=0,"-",SUMIFS(Таблица2[WIN$],Таблица2[2],B224))</f>
        <v>-</v>
      </c>
      <c r="M224" s="76" t="str">
        <f t="shared" si="16"/>
        <v>-</v>
      </c>
      <c r="N224" s="78" t="str">
        <f>IFERROR(Таблица467[[#This Row],[PROF]]/Таблица467[[#This Row],[Games]],"-")</f>
        <v>-</v>
      </c>
    </row>
    <row r="225" spans="1:14" ht="11.1" customHeight="1" x14ac:dyDescent="0.25">
      <c r="A225" s="93">
        <f t="shared" si="12"/>
        <v>184</v>
      </c>
      <c r="B225" s="50"/>
      <c r="C225"/>
      <c r="D225" s="117" t="str">
        <f>IF(COUNTIFS(Таблица2[2],B225)+SUMIFS(Таблица2[R],Таблица2[2],B225)=0,"",COUNTIFS(Таблица2[2],B225)+SUMIFS(Таблица2[R],Таблица2[2],B225))</f>
        <v/>
      </c>
      <c r="E225" s="76" t="str">
        <f>IF(SUMIFS(Таблица2[B$],Таблица2[2],B225)=0,"-",SUMIFS(Таблица2[B$],Таблица2[2],B225))</f>
        <v>-</v>
      </c>
      <c r="F225" s="77" t="str">
        <f>IFERROR(AVERAGEIFS(Таблица2[AFS],Таблица2[2],B225)+(AVERAGEIFS(Таблица2[AFS],Таблица2[2],B225)*0.2),"-")</f>
        <v>-</v>
      </c>
      <c r="G225" s="77" t="str">
        <f t="shared" si="15"/>
        <v>-</v>
      </c>
      <c r="H225" s="77" t="str">
        <f>IFERROR(COUNTIFS(Таблица2[2],B225,Таблица2[WIN$],"&gt;0")/D225*100,"-")</f>
        <v>-</v>
      </c>
      <c r="I225" s="77" t="str">
        <f>IF(IFERROR((COUNTIFS(Таблица2[2],B225,Таблица2[K],"K")+SUMIFS(Таблица2[R],Таблица2[2],B225,Таблица2[K],"K"))/D225*100,"-")=0,"-",IFERROR((COUNTIFS(Таблица2[2],B225,Таблица2[K],"K")+SUMIFS(Таблица2[R],Таблица2[2],B225,Таблица2[K],"K"))/D225*100,"-"))</f>
        <v>-</v>
      </c>
      <c r="J225" s="77" t="str">
        <f>IF(IFERROR((COUNTIFS(Таблица2[2],B225,Таблица2[T],"t")+SUMIFS(Таблица2[R],Таблица2[2],B225,Таблица2[T],"t"))/D225*100,"-")=0,"-",IFERROR((COUNTIFS(Таблица2[2],B225,Таблица2[T],"t")+SUMIFS(Таблица2[R],Таблица2[2],B225,Таблица2[T],"t"))/D225*100,"-"))</f>
        <v>-</v>
      </c>
      <c r="K225" s="76" t="str">
        <f>IF(SUMIFS(Таблица2[KO$],Таблица2[2],B225)=0,"-",SUMIFS(Таблица2[KO$],Таблица2[2],B225))</f>
        <v>-</v>
      </c>
      <c r="L225" s="76" t="str">
        <f>IF(SUMIFS(Таблица2[WIN$],Таблица2[2],B225)=0,"-",SUMIFS(Таблица2[WIN$],Таблица2[2],B225))</f>
        <v>-</v>
      </c>
      <c r="M225" s="76" t="str">
        <f t="shared" si="16"/>
        <v>-</v>
      </c>
      <c r="N225" s="78" t="str">
        <f>IFERROR(Таблица467[[#This Row],[PROF]]/Таблица467[[#This Row],[Games]],"-")</f>
        <v>-</v>
      </c>
    </row>
    <row r="226" spans="1:14" ht="11.1" customHeight="1" x14ac:dyDescent="0.25">
      <c r="A226" s="93">
        <f t="shared" si="12"/>
        <v>185</v>
      </c>
      <c r="B226" s="50"/>
      <c r="C226"/>
      <c r="D226" s="117" t="str">
        <f>IF(COUNTIFS(Таблица2[2],B226)+SUMIFS(Таблица2[R],Таблица2[2],B226)=0,"",COUNTIFS(Таблица2[2],B226)+SUMIFS(Таблица2[R],Таблица2[2],B226))</f>
        <v/>
      </c>
      <c r="E226" s="76" t="str">
        <f>IF(SUMIFS(Таблица2[B$],Таблица2[2],B226)=0,"-",SUMIFS(Таблица2[B$],Таблица2[2],B226))</f>
        <v>-</v>
      </c>
      <c r="F226" s="77" t="str">
        <f>IFERROR(AVERAGEIFS(Таблица2[AFS],Таблица2[2],B226)+(AVERAGEIFS(Таблица2[AFS],Таблица2[2],B226)*0.2),"-")</f>
        <v>-</v>
      </c>
      <c r="G226" s="77" t="str">
        <f t="shared" si="15"/>
        <v>-</v>
      </c>
      <c r="H226" s="77" t="str">
        <f>IFERROR(COUNTIFS(Таблица2[2],B226,Таблица2[WIN$],"&gt;0")/D226*100,"-")</f>
        <v>-</v>
      </c>
      <c r="I226" s="77" t="str">
        <f>IF(IFERROR((COUNTIFS(Таблица2[2],B226,Таблица2[K],"K")+SUMIFS(Таблица2[R],Таблица2[2],B226,Таблица2[K],"K"))/D226*100,"-")=0,"-",IFERROR((COUNTIFS(Таблица2[2],B226,Таблица2[K],"K")+SUMIFS(Таблица2[R],Таблица2[2],B226,Таблица2[K],"K"))/D226*100,"-"))</f>
        <v>-</v>
      </c>
      <c r="J226" s="77" t="str">
        <f>IF(IFERROR((COUNTIFS(Таблица2[2],B226,Таблица2[T],"t")+SUMIFS(Таблица2[R],Таблица2[2],B226,Таблица2[T],"t"))/D226*100,"-")=0,"-",IFERROR((COUNTIFS(Таблица2[2],B226,Таблица2[T],"t")+SUMIFS(Таблица2[R],Таблица2[2],B226,Таблица2[T],"t"))/D226*100,"-"))</f>
        <v>-</v>
      </c>
      <c r="K226" s="76" t="str">
        <f>IF(SUMIFS(Таблица2[KO$],Таблица2[2],B226)=0,"-",SUMIFS(Таблица2[KO$],Таблица2[2],B226))</f>
        <v>-</v>
      </c>
      <c r="L226" s="76" t="str">
        <f>IF(SUMIFS(Таблица2[WIN$],Таблица2[2],B226)=0,"-",SUMIFS(Таблица2[WIN$],Таблица2[2],B226))</f>
        <v>-</v>
      </c>
      <c r="M226" s="76" t="str">
        <f t="shared" si="16"/>
        <v>-</v>
      </c>
      <c r="N226" s="78" t="str">
        <f>IFERROR(Таблица467[[#This Row],[PROF]]/Таблица467[[#This Row],[Games]],"-")</f>
        <v>-</v>
      </c>
    </row>
    <row r="227" spans="1:14" ht="11.1" customHeight="1" x14ac:dyDescent="0.25">
      <c r="A227" s="93">
        <f t="shared" si="12"/>
        <v>186</v>
      </c>
      <c r="B227" s="50"/>
      <c r="C227"/>
      <c r="D227" s="117" t="str">
        <f>IF(COUNTIFS(Таблица2[2],B227)+SUMIFS(Таблица2[R],Таблица2[2],B227)=0,"",COUNTIFS(Таблица2[2],B227)+SUMIFS(Таблица2[R],Таблица2[2],B227))</f>
        <v/>
      </c>
      <c r="E227" s="76" t="str">
        <f>IF(SUMIFS(Таблица2[B$],Таблица2[2],B227)=0,"-",SUMIFS(Таблица2[B$],Таблица2[2],B227))</f>
        <v>-</v>
      </c>
      <c r="F227" s="77" t="str">
        <f>IFERROR(AVERAGEIFS(Таблица2[AFS],Таблица2[2],B227)+(AVERAGEIFS(Таблица2[AFS],Таблица2[2],B227)*0.2),"-")</f>
        <v>-</v>
      </c>
      <c r="G227" s="77" t="str">
        <f t="shared" si="15"/>
        <v>-</v>
      </c>
      <c r="H227" s="77" t="str">
        <f>IFERROR(COUNTIFS(Таблица2[2],B227,Таблица2[WIN$],"&gt;0")/D227*100,"-")</f>
        <v>-</v>
      </c>
      <c r="I227" s="77" t="str">
        <f>IF(IFERROR((COUNTIFS(Таблица2[2],B227,Таблица2[K],"K")+SUMIFS(Таблица2[R],Таблица2[2],B227,Таблица2[K],"K"))/D227*100,"-")=0,"-",IFERROR((COUNTIFS(Таблица2[2],B227,Таблица2[K],"K")+SUMIFS(Таблица2[R],Таблица2[2],B227,Таблица2[K],"K"))/D227*100,"-"))</f>
        <v>-</v>
      </c>
      <c r="J227" s="77" t="str">
        <f>IF(IFERROR((COUNTIFS(Таблица2[2],B227,Таблица2[T],"t")+SUMIFS(Таблица2[R],Таблица2[2],B227,Таблица2[T],"t"))/D227*100,"-")=0,"-",IFERROR((COUNTIFS(Таблица2[2],B227,Таблица2[T],"t")+SUMIFS(Таблица2[R],Таблица2[2],B227,Таблица2[T],"t"))/D227*100,"-"))</f>
        <v>-</v>
      </c>
      <c r="K227" s="76" t="str">
        <f>IF(SUMIFS(Таблица2[KO$],Таблица2[2],B227)=0,"-",SUMIFS(Таблица2[KO$],Таблица2[2],B227))</f>
        <v>-</v>
      </c>
      <c r="L227" s="76" t="str">
        <f>IF(SUMIFS(Таблица2[WIN$],Таблица2[2],B227)=0,"-",SUMIFS(Таблица2[WIN$],Таблица2[2],B227))</f>
        <v>-</v>
      </c>
      <c r="M227" s="76" t="str">
        <f t="shared" si="16"/>
        <v>-</v>
      </c>
      <c r="N227" s="78" t="str">
        <f>IFERROR(Таблица467[[#This Row],[PROF]]/Таблица467[[#This Row],[Games]],"-")</f>
        <v>-</v>
      </c>
    </row>
    <row r="228" spans="1:14" ht="11.1" customHeight="1" x14ac:dyDescent="0.25">
      <c r="A228" s="93">
        <f t="shared" si="12"/>
        <v>187</v>
      </c>
      <c r="B228" s="50"/>
      <c r="C228"/>
      <c r="D228" s="117" t="str">
        <f>IF(COUNTIFS(Таблица2[2],B228)+SUMIFS(Таблица2[R],Таблица2[2],B228)=0,"",COUNTIFS(Таблица2[2],B228)+SUMIFS(Таблица2[R],Таблица2[2],B228))</f>
        <v/>
      </c>
      <c r="E228" s="76" t="str">
        <f>IF(SUMIFS(Таблица2[B$],Таблица2[2],B228)=0,"-",SUMIFS(Таблица2[B$],Таблица2[2],B228))</f>
        <v>-</v>
      </c>
      <c r="F228" s="77" t="str">
        <f>IFERROR(AVERAGEIFS(Таблица2[AFS],Таблица2[2],B228)+(AVERAGEIFS(Таблица2[AFS],Таблица2[2],B228)*0.2),"-")</f>
        <v>-</v>
      </c>
      <c r="G228" s="77" t="str">
        <f t="shared" si="15"/>
        <v>-</v>
      </c>
      <c r="H228" s="77" t="str">
        <f>IFERROR(COUNTIFS(Таблица2[2],B228,Таблица2[WIN$],"&gt;0")/D228*100,"-")</f>
        <v>-</v>
      </c>
      <c r="I228" s="77" t="str">
        <f>IF(IFERROR((COUNTIFS(Таблица2[2],B228,Таблица2[K],"K")+SUMIFS(Таблица2[R],Таблица2[2],B228,Таблица2[K],"K"))/D228*100,"-")=0,"-",IFERROR((COUNTIFS(Таблица2[2],B228,Таблица2[K],"K")+SUMIFS(Таблица2[R],Таблица2[2],B228,Таблица2[K],"K"))/D228*100,"-"))</f>
        <v>-</v>
      </c>
      <c r="J228" s="77" t="str">
        <f>IF(IFERROR((COUNTIFS(Таблица2[2],B228,Таблица2[T],"t")+SUMIFS(Таблица2[R],Таблица2[2],B228,Таблица2[T],"t"))/D228*100,"-")=0,"-",IFERROR((COUNTIFS(Таблица2[2],B228,Таблица2[T],"t")+SUMIFS(Таблица2[R],Таблица2[2],B228,Таблица2[T],"t"))/D228*100,"-"))</f>
        <v>-</v>
      </c>
      <c r="K228" s="76" t="str">
        <f>IF(SUMIFS(Таблица2[KO$],Таблица2[2],B228)=0,"-",SUMIFS(Таблица2[KO$],Таблица2[2],B228))</f>
        <v>-</v>
      </c>
      <c r="L228" s="76" t="str">
        <f>IF(SUMIFS(Таблица2[WIN$],Таблица2[2],B228)=0,"-",SUMIFS(Таблица2[WIN$],Таблица2[2],B228))</f>
        <v>-</v>
      </c>
      <c r="M228" s="76" t="str">
        <f t="shared" si="16"/>
        <v>-</v>
      </c>
      <c r="N228" s="78" t="str">
        <f>IFERROR(Таблица467[[#This Row],[PROF]]/Таблица467[[#This Row],[Games]],"-")</f>
        <v>-</v>
      </c>
    </row>
    <row r="229" spans="1:14" ht="11.1" customHeight="1" x14ac:dyDescent="0.25">
      <c r="A229" s="93">
        <f t="shared" si="12"/>
        <v>188</v>
      </c>
      <c r="B229" s="50"/>
      <c r="C229"/>
      <c r="D229" s="117" t="str">
        <f>IF(COUNTIFS(Таблица2[2],B229)+SUMIFS(Таблица2[R],Таблица2[2],B229)=0,"",COUNTIFS(Таблица2[2],B229)+SUMIFS(Таблица2[R],Таблица2[2],B229))</f>
        <v/>
      </c>
      <c r="E229" s="76" t="str">
        <f>IF(SUMIFS(Таблица2[B$],Таблица2[2],B229)=0,"-",SUMIFS(Таблица2[B$],Таблица2[2],B229))</f>
        <v>-</v>
      </c>
      <c r="F229" s="77" t="str">
        <f>IFERROR(AVERAGEIFS(Таблица2[AFS],Таблица2[2],B229)+(AVERAGEIFS(Таблица2[AFS],Таблица2[2],B229)*0.2),"-")</f>
        <v>-</v>
      </c>
      <c r="G229" s="77" t="str">
        <f t="shared" si="15"/>
        <v>-</v>
      </c>
      <c r="H229" s="77" t="str">
        <f>IFERROR(COUNTIFS(Таблица2[2],B229,Таблица2[WIN$],"&gt;0")/D229*100,"-")</f>
        <v>-</v>
      </c>
      <c r="I229" s="77" t="str">
        <f>IF(IFERROR((COUNTIFS(Таблица2[2],B229,Таблица2[K],"K")+SUMIFS(Таблица2[R],Таблица2[2],B229,Таблица2[K],"K"))/D229*100,"-")=0,"-",IFERROR((COUNTIFS(Таблица2[2],B229,Таблица2[K],"K")+SUMIFS(Таблица2[R],Таблица2[2],B229,Таблица2[K],"K"))/D229*100,"-"))</f>
        <v>-</v>
      </c>
      <c r="J229" s="77" t="str">
        <f>IF(IFERROR((COUNTIFS(Таблица2[2],B229,Таблица2[T],"t")+SUMIFS(Таблица2[R],Таблица2[2],B229,Таблица2[T],"t"))/D229*100,"-")=0,"-",IFERROR((COUNTIFS(Таблица2[2],B229,Таблица2[T],"t")+SUMIFS(Таблица2[R],Таблица2[2],B229,Таблица2[T],"t"))/D229*100,"-"))</f>
        <v>-</v>
      </c>
      <c r="K229" s="76" t="str">
        <f>IF(SUMIFS(Таблица2[KO$],Таблица2[2],B229)=0,"-",SUMIFS(Таблица2[KO$],Таблица2[2],B229))</f>
        <v>-</v>
      </c>
      <c r="L229" s="76" t="str">
        <f>IF(SUMIFS(Таблица2[WIN$],Таблица2[2],B229)=0,"-",SUMIFS(Таблица2[WIN$],Таблица2[2],B229))</f>
        <v>-</v>
      </c>
      <c r="M229" s="76" t="str">
        <f t="shared" si="16"/>
        <v>-</v>
      </c>
      <c r="N229" s="78" t="str">
        <f>IFERROR(Таблица467[[#This Row],[PROF]]/Таблица467[[#This Row],[Games]],"-")</f>
        <v>-</v>
      </c>
    </row>
    <row r="230" spans="1:14" ht="11.1" customHeight="1" x14ac:dyDescent="0.25">
      <c r="A230" s="93">
        <f t="shared" si="12"/>
        <v>189</v>
      </c>
      <c r="B230" s="50"/>
      <c r="C230"/>
      <c r="D230" s="117" t="str">
        <f>IF(COUNTIFS(Таблица2[2],B230)+SUMIFS(Таблица2[R],Таблица2[2],B230)=0,"",COUNTIFS(Таблица2[2],B230)+SUMIFS(Таблица2[R],Таблица2[2],B230))</f>
        <v/>
      </c>
      <c r="E230" s="76" t="str">
        <f>IF(SUMIFS(Таблица2[B$],Таблица2[2],B230)=0,"-",SUMIFS(Таблица2[B$],Таблица2[2],B230))</f>
        <v>-</v>
      </c>
      <c r="F230" s="77" t="str">
        <f>IFERROR(AVERAGEIFS(Таблица2[AFS],Таблица2[2],B230)+(AVERAGEIFS(Таблица2[AFS],Таблица2[2],B230)*0.2),"-")</f>
        <v>-</v>
      </c>
      <c r="G230" s="77" t="str">
        <f t="shared" si="15"/>
        <v>-</v>
      </c>
      <c r="H230" s="77" t="str">
        <f>IFERROR(COUNTIFS(Таблица2[2],B230,Таблица2[WIN$],"&gt;0")/D230*100,"-")</f>
        <v>-</v>
      </c>
      <c r="I230" s="77" t="str">
        <f>IF(IFERROR((COUNTIFS(Таблица2[2],B230,Таблица2[K],"K")+SUMIFS(Таблица2[R],Таблица2[2],B230,Таблица2[K],"K"))/D230*100,"-")=0,"-",IFERROR((COUNTIFS(Таблица2[2],B230,Таблица2[K],"K")+SUMIFS(Таблица2[R],Таблица2[2],B230,Таблица2[K],"K"))/D230*100,"-"))</f>
        <v>-</v>
      </c>
      <c r="J230" s="77" t="str">
        <f>IF(IFERROR((COUNTIFS(Таблица2[2],B230,Таблица2[T],"t")+SUMIFS(Таблица2[R],Таблица2[2],B230,Таблица2[T],"t"))/D230*100,"-")=0,"-",IFERROR((COUNTIFS(Таблица2[2],B230,Таблица2[T],"t")+SUMIFS(Таблица2[R],Таблица2[2],B230,Таблица2[T],"t"))/D230*100,"-"))</f>
        <v>-</v>
      </c>
      <c r="K230" s="76" t="str">
        <f>IF(SUMIFS(Таблица2[KO$],Таблица2[2],B230)=0,"-",SUMIFS(Таблица2[KO$],Таблица2[2],B230))</f>
        <v>-</v>
      </c>
      <c r="L230" s="76" t="str">
        <f>IF(SUMIFS(Таблица2[WIN$],Таблица2[2],B230)=0,"-",SUMIFS(Таблица2[WIN$],Таблица2[2],B230))</f>
        <v>-</v>
      </c>
      <c r="M230" s="76" t="str">
        <f t="shared" si="16"/>
        <v>-</v>
      </c>
      <c r="N230" s="78" t="str">
        <f>IFERROR(Таблица467[[#This Row],[PROF]]/Таблица467[[#This Row],[Games]],"-")</f>
        <v>-</v>
      </c>
    </row>
    <row r="231" spans="1:14" ht="11.1" customHeight="1" x14ac:dyDescent="0.25">
      <c r="A231" s="93">
        <f t="shared" si="12"/>
        <v>190</v>
      </c>
      <c r="B231" s="50"/>
      <c r="C231"/>
      <c r="D231" s="117" t="str">
        <f>IF(COUNTIFS(Таблица2[2],B231)+SUMIFS(Таблица2[R],Таблица2[2],B231)=0,"",COUNTIFS(Таблица2[2],B231)+SUMIFS(Таблица2[R],Таблица2[2],B231))</f>
        <v/>
      </c>
      <c r="E231" s="76" t="str">
        <f>IF(SUMIFS(Таблица2[B$],Таблица2[2],B231)=0,"-",SUMIFS(Таблица2[B$],Таблица2[2],B231))</f>
        <v>-</v>
      </c>
      <c r="F231" s="77" t="str">
        <f>IFERROR(AVERAGEIFS(Таблица2[AFS],Таблица2[2],B231)+(AVERAGEIFS(Таблица2[AFS],Таблица2[2],B231)*0.2),"-")</f>
        <v>-</v>
      </c>
      <c r="G231" s="77" t="str">
        <f t="shared" si="15"/>
        <v>-</v>
      </c>
      <c r="H231" s="77" t="str">
        <f>IFERROR(COUNTIFS(Таблица2[2],B231,Таблица2[WIN$],"&gt;0")/D231*100,"-")</f>
        <v>-</v>
      </c>
      <c r="I231" s="77" t="str">
        <f>IF(IFERROR((COUNTIFS(Таблица2[2],B231,Таблица2[K],"K")+SUMIFS(Таблица2[R],Таблица2[2],B231,Таблица2[K],"K"))/D231*100,"-")=0,"-",IFERROR((COUNTIFS(Таблица2[2],B231,Таблица2[K],"K")+SUMIFS(Таблица2[R],Таблица2[2],B231,Таблица2[K],"K"))/D231*100,"-"))</f>
        <v>-</v>
      </c>
      <c r="J231" s="77" t="str">
        <f>IF(IFERROR((COUNTIFS(Таблица2[2],B231,Таблица2[T],"t")+SUMIFS(Таблица2[R],Таблица2[2],B231,Таблица2[T],"t"))/D231*100,"-")=0,"-",IFERROR((COUNTIFS(Таблица2[2],B231,Таблица2[T],"t")+SUMIFS(Таблица2[R],Таблица2[2],B231,Таблица2[T],"t"))/D231*100,"-"))</f>
        <v>-</v>
      </c>
      <c r="K231" s="76" t="str">
        <f>IF(SUMIFS(Таблица2[KO$],Таблица2[2],B231)=0,"-",SUMIFS(Таблица2[KO$],Таблица2[2],B231))</f>
        <v>-</v>
      </c>
      <c r="L231" s="76" t="str">
        <f>IF(SUMIFS(Таблица2[WIN$],Таблица2[2],B231)=0,"-",SUMIFS(Таблица2[WIN$],Таблица2[2],B231))</f>
        <v>-</v>
      </c>
      <c r="M231" s="76" t="str">
        <f t="shared" si="16"/>
        <v>-</v>
      </c>
      <c r="N231" s="78" t="str">
        <f>IFERROR(Таблица467[[#This Row],[PROF]]/Таблица467[[#This Row],[Games]],"-")</f>
        <v>-</v>
      </c>
    </row>
    <row r="232" spans="1:14" ht="11.1" customHeight="1" x14ac:dyDescent="0.25">
      <c r="A232" s="93">
        <f t="shared" si="12"/>
        <v>191</v>
      </c>
      <c r="B232" s="50"/>
      <c r="C232"/>
      <c r="D232" s="117" t="str">
        <f>IF(COUNTIFS(Таблица2[2],B232)+SUMIFS(Таблица2[R],Таблица2[2],B232)=0,"",COUNTIFS(Таблица2[2],B232)+SUMIFS(Таблица2[R],Таблица2[2],B232))</f>
        <v/>
      </c>
      <c r="E232" s="76" t="str">
        <f>IF(SUMIFS(Таблица2[B$],Таблица2[2],B232)=0,"-",SUMIFS(Таблица2[B$],Таблица2[2],B232))</f>
        <v>-</v>
      </c>
      <c r="F232" s="77" t="str">
        <f>IFERROR(AVERAGEIFS(Таблица2[AFS],Таблица2[2],B232)+(AVERAGEIFS(Таблица2[AFS],Таблица2[2],B232)*0.2),"-")</f>
        <v>-</v>
      </c>
      <c r="G232" s="77" t="str">
        <f t="shared" si="15"/>
        <v>-</v>
      </c>
      <c r="H232" s="77" t="str">
        <f>IFERROR(COUNTIFS(Таблица2[2],B232,Таблица2[WIN$],"&gt;0")/D232*100,"-")</f>
        <v>-</v>
      </c>
      <c r="I232" s="77" t="str">
        <f>IF(IFERROR((COUNTIFS(Таблица2[2],B232,Таблица2[K],"K")+SUMIFS(Таблица2[R],Таблица2[2],B232,Таблица2[K],"K"))/D232*100,"-")=0,"-",IFERROR((COUNTIFS(Таблица2[2],B232,Таблица2[K],"K")+SUMIFS(Таблица2[R],Таблица2[2],B232,Таблица2[K],"K"))/D232*100,"-"))</f>
        <v>-</v>
      </c>
      <c r="J232" s="77" t="str">
        <f>IF(IFERROR((COUNTIFS(Таблица2[2],B232,Таблица2[T],"t")+SUMIFS(Таблица2[R],Таблица2[2],B232,Таблица2[T],"t"))/D232*100,"-")=0,"-",IFERROR((COUNTIFS(Таблица2[2],B232,Таблица2[T],"t")+SUMIFS(Таблица2[R],Таблица2[2],B232,Таблица2[T],"t"))/D232*100,"-"))</f>
        <v>-</v>
      </c>
      <c r="K232" s="76" t="str">
        <f>IF(SUMIFS(Таблица2[KO$],Таблица2[2],B232)=0,"-",SUMIFS(Таблица2[KO$],Таблица2[2],B232))</f>
        <v>-</v>
      </c>
      <c r="L232" s="76" t="str">
        <f>IF(SUMIFS(Таблица2[WIN$],Таблица2[2],B232)=0,"-",SUMIFS(Таблица2[WIN$],Таблица2[2],B232))</f>
        <v>-</v>
      </c>
      <c r="M232" s="76" t="str">
        <f t="shared" si="16"/>
        <v>-</v>
      </c>
      <c r="N232" s="78" t="str">
        <f>IFERROR(Таблица467[[#This Row],[PROF]]/Таблица467[[#This Row],[Games]],"-")</f>
        <v>-</v>
      </c>
    </row>
    <row r="233" spans="1:14" ht="11.1" customHeight="1" x14ac:dyDescent="0.25">
      <c r="A233" s="93">
        <f t="shared" si="12"/>
        <v>192</v>
      </c>
      <c r="B233" s="50"/>
      <c r="C233"/>
      <c r="D233" s="117" t="str">
        <f>IF(COUNTIFS(Таблица2[2],B233)+SUMIFS(Таблица2[R],Таблица2[2],B233)=0,"",COUNTIFS(Таблица2[2],B233)+SUMIFS(Таблица2[R],Таблица2[2],B233))</f>
        <v/>
      </c>
      <c r="E233" s="76" t="str">
        <f>IF(SUMIFS(Таблица2[B$],Таблица2[2],B233)=0,"-",SUMIFS(Таблица2[B$],Таблица2[2],B233))</f>
        <v>-</v>
      </c>
      <c r="F233" s="77" t="str">
        <f>IFERROR(AVERAGEIFS(Таблица2[AFS],Таблица2[2],B233)+(AVERAGEIFS(Таблица2[AFS],Таблица2[2],B233)*0.2),"-")</f>
        <v>-</v>
      </c>
      <c r="G233" s="77" t="str">
        <f t="shared" si="15"/>
        <v>-</v>
      </c>
      <c r="H233" s="77" t="str">
        <f>IFERROR(COUNTIFS(Таблица2[2],B233,Таблица2[WIN$],"&gt;0")/D233*100,"-")</f>
        <v>-</v>
      </c>
      <c r="I233" s="77" t="str">
        <f>IF(IFERROR((COUNTIFS(Таблица2[2],B233,Таблица2[K],"K")+SUMIFS(Таблица2[R],Таблица2[2],B233,Таблица2[K],"K"))/D233*100,"-")=0,"-",IFERROR((COUNTIFS(Таблица2[2],B233,Таблица2[K],"K")+SUMIFS(Таблица2[R],Таблица2[2],B233,Таблица2[K],"K"))/D233*100,"-"))</f>
        <v>-</v>
      </c>
      <c r="J233" s="77" t="str">
        <f>IF(IFERROR((COUNTIFS(Таблица2[2],B233,Таблица2[T],"t")+SUMIFS(Таблица2[R],Таблица2[2],B233,Таблица2[T],"t"))/D233*100,"-")=0,"-",IFERROR((COUNTIFS(Таблица2[2],B233,Таблица2[T],"t")+SUMIFS(Таблица2[R],Таблица2[2],B233,Таблица2[T],"t"))/D233*100,"-"))</f>
        <v>-</v>
      </c>
      <c r="K233" s="76" t="str">
        <f>IF(SUMIFS(Таблица2[KO$],Таблица2[2],B233)=0,"-",SUMIFS(Таблица2[KO$],Таблица2[2],B233))</f>
        <v>-</v>
      </c>
      <c r="L233" s="76" t="str">
        <f>IF(SUMIFS(Таблица2[WIN$],Таблица2[2],B233)=0,"-",SUMIFS(Таблица2[WIN$],Таблица2[2],B233))</f>
        <v>-</v>
      </c>
      <c r="M233" s="76" t="str">
        <f t="shared" si="16"/>
        <v>-</v>
      </c>
      <c r="N233" s="78" t="str">
        <f>IFERROR(Таблица467[[#This Row],[PROF]]/Таблица467[[#This Row],[Games]],"-")</f>
        <v>-</v>
      </c>
    </row>
    <row r="234" spans="1:14" ht="11.1" customHeight="1" x14ac:dyDescent="0.25">
      <c r="A234" s="93">
        <f t="shared" si="12"/>
        <v>193</v>
      </c>
      <c r="B234" s="50"/>
      <c r="C234"/>
      <c r="D234" s="117" t="str">
        <f>IF(COUNTIFS(Таблица2[2],B234)+SUMIFS(Таблица2[R],Таблица2[2],B234)=0,"",COUNTIFS(Таблица2[2],B234)+SUMIFS(Таблица2[R],Таблица2[2],B234))</f>
        <v/>
      </c>
      <c r="E234" s="76" t="str">
        <f>IF(SUMIFS(Таблица2[B$],Таблица2[2],B234)=0,"-",SUMIFS(Таблица2[B$],Таблица2[2],B234))</f>
        <v>-</v>
      </c>
      <c r="F234" s="77" t="str">
        <f>IFERROR(AVERAGEIFS(Таблица2[AFS],Таблица2[2],B234)+(AVERAGEIFS(Таблица2[AFS],Таблица2[2],B234)*0.2),"-")</f>
        <v>-</v>
      </c>
      <c r="G234" s="77" t="str">
        <f t="shared" si="15"/>
        <v>-</v>
      </c>
      <c r="H234" s="77" t="str">
        <f>IFERROR(COUNTIFS(Таблица2[2],B234,Таблица2[WIN$],"&gt;0")/D234*100,"-")</f>
        <v>-</v>
      </c>
      <c r="I234" s="77" t="str">
        <f>IF(IFERROR((COUNTIFS(Таблица2[2],B234,Таблица2[K],"K")+SUMIFS(Таблица2[R],Таблица2[2],B234,Таблица2[K],"K"))/D234*100,"-")=0,"-",IFERROR((COUNTIFS(Таблица2[2],B234,Таблица2[K],"K")+SUMIFS(Таблица2[R],Таблица2[2],B234,Таблица2[K],"K"))/D234*100,"-"))</f>
        <v>-</v>
      </c>
      <c r="J234" s="77" t="str">
        <f>IF(IFERROR((COUNTIFS(Таблица2[2],B234,Таблица2[T],"t")+SUMIFS(Таблица2[R],Таблица2[2],B234,Таблица2[T],"t"))/D234*100,"-")=0,"-",IFERROR((COUNTIFS(Таблица2[2],B234,Таблица2[T],"t")+SUMIFS(Таблица2[R],Таблица2[2],B234,Таблица2[T],"t"))/D234*100,"-"))</f>
        <v>-</v>
      </c>
      <c r="K234" s="76" t="str">
        <f>IF(SUMIFS(Таблица2[KO$],Таблица2[2],B234)=0,"-",SUMIFS(Таблица2[KO$],Таблица2[2],B234))</f>
        <v>-</v>
      </c>
      <c r="L234" s="76" t="str">
        <f>IF(SUMIFS(Таблица2[WIN$],Таблица2[2],B234)=0,"-",SUMIFS(Таблица2[WIN$],Таблица2[2],B234))</f>
        <v>-</v>
      </c>
      <c r="M234" s="76" t="str">
        <f t="shared" si="16"/>
        <v>-</v>
      </c>
      <c r="N234" s="78" t="str">
        <f>IFERROR(Таблица467[[#This Row],[PROF]]/Таблица467[[#This Row],[Games]],"-")</f>
        <v>-</v>
      </c>
    </row>
    <row r="235" spans="1:14" ht="11.1" customHeight="1" x14ac:dyDescent="0.25">
      <c r="A235" s="93">
        <f t="shared" ref="A235:A247" si="17">A234+1</f>
        <v>194</v>
      </c>
      <c r="B235" s="50"/>
      <c r="C235"/>
      <c r="D235" s="117" t="str">
        <f>IF(COUNTIFS(Таблица2[2],B235)+SUMIFS(Таблица2[R],Таблица2[2],B235)=0,"",COUNTIFS(Таблица2[2],B235)+SUMIFS(Таблица2[R],Таблица2[2],B235))</f>
        <v/>
      </c>
      <c r="E235" s="76" t="str">
        <f>IF(SUMIFS(Таблица2[B$],Таблица2[2],B235)=0,"-",SUMIFS(Таблица2[B$],Таблица2[2],B235))</f>
        <v>-</v>
      </c>
      <c r="F235" s="77" t="str">
        <f>IFERROR(AVERAGEIFS(Таблица2[AFS],Таблица2[2],B235)+(AVERAGEIFS(Таблица2[AFS],Таблица2[2],B235)*0.2),"-")</f>
        <v>-</v>
      </c>
      <c r="G235" s="77" t="str">
        <f t="shared" si="15"/>
        <v>-</v>
      </c>
      <c r="H235" s="77" t="str">
        <f>IFERROR(COUNTIFS(Таблица2[2],B235,Таблица2[WIN$],"&gt;0")/D235*100,"-")</f>
        <v>-</v>
      </c>
      <c r="I235" s="77" t="str">
        <f>IF(IFERROR((COUNTIFS(Таблица2[2],B235,Таблица2[K],"K")+SUMIFS(Таблица2[R],Таблица2[2],B235,Таблица2[K],"K"))/D235*100,"-")=0,"-",IFERROR((COUNTIFS(Таблица2[2],B235,Таблица2[K],"K")+SUMIFS(Таблица2[R],Таблица2[2],B235,Таблица2[K],"K"))/D235*100,"-"))</f>
        <v>-</v>
      </c>
      <c r="J235" s="77" t="str">
        <f>IF(IFERROR((COUNTIFS(Таблица2[2],B235,Таблица2[T],"t")+SUMIFS(Таблица2[R],Таблица2[2],B235,Таблица2[T],"t"))/D235*100,"-")=0,"-",IFERROR((COUNTIFS(Таблица2[2],B235,Таблица2[T],"t")+SUMIFS(Таблица2[R],Таблица2[2],B235,Таблица2[T],"t"))/D235*100,"-"))</f>
        <v>-</v>
      </c>
      <c r="K235" s="76" t="str">
        <f>IF(SUMIFS(Таблица2[KO$],Таблица2[2],B235)=0,"-",SUMIFS(Таблица2[KO$],Таблица2[2],B235))</f>
        <v>-</v>
      </c>
      <c r="L235" s="76" t="str">
        <f>IF(SUMIFS(Таблица2[WIN$],Таблица2[2],B235)=0,"-",SUMIFS(Таблица2[WIN$],Таблица2[2],B235))</f>
        <v>-</v>
      </c>
      <c r="M235" s="76" t="str">
        <f t="shared" si="16"/>
        <v>-</v>
      </c>
      <c r="N235" s="78" t="str">
        <f>IFERROR(Таблица467[[#This Row],[PROF]]/Таблица467[[#This Row],[Games]],"-")</f>
        <v>-</v>
      </c>
    </row>
    <row r="236" spans="1:14" ht="11.1" customHeight="1" x14ac:dyDescent="0.25">
      <c r="A236" s="93">
        <f t="shared" si="17"/>
        <v>195</v>
      </c>
      <c r="B236" s="50"/>
      <c r="C236"/>
      <c r="D236" s="117" t="str">
        <f>IF(COUNTIFS(Таблица2[2],B236)+SUMIFS(Таблица2[R],Таблица2[2],B236)=0,"",COUNTIFS(Таблица2[2],B236)+SUMIFS(Таблица2[R],Таблица2[2],B236))</f>
        <v/>
      </c>
      <c r="E236" s="76" t="str">
        <f>IF(SUMIFS(Таблица2[B$],Таблица2[2],B236)=0,"-",SUMIFS(Таблица2[B$],Таблица2[2],B236))</f>
        <v>-</v>
      </c>
      <c r="F236" s="77" t="str">
        <f>IFERROR(AVERAGEIFS(Таблица2[AFS],Таблица2[2],B236)+(AVERAGEIFS(Таблица2[AFS],Таблица2[2],B236)*0.2),"-")</f>
        <v>-</v>
      </c>
      <c r="G236" s="77" t="str">
        <f t="shared" si="15"/>
        <v>-</v>
      </c>
      <c r="H236" s="77" t="str">
        <f>IFERROR(COUNTIFS(Таблица2[2],B236,Таблица2[WIN$],"&gt;0")/D236*100,"-")</f>
        <v>-</v>
      </c>
      <c r="I236" s="77" t="str">
        <f>IF(IFERROR((COUNTIFS(Таблица2[2],B236,Таблица2[K],"K")+SUMIFS(Таблица2[R],Таблица2[2],B236,Таблица2[K],"K"))/D236*100,"-")=0,"-",IFERROR((COUNTIFS(Таблица2[2],B236,Таблица2[K],"K")+SUMIFS(Таблица2[R],Таблица2[2],B236,Таблица2[K],"K"))/D236*100,"-"))</f>
        <v>-</v>
      </c>
      <c r="J236" s="77" t="str">
        <f>IF(IFERROR((COUNTIFS(Таблица2[2],B236,Таблица2[T],"t")+SUMIFS(Таблица2[R],Таблица2[2],B236,Таблица2[T],"t"))/D236*100,"-")=0,"-",IFERROR((COUNTIFS(Таблица2[2],B236,Таблица2[T],"t")+SUMIFS(Таблица2[R],Таблица2[2],B236,Таблица2[T],"t"))/D236*100,"-"))</f>
        <v>-</v>
      </c>
      <c r="K236" s="76" t="str">
        <f>IF(SUMIFS(Таблица2[KO$],Таблица2[2],B236)=0,"-",SUMIFS(Таблица2[KO$],Таблица2[2],B236))</f>
        <v>-</v>
      </c>
      <c r="L236" s="76" t="str">
        <f>IF(SUMIFS(Таблица2[WIN$],Таблица2[2],B236)=0,"-",SUMIFS(Таблица2[WIN$],Таблица2[2],B236))</f>
        <v>-</v>
      </c>
      <c r="M236" s="76" t="str">
        <f t="shared" si="16"/>
        <v>-</v>
      </c>
      <c r="N236" s="78" t="str">
        <f>IFERROR(Таблица467[[#This Row],[PROF]]/Таблица467[[#This Row],[Games]],"-")</f>
        <v>-</v>
      </c>
    </row>
    <row r="237" spans="1:14" ht="11.1" customHeight="1" x14ac:dyDescent="0.25">
      <c r="A237" s="93">
        <f t="shared" si="17"/>
        <v>196</v>
      </c>
      <c r="B237" s="50"/>
      <c r="C237"/>
      <c r="D237" s="117" t="str">
        <f>IF(COUNTIFS(Таблица2[2],B237)+SUMIFS(Таблица2[R],Таблица2[2],B237)=0,"",COUNTIFS(Таблица2[2],B237)+SUMIFS(Таблица2[R],Таблица2[2],B237))</f>
        <v/>
      </c>
      <c r="E237" s="76" t="str">
        <f>IF(SUMIFS(Таблица2[B$],Таблица2[2],B237)=0,"-",SUMIFS(Таблица2[B$],Таблица2[2],B237))</f>
        <v>-</v>
      </c>
      <c r="F237" s="77" t="str">
        <f>IFERROR(AVERAGEIFS(Таблица2[AFS],Таблица2[2],B237)+(AVERAGEIFS(Таблица2[AFS],Таблица2[2],B237)*0.2),"-")</f>
        <v>-</v>
      </c>
      <c r="G237" s="77" t="str">
        <f t="shared" si="15"/>
        <v>-</v>
      </c>
      <c r="H237" s="77" t="str">
        <f>IFERROR(COUNTIFS(Таблица2[2],B237,Таблица2[WIN$],"&gt;0")/D237*100,"-")</f>
        <v>-</v>
      </c>
      <c r="I237" s="77" t="str">
        <f>IF(IFERROR((COUNTIFS(Таблица2[2],B237,Таблица2[K],"K")+SUMIFS(Таблица2[R],Таблица2[2],B237,Таблица2[K],"K"))/D237*100,"-")=0,"-",IFERROR((COUNTIFS(Таблица2[2],B237,Таблица2[K],"K")+SUMIFS(Таблица2[R],Таблица2[2],B237,Таблица2[K],"K"))/D237*100,"-"))</f>
        <v>-</v>
      </c>
      <c r="J237" s="77" t="str">
        <f>IF(IFERROR((COUNTIFS(Таблица2[2],B237,Таблица2[T],"t")+SUMIFS(Таблица2[R],Таблица2[2],B237,Таблица2[T],"t"))/D237*100,"-")=0,"-",IFERROR((COUNTIFS(Таблица2[2],B237,Таблица2[T],"t")+SUMIFS(Таблица2[R],Таблица2[2],B237,Таблица2[T],"t"))/D237*100,"-"))</f>
        <v>-</v>
      </c>
      <c r="K237" s="76" t="str">
        <f>IF(SUMIFS(Таблица2[KO$],Таблица2[2],B237)=0,"-",SUMIFS(Таблица2[KO$],Таблица2[2],B237))</f>
        <v>-</v>
      </c>
      <c r="L237" s="76" t="str">
        <f>IF(SUMIFS(Таблица2[WIN$],Таблица2[2],B237)=0,"-",SUMIFS(Таблица2[WIN$],Таблица2[2],B237))</f>
        <v>-</v>
      </c>
      <c r="M237" s="76" t="str">
        <f t="shared" si="16"/>
        <v>-</v>
      </c>
      <c r="N237" s="78" t="str">
        <f>IFERROR(Таблица467[[#This Row],[PROF]]/Таблица467[[#This Row],[Games]],"-")</f>
        <v>-</v>
      </c>
    </row>
    <row r="238" spans="1:14" ht="11.1" customHeight="1" x14ac:dyDescent="0.25">
      <c r="A238" s="93">
        <f t="shared" si="17"/>
        <v>197</v>
      </c>
      <c r="B238" s="50"/>
      <c r="C238"/>
      <c r="D238" s="117" t="str">
        <f>IF(COUNTIFS(Таблица2[2],B238)+SUMIFS(Таблица2[R],Таблица2[2],B238)=0,"",COUNTIFS(Таблица2[2],B238)+SUMIFS(Таблица2[R],Таблица2[2],B238))</f>
        <v/>
      </c>
      <c r="E238" s="76" t="str">
        <f>IF(SUMIFS(Таблица2[B$],Таблица2[2],B238)=0,"-",SUMIFS(Таблица2[B$],Таблица2[2],B238))</f>
        <v>-</v>
      </c>
      <c r="F238" s="77" t="str">
        <f>IFERROR(AVERAGEIFS(Таблица2[AFS],Таблица2[2],B238)+(AVERAGEIFS(Таблица2[AFS],Таблица2[2],B238)*0.2),"-")</f>
        <v>-</v>
      </c>
      <c r="G238" s="77" t="str">
        <f t="shared" si="15"/>
        <v>-</v>
      </c>
      <c r="H238" s="77" t="str">
        <f>IFERROR(COUNTIFS(Таблица2[2],B238,Таблица2[WIN$],"&gt;0")/D238*100,"-")</f>
        <v>-</v>
      </c>
      <c r="I238" s="77" t="str">
        <f>IF(IFERROR((COUNTIFS(Таблица2[2],B238,Таблица2[K],"K")+SUMIFS(Таблица2[R],Таблица2[2],B238,Таблица2[K],"K"))/D238*100,"-")=0,"-",IFERROR((COUNTIFS(Таблица2[2],B238,Таблица2[K],"K")+SUMIFS(Таблица2[R],Таблица2[2],B238,Таблица2[K],"K"))/D238*100,"-"))</f>
        <v>-</v>
      </c>
      <c r="J238" s="77" t="str">
        <f>IF(IFERROR((COUNTIFS(Таблица2[2],B238,Таблица2[T],"t")+SUMIFS(Таблица2[R],Таблица2[2],B238,Таблица2[T],"t"))/D238*100,"-")=0,"-",IFERROR((COUNTIFS(Таблица2[2],B238,Таблица2[T],"t")+SUMIFS(Таблица2[R],Таблица2[2],B238,Таблица2[T],"t"))/D238*100,"-"))</f>
        <v>-</v>
      </c>
      <c r="K238" s="76" t="str">
        <f>IF(SUMIFS(Таблица2[KO$],Таблица2[2],B238)=0,"-",SUMIFS(Таблица2[KO$],Таблица2[2],B238))</f>
        <v>-</v>
      </c>
      <c r="L238" s="76" t="str">
        <f>IF(SUMIFS(Таблица2[WIN$],Таблица2[2],B238)=0,"-",SUMIFS(Таблица2[WIN$],Таблица2[2],B238))</f>
        <v>-</v>
      </c>
      <c r="M238" s="76" t="str">
        <f t="shared" si="16"/>
        <v>-</v>
      </c>
      <c r="N238" s="78" t="str">
        <f>IFERROR(Таблица467[[#This Row],[PROF]]/Таблица467[[#This Row],[Games]],"-")</f>
        <v>-</v>
      </c>
    </row>
    <row r="239" spans="1:14" ht="11.1" customHeight="1" x14ac:dyDescent="0.25">
      <c r="A239" s="93">
        <f t="shared" si="17"/>
        <v>198</v>
      </c>
      <c r="B239" s="50"/>
      <c r="C239"/>
      <c r="D239" s="117" t="str">
        <f>IF(COUNTIFS(Таблица2[2],B239)+SUMIFS(Таблица2[R],Таблица2[2],B239)=0,"",COUNTIFS(Таблица2[2],B239)+SUMIFS(Таблица2[R],Таблица2[2],B239))</f>
        <v/>
      </c>
      <c r="E239" s="76" t="str">
        <f>IF(SUMIFS(Таблица2[B$],Таблица2[2],B239)=0,"-",SUMIFS(Таблица2[B$],Таблица2[2],B239))</f>
        <v>-</v>
      </c>
      <c r="F239" s="77" t="str">
        <f>IFERROR(AVERAGEIFS(Таблица2[AFS],Таблица2[2],B239)+(AVERAGEIFS(Таблица2[AFS],Таблица2[2],B239)*0.2),"-")</f>
        <v>-</v>
      </c>
      <c r="G239" s="77" t="str">
        <f t="shared" si="15"/>
        <v>-</v>
      </c>
      <c r="H239" s="77" t="str">
        <f>IFERROR(COUNTIFS(Таблица2[2],B239,Таблица2[WIN$],"&gt;0")/D239*100,"-")</f>
        <v>-</v>
      </c>
      <c r="I239" s="77" t="str">
        <f>IF(IFERROR((COUNTIFS(Таблица2[2],B239,Таблица2[K],"K")+SUMIFS(Таблица2[R],Таблица2[2],B239,Таблица2[K],"K"))/D239*100,"-")=0,"-",IFERROR((COUNTIFS(Таблица2[2],B239,Таблица2[K],"K")+SUMIFS(Таблица2[R],Таблица2[2],B239,Таблица2[K],"K"))/D239*100,"-"))</f>
        <v>-</v>
      </c>
      <c r="J239" s="77" t="str">
        <f>IF(IFERROR((COUNTIFS(Таблица2[2],B239,Таблица2[T],"t")+SUMIFS(Таблица2[R],Таблица2[2],B239,Таблица2[T],"t"))/D239*100,"-")=0,"-",IFERROR((COUNTIFS(Таблица2[2],B239,Таблица2[T],"t")+SUMIFS(Таблица2[R],Таблица2[2],B239,Таблица2[T],"t"))/D239*100,"-"))</f>
        <v>-</v>
      </c>
      <c r="K239" s="76" t="str">
        <f>IF(SUMIFS(Таблица2[KO$],Таблица2[2],B239)=0,"-",SUMIFS(Таблица2[KO$],Таблица2[2],B239))</f>
        <v>-</v>
      </c>
      <c r="L239" s="76" t="str">
        <f>IF(SUMIFS(Таблица2[WIN$],Таблица2[2],B239)=0,"-",SUMIFS(Таблица2[WIN$],Таблица2[2],B239))</f>
        <v>-</v>
      </c>
      <c r="M239" s="76" t="str">
        <f t="shared" si="16"/>
        <v>-</v>
      </c>
      <c r="N239" s="78" t="str">
        <f>IFERROR(Таблица467[[#This Row],[PROF]]/Таблица467[[#This Row],[Games]],"-")</f>
        <v>-</v>
      </c>
    </row>
    <row r="240" spans="1:14" ht="11.1" customHeight="1" x14ac:dyDescent="0.25">
      <c r="A240" s="93">
        <f t="shared" si="17"/>
        <v>199</v>
      </c>
      <c r="B240" s="50"/>
      <c r="C240"/>
      <c r="D240" s="117" t="str">
        <f>IF(COUNTIFS(Таблица2[2],B240)+SUMIFS(Таблица2[R],Таблица2[2],B240)=0,"",COUNTIFS(Таблица2[2],B240)+SUMIFS(Таблица2[R],Таблица2[2],B240))</f>
        <v/>
      </c>
      <c r="E240" s="76" t="str">
        <f>IF(SUMIFS(Таблица2[B$],Таблица2[2],B240)=0,"-",SUMIFS(Таблица2[B$],Таблица2[2],B240))</f>
        <v>-</v>
      </c>
      <c r="F240" s="77" t="str">
        <f>IFERROR(AVERAGEIFS(Таблица2[AFS],Таблица2[2],B240)+(AVERAGEIFS(Таблица2[AFS],Таблица2[2],B240)*0.2),"-")</f>
        <v>-</v>
      </c>
      <c r="G240" s="77" t="str">
        <f t="shared" si="15"/>
        <v>-</v>
      </c>
      <c r="H240" s="77" t="str">
        <f>IFERROR(COUNTIFS(Таблица2[2],B240,Таблица2[WIN$],"&gt;0")/D240*100,"-")</f>
        <v>-</v>
      </c>
      <c r="I240" s="77" t="str">
        <f>IF(IFERROR((COUNTIFS(Таблица2[2],B240,Таблица2[K],"K")+SUMIFS(Таблица2[R],Таблица2[2],B240,Таблица2[K],"K"))/D240*100,"-")=0,"-",IFERROR((COUNTIFS(Таблица2[2],B240,Таблица2[K],"K")+SUMIFS(Таблица2[R],Таблица2[2],B240,Таблица2[K],"K"))/D240*100,"-"))</f>
        <v>-</v>
      </c>
      <c r="J240" s="77" t="str">
        <f>IF(IFERROR((COUNTIFS(Таблица2[2],B240,Таблица2[T],"t")+SUMIFS(Таблица2[R],Таблица2[2],B240,Таблица2[T],"t"))/D240*100,"-")=0,"-",IFERROR((COUNTIFS(Таблица2[2],B240,Таблица2[T],"t")+SUMIFS(Таблица2[R],Таблица2[2],B240,Таблица2[T],"t"))/D240*100,"-"))</f>
        <v>-</v>
      </c>
      <c r="K240" s="76" t="str">
        <f>IF(SUMIFS(Таблица2[KO$],Таблица2[2],B240)=0,"-",SUMIFS(Таблица2[KO$],Таблица2[2],B240))</f>
        <v>-</v>
      </c>
      <c r="L240" s="76" t="str">
        <f>IF(SUMIFS(Таблица2[WIN$],Таблица2[2],B240)=0,"-",SUMIFS(Таблица2[WIN$],Таблица2[2],B240))</f>
        <v>-</v>
      </c>
      <c r="M240" s="76" t="str">
        <f t="shared" si="16"/>
        <v>-</v>
      </c>
      <c r="N240" s="78" t="str">
        <f>IFERROR(Таблица467[[#This Row],[PROF]]/Таблица467[[#This Row],[Games]],"-")</f>
        <v>-</v>
      </c>
    </row>
    <row r="241" spans="1:14" ht="11.1" customHeight="1" x14ac:dyDescent="0.25">
      <c r="A241" s="93">
        <f t="shared" si="17"/>
        <v>200</v>
      </c>
      <c r="B241" s="50"/>
      <c r="C241"/>
      <c r="D241" s="117" t="str">
        <f>IF(COUNTIFS(Таблица2[2],B241)+SUMIFS(Таблица2[R],Таблица2[2],B241)=0,"",COUNTIFS(Таблица2[2],B241)+SUMIFS(Таблица2[R],Таблица2[2],B241))</f>
        <v/>
      </c>
      <c r="E241" s="76" t="str">
        <f>IF(SUMIFS(Таблица2[B$],Таблица2[2],B241)=0,"-",SUMIFS(Таблица2[B$],Таблица2[2],B241))</f>
        <v>-</v>
      </c>
      <c r="F241" s="77" t="str">
        <f>IFERROR(AVERAGEIFS(Таблица2[AFS],Таблица2[2],B241)+(AVERAGEIFS(Таблица2[AFS],Таблица2[2],B241)*0.2),"-")</f>
        <v>-</v>
      </c>
      <c r="G241" s="77" t="str">
        <f t="shared" si="15"/>
        <v>-</v>
      </c>
      <c r="H241" s="77" t="str">
        <f>IFERROR(COUNTIFS(Таблица2[2],B241,Таблица2[WIN$],"&gt;0")/D241*100,"-")</f>
        <v>-</v>
      </c>
      <c r="I241" s="77" t="str">
        <f>IF(IFERROR((COUNTIFS(Таблица2[2],B241,Таблица2[K],"K")+SUMIFS(Таблица2[R],Таблица2[2],B241,Таблица2[K],"K"))/D241*100,"-")=0,"-",IFERROR((COUNTIFS(Таблица2[2],B241,Таблица2[K],"K")+SUMIFS(Таблица2[R],Таблица2[2],B241,Таблица2[K],"K"))/D241*100,"-"))</f>
        <v>-</v>
      </c>
      <c r="J241" s="77" t="str">
        <f>IF(IFERROR((COUNTIFS(Таблица2[2],B241,Таблица2[T],"t")+SUMIFS(Таблица2[R],Таблица2[2],B241,Таблица2[T],"t"))/D241*100,"-")=0,"-",IFERROR((COUNTIFS(Таблица2[2],B241,Таблица2[T],"t")+SUMIFS(Таблица2[R],Таблица2[2],B241,Таблица2[T],"t"))/D241*100,"-"))</f>
        <v>-</v>
      </c>
      <c r="K241" s="76" t="str">
        <f>IF(SUMIFS(Таблица2[KO$],Таблица2[2],B241)=0,"-",SUMIFS(Таблица2[KO$],Таблица2[2],B241))</f>
        <v>-</v>
      </c>
      <c r="L241" s="76" t="str">
        <f>IF(SUMIFS(Таблица2[WIN$],Таблица2[2],B241)=0,"-",SUMIFS(Таблица2[WIN$],Таблица2[2],B241))</f>
        <v>-</v>
      </c>
      <c r="M241" s="76" t="str">
        <f t="shared" si="16"/>
        <v>-</v>
      </c>
      <c r="N241" s="78" t="str">
        <f>IFERROR(Таблица467[[#This Row],[PROF]]/Таблица467[[#This Row],[Games]],"-")</f>
        <v>-</v>
      </c>
    </row>
    <row r="242" spans="1:14" ht="11.1" customHeight="1" x14ac:dyDescent="0.25">
      <c r="A242" s="93">
        <f t="shared" si="17"/>
        <v>201</v>
      </c>
      <c r="B242" s="50"/>
      <c r="C242"/>
      <c r="D242" s="117" t="str">
        <f>IF(COUNTIFS(Таблица2[2],B242)+SUMIFS(Таблица2[R],Таблица2[2],B242)=0,"",COUNTIFS(Таблица2[2],B242)+SUMIFS(Таблица2[R],Таблица2[2],B242))</f>
        <v/>
      </c>
      <c r="E242" s="76" t="str">
        <f>IF(SUMIFS(Таблица2[B$],Таблица2[2],B242)=0,"-",SUMIFS(Таблица2[B$],Таблица2[2],B242))</f>
        <v>-</v>
      </c>
      <c r="F242" s="77" t="str">
        <f>IFERROR(AVERAGEIFS(Таблица2[AFS],Таблица2[2],B242)+(AVERAGEIFS(Таблица2[AFS],Таблица2[2],B242)*0.2),"-")</f>
        <v>-</v>
      </c>
      <c r="G242" s="77" t="str">
        <f t="shared" ref="G242:G255" si="18">IFERROR(M242/E242*100,"-")</f>
        <v>-</v>
      </c>
      <c r="H242" s="77" t="str">
        <f>IFERROR(COUNTIFS(Таблица2[2],B242,Таблица2[WIN$],"&gt;0")/D242*100,"-")</f>
        <v>-</v>
      </c>
      <c r="I242" s="77" t="str">
        <f>IF(IFERROR((COUNTIFS(Таблица2[2],B242,Таблица2[K],"K")+SUMIFS(Таблица2[R],Таблица2[2],B242,Таблица2[K],"K"))/D242*100,"-")=0,"-",IFERROR((COUNTIFS(Таблица2[2],B242,Таблица2[K],"K")+SUMIFS(Таблица2[R],Таблица2[2],B242,Таблица2[K],"K"))/D242*100,"-"))</f>
        <v>-</v>
      </c>
      <c r="J242" s="77" t="str">
        <f>IF(IFERROR((COUNTIFS(Таблица2[2],B242,Таблица2[T],"t")+SUMIFS(Таблица2[R],Таблица2[2],B242,Таблица2[T],"t"))/D242*100,"-")=0,"-",IFERROR((COUNTIFS(Таблица2[2],B242,Таблица2[T],"t")+SUMIFS(Таблица2[R],Таблица2[2],B242,Таблица2[T],"t"))/D242*100,"-"))</f>
        <v>-</v>
      </c>
      <c r="K242" s="76" t="str">
        <f>IF(SUMIFS(Таблица2[KO$],Таблица2[2],B242)=0,"-",SUMIFS(Таблица2[KO$],Таблица2[2],B242))</f>
        <v>-</v>
      </c>
      <c r="L242" s="76" t="str">
        <f>IF(SUMIFS(Таблица2[WIN$],Таблица2[2],B242)=0,"-",SUMIFS(Таблица2[WIN$],Таблица2[2],B242))</f>
        <v>-</v>
      </c>
      <c r="M242" s="76" t="str">
        <f t="shared" ref="M242:M255" si="19">IFERROR(IF(L242="-",0,L242)+IF(K242="-",0,K242)-E242,"-")</f>
        <v>-</v>
      </c>
      <c r="N242" s="78" t="str">
        <f>IFERROR(Таблица467[[#This Row],[PROF]]/Таблица467[[#This Row],[Games]],"-")</f>
        <v>-</v>
      </c>
    </row>
    <row r="243" spans="1:14" ht="11.1" customHeight="1" x14ac:dyDescent="0.25">
      <c r="A243" s="93">
        <f t="shared" si="17"/>
        <v>202</v>
      </c>
      <c r="B243" s="50"/>
      <c r="C243"/>
      <c r="D243" s="117" t="str">
        <f>IF(COUNTIFS(Таблица2[2],B243)+SUMIFS(Таблица2[R],Таблица2[2],B243)=0,"",COUNTIFS(Таблица2[2],B243)+SUMIFS(Таблица2[R],Таблица2[2],B243))</f>
        <v/>
      </c>
      <c r="E243" s="76" t="str">
        <f>IF(SUMIFS(Таблица2[B$],Таблица2[2],B243)=0,"-",SUMIFS(Таблица2[B$],Таблица2[2],B243))</f>
        <v>-</v>
      </c>
      <c r="F243" s="77" t="str">
        <f>IFERROR(AVERAGEIFS(Таблица2[AFS],Таблица2[2],B243)+(AVERAGEIFS(Таблица2[AFS],Таблица2[2],B243)*0.2),"-")</f>
        <v>-</v>
      </c>
      <c r="G243" s="77" t="str">
        <f t="shared" si="18"/>
        <v>-</v>
      </c>
      <c r="H243" s="77" t="str">
        <f>IFERROR(COUNTIFS(Таблица2[2],B243,Таблица2[WIN$],"&gt;0")/D243*100,"-")</f>
        <v>-</v>
      </c>
      <c r="I243" s="77" t="str">
        <f>IF(IFERROR((COUNTIFS(Таблица2[2],B243,Таблица2[K],"K")+SUMIFS(Таблица2[R],Таблица2[2],B243,Таблица2[K],"K"))/D243*100,"-")=0,"-",IFERROR((COUNTIFS(Таблица2[2],B243,Таблица2[K],"K")+SUMIFS(Таблица2[R],Таблица2[2],B243,Таблица2[K],"K"))/D243*100,"-"))</f>
        <v>-</v>
      </c>
      <c r="J243" s="77" t="str">
        <f>IF(IFERROR((COUNTIFS(Таблица2[2],B243,Таблица2[T],"t")+SUMIFS(Таблица2[R],Таблица2[2],B243,Таблица2[T],"t"))/D243*100,"-")=0,"-",IFERROR((COUNTIFS(Таблица2[2],B243,Таблица2[T],"t")+SUMIFS(Таблица2[R],Таблица2[2],B243,Таблица2[T],"t"))/D243*100,"-"))</f>
        <v>-</v>
      </c>
      <c r="K243" s="76" t="str">
        <f>IF(SUMIFS(Таблица2[KO$],Таблица2[2],B243)=0,"-",SUMIFS(Таблица2[KO$],Таблица2[2],B243))</f>
        <v>-</v>
      </c>
      <c r="L243" s="76" t="str">
        <f>IF(SUMIFS(Таблица2[WIN$],Таблица2[2],B243)=0,"-",SUMIFS(Таблица2[WIN$],Таблица2[2],B243))</f>
        <v>-</v>
      </c>
      <c r="M243" s="76" t="str">
        <f t="shared" si="19"/>
        <v>-</v>
      </c>
      <c r="N243" s="78" t="str">
        <f>IFERROR(Таблица467[[#This Row],[PROF]]/Таблица467[[#This Row],[Games]],"-")</f>
        <v>-</v>
      </c>
    </row>
    <row r="244" spans="1:14" ht="11.1" customHeight="1" x14ac:dyDescent="0.25">
      <c r="A244" s="93">
        <f t="shared" si="17"/>
        <v>203</v>
      </c>
      <c r="B244" s="50"/>
      <c r="C244"/>
      <c r="D244" s="117" t="str">
        <f>IF(COUNTIFS(Таблица2[2],B244)+SUMIFS(Таблица2[R],Таблица2[2],B244)=0,"",COUNTIFS(Таблица2[2],B244)+SUMIFS(Таблица2[R],Таблица2[2],B244))</f>
        <v/>
      </c>
      <c r="E244" s="76" t="str">
        <f>IF(SUMIFS(Таблица2[B$],Таблица2[2],B244)=0,"-",SUMIFS(Таблица2[B$],Таблица2[2],B244))</f>
        <v>-</v>
      </c>
      <c r="F244" s="77" t="str">
        <f>IFERROR(AVERAGEIFS(Таблица2[AFS],Таблица2[2],B244)+(AVERAGEIFS(Таблица2[AFS],Таблица2[2],B244)*0.2),"-")</f>
        <v>-</v>
      </c>
      <c r="G244" s="77" t="str">
        <f t="shared" si="18"/>
        <v>-</v>
      </c>
      <c r="H244" s="77" t="str">
        <f>IFERROR(COUNTIFS(Таблица2[2],B244,Таблица2[WIN$],"&gt;0")/D244*100,"-")</f>
        <v>-</v>
      </c>
      <c r="I244" s="77" t="str">
        <f>IF(IFERROR((COUNTIFS(Таблица2[2],B244,Таблица2[K],"K")+SUMIFS(Таблица2[R],Таблица2[2],B244,Таблица2[K],"K"))/D244*100,"-")=0,"-",IFERROR((COUNTIFS(Таблица2[2],B244,Таблица2[K],"K")+SUMIFS(Таблица2[R],Таблица2[2],B244,Таблица2[K],"K"))/D244*100,"-"))</f>
        <v>-</v>
      </c>
      <c r="J244" s="77" t="str">
        <f>IF(IFERROR((COUNTIFS(Таблица2[2],B244,Таблица2[T],"t")+SUMIFS(Таблица2[R],Таблица2[2],B244,Таблица2[T],"t"))/D244*100,"-")=0,"-",IFERROR((COUNTIFS(Таблица2[2],B244,Таблица2[T],"t")+SUMIFS(Таблица2[R],Таблица2[2],B244,Таблица2[T],"t"))/D244*100,"-"))</f>
        <v>-</v>
      </c>
      <c r="K244" s="76" t="str">
        <f>IF(SUMIFS(Таблица2[KO$],Таблица2[2],B244)=0,"-",SUMIFS(Таблица2[KO$],Таблица2[2],B244))</f>
        <v>-</v>
      </c>
      <c r="L244" s="76" t="str">
        <f>IF(SUMIFS(Таблица2[WIN$],Таблица2[2],B244)=0,"-",SUMIFS(Таблица2[WIN$],Таблица2[2],B244))</f>
        <v>-</v>
      </c>
      <c r="M244" s="76" t="str">
        <f t="shared" si="19"/>
        <v>-</v>
      </c>
      <c r="N244" s="78" t="str">
        <f>IFERROR(Таблица467[[#This Row],[PROF]]/Таблица467[[#This Row],[Games]],"-")</f>
        <v>-</v>
      </c>
    </row>
    <row r="245" spans="1:14" ht="11.1" customHeight="1" x14ac:dyDescent="0.25">
      <c r="A245" s="93">
        <f t="shared" si="17"/>
        <v>204</v>
      </c>
      <c r="B245" s="50"/>
      <c r="C245"/>
      <c r="D245" s="117" t="str">
        <f>IF(COUNTIFS(Таблица2[2],B245)+SUMIFS(Таблица2[R],Таблица2[2],B245)=0,"",COUNTIFS(Таблица2[2],B245)+SUMIFS(Таблица2[R],Таблица2[2],B245))</f>
        <v/>
      </c>
      <c r="E245" s="76" t="str">
        <f>IF(SUMIFS(Таблица2[B$],Таблица2[2],B245)=0,"-",SUMIFS(Таблица2[B$],Таблица2[2],B245))</f>
        <v>-</v>
      </c>
      <c r="F245" s="77" t="str">
        <f>IFERROR(AVERAGEIFS(Таблица2[AFS],Таблица2[2],B245)+(AVERAGEIFS(Таблица2[AFS],Таблица2[2],B245)*0.2),"-")</f>
        <v>-</v>
      </c>
      <c r="G245" s="77" t="str">
        <f t="shared" si="18"/>
        <v>-</v>
      </c>
      <c r="H245" s="77" t="str">
        <f>IFERROR(COUNTIFS(Таблица2[2],B245,Таблица2[WIN$],"&gt;0")/D245*100,"-")</f>
        <v>-</v>
      </c>
      <c r="I245" s="77" t="str">
        <f>IF(IFERROR((COUNTIFS(Таблица2[2],B245,Таблица2[K],"K")+SUMIFS(Таблица2[R],Таблица2[2],B245,Таблица2[K],"K"))/D245*100,"-")=0,"-",IFERROR((COUNTIFS(Таблица2[2],B245,Таблица2[K],"K")+SUMIFS(Таблица2[R],Таблица2[2],B245,Таблица2[K],"K"))/D245*100,"-"))</f>
        <v>-</v>
      </c>
      <c r="J245" s="77" t="str">
        <f>IF(IFERROR((COUNTIFS(Таблица2[2],B245,Таблица2[T],"t")+SUMIFS(Таблица2[R],Таблица2[2],B245,Таблица2[T],"t"))/D245*100,"-")=0,"-",IFERROR((COUNTIFS(Таблица2[2],B245,Таблица2[T],"t")+SUMIFS(Таблица2[R],Таблица2[2],B245,Таблица2[T],"t"))/D245*100,"-"))</f>
        <v>-</v>
      </c>
      <c r="K245" s="76" t="str">
        <f>IF(SUMIFS(Таблица2[KO$],Таблица2[2],B245)=0,"-",SUMIFS(Таблица2[KO$],Таблица2[2],B245))</f>
        <v>-</v>
      </c>
      <c r="L245" s="76" t="str">
        <f>IF(SUMIFS(Таблица2[WIN$],Таблица2[2],B245)=0,"-",SUMIFS(Таблица2[WIN$],Таблица2[2],B245))</f>
        <v>-</v>
      </c>
      <c r="M245" s="76" t="str">
        <f t="shared" si="19"/>
        <v>-</v>
      </c>
      <c r="N245" s="78" t="str">
        <f>IFERROR(Таблица467[[#This Row],[PROF]]/Таблица467[[#This Row],[Games]],"-")</f>
        <v>-</v>
      </c>
    </row>
    <row r="246" spans="1:14" ht="11.1" customHeight="1" x14ac:dyDescent="0.25">
      <c r="A246" s="93">
        <f t="shared" si="17"/>
        <v>205</v>
      </c>
      <c r="B246" s="50"/>
      <c r="C246"/>
      <c r="D246" s="117" t="str">
        <f>IF(COUNTIFS(Таблица2[2],B246)+SUMIFS(Таблица2[R],Таблица2[2],B246)=0,"",COUNTIFS(Таблица2[2],B246)+SUMIFS(Таблица2[R],Таблица2[2],B246))</f>
        <v/>
      </c>
      <c r="E246" s="76" t="str">
        <f>IF(SUMIFS(Таблица2[B$],Таблица2[2],B246)=0,"-",SUMIFS(Таблица2[B$],Таблица2[2],B246))</f>
        <v>-</v>
      </c>
      <c r="F246" s="77" t="str">
        <f>IFERROR(AVERAGEIFS(Таблица2[AFS],Таблица2[2],B246)+(AVERAGEIFS(Таблица2[AFS],Таблица2[2],B246)*0.2),"-")</f>
        <v>-</v>
      </c>
      <c r="G246" s="77" t="str">
        <f t="shared" si="18"/>
        <v>-</v>
      </c>
      <c r="H246" s="77" t="str">
        <f>IFERROR(COUNTIFS(Таблица2[2],B246,Таблица2[WIN$],"&gt;0")/D246*100,"-")</f>
        <v>-</v>
      </c>
      <c r="I246" s="77" t="str">
        <f>IF(IFERROR((COUNTIFS(Таблица2[2],B246,Таблица2[K],"K")+SUMIFS(Таблица2[R],Таблица2[2],B246,Таблица2[K],"K"))/D246*100,"-")=0,"-",IFERROR((COUNTIFS(Таблица2[2],B246,Таблица2[K],"K")+SUMIFS(Таблица2[R],Таблица2[2],B246,Таблица2[K],"K"))/D246*100,"-"))</f>
        <v>-</v>
      </c>
      <c r="J246" s="77" t="str">
        <f>IF(IFERROR((COUNTIFS(Таблица2[2],B246,Таблица2[T],"t")+SUMIFS(Таблица2[R],Таблица2[2],B246,Таблица2[T],"t"))/D246*100,"-")=0,"-",IFERROR((COUNTIFS(Таблица2[2],B246,Таблица2[T],"t")+SUMIFS(Таблица2[R],Таблица2[2],B246,Таблица2[T],"t"))/D246*100,"-"))</f>
        <v>-</v>
      </c>
      <c r="K246" s="76" t="str">
        <f>IF(SUMIFS(Таблица2[KO$],Таблица2[2],B246)=0,"-",SUMIFS(Таблица2[KO$],Таблица2[2],B246))</f>
        <v>-</v>
      </c>
      <c r="L246" s="76" t="str">
        <f>IF(SUMIFS(Таблица2[WIN$],Таблица2[2],B246)=0,"-",SUMIFS(Таблица2[WIN$],Таблица2[2],B246))</f>
        <v>-</v>
      </c>
      <c r="M246" s="76" t="str">
        <f t="shared" si="19"/>
        <v>-</v>
      </c>
      <c r="N246" s="78" t="str">
        <f>IFERROR(Таблица467[[#This Row],[PROF]]/Таблица467[[#This Row],[Games]],"-")</f>
        <v>-</v>
      </c>
    </row>
    <row r="247" spans="1:14" ht="11.1" customHeight="1" x14ac:dyDescent="0.25">
      <c r="A247" s="93">
        <f t="shared" si="17"/>
        <v>206</v>
      </c>
      <c r="B247" s="50"/>
      <c r="C247"/>
      <c r="D247" s="117" t="str">
        <f>IF(COUNTIFS(Таблица2[2],B247)+SUMIFS(Таблица2[R],Таблица2[2],B247)=0,"",COUNTIFS(Таблица2[2],B247)+SUMIFS(Таблица2[R],Таблица2[2],B247))</f>
        <v/>
      </c>
      <c r="E247" s="76" t="str">
        <f>IF(SUMIFS(Таблица2[B$],Таблица2[2],B247)=0,"-",SUMIFS(Таблица2[B$],Таблица2[2],B247))</f>
        <v>-</v>
      </c>
      <c r="F247" s="77" t="str">
        <f>IFERROR(AVERAGEIFS(Таблица2[AFS],Таблица2[2],B247)+(AVERAGEIFS(Таблица2[AFS],Таблица2[2],B247)*0.2),"-")</f>
        <v>-</v>
      </c>
      <c r="G247" s="77" t="str">
        <f t="shared" si="18"/>
        <v>-</v>
      </c>
      <c r="H247" s="77" t="str">
        <f>IFERROR(COUNTIFS(Таблица2[2],B247,Таблица2[WIN$],"&gt;0")/D247*100,"-")</f>
        <v>-</v>
      </c>
      <c r="I247" s="77" t="str">
        <f>IF(IFERROR((COUNTIFS(Таблица2[2],B247,Таблица2[K],"K")+SUMIFS(Таблица2[R],Таблица2[2],B247,Таблица2[K],"K"))/D247*100,"-")=0,"-",IFERROR((COUNTIFS(Таблица2[2],B247,Таблица2[K],"K")+SUMIFS(Таблица2[R],Таблица2[2],B247,Таблица2[K],"K"))/D247*100,"-"))</f>
        <v>-</v>
      </c>
      <c r="J247" s="77" t="str">
        <f>IF(IFERROR((COUNTIFS(Таблица2[2],B247,Таблица2[T],"t")+SUMIFS(Таблица2[R],Таблица2[2],B247,Таблица2[T],"t"))/D247*100,"-")=0,"-",IFERROR((COUNTIFS(Таблица2[2],B247,Таблица2[T],"t")+SUMIFS(Таблица2[R],Таблица2[2],B247,Таблица2[T],"t"))/D247*100,"-"))</f>
        <v>-</v>
      </c>
      <c r="K247" s="76" t="str">
        <f>IF(SUMIFS(Таблица2[KO$],Таблица2[2],B247)=0,"-",SUMIFS(Таблица2[KO$],Таблица2[2],B247))</f>
        <v>-</v>
      </c>
      <c r="L247" s="76" t="str">
        <f>IF(SUMIFS(Таблица2[WIN$],Таблица2[2],B247)=0,"-",SUMIFS(Таблица2[WIN$],Таблица2[2],B247))</f>
        <v>-</v>
      </c>
      <c r="M247" s="76" t="str">
        <f t="shared" si="19"/>
        <v>-</v>
      </c>
      <c r="N247" s="78" t="str">
        <f>IFERROR(Таблица467[[#This Row],[PROF]]/Таблица467[[#This Row],[Games]],"-")</f>
        <v>-</v>
      </c>
    </row>
    <row r="248" spans="1:14" ht="11.1" customHeight="1" x14ac:dyDescent="0.25">
      <c r="B248" s="50"/>
      <c r="C248"/>
      <c r="D248" s="117" t="str">
        <f>IF(COUNTIFS(Таблица2[2],B248)+SUMIFS(Таблица2[R],Таблица2[2],B248)=0,"",COUNTIFS(Таблица2[2],B248)+SUMIFS(Таблица2[R],Таблица2[2],B248))</f>
        <v/>
      </c>
      <c r="E248" s="76" t="str">
        <f>IF(SUMIFS(Таблица2[B$],Таблица2[2],B248)=0,"-",SUMIFS(Таблица2[B$],Таблица2[2],B248))</f>
        <v>-</v>
      </c>
      <c r="F248" s="77" t="str">
        <f>IFERROR(AVERAGEIFS(Таблица2[AFS],Таблица2[2],B248)+(AVERAGEIFS(Таблица2[AFS],Таблица2[2],B248)*0.2),"-")</f>
        <v>-</v>
      </c>
      <c r="G248" s="77" t="str">
        <f t="shared" si="18"/>
        <v>-</v>
      </c>
      <c r="H248" s="77" t="str">
        <f>IFERROR(COUNTIFS(Таблица2[2],B248,Таблица2[WIN$],"&gt;0")/D248*100,"-")</f>
        <v>-</v>
      </c>
      <c r="I248" s="77" t="str">
        <f>IF(IFERROR((COUNTIFS(Таблица2[2],B248,Таблица2[K],"K")+SUMIFS(Таблица2[R],Таблица2[2],B248,Таблица2[K],"K"))/D248*100,"-")=0,"-",IFERROR((COUNTIFS(Таблица2[2],B248,Таблица2[K],"K")+SUMIFS(Таблица2[R],Таблица2[2],B248,Таблица2[K],"K"))/D248*100,"-"))</f>
        <v>-</v>
      </c>
      <c r="J248" s="77" t="str">
        <f>IF(IFERROR((COUNTIFS(Таблица2[2],B248,Таблица2[T],"t")+SUMIFS(Таблица2[R],Таблица2[2],B248,Таблица2[T],"t"))/D248*100,"-")=0,"-",IFERROR((COUNTIFS(Таблица2[2],B248,Таблица2[T],"t")+SUMIFS(Таблица2[R],Таблица2[2],B248,Таблица2[T],"t"))/D248*100,"-"))</f>
        <v>-</v>
      </c>
      <c r="K248" s="76" t="str">
        <f>IF(SUMIFS(Таблица2[KO$],Таблица2[2],B248)=0,"-",SUMIFS(Таблица2[KO$],Таблица2[2],B248))</f>
        <v>-</v>
      </c>
      <c r="L248" s="76" t="str">
        <f>IF(SUMIFS(Таблица2[WIN$],Таблица2[2],B248)=0,"-",SUMIFS(Таблица2[WIN$],Таблица2[2],B248))</f>
        <v>-</v>
      </c>
      <c r="M248" s="76" t="str">
        <f t="shared" si="19"/>
        <v>-</v>
      </c>
      <c r="N248" s="78" t="str">
        <f>IFERROR(Таблица467[[#This Row],[PROF]]/Таблица467[[#This Row],[Games]],"-")</f>
        <v>-</v>
      </c>
    </row>
    <row r="249" spans="1:14" ht="11.1" customHeight="1" x14ac:dyDescent="0.25">
      <c r="B249" s="50"/>
      <c r="C249"/>
      <c r="D249" s="117" t="str">
        <f>IF(COUNTIFS(Таблица2[2],B249)+SUMIFS(Таблица2[R],Таблица2[2],B249)=0,"",COUNTIFS(Таблица2[2],B249)+SUMIFS(Таблица2[R],Таблица2[2],B249))</f>
        <v/>
      </c>
      <c r="E249" s="76" t="str">
        <f>IF(SUMIFS(Таблица2[B$],Таблица2[2],B249)=0,"-",SUMIFS(Таблица2[B$],Таблица2[2],B249))</f>
        <v>-</v>
      </c>
      <c r="F249" s="77" t="str">
        <f>IFERROR(AVERAGEIFS(Таблица2[AFS],Таблица2[2],B249)+(AVERAGEIFS(Таблица2[AFS],Таблица2[2],B249)*0.2),"-")</f>
        <v>-</v>
      </c>
      <c r="G249" s="77" t="str">
        <f t="shared" si="18"/>
        <v>-</v>
      </c>
      <c r="H249" s="77" t="str">
        <f>IFERROR(COUNTIFS(Таблица2[2],B249,Таблица2[WIN$],"&gt;0")/D249*100,"-")</f>
        <v>-</v>
      </c>
      <c r="I249" s="77" t="str">
        <f>IF(IFERROR((COUNTIFS(Таблица2[2],B249,Таблица2[K],"K")+SUMIFS(Таблица2[R],Таблица2[2],B249,Таблица2[K],"K"))/D249*100,"-")=0,"-",IFERROR((COUNTIFS(Таблица2[2],B249,Таблица2[K],"K")+SUMIFS(Таблица2[R],Таблица2[2],B249,Таблица2[K],"K"))/D249*100,"-"))</f>
        <v>-</v>
      </c>
      <c r="J249" s="77" t="str">
        <f>IF(IFERROR((COUNTIFS(Таблица2[2],B249,Таблица2[T],"t")+SUMIFS(Таблица2[R],Таблица2[2],B249,Таблица2[T],"t"))/D249*100,"-")=0,"-",IFERROR((COUNTIFS(Таблица2[2],B249,Таблица2[T],"t")+SUMIFS(Таблица2[R],Таблица2[2],B249,Таблица2[T],"t"))/D249*100,"-"))</f>
        <v>-</v>
      </c>
      <c r="K249" s="76" t="str">
        <f>IF(SUMIFS(Таблица2[KO$],Таблица2[2],B249)=0,"-",SUMIFS(Таблица2[KO$],Таблица2[2],B249))</f>
        <v>-</v>
      </c>
      <c r="L249" s="76" t="str">
        <f>IF(SUMIFS(Таблица2[WIN$],Таблица2[2],B249)=0,"-",SUMIFS(Таблица2[WIN$],Таблица2[2],B249))</f>
        <v>-</v>
      </c>
      <c r="M249" s="76" t="str">
        <f t="shared" si="19"/>
        <v>-</v>
      </c>
      <c r="N249" s="78" t="str">
        <f>IFERROR(Таблица467[[#This Row],[PROF]]/Таблица467[[#This Row],[Games]],"-")</f>
        <v>-</v>
      </c>
    </row>
    <row r="250" spans="1:14" ht="11.1" customHeight="1" x14ac:dyDescent="0.25">
      <c r="B250" s="50"/>
      <c r="C250"/>
      <c r="D250" s="117" t="str">
        <f>IF(COUNTIFS(Таблица2[2],B250)+SUMIFS(Таблица2[R],Таблица2[2],B250)=0,"",COUNTIFS(Таблица2[2],B250)+SUMIFS(Таблица2[R],Таблица2[2],B250))</f>
        <v/>
      </c>
      <c r="E250" s="76" t="str">
        <f>IF(SUMIFS(Таблица2[B$],Таблица2[2],B250)=0,"-",SUMIFS(Таблица2[B$],Таблица2[2],B250))</f>
        <v>-</v>
      </c>
      <c r="F250" s="77" t="str">
        <f>IFERROR(AVERAGEIFS(Таблица2[AFS],Таблица2[2],B250)+(AVERAGEIFS(Таблица2[AFS],Таблица2[2],B250)*0.2),"-")</f>
        <v>-</v>
      </c>
      <c r="G250" s="77" t="str">
        <f t="shared" si="18"/>
        <v>-</v>
      </c>
      <c r="H250" s="77" t="str">
        <f>IFERROR(COUNTIFS(Таблица2[2],B250,Таблица2[WIN$],"&gt;0")/D250*100,"-")</f>
        <v>-</v>
      </c>
      <c r="I250" s="77" t="str">
        <f>IF(IFERROR((COUNTIFS(Таблица2[2],B250,Таблица2[K],"K")+SUMIFS(Таблица2[R],Таблица2[2],B250,Таблица2[K],"K"))/D250*100,"-")=0,"-",IFERROR((COUNTIFS(Таблица2[2],B250,Таблица2[K],"K")+SUMIFS(Таблица2[R],Таблица2[2],B250,Таблица2[K],"K"))/D250*100,"-"))</f>
        <v>-</v>
      </c>
      <c r="J250" s="77" t="str">
        <f>IF(IFERROR((COUNTIFS(Таблица2[2],B250,Таблица2[T],"t")+SUMIFS(Таблица2[R],Таблица2[2],B250,Таблица2[T],"t"))/D250*100,"-")=0,"-",IFERROR((COUNTIFS(Таблица2[2],B250,Таблица2[T],"t")+SUMIFS(Таблица2[R],Таблица2[2],B250,Таблица2[T],"t"))/D250*100,"-"))</f>
        <v>-</v>
      </c>
      <c r="K250" s="76" t="str">
        <f>IF(SUMIFS(Таблица2[KO$],Таблица2[2],B250)=0,"-",SUMIFS(Таблица2[KO$],Таблица2[2],B250))</f>
        <v>-</v>
      </c>
      <c r="L250" s="76" t="str">
        <f>IF(SUMIFS(Таблица2[WIN$],Таблица2[2],B250)=0,"-",SUMIFS(Таблица2[WIN$],Таблица2[2],B250))</f>
        <v>-</v>
      </c>
      <c r="M250" s="76" t="str">
        <f t="shared" si="19"/>
        <v>-</v>
      </c>
      <c r="N250" s="78" t="str">
        <f>IFERROR(Таблица467[[#This Row],[PROF]]/Таблица467[[#This Row],[Games]],"-")</f>
        <v>-</v>
      </c>
    </row>
    <row r="251" spans="1:14" ht="11.1" customHeight="1" x14ac:dyDescent="0.25">
      <c r="B251" s="50"/>
      <c r="C251"/>
      <c r="D251" s="117" t="str">
        <f>IF(COUNTIFS(Таблица2[2],B251)+SUMIFS(Таблица2[R],Таблица2[2],B251)=0,"",COUNTIFS(Таблица2[2],B251)+SUMIFS(Таблица2[R],Таблица2[2],B251))</f>
        <v/>
      </c>
      <c r="E251" s="76" t="str">
        <f>IF(SUMIFS(Таблица2[B$],Таблица2[2],B251)=0,"-",SUMIFS(Таблица2[B$],Таблица2[2],B251))</f>
        <v>-</v>
      </c>
      <c r="F251" s="77" t="str">
        <f>IFERROR(AVERAGEIFS(Таблица2[AFS],Таблица2[2],B251)+(AVERAGEIFS(Таблица2[AFS],Таблица2[2],B251)*0.2),"-")</f>
        <v>-</v>
      </c>
      <c r="G251" s="77" t="str">
        <f t="shared" si="18"/>
        <v>-</v>
      </c>
      <c r="H251" s="77" t="str">
        <f>IFERROR(COUNTIFS(Таблица2[2],B251,Таблица2[WIN$],"&gt;0")/D251*100,"-")</f>
        <v>-</v>
      </c>
      <c r="I251" s="77" t="str">
        <f>IF(IFERROR((COUNTIFS(Таблица2[2],B251,Таблица2[K],"K")+SUMIFS(Таблица2[R],Таблица2[2],B251,Таблица2[K],"K"))/D251*100,"-")=0,"-",IFERROR((COUNTIFS(Таблица2[2],B251,Таблица2[K],"K")+SUMIFS(Таблица2[R],Таблица2[2],B251,Таблица2[K],"K"))/D251*100,"-"))</f>
        <v>-</v>
      </c>
      <c r="J251" s="77" t="str">
        <f>IF(IFERROR((COUNTIFS(Таблица2[2],B251,Таблица2[T],"t")+SUMIFS(Таблица2[R],Таблица2[2],B251,Таблица2[T],"t"))/D251*100,"-")=0,"-",IFERROR((COUNTIFS(Таблица2[2],B251,Таблица2[T],"t")+SUMIFS(Таблица2[R],Таблица2[2],B251,Таблица2[T],"t"))/D251*100,"-"))</f>
        <v>-</v>
      </c>
      <c r="K251" s="76" t="str">
        <f>IF(SUMIFS(Таблица2[KO$],Таблица2[2],B251)=0,"-",SUMIFS(Таблица2[KO$],Таблица2[2],B251))</f>
        <v>-</v>
      </c>
      <c r="L251" s="76" t="str">
        <f>IF(SUMIFS(Таблица2[WIN$],Таблица2[2],B251)=0,"-",SUMIFS(Таблица2[WIN$],Таблица2[2],B251))</f>
        <v>-</v>
      </c>
      <c r="M251" s="76" t="str">
        <f t="shared" si="19"/>
        <v>-</v>
      </c>
      <c r="N251" s="78" t="str">
        <f>IFERROR(Таблица467[[#This Row],[PROF]]/Таблица467[[#This Row],[Games]],"-")</f>
        <v>-</v>
      </c>
    </row>
    <row r="252" spans="1:14" ht="11.1" customHeight="1" x14ac:dyDescent="0.25">
      <c r="B252" s="50"/>
      <c r="C252"/>
      <c r="D252" s="117" t="str">
        <f>IF(COUNTIFS(Таблица2[2],B252)+SUMIFS(Таблица2[R],Таблица2[2],B252)=0,"",COUNTIFS(Таблица2[2],B252)+SUMIFS(Таблица2[R],Таблица2[2],B252))</f>
        <v/>
      </c>
      <c r="E252" s="76" t="str">
        <f>IF(SUMIFS(Таблица2[B$],Таблица2[2],B252)=0,"-",SUMIFS(Таблица2[B$],Таблица2[2],B252))</f>
        <v>-</v>
      </c>
      <c r="F252" s="77" t="str">
        <f>IFERROR(AVERAGEIFS(Таблица2[AFS],Таблица2[2],B252)+(AVERAGEIFS(Таблица2[AFS],Таблица2[2],B252)*0.2),"-")</f>
        <v>-</v>
      </c>
      <c r="G252" s="77" t="str">
        <f t="shared" si="18"/>
        <v>-</v>
      </c>
      <c r="H252" s="77" t="str">
        <f>IFERROR(COUNTIFS(Таблица2[2],B252,Таблица2[WIN$],"&gt;0")/D252*100,"-")</f>
        <v>-</v>
      </c>
      <c r="I252" s="77" t="str">
        <f>IF(IFERROR((COUNTIFS(Таблица2[2],B252,Таблица2[K],"K")+SUMIFS(Таблица2[R],Таблица2[2],B252,Таблица2[K],"K"))/D252*100,"-")=0,"-",IFERROR((COUNTIFS(Таблица2[2],B252,Таблица2[K],"K")+SUMIFS(Таблица2[R],Таблица2[2],B252,Таблица2[K],"K"))/D252*100,"-"))</f>
        <v>-</v>
      </c>
      <c r="J252" s="77" t="str">
        <f>IF(IFERROR((COUNTIFS(Таблица2[2],B252,Таблица2[T],"t")+SUMIFS(Таблица2[R],Таблица2[2],B252,Таблица2[T],"t"))/D252*100,"-")=0,"-",IFERROR((COUNTIFS(Таблица2[2],B252,Таблица2[T],"t")+SUMIFS(Таблица2[R],Таблица2[2],B252,Таблица2[T],"t"))/D252*100,"-"))</f>
        <v>-</v>
      </c>
      <c r="K252" s="76" t="str">
        <f>IF(SUMIFS(Таблица2[KO$],Таблица2[2],B252)=0,"-",SUMIFS(Таблица2[KO$],Таблица2[2],B252))</f>
        <v>-</v>
      </c>
      <c r="L252" s="76" t="str">
        <f>IF(SUMIFS(Таблица2[WIN$],Таблица2[2],B252)=0,"-",SUMIFS(Таблица2[WIN$],Таблица2[2],B252))</f>
        <v>-</v>
      </c>
      <c r="M252" s="76" t="str">
        <f t="shared" si="19"/>
        <v>-</v>
      </c>
      <c r="N252" s="78" t="str">
        <f>IFERROR(Таблица467[[#This Row],[PROF]]/Таблица467[[#This Row],[Games]],"-")</f>
        <v>-</v>
      </c>
    </row>
    <row r="253" spans="1:14" ht="11.1" customHeight="1" x14ac:dyDescent="0.25">
      <c r="B253" s="50"/>
      <c r="C253"/>
      <c r="D253" s="117" t="str">
        <f>IF(COUNTIFS(Таблица2[2],B253)+SUMIFS(Таблица2[R],Таблица2[2],B253)=0,"",COUNTIFS(Таблица2[2],B253)+SUMIFS(Таблица2[R],Таблица2[2],B253))</f>
        <v/>
      </c>
      <c r="E253" s="76" t="str">
        <f>IF(SUMIFS(Таблица2[B$],Таблица2[2],B253)=0,"-",SUMIFS(Таблица2[B$],Таблица2[2],B253))</f>
        <v>-</v>
      </c>
      <c r="F253" s="77" t="str">
        <f>IFERROR(AVERAGEIFS(Таблица2[AFS],Таблица2[2],B253)+(AVERAGEIFS(Таблица2[AFS],Таблица2[2],B253)*0.2),"-")</f>
        <v>-</v>
      </c>
      <c r="G253" s="77" t="str">
        <f t="shared" si="18"/>
        <v>-</v>
      </c>
      <c r="H253" s="77" t="str">
        <f>IFERROR(COUNTIFS(Таблица2[2],B253,Таблица2[WIN$],"&gt;0")/D253*100,"-")</f>
        <v>-</v>
      </c>
      <c r="I253" s="77" t="str">
        <f>IF(IFERROR((COUNTIFS(Таблица2[2],B253,Таблица2[K],"K")+SUMIFS(Таблица2[R],Таблица2[2],B253,Таблица2[K],"K"))/D253*100,"-")=0,"-",IFERROR((COUNTIFS(Таблица2[2],B253,Таблица2[K],"K")+SUMIFS(Таблица2[R],Таблица2[2],B253,Таблица2[K],"K"))/D253*100,"-"))</f>
        <v>-</v>
      </c>
      <c r="J253" s="77" t="str">
        <f>IF(IFERROR((COUNTIFS(Таблица2[2],B253,Таблица2[T],"t")+SUMIFS(Таблица2[R],Таблица2[2],B253,Таблица2[T],"t"))/D253*100,"-")=0,"-",IFERROR((COUNTIFS(Таблица2[2],B253,Таблица2[T],"t")+SUMIFS(Таблица2[R],Таблица2[2],B253,Таблица2[T],"t"))/D253*100,"-"))</f>
        <v>-</v>
      </c>
      <c r="K253" s="76" t="str">
        <f>IF(SUMIFS(Таблица2[KO$],Таблица2[2],B253)=0,"-",SUMIFS(Таблица2[KO$],Таблица2[2],B253))</f>
        <v>-</v>
      </c>
      <c r="L253" s="76" t="str">
        <f>IF(SUMIFS(Таблица2[WIN$],Таблица2[2],B253)=0,"-",SUMIFS(Таблица2[WIN$],Таблица2[2],B253))</f>
        <v>-</v>
      </c>
      <c r="M253" s="76" t="str">
        <f t="shared" si="19"/>
        <v>-</v>
      </c>
      <c r="N253" s="78" t="str">
        <f>IFERROR(Таблица467[[#This Row],[PROF]]/Таблица467[[#This Row],[Games]],"-")</f>
        <v>-</v>
      </c>
    </row>
    <row r="254" spans="1:14" ht="11.1" customHeight="1" x14ac:dyDescent="0.25">
      <c r="B254" s="50"/>
      <c r="C254"/>
      <c r="D254" s="117" t="str">
        <f>IF(COUNTIFS(Таблица2[2],B254)+SUMIFS(Таблица2[R],Таблица2[2],B254)=0,"",COUNTIFS(Таблица2[2],B254)+SUMIFS(Таблица2[R],Таблица2[2],B254))</f>
        <v/>
      </c>
      <c r="E254" s="76" t="str">
        <f>IF(SUMIFS(Таблица2[B$],Таблица2[2],B254)=0,"-",SUMIFS(Таблица2[B$],Таблица2[2],B254))</f>
        <v>-</v>
      </c>
      <c r="F254" s="77" t="str">
        <f>IFERROR(AVERAGEIFS(Таблица2[AFS],Таблица2[2],B254)+(AVERAGEIFS(Таблица2[AFS],Таблица2[2],B254)*0.2),"-")</f>
        <v>-</v>
      </c>
      <c r="G254" s="77" t="str">
        <f t="shared" si="18"/>
        <v>-</v>
      </c>
      <c r="H254" s="77" t="str">
        <f>IFERROR(COUNTIFS(Таблица2[2],B254,Таблица2[WIN$],"&gt;0")/D254*100,"-")</f>
        <v>-</v>
      </c>
      <c r="I254" s="77" t="str">
        <f>IF(IFERROR((COUNTIFS(Таблица2[2],B254,Таблица2[K],"K")+SUMIFS(Таблица2[R],Таблица2[2],B254,Таблица2[K],"K"))/D254*100,"-")=0,"-",IFERROR((COUNTIFS(Таблица2[2],B254,Таблица2[K],"K")+SUMIFS(Таблица2[R],Таблица2[2],B254,Таблица2[K],"K"))/D254*100,"-"))</f>
        <v>-</v>
      </c>
      <c r="J254" s="77" t="str">
        <f>IF(IFERROR((COUNTIFS(Таблица2[2],B254,Таблица2[T],"t")+SUMIFS(Таблица2[R],Таблица2[2],B254,Таблица2[T],"t"))/D254*100,"-")=0,"-",IFERROR((COUNTIFS(Таблица2[2],B254,Таблица2[T],"t")+SUMIFS(Таблица2[R],Таблица2[2],B254,Таблица2[T],"t"))/D254*100,"-"))</f>
        <v>-</v>
      </c>
      <c r="K254" s="76" t="str">
        <f>IF(SUMIFS(Таблица2[KO$],Таблица2[2],B254)=0,"-",SUMIFS(Таблица2[KO$],Таблица2[2],B254))</f>
        <v>-</v>
      </c>
      <c r="L254" s="76" t="str">
        <f>IF(SUMIFS(Таблица2[WIN$],Таблица2[2],B254)=0,"-",SUMIFS(Таблица2[WIN$],Таблица2[2],B254))</f>
        <v>-</v>
      </c>
      <c r="M254" s="76" t="str">
        <f t="shared" si="19"/>
        <v>-</v>
      </c>
      <c r="N254" s="78" t="str">
        <f>IFERROR(Таблица467[[#This Row],[PROF]]/Таблица467[[#This Row],[Games]],"-")</f>
        <v>-</v>
      </c>
    </row>
    <row r="255" spans="1:14" ht="11.1" customHeight="1" x14ac:dyDescent="0.25">
      <c r="B255" s="50"/>
      <c r="C255"/>
      <c r="D255" s="118" t="str">
        <f>IF(COUNTIFS(Таблица2[2],B255)+SUMIFS(Таблица2[R],Таблица2[2],B255)=0,"",COUNTIFS(Таблица2[2],B255)+SUMIFS(Таблица2[R],Таблица2[2],B255))</f>
        <v/>
      </c>
      <c r="E255" s="54" t="str">
        <f>IF(SUMIFS(Таблица2[B$],Таблица2[2],B255)=0,"-",SUMIFS(Таблица2[B$],Таблица2[2],B255))</f>
        <v>-</v>
      </c>
      <c r="F255" s="55" t="str">
        <f>IFERROR(AVERAGEIFS(Таблица2[AFS],Таблица2[2],B255)+(AVERAGEIFS(Таблица2[AFS],Таблица2[2],B255)*0.2),"-")</f>
        <v>-</v>
      </c>
      <c r="G255" s="55" t="str">
        <f t="shared" si="18"/>
        <v>-</v>
      </c>
      <c r="H255" s="55" t="str">
        <f>IFERROR(COUNTIFS(Таблица2[2],B255,Таблица2[WIN$],"&gt;0")/D255*100,"-")</f>
        <v>-</v>
      </c>
      <c r="I255" s="55" t="str">
        <f>IF(IFERROR((COUNTIFS(Таблица2[2],B255,Таблица2[K],"K")+SUMIFS(Таблица2[R],Таблица2[2],B255,Таблица2[K],"K"))/D255*100,"-")=0,"-",IFERROR((COUNTIFS(Таблица2[2],B255,Таблица2[K],"K")+SUMIFS(Таблица2[R],Таблица2[2],B255,Таблица2[K],"K"))/D255*100,"-"))</f>
        <v>-</v>
      </c>
      <c r="J255" s="55" t="str">
        <f>IF(IFERROR((COUNTIFS(Таблица2[2],B255,Таблица2[T],"t")+SUMIFS(Таблица2[R],Таблица2[2],B255,Таблица2[T],"t"))/D255*100,"-")=0,"-",IFERROR((COUNTIFS(Таблица2[2],B255,Таблица2[T],"t")+SUMIFS(Таблица2[R],Таблица2[2],B255,Таблица2[T],"t"))/D255*100,"-"))</f>
        <v>-</v>
      </c>
      <c r="K255" s="54" t="str">
        <f>IF(SUMIFS(Таблица2[KO$],Таблица2[2],B255)=0,"-",SUMIFS(Таблица2[KO$],Таблица2[2],B255))</f>
        <v>-</v>
      </c>
      <c r="L255" s="54" t="str">
        <f>IF(SUMIFS(Таблица2[WIN$],Таблица2[2],B255)=0,"-",SUMIFS(Таблица2[WIN$],Таблица2[2],B255))</f>
        <v>-</v>
      </c>
      <c r="M255" s="54" t="str">
        <f t="shared" si="19"/>
        <v>-</v>
      </c>
      <c r="N255" s="79" t="str">
        <f>IFERROR(Таблица467[[#This Row],[PROF]]/Таблица467[[#This Row],[Games]],"-")</f>
        <v>-</v>
      </c>
    </row>
    <row r="256" spans="1:14" ht="11.1" customHeight="1" x14ac:dyDescent="0.25">
      <c r="B256" s="50"/>
      <c r="C256"/>
    </row>
    <row r="257" spans="2:3" ht="11.1" customHeight="1" x14ac:dyDescent="0.25">
      <c r="B257" s="50"/>
      <c r="C257"/>
    </row>
    <row r="258" spans="2:3" ht="11.1" customHeight="1" x14ac:dyDescent="0.25">
      <c r="B258" s="50"/>
      <c r="C258"/>
    </row>
    <row r="259" spans="2:3" ht="11.1" customHeight="1" x14ac:dyDescent="0.25">
      <c r="B259" s="50"/>
      <c r="C259"/>
    </row>
    <row r="260" spans="2:3" ht="11.1" customHeight="1" x14ac:dyDescent="0.25">
      <c r="B260" s="50"/>
      <c r="C260"/>
    </row>
    <row r="261" spans="2:3" ht="11.1" customHeight="1" x14ac:dyDescent="0.25">
      <c r="B261" s="50"/>
      <c r="C261"/>
    </row>
    <row r="262" spans="2:3" ht="11.1" customHeight="1" x14ac:dyDescent="0.25">
      <c r="B262" s="50"/>
      <c r="C262"/>
    </row>
    <row r="263" spans="2:3" ht="11.1" customHeight="1" x14ac:dyDescent="0.25">
      <c r="B263" s="50"/>
      <c r="C263"/>
    </row>
  </sheetData>
  <conditionalFormatting sqref="B42:B99686">
    <cfRule type="expression" dxfId="56" priority="2">
      <formula>$B42=""</formula>
    </cfRule>
    <cfRule type="expression" dxfId="55" priority="3">
      <formula>$B42&gt;0</formula>
    </cfRule>
  </conditionalFormatting>
  <conditionalFormatting sqref="B42:B99999">
    <cfRule type="expression" dxfId="54" priority="1">
      <formula>MOD($A42,2)=1</formula>
    </cfRule>
  </conditionalFormatting>
  <pageMargins left="0.7" right="0.7" top="0.75" bottom="0.75" header="0.3" footer="0.3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5057" r:id="rId4" name="Button 1">
              <controlPr defaultSize="0" print="0" autoFill="0" autoPict="0" macro="[0]!obnoviti_name">
                <anchor>
                  <from>
                    <xdr:col>1</xdr:col>
                    <xdr:colOff>57150</xdr:colOff>
                    <xdr:row>35</xdr:row>
                    <xdr:rowOff>38100</xdr:rowOff>
                  </from>
                  <to>
                    <xdr:col>1</xdr:col>
                    <xdr:colOff>1057275</xdr:colOff>
                    <xdr:row>36</xdr:row>
                    <xdr:rowOff>123825</xdr:rowOff>
                  </to>
                </anchor>
              </controlPr>
            </control>
          </mc:Choice>
        </mc:AlternateContent>
      </controls>
    </mc:Choice>
  </mc:AlternateContent>
  <tableParts count="1">
    <tablePart r:id="rId5"/>
  </tableParts>
  <extLst>
    <ext xmlns:x14="http://schemas.microsoft.com/office/spreadsheetml/2009/9/main" uri="{A8765BA9-456A-4dab-B4F3-ACF838C121DE}">
      <x14:slicerList>
        <x14:slicer r:id="rId6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1"/>
  </sheetPr>
  <dimension ref="A1:Z24"/>
  <sheetViews>
    <sheetView workbookViewId="0">
      <selection activeCell="L39" sqref="L39"/>
    </sheetView>
  </sheetViews>
  <sheetFormatPr defaultRowHeight="9.9499999999999993" customHeight="1" x14ac:dyDescent="0.25"/>
  <cols>
    <col min="1" max="2" width="1.7109375" style="3" customWidth="1"/>
    <col min="3" max="3" width="7" style="3" bestFit="1" customWidth="1"/>
    <col min="4" max="4" width="5" style="3" bestFit="1" customWidth="1"/>
    <col min="5" max="5" width="3.85546875" style="3" bestFit="1" customWidth="1"/>
    <col min="6" max="6" width="13.42578125" style="3" bestFit="1" customWidth="1"/>
    <col min="7" max="7" width="9.28515625" style="3" bestFit="1" customWidth="1"/>
    <col min="8" max="8" width="8.140625" style="3" bestFit="1" customWidth="1"/>
    <col min="9" max="9" width="5.5703125" style="3" bestFit="1" customWidth="1"/>
    <col min="10" max="10" width="5" style="3" bestFit="1" customWidth="1"/>
    <col min="11" max="11" width="6.140625" style="47" bestFit="1" customWidth="1"/>
    <col min="12" max="12" width="26.42578125" style="3" bestFit="1" customWidth="1"/>
    <col min="13" max="13" width="2.140625" style="3" bestFit="1" customWidth="1"/>
    <col min="14" max="14" width="2" style="3" bestFit="1" customWidth="1"/>
    <col min="15" max="15" width="2.140625" style="3" bestFit="1" customWidth="1"/>
    <col min="16" max="16" width="3.85546875" style="22" customWidth="1"/>
    <col min="17" max="17" width="9.140625" style="22" bestFit="1" customWidth="1"/>
    <col min="18" max="18" width="8.5703125" style="3" bestFit="1" customWidth="1"/>
    <col min="19" max="19" width="7" style="3" customWidth="1"/>
    <col min="20" max="20" width="4.28515625" style="3" customWidth="1"/>
    <col min="21" max="21" width="6.5703125" style="3" bestFit="1" customWidth="1"/>
    <col min="22" max="23" width="7" style="22" customWidth="1"/>
    <col min="24" max="24" width="7.5703125" style="22" bestFit="1" customWidth="1"/>
    <col min="25" max="25" width="7.5703125" style="30" bestFit="1" customWidth="1"/>
    <col min="26" max="26" width="8.85546875" style="22" bestFit="1" customWidth="1"/>
    <col min="27" max="16384" width="9.140625" style="3"/>
  </cols>
  <sheetData>
    <row r="1" spans="1:26" ht="9.9499999999999993" customHeight="1" x14ac:dyDescent="0.25">
      <c r="A1" s="176">
        <f ca="1">COUNT(setca[19])-2</f>
        <v>-2</v>
      </c>
    </row>
    <row r="2" spans="1:26" ht="9.9499999999999993" customHeight="1" x14ac:dyDescent="0.25">
      <c r="C2" s="31" t="s">
        <v>18</v>
      </c>
      <c r="D2" s="31" t="s">
        <v>17</v>
      </c>
      <c r="E2" s="31" t="s">
        <v>26</v>
      </c>
      <c r="F2" s="31" t="s">
        <v>25</v>
      </c>
      <c r="G2" s="31" t="s">
        <v>24</v>
      </c>
      <c r="H2" s="31" t="s">
        <v>5</v>
      </c>
      <c r="I2" s="32" t="s">
        <v>1</v>
      </c>
      <c r="J2" s="32" t="s">
        <v>16</v>
      </c>
      <c r="K2" s="32" t="s">
        <v>57</v>
      </c>
      <c r="L2" s="32" t="s">
        <v>3</v>
      </c>
      <c r="M2" s="32" t="s">
        <v>74</v>
      </c>
      <c r="N2" s="32" t="s">
        <v>64</v>
      </c>
      <c r="O2" s="32" t="s">
        <v>63</v>
      </c>
      <c r="P2" s="32" t="s">
        <v>73</v>
      </c>
      <c r="Q2" s="32" t="s">
        <v>14</v>
      </c>
      <c r="R2" s="33" t="s">
        <v>19</v>
      </c>
      <c r="S2" s="32" t="s">
        <v>7</v>
      </c>
      <c r="T2" s="32" t="s">
        <v>67</v>
      </c>
      <c r="U2" s="32" t="s">
        <v>69</v>
      </c>
      <c r="V2" s="32" t="s">
        <v>59</v>
      </c>
      <c r="W2" s="33" t="s">
        <v>60</v>
      </c>
      <c r="X2" s="33" t="s">
        <v>61</v>
      </c>
      <c r="Y2" s="33" t="s">
        <v>8</v>
      </c>
      <c r="Z2" s="34" t="s">
        <v>62</v>
      </c>
    </row>
    <row r="3" spans="1:26" ht="9.9499999999999993" customHeight="1" x14ac:dyDescent="0.25">
      <c r="C3" s="35">
        <v>1</v>
      </c>
      <c r="D3" s="41">
        <f>YEAR(Baza[[#This Row],[Date]])</f>
        <v>2021</v>
      </c>
      <c r="E3" s="41">
        <f>WEEKNUM(Baza[[#This Row],[Date]],2)</f>
        <v>1</v>
      </c>
      <c r="F3" s="41" t="str">
        <f>CHOOSE(WEEKDAY(Baza[[#This Row],[Date]],2),"понедельник","вторник","среда","четверг","пятница","суббота","воскресенье")</f>
        <v>пятница</v>
      </c>
      <c r="G3" s="41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3" s="46">
        <v>44197</v>
      </c>
      <c r="I3" s="42">
        <v>0.45833333333333331</v>
      </c>
      <c r="J3" s="43">
        <v>1.1000000000000001</v>
      </c>
      <c r="K3" s="42" t="s">
        <v>11</v>
      </c>
      <c r="L3" s="43" t="s">
        <v>102</v>
      </c>
      <c r="M3" s="43">
        <v>8</v>
      </c>
      <c r="N3" s="43" t="s">
        <v>71</v>
      </c>
      <c r="O3" s="43" t="s">
        <v>63</v>
      </c>
      <c r="P3" s="44" t="s">
        <v>71</v>
      </c>
      <c r="Q3" s="44">
        <v>50</v>
      </c>
      <c r="R3" s="45"/>
      <c r="S3" s="43"/>
      <c r="T3" s="43"/>
      <c r="U3" s="43" t="s">
        <v>71</v>
      </c>
      <c r="V3" s="41">
        <f>IF(OR(Baza[[#This Row],[Room]]="ES",Baza[[#This Row],[Room]]="WN"),(Baza[[#This Row],[B]]*1.12) +(Baza[[#This Row],[R]]*Baza[[#This Row],[B]]*1.12),Baza[[#This Row],[B]]*Baza[[#This Row],[R]]+Baza[[#This Row],[B]])</f>
        <v>1.1000000000000001</v>
      </c>
      <c r="W3" s="45">
        <f>IF(OR(Baza[[#This Row],[Room]]="ES",Baza[[#This Row],[Room]]="WN"),Baza[[#This Row],[KO]]*1.12,Baza[[#This Row],[KO]])</f>
        <v>0</v>
      </c>
      <c r="X3" s="45">
        <f>IF(OR(Baza[[#This Row],[Room]]="ES",Baza[[#This Row],[Room]]="WN"),Baza[[#This Row],[Win]]*1.12,Baza[[#This Row],[Win]])</f>
        <v>0</v>
      </c>
      <c r="Y3" s="45">
        <f>Baza[[#This Row],[WIN$]]+Baza[[#This Row],[KO$]]-Baza[[#This Row],[B$]]</f>
        <v>-1.1000000000000001</v>
      </c>
      <c r="Z3" s="44">
        <f>IF(OR(Baza[[#This Row],[A]]="XP",Baza[[#This Row],[A]]="XP2",Baza[[#This Row],[A]]="F"),AVERAGEIFS(Baza[AFS],Baza[A],"-"),Baza[[#This Row],[GTD]]/Baza[[#This Row],[B]])</f>
        <v>45.454545454545453</v>
      </c>
    </row>
    <row r="4" spans="1:26" ht="9.9499999999999993" customHeight="1" x14ac:dyDescent="0.25">
      <c r="C4" s="35">
        <v>2</v>
      </c>
      <c r="D4" s="41">
        <f>YEAR(Baza[[#This Row],[Date]])</f>
        <v>2021</v>
      </c>
      <c r="E4" s="41">
        <f>WEEKNUM(Baza[[#This Row],[Date]],2)</f>
        <v>1</v>
      </c>
      <c r="F4" s="41" t="str">
        <f>CHOOSE(WEEKDAY(Baza[[#This Row],[Date]],2),"понедельник","вторник","среда","четверг","пятница","суббота","воскресенье")</f>
        <v>пятница</v>
      </c>
      <c r="G4" s="41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4" s="46">
        <v>44197</v>
      </c>
      <c r="I4" s="42">
        <v>0.45833333333333331</v>
      </c>
      <c r="J4" s="43">
        <v>1</v>
      </c>
      <c r="K4" s="42" t="s">
        <v>10</v>
      </c>
      <c r="L4" s="43" t="s">
        <v>99</v>
      </c>
      <c r="M4" s="43">
        <v>6</v>
      </c>
      <c r="N4" s="43" t="s">
        <v>71</v>
      </c>
      <c r="O4" s="43" t="s">
        <v>71</v>
      </c>
      <c r="P4" s="44" t="s">
        <v>71</v>
      </c>
      <c r="Q4" s="44">
        <v>150</v>
      </c>
      <c r="R4" s="45"/>
      <c r="S4" s="43"/>
      <c r="T4" s="43"/>
      <c r="U4" s="43" t="s">
        <v>71</v>
      </c>
      <c r="V4" s="41">
        <f>IF(OR(Baza[[#This Row],[Room]]="ES",Baza[[#This Row],[Room]]="WN"),(Baza[[#This Row],[B]]*1.12) +(Baza[[#This Row],[R]]*Baza[[#This Row],[B]]*1.12),Baza[[#This Row],[B]]*Baza[[#This Row],[R]]+Baza[[#This Row],[B]])</f>
        <v>1.1200000000000001</v>
      </c>
      <c r="W4" s="45">
        <f>IF(OR(Baza[[#This Row],[Room]]="ES",Baza[[#This Row],[Room]]="WN"),Baza[[#This Row],[KO]]*1.12,Baza[[#This Row],[KO]])</f>
        <v>0</v>
      </c>
      <c r="X4" s="45">
        <f>IF(OR(Baza[[#This Row],[Room]]="ES",Baza[[#This Row],[Room]]="WN"),Baza[[#This Row],[Win]]*1.12,Baza[[#This Row],[Win]])</f>
        <v>0</v>
      </c>
      <c r="Y4" s="45">
        <f>Baza[[#This Row],[WIN$]]+Baza[[#This Row],[KO$]]-Baza[[#This Row],[B$]]</f>
        <v>-1.1200000000000001</v>
      </c>
      <c r="Z4" s="44">
        <f>IF(OR(Baza[[#This Row],[A]]="XP",Baza[[#This Row],[A]]="XP2",Baza[[#This Row],[A]]="F"),AVERAGEIFS(Baza[AFS],Baza[A],"-"),Baza[[#This Row],[GTD]]/Baza[[#This Row],[B]])</f>
        <v>150</v>
      </c>
    </row>
    <row r="5" spans="1:26" ht="9.9499999999999993" customHeight="1" x14ac:dyDescent="0.25">
      <c r="C5" s="35">
        <v>3</v>
      </c>
      <c r="D5" s="41">
        <f>YEAR(Baza[[#This Row],[Date]])</f>
        <v>2021</v>
      </c>
      <c r="E5" s="41">
        <f>WEEKNUM(Baza[[#This Row],[Date]],2)</f>
        <v>1</v>
      </c>
      <c r="F5" s="41" t="str">
        <f>CHOOSE(WEEKDAY(Baza[[#This Row],[Date]],2),"понедельник","вторник","среда","четверг","пятница","суббота","воскресенье")</f>
        <v>пятница</v>
      </c>
      <c r="G5" s="41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5" s="46">
        <v>44197</v>
      </c>
      <c r="I5" s="42">
        <v>0.46875</v>
      </c>
      <c r="J5" s="43">
        <v>2.2000000000000002</v>
      </c>
      <c r="K5" s="42" t="s">
        <v>11</v>
      </c>
      <c r="L5" s="43" t="s">
        <v>145</v>
      </c>
      <c r="M5" s="43">
        <v>8</v>
      </c>
      <c r="N5" s="43" t="s">
        <v>71</v>
      </c>
      <c r="O5" s="43" t="s">
        <v>71</v>
      </c>
      <c r="P5" s="44" t="s">
        <v>71</v>
      </c>
      <c r="Q5" s="44">
        <v>200</v>
      </c>
      <c r="R5" s="45"/>
      <c r="S5" s="43"/>
      <c r="T5" s="43"/>
      <c r="U5" s="43" t="s">
        <v>71</v>
      </c>
      <c r="V5" s="41">
        <f>IF(OR(Baza[[#This Row],[Room]]="ES",Baza[[#This Row],[Room]]="WN"),(Baza[[#This Row],[B]]*1.12) +(Baza[[#This Row],[R]]*Baza[[#This Row],[B]]*1.12),Baza[[#This Row],[B]]*Baza[[#This Row],[R]]+Baza[[#This Row],[B]])</f>
        <v>2.2000000000000002</v>
      </c>
      <c r="W5" s="45">
        <f>IF(OR(Baza[[#This Row],[Room]]="ES",Baza[[#This Row],[Room]]="WN"),Baza[[#This Row],[KO]]*1.12,Baza[[#This Row],[KO]])</f>
        <v>0</v>
      </c>
      <c r="X5" s="45">
        <f>IF(OR(Baza[[#This Row],[Room]]="ES",Baza[[#This Row],[Room]]="WN"),Baza[[#This Row],[Win]]*1.12,Baza[[#This Row],[Win]])</f>
        <v>0</v>
      </c>
      <c r="Y5" s="45">
        <f>Baza[[#This Row],[WIN$]]+Baza[[#This Row],[KO$]]-Baza[[#This Row],[B$]]</f>
        <v>-2.2000000000000002</v>
      </c>
      <c r="Z5" s="44">
        <f>IF(OR(Baza[[#This Row],[A]]="XP",Baza[[#This Row],[A]]="XP2",Baza[[#This Row],[A]]="F"),AVERAGEIFS(Baza[AFS],Baza[A],"-"),Baza[[#This Row],[GTD]]/Baza[[#This Row],[B]])</f>
        <v>90.909090909090907</v>
      </c>
    </row>
    <row r="6" spans="1:26" ht="9.9499999999999993" customHeight="1" x14ac:dyDescent="0.25">
      <c r="C6" s="35">
        <v>4</v>
      </c>
      <c r="D6" s="41">
        <f>YEAR(Baza[[#This Row],[Date]])</f>
        <v>2021</v>
      </c>
      <c r="E6" s="41">
        <f>WEEKNUM(Baza[[#This Row],[Date]],2)</f>
        <v>1</v>
      </c>
      <c r="F6" s="41" t="str">
        <f>CHOOSE(WEEKDAY(Baza[[#This Row],[Date]],2),"понедельник","вторник","среда","четверг","пятница","суббота","воскресенье")</f>
        <v>пятница</v>
      </c>
      <c r="G6" s="41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6" s="46">
        <v>44197</v>
      </c>
      <c r="I6" s="42">
        <v>0.47916666666666669</v>
      </c>
      <c r="J6" s="43">
        <v>2.1</v>
      </c>
      <c r="K6" s="42" t="s">
        <v>15</v>
      </c>
      <c r="L6" s="43" t="s">
        <v>98</v>
      </c>
      <c r="M6" s="43">
        <v>8</v>
      </c>
      <c r="N6" s="43" t="s">
        <v>71</v>
      </c>
      <c r="O6" s="43" t="s">
        <v>63</v>
      </c>
      <c r="P6" s="44" t="s">
        <v>71</v>
      </c>
      <c r="Q6" s="44">
        <v>1200</v>
      </c>
      <c r="R6" s="45"/>
      <c r="S6" s="43"/>
      <c r="T6" s="43"/>
      <c r="U6" s="43" t="s">
        <v>71</v>
      </c>
      <c r="V6" s="41">
        <f>IF(OR(Baza[[#This Row],[Room]]="ES",Baza[[#This Row],[Room]]="WN"),(Baza[[#This Row],[B]]*1.12) +(Baza[[#This Row],[R]]*Baza[[#This Row],[B]]*1.12),Baza[[#This Row],[B]]*Baza[[#This Row],[R]]+Baza[[#This Row],[B]])</f>
        <v>2.1</v>
      </c>
      <c r="W6" s="45">
        <f>IF(OR(Baza[[#This Row],[Room]]="ES",Baza[[#This Row],[Room]]="WN"),Baza[[#This Row],[KO]]*1.12,Baza[[#This Row],[KO]])</f>
        <v>0</v>
      </c>
      <c r="X6" s="45">
        <f>IF(OR(Baza[[#This Row],[Room]]="ES",Baza[[#This Row],[Room]]="WN"),Baza[[#This Row],[Win]]*1.12,Baza[[#This Row],[Win]])</f>
        <v>0</v>
      </c>
      <c r="Y6" s="45">
        <f>Baza[[#This Row],[WIN$]]+Baza[[#This Row],[KO$]]-Baza[[#This Row],[B$]]</f>
        <v>-2.1</v>
      </c>
      <c r="Z6" s="44">
        <f>IF(OR(Baza[[#This Row],[A]]="XP",Baza[[#This Row],[A]]="XP2",Baza[[#This Row],[A]]="F"),AVERAGEIFS(Baza[AFS],Baza[A],"-"),Baza[[#This Row],[GTD]]/Baza[[#This Row],[B]])</f>
        <v>571.42857142857144</v>
      </c>
    </row>
    <row r="7" spans="1:26" ht="9.9499999999999993" customHeight="1" x14ac:dyDescent="0.25">
      <c r="C7" s="35">
        <v>5</v>
      </c>
      <c r="D7" s="41">
        <f>YEAR(Baza[[#This Row],[Date]])</f>
        <v>2021</v>
      </c>
      <c r="E7" s="41">
        <f>WEEKNUM(Baza[[#This Row],[Date]],2)</f>
        <v>1</v>
      </c>
      <c r="F7" s="41" t="str">
        <f>CHOOSE(WEEKDAY(Baza[[#This Row],[Date]],2),"понедельник","вторник","среда","четверг","пятница","суббота","воскресенье")</f>
        <v>пятница</v>
      </c>
      <c r="G7" s="41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7" s="46">
        <v>44197</v>
      </c>
      <c r="I7" s="42">
        <v>0.5</v>
      </c>
      <c r="J7" s="43">
        <v>1.1000000000000001</v>
      </c>
      <c r="K7" s="42" t="s">
        <v>11</v>
      </c>
      <c r="L7" s="43" t="s">
        <v>145</v>
      </c>
      <c r="M7" s="43">
        <v>8</v>
      </c>
      <c r="N7" s="43" t="s">
        <v>71</v>
      </c>
      <c r="O7" s="43" t="s">
        <v>71</v>
      </c>
      <c r="P7" s="44" t="s">
        <v>71</v>
      </c>
      <c r="Q7" s="44">
        <v>150</v>
      </c>
      <c r="R7" s="45"/>
      <c r="S7" s="43"/>
      <c r="T7" s="43"/>
      <c r="U7" s="43" t="s">
        <v>71</v>
      </c>
      <c r="V7" s="41">
        <f>IF(OR(Baza[[#This Row],[Room]]="ES",Baza[[#This Row],[Room]]="WN"),(Baza[[#This Row],[B]]*1.12) +(Baza[[#This Row],[R]]*Baza[[#This Row],[B]]*1.12),Baza[[#This Row],[B]]*Baza[[#This Row],[R]]+Baza[[#This Row],[B]])</f>
        <v>1.1000000000000001</v>
      </c>
      <c r="W7" s="45">
        <f>IF(OR(Baza[[#This Row],[Room]]="ES",Baza[[#This Row],[Room]]="WN"),Baza[[#This Row],[KO]]*1.12,Baza[[#This Row],[KO]])</f>
        <v>0</v>
      </c>
      <c r="X7" s="45">
        <f>IF(OR(Baza[[#This Row],[Room]]="ES",Baza[[#This Row],[Room]]="WN"),Baza[[#This Row],[Win]]*1.12,Baza[[#This Row],[Win]])</f>
        <v>0</v>
      </c>
      <c r="Y7" s="45">
        <f>Baza[[#This Row],[WIN$]]+Baza[[#This Row],[KO$]]-Baza[[#This Row],[B$]]</f>
        <v>-1.1000000000000001</v>
      </c>
      <c r="Z7" s="44">
        <f>IF(OR(Baza[[#This Row],[A]]="XP",Baza[[#This Row],[A]]="XP2",Baza[[#This Row],[A]]="F"),AVERAGEIFS(Baza[AFS],Baza[A],"-"),Baza[[#This Row],[GTD]]/Baza[[#This Row],[B]])</f>
        <v>136.36363636363635</v>
      </c>
    </row>
    <row r="8" spans="1:26" ht="9.9499999999999993" customHeight="1" x14ac:dyDescent="0.25">
      <c r="C8" s="35">
        <v>6</v>
      </c>
      <c r="D8" s="41">
        <f>YEAR(Baza[[#This Row],[Date]])</f>
        <v>2021</v>
      </c>
      <c r="E8" s="41">
        <f>WEEKNUM(Baza[[#This Row],[Date]],2)</f>
        <v>1</v>
      </c>
      <c r="F8" s="41" t="str">
        <f>CHOOSE(WEEKDAY(Baza[[#This Row],[Date]],2),"понедельник","вторник","среда","четверг","пятница","суббота","воскресенье")</f>
        <v>пятница</v>
      </c>
      <c r="G8" s="41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8" s="46">
        <v>44197</v>
      </c>
      <c r="I8" s="42">
        <v>0.5</v>
      </c>
      <c r="J8" s="43">
        <v>1.1000000000000001</v>
      </c>
      <c r="K8" s="42" t="s">
        <v>4</v>
      </c>
      <c r="L8" s="43" t="s">
        <v>103</v>
      </c>
      <c r="M8" s="43">
        <v>9</v>
      </c>
      <c r="N8" s="43" t="s">
        <v>71</v>
      </c>
      <c r="O8" s="43" t="s">
        <v>71</v>
      </c>
      <c r="P8" s="44" t="s">
        <v>71</v>
      </c>
      <c r="Q8" s="44">
        <v>500</v>
      </c>
      <c r="R8" s="45"/>
      <c r="S8" s="43">
        <v>6.26</v>
      </c>
      <c r="T8" s="43"/>
      <c r="U8" s="43">
        <v>42</v>
      </c>
      <c r="V8" s="41">
        <f>IF(OR(Baza[[#This Row],[Room]]="ES",Baza[[#This Row],[Room]]="WN"),(Baza[[#This Row],[B]]*1.12) +(Baza[[#This Row],[R]]*Baza[[#This Row],[B]]*1.12),Baza[[#This Row],[B]]*Baza[[#This Row],[R]]+Baza[[#This Row],[B]])</f>
        <v>1.1000000000000001</v>
      </c>
      <c r="W8" s="45">
        <f>IF(OR(Baza[[#This Row],[Room]]="ES",Baza[[#This Row],[Room]]="WN"),Baza[[#This Row],[KO]]*1.12,Baza[[#This Row],[KO]])</f>
        <v>0</v>
      </c>
      <c r="X8" s="45">
        <f>IF(OR(Baza[[#This Row],[Room]]="ES",Baza[[#This Row],[Room]]="WN"),Baza[[#This Row],[Win]]*1.12,Baza[[#This Row],[Win]])</f>
        <v>6.26</v>
      </c>
      <c r="Y8" s="45">
        <f>Baza[[#This Row],[WIN$]]+Baza[[#This Row],[KO$]]-Baza[[#This Row],[B$]]</f>
        <v>5.16</v>
      </c>
      <c r="Z8" s="44">
        <f>IF(OR(Baza[[#This Row],[A]]="XP",Baza[[#This Row],[A]]="XP2",Baza[[#This Row],[A]]="F"),AVERAGEIFS(Baza[AFS],Baza[A],"-"),Baza[[#This Row],[GTD]]/Baza[[#This Row],[B]])</f>
        <v>454.5454545454545</v>
      </c>
    </row>
    <row r="9" spans="1:26" ht="9.9499999999999993" customHeight="1" x14ac:dyDescent="0.25">
      <c r="C9" s="35">
        <v>7</v>
      </c>
      <c r="D9" s="41">
        <f>YEAR(Baza[[#This Row],[Date]])</f>
        <v>2021</v>
      </c>
      <c r="E9" s="41">
        <f>WEEKNUM(Baza[[#This Row],[Date]],2)</f>
        <v>1</v>
      </c>
      <c r="F9" s="41" t="str">
        <f>CHOOSE(WEEKDAY(Baza[[#This Row],[Date]],2),"понедельник","вторник","среда","четверг","пятница","суббота","воскресенье")</f>
        <v>пятница</v>
      </c>
      <c r="G9" s="41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9" s="46">
        <v>44197</v>
      </c>
      <c r="I9" s="42">
        <v>0.5</v>
      </c>
      <c r="J9" s="43">
        <v>2</v>
      </c>
      <c r="K9" s="42" t="s">
        <v>10</v>
      </c>
      <c r="L9" s="43" t="s">
        <v>99</v>
      </c>
      <c r="M9" s="43">
        <v>6</v>
      </c>
      <c r="N9" s="43" t="s">
        <v>71</v>
      </c>
      <c r="O9" s="43" t="s">
        <v>71</v>
      </c>
      <c r="P9" s="44" t="s">
        <v>71</v>
      </c>
      <c r="Q9" s="44">
        <v>200</v>
      </c>
      <c r="R9" s="45"/>
      <c r="S9" s="43"/>
      <c r="T9" s="43"/>
      <c r="U9" s="43" t="s">
        <v>71</v>
      </c>
      <c r="V9" s="41">
        <f>IF(OR(Baza[[#This Row],[Room]]="ES",Baza[[#This Row],[Room]]="WN"),(Baza[[#This Row],[B]]*1.12) +(Baza[[#This Row],[R]]*Baza[[#This Row],[B]]*1.12),Baza[[#This Row],[B]]*Baza[[#This Row],[R]]+Baza[[#This Row],[B]])</f>
        <v>2.2400000000000002</v>
      </c>
      <c r="W9" s="45">
        <f>IF(OR(Baza[[#This Row],[Room]]="ES",Baza[[#This Row],[Room]]="WN"),Baza[[#This Row],[KO]]*1.12,Baza[[#This Row],[KO]])</f>
        <v>0</v>
      </c>
      <c r="X9" s="45">
        <f>IF(OR(Baza[[#This Row],[Room]]="ES",Baza[[#This Row],[Room]]="WN"),Baza[[#This Row],[Win]]*1.12,Baza[[#This Row],[Win]])</f>
        <v>0</v>
      </c>
      <c r="Y9" s="45">
        <f>Baza[[#This Row],[WIN$]]+Baza[[#This Row],[KO$]]-Baza[[#This Row],[B$]]</f>
        <v>-2.2400000000000002</v>
      </c>
      <c r="Z9" s="44">
        <f>IF(OR(Baza[[#This Row],[A]]="XP",Baza[[#This Row],[A]]="XP2",Baza[[#This Row],[A]]="F"),AVERAGEIFS(Baza[AFS],Baza[A],"-"),Baza[[#This Row],[GTD]]/Baza[[#This Row],[B]])</f>
        <v>100</v>
      </c>
    </row>
    <row r="10" spans="1:26" ht="9.9499999999999993" customHeight="1" x14ac:dyDescent="0.25">
      <c r="C10" s="35">
        <v>8</v>
      </c>
      <c r="D10" s="41">
        <f>YEAR(Baza[[#This Row],[Date]])</f>
        <v>2021</v>
      </c>
      <c r="E10" s="41">
        <f>WEEKNUM(Baza[[#This Row],[Date]],2)</f>
        <v>1</v>
      </c>
      <c r="F10" s="41" t="str">
        <f>CHOOSE(WEEKDAY(Baza[[#This Row],[Date]],2),"понедельник","вторник","среда","четверг","пятница","суббота","воскресенье")</f>
        <v>пятница</v>
      </c>
      <c r="G10" s="41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10" s="46">
        <v>44197</v>
      </c>
      <c r="I10" s="42">
        <v>0.52083333333333337</v>
      </c>
      <c r="J10" s="43">
        <v>1.05</v>
      </c>
      <c r="K10" s="42" t="s">
        <v>15</v>
      </c>
      <c r="L10" s="43" t="s">
        <v>98</v>
      </c>
      <c r="M10" s="43">
        <v>8</v>
      </c>
      <c r="N10" s="43" t="s">
        <v>71</v>
      </c>
      <c r="O10" s="43" t="s">
        <v>63</v>
      </c>
      <c r="P10" s="44" t="s">
        <v>71</v>
      </c>
      <c r="Q10" s="44">
        <v>750</v>
      </c>
      <c r="R10" s="45">
        <v>5.04</v>
      </c>
      <c r="S10" s="43">
        <v>3.98</v>
      </c>
      <c r="T10" s="43"/>
      <c r="U10" s="43">
        <v>20</v>
      </c>
      <c r="V10" s="41">
        <f>IF(OR(Baza[[#This Row],[Room]]="ES",Baza[[#This Row],[Room]]="WN"),(Baza[[#This Row],[B]]*1.12) +(Baza[[#This Row],[R]]*Baza[[#This Row],[B]]*1.12),Baza[[#This Row],[B]]*Baza[[#This Row],[R]]+Baza[[#This Row],[B]])</f>
        <v>1.05</v>
      </c>
      <c r="W10" s="45">
        <f>IF(OR(Baza[[#This Row],[Room]]="ES",Baza[[#This Row],[Room]]="WN"),Baza[[#This Row],[KO]]*1.12,Baza[[#This Row],[KO]])</f>
        <v>5.04</v>
      </c>
      <c r="X10" s="45">
        <f>IF(OR(Baza[[#This Row],[Room]]="ES",Baza[[#This Row],[Room]]="WN"),Baza[[#This Row],[Win]]*1.12,Baza[[#This Row],[Win]])</f>
        <v>3.98</v>
      </c>
      <c r="Y10" s="45">
        <f>Baza[[#This Row],[WIN$]]+Baza[[#This Row],[KO$]]-Baza[[#This Row],[B$]]</f>
        <v>7.97</v>
      </c>
      <c r="Z10" s="44">
        <f>IF(OR(Baza[[#This Row],[A]]="XP",Baza[[#This Row],[A]]="XP2",Baza[[#This Row],[A]]="F"),AVERAGEIFS(Baza[AFS],Baza[A],"-"),Baza[[#This Row],[GTD]]/Baza[[#This Row],[B]])</f>
        <v>714.28571428571422</v>
      </c>
    </row>
    <row r="11" spans="1:26" ht="9.9499999999999993" customHeight="1" x14ac:dyDescent="0.25">
      <c r="C11" s="35">
        <v>9</v>
      </c>
      <c r="D11" s="41">
        <f>YEAR(Baza[[#This Row],[Date]])</f>
        <v>2021</v>
      </c>
      <c r="E11" s="41">
        <f>WEEKNUM(Baza[[#This Row],[Date]],2)</f>
        <v>1</v>
      </c>
      <c r="F11" s="41" t="str">
        <f>CHOOSE(WEEKDAY(Baza[[#This Row],[Date]],2),"понедельник","вторник","среда","четверг","пятница","суббота","воскресенье")</f>
        <v>пятница</v>
      </c>
      <c r="G11" s="41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11" s="46">
        <v>44197</v>
      </c>
      <c r="I11" s="42">
        <v>0.52083333333333337</v>
      </c>
      <c r="J11" s="43">
        <v>1</v>
      </c>
      <c r="K11" s="42" t="s">
        <v>12</v>
      </c>
      <c r="L11" s="43" t="s">
        <v>100</v>
      </c>
      <c r="M11" s="43">
        <v>9</v>
      </c>
      <c r="N11" s="43" t="s">
        <v>71</v>
      </c>
      <c r="O11" s="43" t="s">
        <v>71</v>
      </c>
      <c r="P11" s="44" t="s">
        <v>71</v>
      </c>
      <c r="Q11" s="44">
        <v>200</v>
      </c>
      <c r="R11" s="45"/>
      <c r="S11" s="43"/>
      <c r="T11" s="43"/>
      <c r="U11" s="43" t="s">
        <v>71</v>
      </c>
      <c r="V11" s="41">
        <f>IF(OR(Baza[[#This Row],[Room]]="ES",Baza[[#This Row],[Room]]="WN"),(Baza[[#This Row],[B]]*1.12) +(Baza[[#This Row],[R]]*Baza[[#This Row],[B]]*1.12),Baza[[#This Row],[B]]*Baza[[#This Row],[R]]+Baza[[#This Row],[B]])</f>
        <v>1</v>
      </c>
      <c r="W11" s="45">
        <f>IF(OR(Baza[[#This Row],[Room]]="ES",Baza[[#This Row],[Room]]="WN"),Baza[[#This Row],[KO]]*1.12,Baza[[#This Row],[KO]])</f>
        <v>0</v>
      </c>
      <c r="X11" s="45">
        <f>IF(OR(Baza[[#This Row],[Room]]="ES",Baza[[#This Row],[Room]]="WN"),Baza[[#This Row],[Win]]*1.12,Baza[[#This Row],[Win]])</f>
        <v>0</v>
      </c>
      <c r="Y11" s="45">
        <f>Baza[[#This Row],[WIN$]]+Baza[[#This Row],[KO$]]-Baza[[#This Row],[B$]]</f>
        <v>-1</v>
      </c>
      <c r="Z11" s="44">
        <f>IF(OR(Baza[[#This Row],[A]]="XP",Baza[[#This Row],[A]]="XP2",Baza[[#This Row],[A]]="F"),AVERAGEIFS(Baza[AFS],Baza[A],"-"),Baza[[#This Row],[GTD]]/Baza[[#This Row],[B]])</f>
        <v>200</v>
      </c>
    </row>
    <row r="12" spans="1:26" ht="9.9499999999999993" customHeight="1" x14ac:dyDescent="0.25">
      <c r="C12" s="35">
        <v>10</v>
      </c>
      <c r="D12" s="41">
        <f>YEAR(Baza[[#This Row],[Date]])</f>
        <v>2021</v>
      </c>
      <c r="E12" s="41">
        <f>WEEKNUM(Baza[[#This Row],[Date]],2)</f>
        <v>1</v>
      </c>
      <c r="F12" s="41" t="str">
        <f>CHOOSE(WEEKDAY(Baza[[#This Row],[Date]],2),"понедельник","вторник","среда","четверг","пятница","суббота","воскресенье")</f>
        <v>пятница</v>
      </c>
      <c r="G12" s="41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12" s="46">
        <v>44197</v>
      </c>
      <c r="I12" s="42">
        <v>0.52083333333333337</v>
      </c>
      <c r="J12" s="43">
        <v>2.2000000000000002</v>
      </c>
      <c r="K12" s="42" t="s">
        <v>11</v>
      </c>
      <c r="L12" s="43" t="s">
        <v>102</v>
      </c>
      <c r="M12" s="43">
        <v>8</v>
      </c>
      <c r="N12" s="43" t="s">
        <v>71</v>
      </c>
      <c r="O12" s="43" t="s">
        <v>63</v>
      </c>
      <c r="P12" s="44" t="s">
        <v>71</v>
      </c>
      <c r="Q12" s="44">
        <v>200</v>
      </c>
      <c r="R12" s="45"/>
      <c r="S12" s="43"/>
      <c r="T12" s="43"/>
      <c r="U12" s="43" t="s">
        <v>71</v>
      </c>
      <c r="V12" s="41">
        <f>IF(OR(Baza[[#This Row],[Room]]="ES",Baza[[#This Row],[Room]]="WN"),(Baza[[#This Row],[B]]*1.12) +(Baza[[#This Row],[R]]*Baza[[#This Row],[B]]*1.12),Baza[[#This Row],[B]]*Baza[[#This Row],[R]]+Baza[[#This Row],[B]])</f>
        <v>2.2000000000000002</v>
      </c>
      <c r="W12" s="45">
        <f>IF(OR(Baza[[#This Row],[Room]]="ES",Baza[[#This Row],[Room]]="WN"),Baza[[#This Row],[KO]]*1.12,Baza[[#This Row],[KO]])</f>
        <v>0</v>
      </c>
      <c r="X12" s="45">
        <f>IF(OR(Baza[[#This Row],[Room]]="ES",Baza[[#This Row],[Room]]="WN"),Baza[[#This Row],[Win]]*1.12,Baza[[#This Row],[Win]])</f>
        <v>0</v>
      </c>
      <c r="Y12" s="45">
        <f>Baza[[#This Row],[WIN$]]+Baza[[#This Row],[KO$]]-Baza[[#This Row],[B$]]</f>
        <v>-2.2000000000000002</v>
      </c>
      <c r="Z12" s="44">
        <f>IF(OR(Baza[[#This Row],[A]]="XP",Baza[[#This Row],[A]]="XP2",Baza[[#This Row],[A]]="F"),AVERAGEIFS(Baza[AFS],Baza[A],"-"),Baza[[#This Row],[GTD]]/Baza[[#This Row],[B]])</f>
        <v>90.909090909090907</v>
      </c>
    </row>
    <row r="13" spans="1:26" ht="9.9499999999999993" customHeight="1" x14ac:dyDescent="0.25">
      <c r="C13" s="35">
        <v>11</v>
      </c>
      <c r="D13" s="41">
        <f>YEAR(Baza[[#This Row],[Date]])</f>
        <v>2021</v>
      </c>
      <c r="E13" s="41">
        <f>WEEKNUM(Baza[[#This Row],[Date]],2)</f>
        <v>1</v>
      </c>
      <c r="F13" s="41" t="str">
        <f>CHOOSE(WEEKDAY(Baza[[#This Row],[Date]],2),"понедельник","вторник","среда","четверг","пятница","суббота","воскресенье")</f>
        <v>пятница</v>
      </c>
      <c r="G13" s="41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13" s="46">
        <v>44197</v>
      </c>
      <c r="I13" s="42">
        <v>0.54166666666666663</v>
      </c>
      <c r="J13" s="43">
        <v>2</v>
      </c>
      <c r="K13" s="42" t="s">
        <v>15</v>
      </c>
      <c r="L13" s="43" t="s">
        <v>103</v>
      </c>
      <c r="M13" s="43">
        <v>8</v>
      </c>
      <c r="N13" s="43" t="s">
        <v>71</v>
      </c>
      <c r="O13" s="43" t="s">
        <v>71</v>
      </c>
      <c r="P13" s="44" t="s">
        <v>71</v>
      </c>
      <c r="Q13" s="44">
        <v>750</v>
      </c>
      <c r="R13" s="45"/>
      <c r="S13" s="43"/>
      <c r="T13" s="43"/>
      <c r="U13" s="43" t="s">
        <v>71</v>
      </c>
      <c r="V13" s="41">
        <f>IF(OR(Baza[[#This Row],[Room]]="ES",Baza[[#This Row],[Room]]="WN"),(Baza[[#This Row],[B]]*1.12) +(Baza[[#This Row],[R]]*Baza[[#This Row],[B]]*1.12),Baza[[#This Row],[B]]*Baza[[#This Row],[R]]+Baza[[#This Row],[B]])</f>
        <v>2</v>
      </c>
      <c r="W13" s="45">
        <f>IF(OR(Baza[[#This Row],[Room]]="ES",Baza[[#This Row],[Room]]="WN"),Baza[[#This Row],[KO]]*1.12,Baza[[#This Row],[KO]])</f>
        <v>0</v>
      </c>
      <c r="X13" s="45">
        <f>IF(OR(Baza[[#This Row],[Room]]="ES",Baza[[#This Row],[Room]]="WN"),Baza[[#This Row],[Win]]*1.12,Baza[[#This Row],[Win]])</f>
        <v>0</v>
      </c>
      <c r="Y13" s="45">
        <f>Baza[[#This Row],[WIN$]]+Baza[[#This Row],[KO$]]-Baza[[#This Row],[B$]]</f>
        <v>-2</v>
      </c>
      <c r="Z13" s="44">
        <f>IF(OR(Baza[[#This Row],[A]]="XP",Baza[[#This Row],[A]]="XP2",Baza[[#This Row],[A]]="F"),AVERAGEIFS(Baza[AFS],Baza[A],"-"),Baza[[#This Row],[GTD]]/Baza[[#This Row],[B]])</f>
        <v>375</v>
      </c>
    </row>
    <row r="14" spans="1:26" ht="9.9499999999999993" customHeight="1" x14ac:dyDescent="0.25">
      <c r="C14" s="35">
        <v>12</v>
      </c>
      <c r="D14" s="41">
        <f>YEAR(Baza[[#This Row],[Date]])</f>
        <v>2021</v>
      </c>
      <c r="E14" s="41">
        <f>WEEKNUM(Baza[[#This Row],[Date]],2)</f>
        <v>1</v>
      </c>
      <c r="F14" s="41" t="str">
        <f>CHOOSE(WEEKDAY(Baza[[#This Row],[Date]],2),"понедельник","вторник","среда","четверг","пятница","суббота","воскресенье")</f>
        <v>пятница</v>
      </c>
      <c r="G14" s="41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14" s="46">
        <v>44197</v>
      </c>
      <c r="I14" s="42">
        <v>0.54166666666666663</v>
      </c>
      <c r="J14" s="43">
        <v>1.1000000000000001</v>
      </c>
      <c r="K14" s="42" t="s">
        <v>11</v>
      </c>
      <c r="L14" s="43" t="s">
        <v>102</v>
      </c>
      <c r="M14" s="43">
        <v>8</v>
      </c>
      <c r="N14" s="43" t="s">
        <v>71</v>
      </c>
      <c r="O14" s="43" t="s">
        <v>63</v>
      </c>
      <c r="P14" s="44" t="s">
        <v>71</v>
      </c>
      <c r="Q14" s="44">
        <v>100</v>
      </c>
      <c r="R14" s="45">
        <v>1.37</v>
      </c>
      <c r="S14" s="43">
        <v>1.25</v>
      </c>
      <c r="T14" s="43"/>
      <c r="U14" s="43">
        <v>18</v>
      </c>
      <c r="V14" s="41">
        <f>IF(OR(Baza[[#This Row],[Room]]="ES",Baza[[#This Row],[Room]]="WN"),(Baza[[#This Row],[B]]*1.12) +(Baza[[#This Row],[R]]*Baza[[#This Row],[B]]*1.12),Baza[[#This Row],[B]]*Baza[[#This Row],[R]]+Baza[[#This Row],[B]])</f>
        <v>1.1000000000000001</v>
      </c>
      <c r="W14" s="45">
        <f>IF(OR(Baza[[#This Row],[Room]]="ES",Baza[[#This Row],[Room]]="WN"),Baza[[#This Row],[KO]]*1.12,Baza[[#This Row],[KO]])</f>
        <v>1.37</v>
      </c>
      <c r="X14" s="45">
        <f>IF(OR(Baza[[#This Row],[Room]]="ES",Baza[[#This Row],[Room]]="WN"),Baza[[#This Row],[Win]]*1.12,Baza[[#This Row],[Win]])</f>
        <v>1.25</v>
      </c>
      <c r="Y14" s="45">
        <f>Baza[[#This Row],[WIN$]]+Baza[[#This Row],[KO$]]-Baza[[#This Row],[B$]]</f>
        <v>1.52</v>
      </c>
      <c r="Z14" s="44">
        <f>IF(OR(Baza[[#This Row],[A]]="XP",Baza[[#This Row],[A]]="XP2",Baza[[#This Row],[A]]="F"),AVERAGEIFS(Baza[AFS],Baza[A],"-"),Baza[[#This Row],[GTD]]/Baza[[#This Row],[B]])</f>
        <v>90.909090909090907</v>
      </c>
    </row>
    <row r="15" spans="1:26" ht="9.9499999999999993" customHeight="1" x14ac:dyDescent="0.25">
      <c r="C15" s="35">
        <v>13</v>
      </c>
      <c r="D15" s="41">
        <f>YEAR(Baza[[#This Row],[Date]])</f>
        <v>2021</v>
      </c>
      <c r="E15" s="41">
        <f>WEEKNUM(Baza[[#This Row],[Date]],2)</f>
        <v>1</v>
      </c>
      <c r="F15" s="41" t="str">
        <f>CHOOSE(WEEKDAY(Baza[[#This Row],[Date]],2),"понедельник","вторник","среда","четверг","пятница","суббота","воскресенье")</f>
        <v>пятница</v>
      </c>
      <c r="G15" s="41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15" s="46">
        <v>44197</v>
      </c>
      <c r="I15" s="42">
        <v>0.58333333333333337</v>
      </c>
      <c r="J15" s="43">
        <v>2.2000000000000002</v>
      </c>
      <c r="K15" s="42" t="s">
        <v>12</v>
      </c>
      <c r="L15" s="43" t="s">
        <v>100</v>
      </c>
      <c r="M15" s="43">
        <v>9</v>
      </c>
      <c r="N15" s="43" t="s">
        <v>71</v>
      </c>
      <c r="O15" s="43" t="s">
        <v>71</v>
      </c>
      <c r="P15" s="44" t="s">
        <v>71</v>
      </c>
      <c r="Q15" s="44">
        <v>500</v>
      </c>
      <c r="R15" s="45"/>
      <c r="S15" s="43"/>
      <c r="T15" s="43"/>
      <c r="U15" s="43" t="s">
        <v>71</v>
      </c>
      <c r="V15" s="41">
        <f>IF(OR(Baza[[#This Row],[Room]]="ES",Baza[[#This Row],[Room]]="WN"),(Baza[[#This Row],[B]]*1.12) +(Baza[[#This Row],[R]]*Baza[[#This Row],[B]]*1.12),Baza[[#This Row],[B]]*Baza[[#This Row],[R]]+Baza[[#This Row],[B]])</f>
        <v>2.2000000000000002</v>
      </c>
      <c r="W15" s="45">
        <f>IF(OR(Baza[[#This Row],[Room]]="ES",Baza[[#This Row],[Room]]="WN"),Baza[[#This Row],[KO]]*1.12,Baza[[#This Row],[KO]])</f>
        <v>0</v>
      </c>
      <c r="X15" s="45">
        <f>IF(OR(Baza[[#This Row],[Room]]="ES",Baza[[#This Row],[Room]]="WN"),Baza[[#This Row],[Win]]*1.12,Baza[[#This Row],[Win]])</f>
        <v>0</v>
      </c>
      <c r="Y15" s="45">
        <f>Baza[[#This Row],[WIN$]]+Baza[[#This Row],[KO$]]-Baza[[#This Row],[B$]]</f>
        <v>-2.2000000000000002</v>
      </c>
      <c r="Z15" s="44">
        <f>IF(OR(Baza[[#This Row],[A]]="XP",Baza[[#This Row],[A]]="XP2",Baza[[#This Row],[A]]="F"),AVERAGEIFS(Baza[AFS],Baza[A],"-"),Baza[[#This Row],[GTD]]/Baza[[#This Row],[B]])</f>
        <v>227.27272727272725</v>
      </c>
    </row>
    <row r="16" spans="1:26" ht="9.9499999999999993" customHeight="1" x14ac:dyDescent="0.25">
      <c r="C16" s="35">
        <v>14</v>
      </c>
      <c r="D16" s="41">
        <f>YEAR(Baza[[#This Row],[Date]])</f>
        <v>2021</v>
      </c>
      <c r="E16" s="41">
        <f>WEEKNUM(Baza[[#This Row],[Date]],2)</f>
        <v>1</v>
      </c>
      <c r="F16" s="41" t="str">
        <f>CHOOSE(WEEKDAY(Baza[[#This Row],[Date]],2),"понедельник","вторник","среда","четверг","пятница","суббота","воскресенье")</f>
        <v>пятница</v>
      </c>
      <c r="G16" s="41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16" s="46">
        <v>44197</v>
      </c>
      <c r="I16" s="42">
        <v>0.59722222222222221</v>
      </c>
      <c r="J16" s="43">
        <v>1.1000000000000001</v>
      </c>
      <c r="K16" s="42" t="s">
        <v>4</v>
      </c>
      <c r="L16" s="43" t="s">
        <v>101</v>
      </c>
      <c r="M16" s="43">
        <v>9</v>
      </c>
      <c r="N16" s="43" t="s">
        <v>71</v>
      </c>
      <c r="O16" s="43" t="s">
        <v>63</v>
      </c>
      <c r="P16" s="44" t="s">
        <v>71</v>
      </c>
      <c r="Q16" s="44">
        <v>2000</v>
      </c>
      <c r="R16" s="45"/>
      <c r="S16" s="43"/>
      <c r="T16" s="43"/>
      <c r="U16" s="43" t="s">
        <v>71</v>
      </c>
      <c r="V16" s="41">
        <f>IF(OR(Baza[[#This Row],[Room]]="ES",Baza[[#This Row],[Room]]="WN"),(Baza[[#This Row],[B]]*1.12) +(Baza[[#This Row],[R]]*Baza[[#This Row],[B]]*1.12),Baza[[#This Row],[B]]*Baza[[#This Row],[R]]+Baza[[#This Row],[B]])</f>
        <v>1.1000000000000001</v>
      </c>
      <c r="W16" s="45">
        <f>IF(OR(Baza[[#This Row],[Room]]="ES",Baza[[#This Row],[Room]]="WN"),Baza[[#This Row],[KO]]*1.12,Baza[[#This Row],[KO]])</f>
        <v>0</v>
      </c>
      <c r="X16" s="45">
        <f>IF(OR(Baza[[#This Row],[Room]]="ES",Baza[[#This Row],[Room]]="WN"),Baza[[#This Row],[Win]]*1.12,Baza[[#This Row],[Win]])</f>
        <v>0</v>
      </c>
      <c r="Y16" s="45">
        <f>Baza[[#This Row],[WIN$]]+Baza[[#This Row],[KO$]]-Baza[[#This Row],[B$]]</f>
        <v>-1.1000000000000001</v>
      </c>
      <c r="Z16" s="44">
        <f>IF(OR(Baza[[#This Row],[A]]="XP",Baza[[#This Row],[A]]="XP2",Baza[[#This Row],[A]]="F"),AVERAGEIFS(Baza[AFS],Baza[A],"-"),Baza[[#This Row],[GTD]]/Baza[[#This Row],[B]])</f>
        <v>1818.181818181818</v>
      </c>
    </row>
    <row r="17" spans="3:26" ht="9.9499999999999993" customHeight="1" x14ac:dyDescent="0.25">
      <c r="C17" s="35">
        <v>15</v>
      </c>
      <c r="D17" s="41">
        <f>YEAR(Baza[[#This Row],[Date]])</f>
        <v>2021</v>
      </c>
      <c r="E17" s="41">
        <f>WEEKNUM(Baza[[#This Row],[Date]],2)</f>
        <v>1</v>
      </c>
      <c r="F17" s="41" t="str">
        <f>CHOOSE(WEEKDAY(Baza[[#This Row],[Date]],2),"понедельник","вторник","среда","четверг","пятница","суббота","воскресенье")</f>
        <v>пятница</v>
      </c>
      <c r="G17" s="41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17" s="46">
        <v>44197</v>
      </c>
      <c r="I17" s="42">
        <v>0.60416666666666663</v>
      </c>
      <c r="J17" s="43">
        <v>1.05</v>
      </c>
      <c r="K17" s="42" t="s">
        <v>15</v>
      </c>
      <c r="L17" s="43" t="s">
        <v>98</v>
      </c>
      <c r="M17" s="43">
        <v>8</v>
      </c>
      <c r="N17" s="43" t="s">
        <v>71</v>
      </c>
      <c r="O17" s="43" t="s">
        <v>63</v>
      </c>
      <c r="P17" s="44" t="s">
        <v>71</v>
      </c>
      <c r="Q17" s="44">
        <v>750</v>
      </c>
      <c r="R17" s="45"/>
      <c r="S17" s="43"/>
      <c r="T17" s="43"/>
      <c r="U17" s="43" t="s">
        <v>71</v>
      </c>
      <c r="V17" s="41">
        <f>IF(OR(Baza[[#This Row],[Room]]="ES",Baza[[#This Row],[Room]]="WN"),(Baza[[#This Row],[B]]*1.12) +(Baza[[#This Row],[R]]*Baza[[#This Row],[B]]*1.12),Baza[[#This Row],[B]]*Baza[[#This Row],[R]]+Baza[[#This Row],[B]])</f>
        <v>1.05</v>
      </c>
      <c r="W17" s="45">
        <f>IF(OR(Baza[[#This Row],[Room]]="ES",Baza[[#This Row],[Room]]="WN"),Baza[[#This Row],[KO]]*1.12,Baza[[#This Row],[KO]])</f>
        <v>0</v>
      </c>
      <c r="X17" s="45">
        <f>IF(OR(Baza[[#This Row],[Room]]="ES",Baza[[#This Row],[Room]]="WN"),Baza[[#This Row],[Win]]*1.12,Baza[[#This Row],[Win]])</f>
        <v>0</v>
      </c>
      <c r="Y17" s="45">
        <f>Baza[[#This Row],[WIN$]]+Baza[[#This Row],[KO$]]-Baza[[#This Row],[B$]]</f>
        <v>-1.05</v>
      </c>
      <c r="Z17" s="44">
        <f>IF(OR(Baza[[#This Row],[A]]="XP",Baza[[#This Row],[A]]="XP2",Baza[[#This Row],[A]]="F"),AVERAGEIFS(Baza[AFS],Baza[A],"-"),Baza[[#This Row],[GTD]]/Baza[[#This Row],[B]])</f>
        <v>714.28571428571422</v>
      </c>
    </row>
    <row r="18" spans="3:26" ht="9.9499999999999993" customHeight="1" x14ac:dyDescent="0.25">
      <c r="C18" s="35">
        <v>16</v>
      </c>
      <c r="D18" s="41">
        <f>YEAR(Baza[[#This Row],[Date]])</f>
        <v>2021</v>
      </c>
      <c r="E18" s="41">
        <f>WEEKNUM(Baza[[#This Row],[Date]],2)</f>
        <v>1</v>
      </c>
      <c r="F18" s="41" t="str">
        <f>CHOOSE(WEEKDAY(Baza[[#This Row],[Date]],2),"понедельник","вторник","среда","четверг","пятница","суббота","воскресенье")</f>
        <v>пятница</v>
      </c>
      <c r="G18" s="41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18" s="46">
        <v>44197</v>
      </c>
      <c r="I18" s="42">
        <v>0.625</v>
      </c>
      <c r="J18" s="43">
        <v>1.1000000000000001</v>
      </c>
      <c r="K18" s="42" t="s">
        <v>11</v>
      </c>
      <c r="L18" s="43" t="s">
        <v>102</v>
      </c>
      <c r="M18" s="43">
        <v>8</v>
      </c>
      <c r="N18" s="43" t="s">
        <v>71</v>
      </c>
      <c r="O18" s="43" t="s">
        <v>63</v>
      </c>
      <c r="P18" s="44" t="s">
        <v>71</v>
      </c>
      <c r="Q18" s="44">
        <v>200</v>
      </c>
      <c r="R18" s="45"/>
      <c r="S18" s="43"/>
      <c r="T18" s="43"/>
      <c r="U18" s="43" t="s">
        <v>71</v>
      </c>
      <c r="V18" s="41">
        <f>IF(OR(Baza[[#This Row],[Room]]="ES",Baza[[#This Row],[Room]]="WN"),(Baza[[#This Row],[B]]*1.12) +(Baza[[#This Row],[R]]*Baza[[#This Row],[B]]*1.12),Baza[[#This Row],[B]]*Baza[[#This Row],[R]]+Baza[[#This Row],[B]])</f>
        <v>1.1000000000000001</v>
      </c>
      <c r="W18" s="45">
        <f>IF(OR(Baza[[#This Row],[Room]]="ES",Baza[[#This Row],[Room]]="WN"),Baza[[#This Row],[KO]]*1.12,Baza[[#This Row],[KO]])</f>
        <v>0</v>
      </c>
      <c r="X18" s="45">
        <f>IF(OR(Baza[[#This Row],[Room]]="ES",Baza[[#This Row],[Room]]="WN"),Baza[[#This Row],[Win]]*1.12,Baza[[#This Row],[Win]])</f>
        <v>0</v>
      </c>
      <c r="Y18" s="45">
        <f>Baza[[#This Row],[WIN$]]+Baza[[#This Row],[KO$]]-Baza[[#This Row],[B$]]</f>
        <v>-1.1000000000000001</v>
      </c>
      <c r="Z18" s="44">
        <f>IF(OR(Baza[[#This Row],[A]]="XP",Baza[[#This Row],[A]]="XP2",Baza[[#This Row],[A]]="F"),AVERAGEIFS(Baza[AFS],Baza[A],"-"),Baza[[#This Row],[GTD]]/Baza[[#This Row],[B]])</f>
        <v>181.81818181818181</v>
      </c>
    </row>
    <row r="19" spans="3:26" ht="9.9499999999999993" customHeight="1" x14ac:dyDescent="0.25">
      <c r="C19" s="35">
        <v>17</v>
      </c>
      <c r="D19" s="41">
        <f>YEAR(Baza[[#This Row],[Date]])</f>
        <v>2021</v>
      </c>
      <c r="E19" s="41">
        <f>WEEKNUM(Baza[[#This Row],[Date]],2)</f>
        <v>1</v>
      </c>
      <c r="F19" s="41" t="str">
        <f>CHOOSE(WEEKDAY(Baza[[#This Row],[Date]],2),"понедельник","вторник","среда","четверг","пятница","суббота","воскресенье")</f>
        <v>пятница</v>
      </c>
      <c r="G19" s="41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19" s="46">
        <v>44197</v>
      </c>
      <c r="I19" s="42">
        <v>0.625</v>
      </c>
      <c r="J19" s="43">
        <v>1.1000000000000001</v>
      </c>
      <c r="K19" s="42" t="s">
        <v>4</v>
      </c>
      <c r="L19" s="43" t="s">
        <v>14</v>
      </c>
      <c r="M19" s="43">
        <v>9</v>
      </c>
      <c r="N19" s="43" t="s">
        <v>71</v>
      </c>
      <c r="O19" s="43" t="s">
        <v>71</v>
      </c>
      <c r="P19" s="44" t="s">
        <v>71</v>
      </c>
      <c r="Q19" s="44">
        <v>750</v>
      </c>
      <c r="R19" s="45"/>
      <c r="S19" s="43">
        <v>6.47</v>
      </c>
      <c r="T19" s="43"/>
      <c r="U19" s="43">
        <v>19</v>
      </c>
      <c r="V19" s="41">
        <f>IF(OR(Baza[[#This Row],[Room]]="ES",Baza[[#This Row],[Room]]="WN"),(Baza[[#This Row],[B]]*1.12) +(Baza[[#This Row],[R]]*Baza[[#This Row],[B]]*1.12),Baza[[#This Row],[B]]*Baza[[#This Row],[R]]+Baza[[#This Row],[B]])</f>
        <v>1.1000000000000001</v>
      </c>
      <c r="W19" s="45">
        <f>IF(OR(Baza[[#This Row],[Room]]="ES",Baza[[#This Row],[Room]]="WN"),Baza[[#This Row],[KO]]*1.12,Baza[[#This Row],[KO]])</f>
        <v>0</v>
      </c>
      <c r="X19" s="45">
        <f>IF(OR(Baza[[#This Row],[Room]]="ES",Baza[[#This Row],[Room]]="WN"),Baza[[#This Row],[Win]]*1.12,Baza[[#This Row],[Win]])</f>
        <v>6.47</v>
      </c>
      <c r="Y19" s="45">
        <f>Baza[[#This Row],[WIN$]]+Baza[[#This Row],[KO$]]-Baza[[#This Row],[B$]]</f>
        <v>5.3699999999999992</v>
      </c>
      <c r="Z19" s="44">
        <f>IF(OR(Baza[[#This Row],[A]]="XP",Baza[[#This Row],[A]]="XP2",Baza[[#This Row],[A]]="F"),AVERAGEIFS(Baza[AFS],Baza[A],"-"),Baza[[#This Row],[GTD]]/Baza[[#This Row],[B]])</f>
        <v>681.81818181818176</v>
      </c>
    </row>
    <row r="20" spans="3:26" ht="9.9499999999999993" customHeight="1" x14ac:dyDescent="0.25">
      <c r="C20" s="35">
        <v>18</v>
      </c>
      <c r="D20" s="41">
        <f>YEAR(Baza[[#This Row],[Date]])</f>
        <v>2021</v>
      </c>
      <c r="E20" s="41">
        <f>WEEKNUM(Baza[[#This Row],[Date]],2)</f>
        <v>1</v>
      </c>
      <c r="F20" s="41" t="str">
        <f>CHOOSE(WEEKDAY(Baza[[#This Row],[Date]],2),"понедельник","вторник","среда","четверг","пятница","суббота","воскресенье")</f>
        <v>пятница</v>
      </c>
      <c r="G20" s="41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20" s="46">
        <v>44197</v>
      </c>
      <c r="I20" s="42">
        <v>0.625</v>
      </c>
      <c r="J20" s="43">
        <v>1</v>
      </c>
      <c r="K20" s="42" t="s">
        <v>10</v>
      </c>
      <c r="L20" s="43" t="s">
        <v>99</v>
      </c>
      <c r="M20" s="43">
        <v>6</v>
      </c>
      <c r="N20" s="43" t="s">
        <v>71</v>
      </c>
      <c r="O20" s="43" t="s">
        <v>71</v>
      </c>
      <c r="P20" s="44" t="s">
        <v>71</v>
      </c>
      <c r="Q20" s="44">
        <v>250</v>
      </c>
      <c r="R20" s="45"/>
      <c r="S20" s="43"/>
      <c r="T20" s="43"/>
      <c r="U20" s="43" t="s">
        <v>71</v>
      </c>
      <c r="V20" s="41">
        <f>IF(OR(Baza[[#This Row],[Room]]="ES",Baza[[#This Row],[Room]]="WN"),(Baza[[#This Row],[B]]*1.12) +(Baza[[#This Row],[R]]*Baza[[#This Row],[B]]*1.12),Baza[[#This Row],[B]]*Baza[[#This Row],[R]]+Baza[[#This Row],[B]])</f>
        <v>1.1200000000000001</v>
      </c>
      <c r="W20" s="45">
        <f>IF(OR(Baza[[#This Row],[Room]]="ES",Baza[[#This Row],[Room]]="WN"),Baza[[#This Row],[KO]]*1.12,Baza[[#This Row],[KO]])</f>
        <v>0</v>
      </c>
      <c r="X20" s="45">
        <f>IF(OR(Baza[[#This Row],[Room]]="ES",Baza[[#This Row],[Room]]="WN"),Baza[[#This Row],[Win]]*1.12,Baza[[#This Row],[Win]])</f>
        <v>0</v>
      </c>
      <c r="Y20" s="45">
        <f>Baza[[#This Row],[WIN$]]+Baza[[#This Row],[KO$]]-Baza[[#This Row],[B$]]</f>
        <v>-1.1200000000000001</v>
      </c>
      <c r="Z20" s="44">
        <f>IF(OR(Baza[[#This Row],[A]]="XP",Baza[[#This Row],[A]]="XP2",Baza[[#This Row],[A]]="F"),AVERAGEIFS(Baza[AFS],Baza[A],"-"),Baza[[#This Row],[GTD]]/Baza[[#This Row],[B]])</f>
        <v>250</v>
      </c>
    </row>
    <row r="21" spans="3:26" ht="9.9499999999999993" customHeight="1" x14ac:dyDescent="0.25">
      <c r="C21" s="35">
        <v>19</v>
      </c>
      <c r="D21" s="41">
        <f>YEAR(Baza[[#This Row],[Date]])</f>
        <v>2021</v>
      </c>
      <c r="E21" s="41">
        <f>WEEKNUM(Baza[[#This Row],[Date]],2)</f>
        <v>1</v>
      </c>
      <c r="F21" s="41" t="str">
        <f>CHOOSE(WEEKDAY(Baza[[#This Row],[Date]],2),"понедельник","вторник","среда","четверг","пятница","суббота","воскресенье")</f>
        <v>пятница</v>
      </c>
      <c r="G21" s="41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21" s="46">
        <v>44197</v>
      </c>
      <c r="I21" s="42">
        <v>0.66666666666666663</v>
      </c>
      <c r="J21" s="43">
        <v>1</v>
      </c>
      <c r="K21" s="42" t="s">
        <v>12</v>
      </c>
      <c r="L21" s="43" t="s">
        <v>150</v>
      </c>
      <c r="M21" s="43">
        <v>6</v>
      </c>
      <c r="N21" s="43" t="s">
        <v>71</v>
      </c>
      <c r="O21" s="43" t="s">
        <v>71</v>
      </c>
      <c r="P21" s="44" t="s">
        <v>71</v>
      </c>
      <c r="Q21" s="44">
        <v>300</v>
      </c>
      <c r="R21" s="45"/>
      <c r="S21" s="43"/>
      <c r="T21" s="43"/>
      <c r="U21" s="43" t="s">
        <v>71</v>
      </c>
      <c r="V21" s="41">
        <f>IF(OR(Baza[[#This Row],[Room]]="ES",Baza[[#This Row],[Room]]="WN"),(Baza[[#This Row],[B]]*1.12) +(Baza[[#This Row],[R]]*Baza[[#This Row],[B]]*1.12),Baza[[#This Row],[B]]*Baza[[#This Row],[R]]+Baza[[#This Row],[B]])</f>
        <v>1</v>
      </c>
      <c r="W21" s="45">
        <f>IF(OR(Baza[[#This Row],[Room]]="ES",Baza[[#This Row],[Room]]="WN"),Baza[[#This Row],[KO]]*1.12,Baza[[#This Row],[KO]])</f>
        <v>0</v>
      </c>
      <c r="X21" s="45">
        <f>IF(OR(Baza[[#This Row],[Room]]="ES",Baza[[#This Row],[Room]]="WN"),Baza[[#This Row],[Win]]*1.12,Baza[[#This Row],[Win]])</f>
        <v>0</v>
      </c>
      <c r="Y21" s="45">
        <f>Baza[[#This Row],[WIN$]]+Baza[[#This Row],[KO$]]-Baza[[#This Row],[B$]]</f>
        <v>-1</v>
      </c>
      <c r="Z21" s="44">
        <f>IF(OR(Baza[[#This Row],[A]]="XP",Baza[[#This Row],[A]]="XP2",Baza[[#This Row],[A]]="F"),AVERAGEIFS(Baza[AFS],Baza[A],"-"),Baza[[#This Row],[GTD]]/Baza[[#This Row],[B]])</f>
        <v>300</v>
      </c>
    </row>
    <row r="22" spans="3:26" ht="9.9499999999999993" customHeight="1" x14ac:dyDescent="0.25">
      <c r="C22" s="35">
        <v>20</v>
      </c>
      <c r="D22" s="41">
        <f>YEAR(Baza[[#This Row],[Date]])</f>
        <v>2021</v>
      </c>
      <c r="E22" s="41">
        <f>WEEKNUM(Baza[[#This Row],[Date]],2)</f>
        <v>1</v>
      </c>
      <c r="F22" s="41" t="str">
        <f>CHOOSE(WEEKDAY(Baza[[#This Row],[Date]],2),"понедельник","вторник","среда","четверг","пятница","суббота","воскресенье")</f>
        <v>пятница</v>
      </c>
      <c r="G22" s="41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22" s="46">
        <v>44197</v>
      </c>
      <c r="I22" s="42">
        <v>0.67708333333333337</v>
      </c>
      <c r="J22" s="43">
        <v>1.1000000000000001</v>
      </c>
      <c r="K22" s="42" t="s">
        <v>12</v>
      </c>
      <c r="L22" s="43" t="s">
        <v>148</v>
      </c>
      <c r="M22" s="43">
        <v>9</v>
      </c>
      <c r="N22" s="43" t="s">
        <v>71</v>
      </c>
      <c r="O22" s="43" t="s">
        <v>63</v>
      </c>
      <c r="P22" s="44" t="s">
        <v>71</v>
      </c>
      <c r="Q22" s="44">
        <v>300</v>
      </c>
      <c r="R22" s="45">
        <v>0.25</v>
      </c>
      <c r="S22" s="43"/>
      <c r="T22" s="43"/>
      <c r="U22" s="43" t="s">
        <v>71</v>
      </c>
      <c r="V22" s="41">
        <f>IF(OR(Baza[[#This Row],[Room]]="ES",Baza[[#This Row],[Room]]="WN"),(Baza[[#This Row],[B]]*1.12) +(Baza[[#This Row],[R]]*Baza[[#This Row],[B]]*1.12),Baza[[#This Row],[B]]*Baza[[#This Row],[R]]+Baza[[#This Row],[B]])</f>
        <v>1.1000000000000001</v>
      </c>
      <c r="W22" s="45">
        <f>IF(OR(Baza[[#This Row],[Room]]="ES",Baza[[#This Row],[Room]]="WN"),Baza[[#This Row],[KO]]*1.12,Baza[[#This Row],[KO]])</f>
        <v>0.25</v>
      </c>
      <c r="X22" s="45">
        <f>IF(OR(Baza[[#This Row],[Room]]="ES",Baza[[#This Row],[Room]]="WN"),Baza[[#This Row],[Win]]*1.12,Baza[[#This Row],[Win]])</f>
        <v>0</v>
      </c>
      <c r="Y22" s="45">
        <f>Baza[[#This Row],[WIN$]]+Baza[[#This Row],[KO$]]-Baza[[#This Row],[B$]]</f>
        <v>-0.85000000000000009</v>
      </c>
      <c r="Z22" s="44">
        <f>IF(OR(Baza[[#This Row],[A]]="XP",Baza[[#This Row],[A]]="XP2",Baza[[#This Row],[A]]="F"),AVERAGEIFS(Baza[AFS],Baza[A],"-"),Baza[[#This Row],[GTD]]/Baza[[#This Row],[B]])</f>
        <v>272.72727272727269</v>
      </c>
    </row>
    <row r="23" spans="3:26" ht="9.9499999999999993" customHeight="1" x14ac:dyDescent="0.25">
      <c r="C23" s="35">
        <v>21</v>
      </c>
      <c r="D23" s="41">
        <f>YEAR(Baza[[#This Row],[Date]])</f>
        <v>2021</v>
      </c>
      <c r="E23" s="41">
        <f>WEEKNUM(Baza[[#This Row],[Date]],2)</f>
        <v>1</v>
      </c>
      <c r="F23" s="41" t="str">
        <f>CHOOSE(WEEKDAY(Baza[[#This Row],[Date]],2),"понедельник","вторник","среда","четверг","пятница","суббота","воскресенье")</f>
        <v>пятница</v>
      </c>
      <c r="G23" s="41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23" s="46">
        <v>44197</v>
      </c>
      <c r="I23" s="42">
        <v>0.67708333333333337</v>
      </c>
      <c r="J23" s="43">
        <v>1.1000000000000001</v>
      </c>
      <c r="K23" s="42" t="s">
        <v>4</v>
      </c>
      <c r="L23" s="43" t="s">
        <v>14</v>
      </c>
      <c r="M23" s="43">
        <v>9</v>
      </c>
      <c r="N23" s="43" t="s">
        <v>71</v>
      </c>
      <c r="O23" s="43" t="s">
        <v>71</v>
      </c>
      <c r="P23" s="44" t="s">
        <v>71</v>
      </c>
      <c r="Q23" s="44">
        <v>1500</v>
      </c>
      <c r="R23" s="45"/>
      <c r="S23" s="43">
        <v>3.97</v>
      </c>
      <c r="T23" s="43"/>
      <c r="U23" s="43">
        <v>145</v>
      </c>
      <c r="V23" s="41">
        <f>IF(OR(Baza[[#This Row],[Room]]="ES",Baza[[#This Row],[Room]]="WN"),(Baza[[#This Row],[B]]*1.12) +(Baza[[#This Row],[R]]*Baza[[#This Row],[B]]*1.12),Baza[[#This Row],[B]]*Baza[[#This Row],[R]]+Baza[[#This Row],[B]])</f>
        <v>1.1000000000000001</v>
      </c>
      <c r="W23" s="45">
        <f>IF(OR(Baza[[#This Row],[Room]]="ES",Baza[[#This Row],[Room]]="WN"),Baza[[#This Row],[KO]]*1.12,Baza[[#This Row],[KO]])</f>
        <v>0</v>
      </c>
      <c r="X23" s="45">
        <f>IF(OR(Baza[[#This Row],[Room]]="ES",Baza[[#This Row],[Room]]="WN"),Baza[[#This Row],[Win]]*1.12,Baza[[#This Row],[Win]])</f>
        <v>3.97</v>
      </c>
      <c r="Y23" s="45">
        <f>Baza[[#This Row],[WIN$]]+Baza[[#This Row],[KO$]]-Baza[[#This Row],[B$]]</f>
        <v>2.87</v>
      </c>
      <c r="Z23" s="44">
        <f>IF(OR(Baza[[#This Row],[A]]="XP",Baza[[#This Row],[A]]="XP2",Baza[[#This Row],[A]]="F"),AVERAGEIFS(Baza[AFS],Baza[A],"-"),Baza[[#This Row],[GTD]]/Baza[[#This Row],[B]])</f>
        <v>1363.6363636363635</v>
      </c>
    </row>
    <row r="24" spans="3:26" ht="9.9499999999999993" customHeight="1" x14ac:dyDescent="0.25">
      <c r="C24" s="35">
        <v>22</v>
      </c>
      <c r="D24" s="35">
        <f>YEAR(Baza[[#This Row],[Date]])</f>
        <v>2021</v>
      </c>
      <c r="E24" s="35">
        <f>WEEKNUM(Baza[[#This Row],[Date]],2)</f>
        <v>1</v>
      </c>
      <c r="F24" s="35" t="str">
        <f>CHOOSE(WEEKDAY(Baza[[#This Row],[Date]],2),"понедельник","вторник","среда","четверг","пятница","суббота","воскресенье")</f>
        <v>пятница</v>
      </c>
      <c r="G24" s="35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24" s="36">
        <v>44197</v>
      </c>
      <c r="I24" s="37">
        <v>0.6875</v>
      </c>
      <c r="J24" s="38">
        <v>2.2000000000000002</v>
      </c>
      <c r="K24" s="37" t="s">
        <v>12</v>
      </c>
      <c r="L24" s="38" t="s">
        <v>100</v>
      </c>
      <c r="M24" s="38">
        <v>9</v>
      </c>
      <c r="N24" s="38" t="s">
        <v>71</v>
      </c>
      <c r="O24" s="38" t="s">
        <v>71</v>
      </c>
      <c r="P24" s="39" t="s">
        <v>71</v>
      </c>
      <c r="Q24" s="39">
        <v>500</v>
      </c>
      <c r="R24" s="40"/>
      <c r="S24" s="38"/>
      <c r="T24" s="38"/>
      <c r="U24" s="38" t="s">
        <v>71</v>
      </c>
      <c r="V24" s="35">
        <f>IF(OR(Baza[[#This Row],[Room]]="ES",Baza[[#This Row],[Room]]="WN"),(Baza[[#This Row],[B]]*1.12) +(Baza[[#This Row],[R]]*Baza[[#This Row],[B]]*1.12),Baza[[#This Row],[B]]*Baza[[#This Row],[R]]+Baza[[#This Row],[B]])</f>
        <v>2.2000000000000002</v>
      </c>
      <c r="W24" s="40">
        <f>IF(OR(Baza[[#This Row],[Room]]="ES",Baza[[#This Row],[Room]]="WN"),Baza[[#This Row],[KO]]*1.12,Baza[[#This Row],[KO]])</f>
        <v>0</v>
      </c>
      <c r="X24" s="40">
        <f>IF(OR(Baza[[#This Row],[Room]]="ES",Baza[[#This Row],[Room]]="WN"),Baza[[#This Row],[Win]]*1.12,Baza[[#This Row],[Win]])</f>
        <v>0</v>
      </c>
      <c r="Y24" s="40">
        <f>Baza[[#This Row],[WIN$]]+Baza[[#This Row],[KO$]]-Baza[[#This Row],[B$]]</f>
        <v>-2.2000000000000002</v>
      </c>
      <c r="Z24" s="39">
        <f>IF(OR(Baza[[#This Row],[A]]="XP",Baza[[#This Row],[A]]="XP2",Baza[[#This Row],[A]]="F"),AVERAGEIFS(Baza[AFS],Baza[A],"-"),Baza[[#This Row],[GTD]]/Baza[[#This Row],[B]])</f>
        <v>227.27272727272725</v>
      </c>
    </row>
  </sheetData>
  <phoneticPr fontId="5" type="noConversion"/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73C55-A08B-4700-86F5-D72147C2317C}">
  <sheetPr codeName="Лист9"/>
  <dimension ref="A1:U773"/>
  <sheetViews>
    <sheetView topLeftCell="A34" zoomScaleNormal="100" workbookViewId="0">
      <selection activeCell="B86" sqref="B86"/>
    </sheetView>
  </sheetViews>
  <sheetFormatPr defaultRowHeight="11.1" customHeight="1" x14ac:dyDescent="0.25"/>
  <cols>
    <col min="1" max="1" width="2.7109375" style="93" customWidth="1"/>
    <col min="2" max="2" width="12.85546875" style="6" customWidth="1"/>
    <col min="3" max="4" width="12.85546875" style="16" hidden="1" customWidth="1"/>
    <col min="5" max="5" width="12.85546875" style="16" customWidth="1"/>
    <col min="6" max="15" width="12" style="16" customWidth="1"/>
    <col min="16" max="16" width="9.140625" style="16"/>
    <col min="17" max="17" width="9.42578125" style="16" customWidth="1"/>
    <col min="18" max="18" width="9.140625" style="16"/>
    <col min="19" max="19" width="5.140625" style="16" customWidth="1"/>
    <col min="20" max="20" width="7.7109375" style="16" customWidth="1"/>
    <col min="21" max="21" width="10.140625" style="16" bestFit="1" customWidth="1"/>
    <col min="22" max="16384" width="9.140625" style="16"/>
  </cols>
  <sheetData>
    <row r="1" spans="1:1" ht="11.1" customHeight="1" x14ac:dyDescent="0.25">
      <c r="A1" s="96">
        <f>COUNTA(B87:B100044)</f>
        <v>1</v>
      </c>
    </row>
    <row r="2" spans="1:1" ht="11.1" customHeight="1" x14ac:dyDescent="0.25">
      <c r="A2" s="96">
        <f>COUNT(D87:D100044)</f>
        <v>294</v>
      </c>
    </row>
    <row r="49" spans="21:21" ht="11.1" customHeight="1" x14ac:dyDescent="0.25">
      <c r="U49" s="131"/>
    </row>
    <row r="83" spans="1:15" ht="3.95" customHeight="1" x14ac:dyDescent="0.25"/>
    <row r="84" spans="1:15" ht="15" customHeight="1" x14ac:dyDescent="0.25">
      <c r="E84" s="119">
        <f>SUM(Data[Games])</f>
        <v>22</v>
      </c>
      <c r="F84" s="122">
        <f>SUM(Data[Buy-in])</f>
        <v>31.38000000000001</v>
      </c>
      <c r="G84" s="122">
        <f>F84/E84</f>
        <v>1.4263636363636367</v>
      </c>
      <c r="H84" s="121">
        <f>AVERAGE(Таблица2[AFS])+(AVERAGE(Таблица2[AFS])*0.2)</f>
        <v>494.00826446280996</v>
      </c>
      <c r="I84" s="121">
        <f>O84/F84*100</f>
        <v>-8.8910133843212513</v>
      </c>
      <c r="J84" s="121">
        <f>COUNTIFS(Таблица2[WIN$],"&gt;0")/E84*100</f>
        <v>22.727272727272727</v>
      </c>
      <c r="K84" s="121">
        <f>IF((COUNTIFS(Таблица2[K],"k")+SUMIFS(Таблица2[R],Таблица2[K],"K"))/E84*100=0,"-",(COUNTIFS(Таблица2[K],"K")+SUMIFS(Таблица2[R],Таблица2[K],"k"))/E84*100)</f>
        <v>40.909090909090914</v>
      </c>
      <c r="L84" s="121" t="str">
        <f>IF((COUNTIFS(Таблица2[T],"t")+SUMIFS(Таблица2[R],Таблица2[T],"t"))/E84*100=0,"-",(COUNTIFS(Таблица2[T],"t")+SUMIFS(Таблица2[R],Таблица2[T],"t"))/E84*100)</f>
        <v>-</v>
      </c>
      <c r="M84" s="122">
        <f>SUM(Data[Bounty])</f>
        <v>6.66</v>
      </c>
      <c r="N84" s="122">
        <f>SUM(Data[WIN])</f>
        <v>21.93</v>
      </c>
      <c r="O84" s="122">
        <f>SUM(Data[PROF])</f>
        <v>-2.7900000000000098</v>
      </c>
    </row>
    <row r="85" spans="1:15" ht="3.95" customHeight="1" x14ac:dyDescent="0.25"/>
    <row r="86" spans="1:15" ht="15" x14ac:dyDescent="0.25">
      <c r="B86" s="56" t="s">
        <v>56</v>
      </c>
      <c r="C86" s="57" t="s">
        <v>79</v>
      </c>
      <c r="D86" s="130" t="s">
        <v>105</v>
      </c>
      <c r="E86" s="58" t="s">
        <v>28</v>
      </c>
      <c r="F86" s="59" t="s">
        <v>2</v>
      </c>
      <c r="G86" s="60" t="s">
        <v>20</v>
      </c>
      <c r="H86" s="60" t="s">
        <v>62</v>
      </c>
      <c r="I86" s="60" t="s">
        <v>21</v>
      </c>
      <c r="J86" s="60" t="s">
        <v>22</v>
      </c>
      <c r="K86" s="60" t="s">
        <v>68</v>
      </c>
      <c r="L86" s="61" t="s">
        <v>66</v>
      </c>
      <c r="M86" s="59" t="s">
        <v>6</v>
      </c>
      <c r="N86" s="59" t="s">
        <v>23</v>
      </c>
      <c r="O86" s="59" t="s">
        <v>27</v>
      </c>
    </row>
    <row r="87" spans="1:15" ht="11.1" customHeight="1" x14ac:dyDescent="0.25">
      <c r="A87" s="93">
        <f>A86+1</f>
        <v>1</v>
      </c>
      <c r="B87" s="52">
        <v>44197</v>
      </c>
      <c r="C87" s="51">
        <v>44197</v>
      </c>
      <c r="D87" s="129">
        <f t="shared" ref="D87:D150" si="0">YEAR(B87)</f>
        <v>2021</v>
      </c>
      <c r="E87" s="94">
        <f>IF(COUNTIFS(Таблица2[Date],B87)+SUMIFS(Таблица2[R],Таблица2[Date],B87)=0,"",COUNTIFS(Таблица2[Date],B87)+SUMIFS(Таблица2[R],Таблица2[Date],B87))</f>
        <v>22</v>
      </c>
      <c r="F87" s="76">
        <f>IF(SUMIFS(Таблица2[B$],Таблица2[Date],B87)=0,"-",SUMIFS(Таблица2[B$],Таблица2[Date],B87))</f>
        <v>31.38000000000001</v>
      </c>
      <c r="G87" s="76">
        <f>IFERROR(F87/E87,"-")</f>
        <v>1.4263636363636367</v>
      </c>
      <c r="H87" s="77">
        <f>IFERROR(AVERAGEIFS(Таблица2[AFS],Таблица2[Date],B87)+(AVERAGEIFS(Таблица2[AFS],Таблица2[Date],B87)*0.2),"-")</f>
        <v>494.00826446280996</v>
      </c>
      <c r="I87" s="77">
        <f>IFERROR(O87/F87*100,"-")</f>
        <v>-8.8910133843212513</v>
      </c>
      <c r="J87" s="77">
        <f>IFERROR(COUNTIFS(Таблица2[Date],B87,Таблица2[WIN$],"&gt;0")/E87*100,"-")</f>
        <v>22.727272727272727</v>
      </c>
      <c r="K87" s="77">
        <f>IF(IFERROR((COUNTIFS(Таблица2[Date],B87,Таблица2[K],"K")+SUMIFS(Таблица2[R],#REF!,B87,Таблица2[K],"K"))/E87*100,"-")=0,"-",IFERROR((COUNTIFS(Таблица2[Date],B87,Таблица2[K],"K")+SUMIFS(Таблица2[R],Таблица2[Date],B87,Таблица2[K],"K"))/E87*100,"-"))</f>
        <v>40.909090909090914</v>
      </c>
      <c r="L87" s="77" t="str">
        <f>IF(IFERROR((COUNTIFS(Таблица2[Date],B87,Таблица2[T],"t")+SUMIFS(Таблица2[R],Таблица2[Date],B87,Таблица2[T],"t"))/E87*100,"-")=0,"-",IFERROR((COUNTIFS(Таблица2[Date],B87,Таблица2[T],"t")+SUMIFS(Таблица2[R],Таблица2[Date],B87,Таблица2[T],"t"))/E87*100,"-"))</f>
        <v>-</v>
      </c>
      <c r="M87" s="76">
        <f>IF(SUMIFS(Таблица2[KO$],Таблица2[Date],B87)=0,"-",SUMIFS(Таблица2[KO$],Таблица2[Date],B87))</f>
        <v>6.66</v>
      </c>
      <c r="N87" s="76">
        <f>IF(SUMIFS(Таблица2[WIN$],Таблица2[Date],B87)=0,"-",SUMIFS(Таблица2[WIN$],Таблица2[Date],B87))</f>
        <v>21.93</v>
      </c>
      <c r="O87" s="76">
        <f>IFERROR(IF(N87="-",0,N87)+IF(M87="-",0,M87)-F87,"-")</f>
        <v>-2.7900000000000098</v>
      </c>
    </row>
    <row r="88" spans="1:15" ht="11.1" customHeight="1" x14ac:dyDescent="0.25">
      <c r="A88" s="93">
        <f t="shared" ref="A88:A151" si="1">A87+1</f>
        <v>2</v>
      </c>
      <c r="B88" s="48"/>
      <c r="C88" s="51" t="e">
        <v>#DIV/0!</v>
      </c>
      <c r="D88" s="117">
        <f t="shared" si="0"/>
        <v>1900</v>
      </c>
      <c r="E88" s="94" t="str">
        <f>IF(COUNTIFS(Таблица2[Date],B88)+SUMIFS(Таблица2[R],Таблица2[Date],B88)=0,"",COUNTIFS(Таблица2[Date],B88)+SUMIFS(Таблица2[R],Таблица2[Date],B88))</f>
        <v/>
      </c>
      <c r="F88" s="76" t="str">
        <f>IF(SUMIFS(Таблица2[B$],Таблица2[Date],B88)=0,"-",SUMIFS(Таблица2[B$],Таблица2[Date],B88))</f>
        <v>-</v>
      </c>
      <c r="G88" s="76" t="str">
        <f t="shared" ref="G88:G150" si="2">IFERROR(F88/E88,"-")</f>
        <v>-</v>
      </c>
      <c r="H88" s="77" t="str">
        <f>IFERROR(AVERAGEIFS(Таблица2[AFS],Таблица2[Date],B88)+(AVERAGEIFS(Таблица2[AFS],Таблица2[Date],B88)*0.2),"-")</f>
        <v>-</v>
      </c>
      <c r="I88" s="77" t="str">
        <f t="shared" ref="I88:I150" si="3">IFERROR(O88/F88*100,"-")</f>
        <v>-</v>
      </c>
      <c r="J88" s="77" t="str">
        <f>IFERROR(COUNTIFS(Таблица2[Date],B88,Таблица2[WIN$],"&gt;0")/E88*100,"-")</f>
        <v>-</v>
      </c>
      <c r="K88" s="77" t="str">
        <f>IF(IFERROR((COUNTIFS(Таблица2[Date],B88,Таблица2[K],"K")+SUMIFS(Таблица2[R],#REF!,B88,Таблица2[K],"K"))/E88*100,"-")=0,"-",IFERROR((COUNTIFS(Таблица2[Date],B88,Таблица2[K],"K")+SUMIFS(Таблица2[R],Таблица2[Date],B88,Таблица2[K],"K"))/E88*100,"-"))</f>
        <v>-</v>
      </c>
      <c r="L88" s="77" t="str">
        <f>IF(IFERROR((COUNTIFS(Таблица2[Date],B88,Таблица2[T],"t")+SUMIFS(Таблица2[R],Таблица2[Date],B88,Таблица2[T],"t"))/E88*100,"-")=0,"-",IFERROR((COUNTIFS(Таблица2[Date],B88,Таблица2[T],"t")+SUMIFS(Таблица2[R],Таблица2[Date],B88,Таблица2[T],"t"))/E88*100,"-"))</f>
        <v>-</v>
      </c>
      <c r="M88" s="76" t="str">
        <f>IF(SUMIFS(Таблица2[KO$],Таблица2[Date],B88)=0,"-",SUMIFS(Таблица2[KO$],Таблица2[Date],B88))</f>
        <v>-</v>
      </c>
      <c r="N88" s="76" t="str">
        <f>IF(SUMIFS(Таблица2[WIN$],Таблица2[Date],B88)=0,"-",SUMIFS(Таблица2[WIN$],Таблица2[Date],B88))</f>
        <v>-</v>
      </c>
      <c r="O88" s="76" t="str">
        <f t="shared" ref="O88:O150" si="4">IFERROR(IF(N88="-",0,N88)+IF(M88="-",0,M88)-F88,"-")</f>
        <v>-</v>
      </c>
    </row>
    <row r="89" spans="1:15" ht="11.1" customHeight="1" x14ac:dyDescent="0.25">
      <c r="A89" s="93">
        <f t="shared" si="1"/>
        <v>3</v>
      </c>
      <c r="B89"/>
      <c r="C89"/>
      <c r="D89" s="117">
        <f t="shared" si="0"/>
        <v>1900</v>
      </c>
      <c r="E89" s="94" t="str">
        <f>IF(COUNTIFS(Таблица2[Date],B89)+SUMIFS(Таблица2[R],Таблица2[Date],B89)=0,"",COUNTIFS(Таблица2[Date],B89)+SUMIFS(Таблица2[R],Таблица2[Date],B89))</f>
        <v/>
      </c>
      <c r="F89" s="76" t="str">
        <f>IF(SUMIFS(Таблица2[B$],Таблица2[Date],B89)=0,"-",SUMIFS(Таблица2[B$],Таблица2[Date],B89))</f>
        <v>-</v>
      </c>
      <c r="G89" s="76" t="str">
        <f t="shared" si="2"/>
        <v>-</v>
      </c>
      <c r="H89" s="77" t="str">
        <f>IFERROR(AVERAGEIFS(Таблица2[AFS],Таблица2[Date],B89)+(AVERAGEIFS(Таблица2[AFS],Таблица2[Date],B89)*0.2),"-")</f>
        <v>-</v>
      </c>
      <c r="I89" s="77" t="str">
        <f t="shared" si="3"/>
        <v>-</v>
      </c>
      <c r="J89" s="77" t="str">
        <f>IFERROR(COUNTIFS(Таблица2[Date],B89,Таблица2[WIN$],"&gt;0")/E89*100,"-")</f>
        <v>-</v>
      </c>
      <c r="K89" s="77" t="str">
        <f>IF(IFERROR((COUNTIFS(Таблица2[Date],B89,Таблица2[K],"K")+SUMIFS(Таблица2[R],#REF!,B89,Таблица2[K],"K"))/E89*100,"-")=0,"-",IFERROR((COUNTIFS(Таблица2[Date],B89,Таблица2[K],"K")+SUMIFS(Таблица2[R],Таблица2[Date],B89,Таблица2[K],"K"))/E89*100,"-"))</f>
        <v>-</v>
      </c>
      <c r="L89" s="77" t="str">
        <f>IF(IFERROR((COUNTIFS(Таблица2[Date],B89,Таблица2[T],"t")+SUMIFS(Таблица2[R],Таблица2[Date],B89,Таблица2[T],"t"))/E89*100,"-")=0,"-",IFERROR((COUNTIFS(Таблица2[Date],B89,Таблица2[T],"t")+SUMIFS(Таблица2[R],Таблица2[Date],B89,Таблица2[T],"t"))/E89*100,"-"))</f>
        <v>-</v>
      </c>
      <c r="M89" s="76" t="str">
        <f>IF(SUMIFS(Таблица2[KO$],Таблица2[Date],B89)=0,"-",SUMIFS(Таблица2[KO$],Таблица2[Date],B89))</f>
        <v>-</v>
      </c>
      <c r="N89" s="76" t="str">
        <f>IF(SUMIFS(Таблица2[WIN$],Таблица2[Date],B89)=0,"-",SUMIFS(Таблица2[WIN$],Таблица2[Date],B89))</f>
        <v>-</v>
      </c>
      <c r="O89" s="76" t="str">
        <f t="shared" si="4"/>
        <v>-</v>
      </c>
    </row>
    <row r="90" spans="1:15" ht="11.1" customHeight="1" x14ac:dyDescent="0.25">
      <c r="A90" s="93">
        <f t="shared" si="1"/>
        <v>4</v>
      </c>
      <c r="B90"/>
      <c r="C90"/>
      <c r="D90" s="117">
        <f t="shared" si="0"/>
        <v>1900</v>
      </c>
      <c r="E90" s="94" t="str">
        <f>IF(COUNTIFS(Таблица2[Date],B90)+SUMIFS(Таблица2[R],Таблица2[Date],B90)=0,"",COUNTIFS(Таблица2[Date],B90)+SUMIFS(Таблица2[R],Таблица2[Date],B90))</f>
        <v/>
      </c>
      <c r="F90" s="76" t="str">
        <f>IF(SUMIFS(Таблица2[B$],Таблица2[Date],B90)=0,"-",SUMIFS(Таблица2[B$],Таблица2[Date],B90))</f>
        <v>-</v>
      </c>
      <c r="G90" s="76" t="str">
        <f t="shared" si="2"/>
        <v>-</v>
      </c>
      <c r="H90" s="77" t="str">
        <f>IFERROR(AVERAGEIFS(Таблица2[AFS],Таблица2[Date],B90)+(AVERAGEIFS(Таблица2[AFS],Таблица2[Date],B90)*0.2),"-")</f>
        <v>-</v>
      </c>
      <c r="I90" s="77" t="str">
        <f t="shared" si="3"/>
        <v>-</v>
      </c>
      <c r="J90" s="77" t="str">
        <f>IFERROR(COUNTIFS(Таблица2[Date],B90,Таблица2[WIN$],"&gt;0")/E90*100,"-")</f>
        <v>-</v>
      </c>
      <c r="K90" s="77" t="str">
        <f>IF(IFERROR((COUNTIFS(Таблица2[Date],B90,Таблица2[K],"K")+SUMIFS(Таблица2[R],#REF!,B90,Таблица2[K],"K"))/E90*100,"-")=0,"-",IFERROR((COUNTIFS(Таблица2[Date],B90,Таблица2[K],"K")+SUMIFS(Таблица2[R],Таблица2[Date],B90,Таблица2[K],"K"))/E90*100,"-"))</f>
        <v>-</v>
      </c>
      <c r="L90" s="77" t="str">
        <f>IF(IFERROR((COUNTIFS(Таблица2[Date],B90,Таблица2[T],"t")+SUMIFS(Таблица2[R],Таблица2[Date],B90,Таблица2[T],"t"))/E90*100,"-")=0,"-",IFERROR((COUNTIFS(Таблица2[Date],B90,Таблица2[T],"t")+SUMIFS(Таблица2[R],Таблица2[Date],B90,Таблица2[T],"t"))/E90*100,"-"))</f>
        <v>-</v>
      </c>
      <c r="M90" s="76" t="str">
        <f>IF(SUMIFS(Таблица2[KO$],Таблица2[Date],B90)=0,"-",SUMIFS(Таблица2[KO$],Таблица2[Date],B90))</f>
        <v>-</v>
      </c>
      <c r="N90" s="76" t="str">
        <f>IF(SUMIFS(Таблица2[WIN$],Таблица2[Date],B90)=0,"-",SUMIFS(Таблица2[WIN$],Таблица2[Date],B90))</f>
        <v>-</v>
      </c>
      <c r="O90" s="76" t="str">
        <f t="shared" si="4"/>
        <v>-</v>
      </c>
    </row>
    <row r="91" spans="1:15" ht="11.1" customHeight="1" x14ac:dyDescent="0.25">
      <c r="A91" s="93">
        <f t="shared" si="1"/>
        <v>5</v>
      </c>
      <c r="B91"/>
      <c r="C91"/>
      <c r="D91" s="117">
        <f t="shared" si="0"/>
        <v>1900</v>
      </c>
      <c r="E91" s="94" t="str">
        <f>IF(COUNTIFS(Таблица2[Date],B91)+SUMIFS(Таблица2[R],Таблица2[Date],B91)=0,"",COUNTIFS(Таблица2[Date],B91)+SUMIFS(Таблица2[R],Таблица2[Date],B91))</f>
        <v/>
      </c>
      <c r="F91" s="76" t="str">
        <f>IF(SUMIFS(Таблица2[B$],Таблица2[Date],B91)=0,"-",SUMIFS(Таблица2[B$],Таблица2[Date],B91))</f>
        <v>-</v>
      </c>
      <c r="G91" s="76" t="str">
        <f t="shared" si="2"/>
        <v>-</v>
      </c>
      <c r="H91" s="77" t="str">
        <f>IFERROR(AVERAGEIFS(Таблица2[AFS],Таблица2[Date],B91)+(AVERAGEIFS(Таблица2[AFS],Таблица2[Date],B91)*0.2),"-")</f>
        <v>-</v>
      </c>
      <c r="I91" s="77" t="str">
        <f t="shared" si="3"/>
        <v>-</v>
      </c>
      <c r="J91" s="77" t="str">
        <f>IFERROR(COUNTIFS(Таблица2[Date],B91,Таблица2[WIN$],"&gt;0")/E91*100,"-")</f>
        <v>-</v>
      </c>
      <c r="K91" s="77" t="str">
        <f>IF(IFERROR((COUNTIFS(Таблица2[Date],B91,Таблица2[K],"K")+SUMIFS(Таблица2[R],#REF!,B91,Таблица2[K],"K"))/E91*100,"-")=0,"-",IFERROR((COUNTIFS(Таблица2[Date],B91,Таблица2[K],"K")+SUMIFS(Таблица2[R],Таблица2[Date],B91,Таблица2[K],"K"))/E91*100,"-"))</f>
        <v>-</v>
      </c>
      <c r="L91" s="77" t="str">
        <f>IF(IFERROR((COUNTIFS(Таблица2[Date],B91,Таблица2[T],"t")+SUMIFS(Таблица2[R],Таблица2[Date],B91,Таблица2[T],"t"))/E91*100,"-")=0,"-",IFERROR((COUNTIFS(Таблица2[Date],B91,Таблица2[T],"t")+SUMIFS(Таблица2[R],Таблица2[Date],B91,Таблица2[T],"t"))/E91*100,"-"))</f>
        <v>-</v>
      </c>
      <c r="M91" s="76" t="str">
        <f>IF(SUMIFS(Таблица2[KO$],Таблица2[Date],B91)=0,"-",SUMIFS(Таблица2[KO$],Таблица2[Date],B91))</f>
        <v>-</v>
      </c>
      <c r="N91" s="76" t="str">
        <f>IF(SUMIFS(Таблица2[WIN$],Таблица2[Date],B91)=0,"-",SUMIFS(Таблица2[WIN$],Таблица2[Date],B91))</f>
        <v>-</v>
      </c>
      <c r="O91" s="76" t="str">
        <f t="shared" si="4"/>
        <v>-</v>
      </c>
    </row>
    <row r="92" spans="1:15" ht="11.1" customHeight="1" x14ac:dyDescent="0.25">
      <c r="A92" s="93">
        <f t="shared" si="1"/>
        <v>6</v>
      </c>
      <c r="B92"/>
      <c r="C92"/>
      <c r="D92" s="117">
        <f t="shared" si="0"/>
        <v>1900</v>
      </c>
      <c r="E92" s="94" t="str">
        <f>IF(COUNTIFS(Таблица2[Date],B92)+SUMIFS(Таблица2[R],Таблица2[Date],B92)=0,"",COUNTIFS(Таблица2[Date],B92)+SUMIFS(Таблица2[R],Таблица2[Date],B92))</f>
        <v/>
      </c>
      <c r="F92" s="76" t="str">
        <f>IF(SUMIFS(Таблица2[B$],Таблица2[Date],B92)=0,"-",SUMIFS(Таблица2[B$],Таблица2[Date],B92))</f>
        <v>-</v>
      </c>
      <c r="G92" s="76" t="str">
        <f t="shared" si="2"/>
        <v>-</v>
      </c>
      <c r="H92" s="77" t="str">
        <f>IFERROR(AVERAGEIFS(Таблица2[AFS],Таблица2[Date],B92)+(AVERAGEIFS(Таблица2[AFS],Таблица2[Date],B92)*0.2),"-")</f>
        <v>-</v>
      </c>
      <c r="I92" s="77" t="str">
        <f t="shared" si="3"/>
        <v>-</v>
      </c>
      <c r="J92" s="77" t="str">
        <f>IFERROR(COUNTIFS(Таблица2[Date],B92,Таблица2[WIN$],"&gt;0")/E92*100,"-")</f>
        <v>-</v>
      </c>
      <c r="K92" s="77" t="str">
        <f>IF(IFERROR((COUNTIFS(Таблица2[Date],B92,Таблица2[K],"K")+SUMIFS(Таблица2[R],#REF!,B92,Таблица2[K],"K"))/E92*100,"-")=0,"-",IFERROR((COUNTIFS(Таблица2[Date],B92,Таблица2[K],"K")+SUMIFS(Таблица2[R],Таблица2[Date],B92,Таблица2[K],"K"))/E92*100,"-"))</f>
        <v>-</v>
      </c>
      <c r="L92" s="77" t="str">
        <f>IF(IFERROR((COUNTIFS(Таблица2[Date],B92,Таблица2[T],"t")+SUMIFS(Таблица2[R],Таблица2[Date],B92,Таблица2[T],"t"))/E92*100,"-")=0,"-",IFERROR((COUNTIFS(Таблица2[Date],B92,Таблица2[T],"t")+SUMIFS(Таблица2[R],Таблица2[Date],B92,Таблица2[T],"t"))/E92*100,"-"))</f>
        <v>-</v>
      </c>
      <c r="M92" s="76" t="str">
        <f>IF(SUMIFS(Таблица2[KO$],Таблица2[Date],B92)=0,"-",SUMIFS(Таблица2[KO$],Таблица2[Date],B92))</f>
        <v>-</v>
      </c>
      <c r="N92" s="76" t="str">
        <f>IF(SUMIFS(Таблица2[WIN$],Таблица2[Date],B92)=0,"-",SUMIFS(Таблица2[WIN$],Таблица2[Date],B92))</f>
        <v>-</v>
      </c>
      <c r="O92" s="76" t="str">
        <f t="shared" si="4"/>
        <v>-</v>
      </c>
    </row>
    <row r="93" spans="1:15" ht="11.1" customHeight="1" x14ac:dyDescent="0.25">
      <c r="A93" s="93">
        <f t="shared" si="1"/>
        <v>7</v>
      </c>
      <c r="B93"/>
      <c r="C93"/>
      <c r="D93" s="117">
        <f t="shared" si="0"/>
        <v>1900</v>
      </c>
      <c r="E93" s="94" t="str">
        <f>IF(COUNTIFS(Таблица2[Date],B93)+SUMIFS(Таблица2[R],Таблица2[Date],B93)=0,"",COUNTIFS(Таблица2[Date],B93)+SUMIFS(Таблица2[R],Таблица2[Date],B93))</f>
        <v/>
      </c>
      <c r="F93" s="76" t="str">
        <f>IF(SUMIFS(Таблица2[B$],Таблица2[Date],B93)=0,"-",SUMIFS(Таблица2[B$],Таблица2[Date],B93))</f>
        <v>-</v>
      </c>
      <c r="G93" s="76" t="str">
        <f t="shared" si="2"/>
        <v>-</v>
      </c>
      <c r="H93" s="77" t="str">
        <f>IFERROR(AVERAGEIFS(Таблица2[AFS],Таблица2[Date],B93)+(AVERAGEIFS(Таблица2[AFS],Таблица2[Date],B93)*0.2),"-")</f>
        <v>-</v>
      </c>
      <c r="I93" s="77" t="str">
        <f t="shared" si="3"/>
        <v>-</v>
      </c>
      <c r="J93" s="77" t="str">
        <f>IFERROR(COUNTIFS(Таблица2[Date],B93,Таблица2[WIN$],"&gt;0")/E93*100,"-")</f>
        <v>-</v>
      </c>
      <c r="K93" s="77" t="str">
        <f>IF(IFERROR((COUNTIFS(Таблица2[Date],B93,Таблица2[K],"K")+SUMIFS(Таблица2[R],#REF!,B93,Таблица2[K],"K"))/E93*100,"-")=0,"-",IFERROR((COUNTIFS(Таблица2[Date],B93,Таблица2[K],"K")+SUMIFS(Таблица2[R],Таблица2[Date],B93,Таблица2[K],"K"))/E93*100,"-"))</f>
        <v>-</v>
      </c>
      <c r="L93" s="77" t="str">
        <f>IF(IFERROR((COUNTIFS(Таблица2[Date],B93,Таблица2[T],"t")+SUMIFS(Таблица2[R],Таблица2[Date],B93,Таблица2[T],"t"))/E93*100,"-")=0,"-",IFERROR((COUNTIFS(Таблица2[Date],B93,Таблица2[T],"t")+SUMIFS(Таблица2[R],Таблица2[Date],B93,Таблица2[T],"t"))/E93*100,"-"))</f>
        <v>-</v>
      </c>
      <c r="M93" s="76" t="str">
        <f>IF(SUMIFS(Таблица2[KO$],Таблица2[Date],B93)=0,"-",SUMIFS(Таблица2[KO$],Таблица2[Date],B93))</f>
        <v>-</v>
      </c>
      <c r="N93" s="76" t="str">
        <f>IF(SUMIFS(Таблица2[WIN$],Таблица2[Date],B93)=0,"-",SUMIFS(Таблица2[WIN$],Таблица2[Date],B93))</f>
        <v>-</v>
      </c>
      <c r="O93" s="76" t="str">
        <f t="shared" si="4"/>
        <v>-</v>
      </c>
    </row>
    <row r="94" spans="1:15" ht="11.1" customHeight="1" x14ac:dyDescent="0.25">
      <c r="A94" s="93">
        <f t="shared" si="1"/>
        <v>8</v>
      </c>
      <c r="B94"/>
      <c r="C94"/>
      <c r="D94" s="117">
        <f t="shared" si="0"/>
        <v>1900</v>
      </c>
      <c r="E94" s="94" t="str">
        <f>IF(COUNTIFS(Таблица2[Date],B94)+SUMIFS(Таблица2[R],Таблица2[Date],B94)=0,"",COUNTIFS(Таблица2[Date],B94)+SUMIFS(Таблица2[R],Таблица2[Date],B94))</f>
        <v/>
      </c>
      <c r="F94" s="76" t="str">
        <f>IF(SUMIFS(Таблица2[B$],Таблица2[Date],B94)=0,"-",SUMIFS(Таблица2[B$],Таблица2[Date],B94))</f>
        <v>-</v>
      </c>
      <c r="G94" s="76" t="str">
        <f t="shared" si="2"/>
        <v>-</v>
      </c>
      <c r="H94" s="77" t="str">
        <f>IFERROR(AVERAGEIFS(Таблица2[AFS],Таблица2[Date],B94)+(AVERAGEIFS(Таблица2[AFS],Таблица2[Date],B94)*0.2),"-")</f>
        <v>-</v>
      </c>
      <c r="I94" s="77" t="str">
        <f t="shared" si="3"/>
        <v>-</v>
      </c>
      <c r="J94" s="77" t="str">
        <f>IFERROR(COUNTIFS(Таблица2[Date],B94,Таблица2[WIN$],"&gt;0")/E94*100,"-")</f>
        <v>-</v>
      </c>
      <c r="K94" s="77" t="str">
        <f>IF(IFERROR((COUNTIFS(Таблица2[Date],B94,Таблица2[K],"K")+SUMIFS(Таблица2[R],#REF!,B94,Таблица2[K],"K"))/E94*100,"-")=0,"-",IFERROR((COUNTIFS(Таблица2[Date],B94,Таблица2[K],"K")+SUMIFS(Таблица2[R],Таблица2[Date],B94,Таблица2[K],"K"))/E94*100,"-"))</f>
        <v>-</v>
      </c>
      <c r="L94" s="77" t="str">
        <f>IF(IFERROR((COUNTIFS(Таблица2[Date],B94,Таблица2[T],"t")+SUMIFS(Таблица2[R],Таблица2[Date],B94,Таблица2[T],"t"))/E94*100,"-")=0,"-",IFERROR((COUNTIFS(Таблица2[Date],B94,Таблица2[T],"t")+SUMIFS(Таблица2[R],Таблица2[Date],B94,Таблица2[T],"t"))/E94*100,"-"))</f>
        <v>-</v>
      </c>
      <c r="M94" s="76" t="str">
        <f>IF(SUMIFS(Таблица2[KO$],Таблица2[Date],B94)=0,"-",SUMIFS(Таблица2[KO$],Таблица2[Date],B94))</f>
        <v>-</v>
      </c>
      <c r="N94" s="76" t="str">
        <f>IF(SUMIFS(Таблица2[WIN$],Таблица2[Date],B94)=0,"-",SUMIFS(Таблица2[WIN$],Таблица2[Date],B94))</f>
        <v>-</v>
      </c>
      <c r="O94" s="76" t="str">
        <f t="shared" si="4"/>
        <v>-</v>
      </c>
    </row>
    <row r="95" spans="1:15" ht="11.1" customHeight="1" x14ac:dyDescent="0.25">
      <c r="A95" s="93">
        <f t="shared" si="1"/>
        <v>9</v>
      </c>
      <c r="B95"/>
      <c r="C95"/>
      <c r="D95" s="117">
        <f t="shared" si="0"/>
        <v>1900</v>
      </c>
      <c r="E95" s="94" t="str">
        <f>IF(COUNTIFS(Таблица2[Date],B95)+SUMIFS(Таблица2[R],Таблица2[Date],B95)=0,"",COUNTIFS(Таблица2[Date],B95)+SUMIFS(Таблица2[R],Таблица2[Date],B95))</f>
        <v/>
      </c>
      <c r="F95" s="76" t="str">
        <f>IF(SUMIFS(Таблица2[B$],Таблица2[Date],B95)=0,"-",SUMIFS(Таблица2[B$],Таблица2[Date],B95))</f>
        <v>-</v>
      </c>
      <c r="G95" s="76" t="str">
        <f t="shared" si="2"/>
        <v>-</v>
      </c>
      <c r="H95" s="77" t="str">
        <f>IFERROR(AVERAGEIFS(Таблица2[AFS],Таблица2[Date],B95)+(AVERAGEIFS(Таблица2[AFS],Таблица2[Date],B95)*0.2),"-")</f>
        <v>-</v>
      </c>
      <c r="I95" s="77" t="str">
        <f t="shared" si="3"/>
        <v>-</v>
      </c>
      <c r="J95" s="77" t="str">
        <f>IFERROR(COUNTIFS(Таблица2[Date],B95,Таблица2[WIN$],"&gt;0")/E95*100,"-")</f>
        <v>-</v>
      </c>
      <c r="K95" s="77" t="str">
        <f>IF(IFERROR((COUNTIFS(Таблица2[Date],B95,Таблица2[K],"K")+SUMIFS(Таблица2[R],#REF!,B95,Таблица2[K],"K"))/E95*100,"-")=0,"-",IFERROR((COUNTIFS(Таблица2[Date],B95,Таблица2[K],"K")+SUMIFS(Таблица2[R],Таблица2[Date],B95,Таблица2[K],"K"))/E95*100,"-"))</f>
        <v>-</v>
      </c>
      <c r="L95" s="77" t="str">
        <f>IF(IFERROR((COUNTIFS(Таблица2[Date],B95,Таблица2[T],"t")+SUMIFS(Таблица2[R],Таблица2[Date],B95,Таблица2[T],"t"))/E95*100,"-")=0,"-",IFERROR((COUNTIFS(Таблица2[Date],B95,Таблица2[T],"t")+SUMIFS(Таблица2[R],Таблица2[Date],B95,Таблица2[T],"t"))/E95*100,"-"))</f>
        <v>-</v>
      </c>
      <c r="M95" s="76" t="str">
        <f>IF(SUMIFS(Таблица2[KO$],Таблица2[Date],B95)=0,"-",SUMIFS(Таблица2[KO$],Таблица2[Date],B95))</f>
        <v>-</v>
      </c>
      <c r="N95" s="76" t="str">
        <f>IF(SUMIFS(Таблица2[WIN$],Таблица2[Date],B95)=0,"-",SUMIFS(Таблица2[WIN$],Таблица2[Date],B95))</f>
        <v>-</v>
      </c>
      <c r="O95" s="76" t="str">
        <f t="shared" si="4"/>
        <v>-</v>
      </c>
    </row>
    <row r="96" spans="1:15" ht="11.1" customHeight="1" x14ac:dyDescent="0.25">
      <c r="A96" s="93">
        <f t="shared" si="1"/>
        <v>10</v>
      </c>
      <c r="B96"/>
      <c r="C96"/>
      <c r="D96" s="117">
        <f t="shared" si="0"/>
        <v>1900</v>
      </c>
      <c r="E96" s="94" t="str">
        <f>IF(COUNTIFS(Таблица2[Date],B96)+SUMIFS(Таблица2[R],Таблица2[Date],B96)=0,"",COUNTIFS(Таблица2[Date],B96)+SUMIFS(Таблица2[R],Таблица2[Date],B96))</f>
        <v/>
      </c>
      <c r="F96" s="76" t="str">
        <f>IF(SUMIFS(Таблица2[B$],Таблица2[Date],B96)=0,"-",SUMIFS(Таблица2[B$],Таблица2[Date],B96))</f>
        <v>-</v>
      </c>
      <c r="G96" s="76" t="str">
        <f t="shared" si="2"/>
        <v>-</v>
      </c>
      <c r="H96" s="77" t="str">
        <f>IFERROR(AVERAGEIFS(Таблица2[AFS],Таблица2[Date],B96)+(AVERAGEIFS(Таблица2[AFS],Таблица2[Date],B96)*0.2),"-")</f>
        <v>-</v>
      </c>
      <c r="I96" s="77" t="str">
        <f t="shared" si="3"/>
        <v>-</v>
      </c>
      <c r="J96" s="77" t="str">
        <f>IFERROR(COUNTIFS(Таблица2[Date],B96,Таблица2[WIN$],"&gt;0")/E96*100,"-")</f>
        <v>-</v>
      </c>
      <c r="K96" s="77" t="str">
        <f>IF(IFERROR((COUNTIFS(Таблица2[Date],B96,Таблица2[K],"K")+SUMIFS(Таблица2[R],#REF!,B96,Таблица2[K],"K"))/E96*100,"-")=0,"-",IFERROR((COUNTIFS(Таблица2[Date],B96,Таблица2[K],"K")+SUMIFS(Таблица2[R],Таблица2[Date],B96,Таблица2[K],"K"))/E96*100,"-"))</f>
        <v>-</v>
      </c>
      <c r="L96" s="77" t="str">
        <f>IF(IFERROR((COUNTIFS(Таблица2[Date],B96,Таблица2[T],"t")+SUMIFS(Таблица2[R],Таблица2[Date],B96,Таблица2[T],"t"))/E96*100,"-")=0,"-",IFERROR((COUNTIFS(Таблица2[Date],B96,Таблица2[T],"t")+SUMIFS(Таблица2[R],Таблица2[Date],B96,Таблица2[T],"t"))/E96*100,"-"))</f>
        <v>-</v>
      </c>
      <c r="M96" s="76" t="str">
        <f>IF(SUMIFS(Таблица2[KO$],Таблица2[Date],B96)=0,"-",SUMIFS(Таблица2[KO$],Таблица2[Date],B96))</f>
        <v>-</v>
      </c>
      <c r="N96" s="76" t="str">
        <f>IF(SUMIFS(Таблица2[WIN$],Таблица2[Date],B96)=0,"-",SUMIFS(Таблица2[WIN$],Таблица2[Date],B96))</f>
        <v>-</v>
      </c>
      <c r="O96" s="76" t="str">
        <f t="shared" si="4"/>
        <v>-</v>
      </c>
    </row>
    <row r="97" spans="1:15" ht="11.1" customHeight="1" x14ac:dyDescent="0.25">
      <c r="A97" s="93">
        <f t="shared" si="1"/>
        <v>11</v>
      </c>
      <c r="B97"/>
      <c r="C97"/>
      <c r="D97" s="117">
        <f t="shared" si="0"/>
        <v>1900</v>
      </c>
      <c r="E97" s="94" t="str">
        <f>IF(COUNTIFS(Таблица2[Date],B97)+SUMIFS(Таблица2[R],Таблица2[Date],B97)=0,"",COUNTIFS(Таблица2[Date],B97)+SUMIFS(Таблица2[R],Таблица2[Date],B97))</f>
        <v/>
      </c>
      <c r="F97" s="76" t="str">
        <f>IF(SUMIFS(Таблица2[B$],Таблица2[Date],B97)=0,"-",SUMIFS(Таблица2[B$],Таблица2[Date],B97))</f>
        <v>-</v>
      </c>
      <c r="G97" s="76" t="str">
        <f t="shared" si="2"/>
        <v>-</v>
      </c>
      <c r="H97" s="77" t="str">
        <f>IFERROR(AVERAGEIFS(Таблица2[AFS],Таблица2[Date],B97)+(AVERAGEIFS(Таблица2[AFS],Таблица2[Date],B97)*0.2),"-")</f>
        <v>-</v>
      </c>
      <c r="I97" s="77" t="str">
        <f t="shared" si="3"/>
        <v>-</v>
      </c>
      <c r="J97" s="77" t="str">
        <f>IFERROR(COUNTIFS(Таблица2[Date],B97,Таблица2[WIN$],"&gt;0")/E97*100,"-")</f>
        <v>-</v>
      </c>
      <c r="K97" s="77" t="str">
        <f>IF(IFERROR((COUNTIFS(Таблица2[Date],B97,Таблица2[K],"K")+SUMIFS(Таблица2[R],#REF!,B97,Таблица2[K],"K"))/E97*100,"-")=0,"-",IFERROR((COUNTIFS(Таблица2[Date],B97,Таблица2[K],"K")+SUMIFS(Таблица2[R],Таблица2[Date],B97,Таблица2[K],"K"))/E97*100,"-"))</f>
        <v>-</v>
      </c>
      <c r="L97" s="77" t="str">
        <f>IF(IFERROR((COUNTIFS(Таблица2[Date],B97,Таблица2[T],"t")+SUMIFS(Таблица2[R],Таблица2[Date],B97,Таблица2[T],"t"))/E97*100,"-")=0,"-",IFERROR((COUNTIFS(Таблица2[Date],B97,Таблица2[T],"t")+SUMIFS(Таблица2[R],Таблица2[Date],B97,Таблица2[T],"t"))/E97*100,"-"))</f>
        <v>-</v>
      </c>
      <c r="M97" s="76" t="str">
        <f>IF(SUMIFS(Таблица2[KO$],Таблица2[Date],B97)=0,"-",SUMIFS(Таблица2[KO$],Таблица2[Date],B97))</f>
        <v>-</v>
      </c>
      <c r="N97" s="76" t="str">
        <f>IF(SUMIFS(Таблица2[WIN$],Таблица2[Date],B97)=0,"-",SUMIFS(Таблица2[WIN$],Таблица2[Date],B97))</f>
        <v>-</v>
      </c>
      <c r="O97" s="76" t="str">
        <f t="shared" si="4"/>
        <v>-</v>
      </c>
    </row>
    <row r="98" spans="1:15" ht="11.1" customHeight="1" x14ac:dyDescent="0.25">
      <c r="A98" s="93">
        <f t="shared" si="1"/>
        <v>12</v>
      </c>
      <c r="B98"/>
      <c r="C98"/>
      <c r="D98" s="117">
        <f t="shared" si="0"/>
        <v>1900</v>
      </c>
      <c r="E98" s="94" t="str">
        <f>IF(COUNTIFS(Таблица2[Date],B98)+SUMIFS(Таблица2[R],Таблица2[Date],B98)=0,"",COUNTIFS(Таблица2[Date],B98)+SUMIFS(Таблица2[R],Таблица2[Date],B98))</f>
        <v/>
      </c>
      <c r="F98" s="76" t="str">
        <f>IF(SUMIFS(Таблица2[B$],Таблица2[Date],B98)=0,"-",SUMIFS(Таблица2[B$],Таблица2[Date],B98))</f>
        <v>-</v>
      </c>
      <c r="G98" s="76" t="str">
        <f t="shared" si="2"/>
        <v>-</v>
      </c>
      <c r="H98" s="77" t="str">
        <f>IFERROR(AVERAGEIFS(Таблица2[AFS],Таблица2[Date],B98)+(AVERAGEIFS(Таблица2[AFS],Таблица2[Date],B98)*0.2),"-")</f>
        <v>-</v>
      </c>
      <c r="I98" s="77" t="str">
        <f t="shared" si="3"/>
        <v>-</v>
      </c>
      <c r="J98" s="77" t="str">
        <f>IFERROR(COUNTIFS(Таблица2[Date],B98,Таблица2[WIN$],"&gt;0")/E98*100,"-")</f>
        <v>-</v>
      </c>
      <c r="K98" s="77" t="str">
        <f>IF(IFERROR((COUNTIFS(Таблица2[Date],B98,Таблица2[K],"K")+SUMIFS(Таблица2[R],#REF!,B98,Таблица2[K],"K"))/E98*100,"-")=0,"-",IFERROR((COUNTIFS(Таблица2[Date],B98,Таблица2[K],"K")+SUMIFS(Таблица2[R],Таблица2[Date],B98,Таблица2[K],"K"))/E98*100,"-"))</f>
        <v>-</v>
      </c>
      <c r="L98" s="77" t="str">
        <f>IF(IFERROR((COUNTIFS(Таблица2[Date],B98,Таблица2[T],"t")+SUMIFS(Таблица2[R],Таблица2[Date],B98,Таблица2[T],"t"))/E98*100,"-")=0,"-",IFERROR((COUNTIFS(Таблица2[Date],B98,Таблица2[T],"t")+SUMIFS(Таблица2[R],Таблица2[Date],B98,Таблица2[T],"t"))/E98*100,"-"))</f>
        <v>-</v>
      </c>
      <c r="M98" s="76" t="str">
        <f>IF(SUMIFS(Таблица2[KO$],Таблица2[Date],B98)=0,"-",SUMIFS(Таблица2[KO$],Таблица2[Date],B98))</f>
        <v>-</v>
      </c>
      <c r="N98" s="76" t="str">
        <f>IF(SUMIFS(Таблица2[WIN$],Таблица2[Date],B98)=0,"-",SUMIFS(Таблица2[WIN$],Таблица2[Date],B98))</f>
        <v>-</v>
      </c>
      <c r="O98" s="76" t="str">
        <f t="shared" si="4"/>
        <v>-</v>
      </c>
    </row>
    <row r="99" spans="1:15" ht="11.1" customHeight="1" x14ac:dyDescent="0.25">
      <c r="A99" s="93">
        <f t="shared" si="1"/>
        <v>13</v>
      </c>
      <c r="B99"/>
      <c r="C99"/>
      <c r="D99" s="117">
        <f t="shared" si="0"/>
        <v>1900</v>
      </c>
      <c r="E99" s="94" t="str">
        <f>IF(COUNTIFS(Таблица2[Date],B99)+SUMIFS(Таблица2[R],Таблица2[Date],B99)=0,"",COUNTIFS(Таблица2[Date],B99)+SUMIFS(Таблица2[R],Таблица2[Date],B99))</f>
        <v/>
      </c>
      <c r="F99" s="76" t="str">
        <f>IF(SUMIFS(Таблица2[B$],Таблица2[Date],B99)=0,"-",SUMIFS(Таблица2[B$],Таблица2[Date],B99))</f>
        <v>-</v>
      </c>
      <c r="G99" s="76" t="str">
        <f t="shared" si="2"/>
        <v>-</v>
      </c>
      <c r="H99" s="77" t="str">
        <f>IFERROR(AVERAGEIFS(Таблица2[AFS],Таблица2[Date],B99)+(AVERAGEIFS(Таблица2[AFS],Таблица2[Date],B99)*0.2),"-")</f>
        <v>-</v>
      </c>
      <c r="I99" s="77" t="str">
        <f t="shared" si="3"/>
        <v>-</v>
      </c>
      <c r="J99" s="77" t="str">
        <f>IFERROR(COUNTIFS(Таблица2[Date],B99,Таблица2[WIN$],"&gt;0")/E99*100,"-")</f>
        <v>-</v>
      </c>
      <c r="K99" s="77" t="str">
        <f>IF(IFERROR((COUNTIFS(Таблица2[Date],B99,Таблица2[K],"K")+SUMIFS(Таблица2[R],#REF!,B99,Таблица2[K],"K"))/E99*100,"-")=0,"-",IFERROR((COUNTIFS(Таблица2[Date],B99,Таблица2[K],"K")+SUMIFS(Таблица2[R],Таблица2[Date],B99,Таблица2[K],"K"))/E99*100,"-"))</f>
        <v>-</v>
      </c>
      <c r="L99" s="77" t="str">
        <f>IF(IFERROR((COUNTIFS(Таблица2[Date],B99,Таблица2[T],"t")+SUMIFS(Таблица2[R],Таблица2[Date],B99,Таблица2[T],"t"))/E99*100,"-")=0,"-",IFERROR((COUNTIFS(Таблица2[Date],B99,Таблица2[T],"t")+SUMIFS(Таблица2[R],Таблица2[Date],B99,Таблица2[T],"t"))/E99*100,"-"))</f>
        <v>-</v>
      </c>
      <c r="M99" s="76" t="str">
        <f>IF(SUMIFS(Таблица2[KO$],Таблица2[Date],B99)=0,"-",SUMIFS(Таблица2[KO$],Таблица2[Date],B99))</f>
        <v>-</v>
      </c>
      <c r="N99" s="76" t="str">
        <f>IF(SUMIFS(Таблица2[WIN$],Таблица2[Date],B99)=0,"-",SUMIFS(Таблица2[WIN$],Таблица2[Date],B99))</f>
        <v>-</v>
      </c>
      <c r="O99" s="76" t="str">
        <f t="shared" si="4"/>
        <v>-</v>
      </c>
    </row>
    <row r="100" spans="1:15" ht="11.1" customHeight="1" x14ac:dyDescent="0.25">
      <c r="A100" s="93">
        <f t="shared" si="1"/>
        <v>14</v>
      </c>
      <c r="B100"/>
      <c r="C100"/>
      <c r="D100" s="117">
        <f t="shared" si="0"/>
        <v>1900</v>
      </c>
      <c r="E100" s="94" t="str">
        <f>IF(COUNTIFS(Таблица2[Date],B100)+SUMIFS(Таблица2[R],Таблица2[Date],B100)=0,"",COUNTIFS(Таблица2[Date],B100)+SUMIFS(Таблица2[R],Таблица2[Date],B100))</f>
        <v/>
      </c>
      <c r="F100" s="76" t="str">
        <f>IF(SUMIFS(Таблица2[B$],Таблица2[Date],B100)=0,"-",SUMIFS(Таблица2[B$],Таблица2[Date],B100))</f>
        <v>-</v>
      </c>
      <c r="G100" s="76" t="str">
        <f t="shared" si="2"/>
        <v>-</v>
      </c>
      <c r="H100" s="77" t="str">
        <f>IFERROR(AVERAGEIFS(Таблица2[AFS],Таблица2[Date],B100)+(AVERAGEIFS(Таблица2[AFS],Таблица2[Date],B100)*0.2),"-")</f>
        <v>-</v>
      </c>
      <c r="I100" s="77" t="str">
        <f t="shared" si="3"/>
        <v>-</v>
      </c>
      <c r="J100" s="77" t="str">
        <f>IFERROR(COUNTIFS(Таблица2[Date],B100,Таблица2[WIN$],"&gt;0")/E100*100,"-")</f>
        <v>-</v>
      </c>
      <c r="K100" s="77" t="str">
        <f>IF(IFERROR((COUNTIFS(Таблица2[Date],B100,Таблица2[K],"K")+SUMIFS(Таблица2[R],#REF!,B100,Таблица2[K],"K"))/E100*100,"-")=0,"-",IFERROR((COUNTIFS(Таблица2[Date],B100,Таблица2[K],"K")+SUMIFS(Таблица2[R],Таблица2[Date],B100,Таблица2[K],"K"))/E100*100,"-"))</f>
        <v>-</v>
      </c>
      <c r="L100" s="77" t="str">
        <f>IF(IFERROR((COUNTIFS(Таблица2[Date],B100,Таблица2[T],"t")+SUMIFS(Таблица2[R],Таблица2[Date],B100,Таблица2[T],"t"))/E100*100,"-")=0,"-",IFERROR((COUNTIFS(Таблица2[Date],B100,Таблица2[T],"t")+SUMIFS(Таблица2[R],Таблица2[Date],B100,Таблица2[T],"t"))/E100*100,"-"))</f>
        <v>-</v>
      </c>
      <c r="M100" s="76" t="str">
        <f>IF(SUMIFS(Таблица2[KO$],Таблица2[Date],B100)=0,"-",SUMIFS(Таблица2[KO$],Таблица2[Date],B100))</f>
        <v>-</v>
      </c>
      <c r="N100" s="76" t="str">
        <f>IF(SUMIFS(Таблица2[WIN$],Таблица2[Date],B100)=0,"-",SUMIFS(Таблица2[WIN$],Таблица2[Date],B100))</f>
        <v>-</v>
      </c>
      <c r="O100" s="76" t="str">
        <f t="shared" si="4"/>
        <v>-</v>
      </c>
    </row>
    <row r="101" spans="1:15" ht="11.1" customHeight="1" x14ac:dyDescent="0.25">
      <c r="A101" s="93">
        <f t="shared" si="1"/>
        <v>15</v>
      </c>
      <c r="B101"/>
      <c r="C101"/>
      <c r="D101" s="117">
        <f t="shared" si="0"/>
        <v>1900</v>
      </c>
      <c r="E101" s="94" t="str">
        <f>IF(COUNTIFS(Таблица2[Date],B101)+SUMIFS(Таблица2[R],Таблица2[Date],B101)=0,"",COUNTIFS(Таблица2[Date],B101)+SUMIFS(Таблица2[R],Таблица2[Date],B101))</f>
        <v/>
      </c>
      <c r="F101" s="76" t="str">
        <f>IF(SUMIFS(Таблица2[B$],Таблица2[Date],B101)=0,"-",SUMIFS(Таблица2[B$],Таблица2[Date],B101))</f>
        <v>-</v>
      </c>
      <c r="G101" s="76" t="str">
        <f t="shared" si="2"/>
        <v>-</v>
      </c>
      <c r="H101" s="77" t="str">
        <f>IFERROR(AVERAGEIFS(Таблица2[AFS],Таблица2[Date],B101)+(AVERAGEIFS(Таблица2[AFS],Таблица2[Date],B101)*0.2),"-")</f>
        <v>-</v>
      </c>
      <c r="I101" s="77" t="str">
        <f t="shared" si="3"/>
        <v>-</v>
      </c>
      <c r="J101" s="77" t="str">
        <f>IFERROR(COUNTIFS(Таблица2[Date],B101,Таблица2[WIN$],"&gt;0")/E101*100,"-")</f>
        <v>-</v>
      </c>
      <c r="K101" s="77" t="str">
        <f>IF(IFERROR((COUNTIFS(Таблица2[Date],B101,Таблица2[K],"K")+SUMIFS(Таблица2[R],#REF!,B101,Таблица2[K],"K"))/E101*100,"-")=0,"-",IFERROR((COUNTIFS(Таблица2[Date],B101,Таблица2[K],"K")+SUMIFS(Таблица2[R],Таблица2[Date],B101,Таблица2[K],"K"))/E101*100,"-"))</f>
        <v>-</v>
      </c>
      <c r="L101" s="77" t="str">
        <f>IF(IFERROR((COUNTIFS(Таблица2[Date],B101,Таблица2[T],"t")+SUMIFS(Таблица2[R],Таблица2[Date],B101,Таблица2[T],"t"))/E101*100,"-")=0,"-",IFERROR((COUNTIFS(Таблица2[Date],B101,Таблица2[T],"t")+SUMIFS(Таблица2[R],Таблица2[Date],B101,Таблица2[T],"t"))/E101*100,"-"))</f>
        <v>-</v>
      </c>
      <c r="M101" s="76" t="str">
        <f>IF(SUMIFS(Таблица2[KO$],Таблица2[Date],B101)=0,"-",SUMIFS(Таблица2[KO$],Таблица2[Date],B101))</f>
        <v>-</v>
      </c>
      <c r="N101" s="76" t="str">
        <f>IF(SUMIFS(Таблица2[WIN$],Таблица2[Date],B101)=0,"-",SUMIFS(Таблица2[WIN$],Таблица2[Date],B101))</f>
        <v>-</v>
      </c>
      <c r="O101" s="76" t="str">
        <f t="shared" si="4"/>
        <v>-</v>
      </c>
    </row>
    <row r="102" spans="1:15" ht="11.1" customHeight="1" x14ac:dyDescent="0.25">
      <c r="A102" s="93">
        <f t="shared" si="1"/>
        <v>16</v>
      </c>
      <c r="B102"/>
      <c r="C102"/>
      <c r="D102" s="117">
        <f t="shared" si="0"/>
        <v>1900</v>
      </c>
      <c r="E102" s="94" t="str">
        <f>IF(COUNTIFS(Таблица2[Date],B102)+SUMIFS(Таблица2[R],Таблица2[Date],B102)=0,"",COUNTIFS(Таблица2[Date],B102)+SUMIFS(Таблица2[R],Таблица2[Date],B102))</f>
        <v/>
      </c>
      <c r="F102" s="76" t="str">
        <f>IF(SUMIFS(Таблица2[B$],Таблица2[Date],B102)=0,"-",SUMIFS(Таблица2[B$],Таблица2[Date],B102))</f>
        <v>-</v>
      </c>
      <c r="G102" s="76" t="str">
        <f t="shared" si="2"/>
        <v>-</v>
      </c>
      <c r="H102" s="77" t="str">
        <f>IFERROR(AVERAGEIFS(Таблица2[AFS],Таблица2[Date],B102)+(AVERAGEIFS(Таблица2[AFS],Таблица2[Date],B102)*0.2),"-")</f>
        <v>-</v>
      </c>
      <c r="I102" s="77" t="str">
        <f t="shared" si="3"/>
        <v>-</v>
      </c>
      <c r="J102" s="77" t="str">
        <f>IFERROR(COUNTIFS(Таблица2[Date],B102,Таблица2[WIN$],"&gt;0")/E102*100,"-")</f>
        <v>-</v>
      </c>
      <c r="K102" s="77" t="str">
        <f>IF(IFERROR((COUNTIFS(Таблица2[Date],B102,Таблица2[K],"K")+SUMIFS(Таблица2[R],#REF!,B102,Таблица2[K],"K"))/E102*100,"-")=0,"-",IFERROR((COUNTIFS(Таблица2[Date],B102,Таблица2[K],"K")+SUMIFS(Таблица2[R],Таблица2[Date],B102,Таблица2[K],"K"))/E102*100,"-"))</f>
        <v>-</v>
      </c>
      <c r="L102" s="77" t="str">
        <f>IF(IFERROR((COUNTIFS(Таблица2[Date],B102,Таблица2[T],"t")+SUMIFS(Таблица2[R],Таблица2[Date],B102,Таблица2[T],"t"))/E102*100,"-")=0,"-",IFERROR((COUNTIFS(Таблица2[Date],B102,Таблица2[T],"t")+SUMIFS(Таблица2[R],Таблица2[Date],B102,Таблица2[T],"t"))/E102*100,"-"))</f>
        <v>-</v>
      </c>
      <c r="M102" s="76" t="str">
        <f>IF(SUMIFS(Таблица2[KO$],Таблица2[Date],B102)=0,"-",SUMIFS(Таблица2[KO$],Таблица2[Date],B102))</f>
        <v>-</v>
      </c>
      <c r="N102" s="76" t="str">
        <f>IF(SUMIFS(Таблица2[WIN$],Таблица2[Date],B102)=0,"-",SUMIFS(Таблица2[WIN$],Таблица2[Date],B102))</f>
        <v>-</v>
      </c>
      <c r="O102" s="76" t="str">
        <f t="shared" si="4"/>
        <v>-</v>
      </c>
    </row>
    <row r="103" spans="1:15" ht="11.1" customHeight="1" x14ac:dyDescent="0.25">
      <c r="A103" s="93">
        <f t="shared" si="1"/>
        <v>17</v>
      </c>
      <c r="B103"/>
      <c r="C103"/>
      <c r="D103" s="117">
        <f t="shared" si="0"/>
        <v>1900</v>
      </c>
      <c r="E103" s="94" t="str">
        <f>IF(COUNTIFS(Таблица2[Date],B103)+SUMIFS(Таблица2[R],Таблица2[Date],B103)=0,"",COUNTIFS(Таблица2[Date],B103)+SUMIFS(Таблица2[R],Таблица2[Date],B103))</f>
        <v/>
      </c>
      <c r="F103" s="76" t="str">
        <f>IF(SUMIFS(Таблица2[B$],Таблица2[Date],B103)=0,"-",SUMIFS(Таблица2[B$],Таблица2[Date],B103))</f>
        <v>-</v>
      </c>
      <c r="G103" s="76" t="str">
        <f t="shared" si="2"/>
        <v>-</v>
      </c>
      <c r="H103" s="77" t="str">
        <f>IFERROR(AVERAGEIFS(Таблица2[AFS],Таблица2[Date],B103)+(AVERAGEIFS(Таблица2[AFS],Таблица2[Date],B103)*0.2),"-")</f>
        <v>-</v>
      </c>
      <c r="I103" s="77" t="str">
        <f t="shared" si="3"/>
        <v>-</v>
      </c>
      <c r="J103" s="77" t="str">
        <f>IFERROR(COUNTIFS(Таблица2[Date],B103,Таблица2[WIN$],"&gt;0")/E103*100,"-")</f>
        <v>-</v>
      </c>
      <c r="K103" s="77" t="str">
        <f>IF(IFERROR((COUNTIFS(Таблица2[Date],B103,Таблица2[K],"K")+SUMIFS(Таблица2[R],#REF!,B103,Таблица2[K],"K"))/E103*100,"-")=0,"-",IFERROR((COUNTIFS(Таблица2[Date],B103,Таблица2[K],"K")+SUMIFS(Таблица2[R],Таблица2[Date],B103,Таблица2[K],"K"))/E103*100,"-"))</f>
        <v>-</v>
      </c>
      <c r="L103" s="77" t="str">
        <f>IF(IFERROR((COUNTIFS(Таблица2[Date],B103,Таблица2[T],"t")+SUMIFS(Таблица2[R],Таблица2[Date],B103,Таблица2[T],"t"))/E103*100,"-")=0,"-",IFERROR((COUNTIFS(Таблица2[Date],B103,Таблица2[T],"t")+SUMIFS(Таблица2[R],Таблица2[Date],B103,Таблица2[T],"t"))/E103*100,"-"))</f>
        <v>-</v>
      </c>
      <c r="M103" s="76" t="str">
        <f>IF(SUMIFS(Таблица2[KO$],Таблица2[Date],B103)=0,"-",SUMIFS(Таблица2[KO$],Таблица2[Date],B103))</f>
        <v>-</v>
      </c>
      <c r="N103" s="76" t="str">
        <f>IF(SUMIFS(Таблица2[WIN$],Таблица2[Date],B103)=0,"-",SUMIFS(Таблица2[WIN$],Таблица2[Date],B103))</f>
        <v>-</v>
      </c>
      <c r="O103" s="76" t="str">
        <f t="shared" si="4"/>
        <v>-</v>
      </c>
    </row>
    <row r="104" spans="1:15" ht="11.1" customHeight="1" x14ac:dyDescent="0.25">
      <c r="A104" s="93">
        <f t="shared" si="1"/>
        <v>18</v>
      </c>
      <c r="B104"/>
      <c r="C104"/>
      <c r="D104" s="117">
        <f t="shared" si="0"/>
        <v>1900</v>
      </c>
      <c r="E104" s="94" t="str">
        <f>IF(COUNTIFS(Таблица2[Date],B104)+SUMIFS(Таблица2[R],Таблица2[Date],B104)=0,"",COUNTIFS(Таблица2[Date],B104)+SUMIFS(Таблица2[R],Таблица2[Date],B104))</f>
        <v/>
      </c>
      <c r="F104" s="76" t="str">
        <f>IF(SUMIFS(Таблица2[B$],Таблица2[Date],B104)=0,"-",SUMIFS(Таблица2[B$],Таблица2[Date],B104))</f>
        <v>-</v>
      </c>
      <c r="G104" s="76" t="str">
        <f t="shared" si="2"/>
        <v>-</v>
      </c>
      <c r="H104" s="77" t="str">
        <f>IFERROR(AVERAGEIFS(Таблица2[AFS],Таблица2[Date],B104)+(AVERAGEIFS(Таблица2[AFS],Таблица2[Date],B104)*0.2),"-")</f>
        <v>-</v>
      </c>
      <c r="I104" s="77" t="str">
        <f t="shared" si="3"/>
        <v>-</v>
      </c>
      <c r="J104" s="77" t="str">
        <f>IFERROR(COUNTIFS(Таблица2[Date],B104,Таблица2[WIN$],"&gt;0")/E104*100,"-")</f>
        <v>-</v>
      </c>
      <c r="K104" s="77" t="str">
        <f>IF(IFERROR((COUNTIFS(Таблица2[Date],B104,Таблица2[K],"K")+SUMIFS(Таблица2[R],#REF!,B104,Таблица2[K],"K"))/E104*100,"-")=0,"-",IFERROR((COUNTIFS(Таблица2[Date],B104,Таблица2[K],"K")+SUMIFS(Таблица2[R],Таблица2[Date],B104,Таблица2[K],"K"))/E104*100,"-"))</f>
        <v>-</v>
      </c>
      <c r="L104" s="77" t="str">
        <f>IF(IFERROR((COUNTIFS(Таблица2[Date],B104,Таблица2[T],"t")+SUMIFS(Таблица2[R],Таблица2[Date],B104,Таблица2[T],"t"))/E104*100,"-")=0,"-",IFERROR((COUNTIFS(Таблица2[Date],B104,Таблица2[T],"t")+SUMIFS(Таблица2[R],Таблица2[Date],B104,Таблица2[T],"t"))/E104*100,"-"))</f>
        <v>-</v>
      </c>
      <c r="M104" s="76" t="str">
        <f>IF(SUMIFS(Таблица2[KO$],Таблица2[Date],B104)=0,"-",SUMIFS(Таблица2[KO$],Таблица2[Date],B104))</f>
        <v>-</v>
      </c>
      <c r="N104" s="76" t="str">
        <f>IF(SUMIFS(Таблица2[WIN$],Таблица2[Date],B104)=0,"-",SUMIFS(Таблица2[WIN$],Таблица2[Date],B104))</f>
        <v>-</v>
      </c>
      <c r="O104" s="76" t="str">
        <f t="shared" si="4"/>
        <v>-</v>
      </c>
    </row>
    <row r="105" spans="1:15" ht="11.1" customHeight="1" x14ac:dyDescent="0.25">
      <c r="A105" s="93">
        <f t="shared" si="1"/>
        <v>19</v>
      </c>
      <c r="B105"/>
      <c r="C105"/>
      <c r="D105" s="117">
        <f t="shared" si="0"/>
        <v>1900</v>
      </c>
      <c r="E105" s="94" t="str">
        <f>IF(COUNTIFS(Таблица2[Date],B105)+SUMIFS(Таблица2[R],Таблица2[Date],B105)=0,"",COUNTIFS(Таблица2[Date],B105)+SUMIFS(Таблица2[R],Таблица2[Date],B105))</f>
        <v/>
      </c>
      <c r="F105" s="76" t="str">
        <f>IF(SUMIFS(Таблица2[B$],Таблица2[Date],B105)=0,"-",SUMIFS(Таблица2[B$],Таблица2[Date],B105))</f>
        <v>-</v>
      </c>
      <c r="G105" s="76" t="str">
        <f t="shared" si="2"/>
        <v>-</v>
      </c>
      <c r="H105" s="77" t="str">
        <f>IFERROR(AVERAGEIFS(Таблица2[AFS],Таблица2[Date],B105)+(AVERAGEIFS(Таблица2[AFS],Таблица2[Date],B105)*0.2),"-")</f>
        <v>-</v>
      </c>
      <c r="I105" s="77" t="str">
        <f t="shared" si="3"/>
        <v>-</v>
      </c>
      <c r="J105" s="77" t="str">
        <f>IFERROR(COUNTIFS(Таблица2[Date],B105,Таблица2[WIN$],"&gt;0")/E105*100,"-")</f>
        <v>-</v>
      </c>
      <c r="K105" s="77" t="str">
        <f>IF(IFERROR((COUNTIFS(Таблица2[Date],B105,Таблица2[K],"K")+SUMIFS(Таблица2[R],#REF!,B105,Таблица2[K],"K"))/E105*100,"-")=0,"-",IFERROR((COUNTIFS(Таблица2[Date],B105,Таблица2[K],"K")+SUMIFS(Таблица2[R],Таблица2[Date],B105,Таблица2[K],"K"))/E105*100,"-"))</f>
        <v>-</v>
      </c>
      <c r="L105" s="77" t="str">
        <f>IF(IFERROR((COUNTIFS(Таблица2[Date],B105,Таблица2[T],"t")+SUMIFS(Таблица2[R],Таблица2[Date],B105,Таблица2[T],"t"))/E105*100,"-")=0,"-",IFERROR((COUNTIFS(Таблица2[Date],B105,Таблица2[T],"t")+SUMIFS(Таблица2[R],Таблица2[Date],B105,Таблица2[T],"t"))/E105*100,"-"))</f>
        <v>-</v>
      </c>
      <c r="M105" s="76" t="str">
        <f>IF(SUMIFS(Таблица2[KO$],Таблица2[Date],B105)=0,"-",SUMIFS(Таблица2[KO$],Таблица2[Date],B105))</f>
        <v>-</v>
      </c>
      <c r="N105" s="76" t="str">
        <f>IF(SUMIFS(Таблица2[WIN$],Таблица2[Date],B105)=0,"-",SUMIFS(Таблица2[WIN$],Таблица2[Date],B105))</f>
        <v>-</v>
      </c>
      <c r="O105" s="76" t="str">
        <f t="shared" si="4"/>
        <v>-</v>
      </c>
    </row>
    <row r="106" spans="1:15" ht="11.1" customHeight="1" x14ac:dyDescent="0.25">
      <c r="A106" s="93">
        <f t="shared" si="1"/>
        <v>20</v>
      </c>
      <c r="B106"/>
      <c r="C106"/>
      <c r="D106" s="117">
        <f t="shared" si="0"/>
        <v>1900</v>
      </c>
      <c r="E106" s="94" t="str">
        <f>IF(COUNTIFS(Таблица2[Date],B106)+SUMIFS(Таблица2[R],Таблица2[Date],B106)=0,"",COUNTIFS(Таблица2[Date],B106)+SUMIFS(Таблица2[R],Таблица2[Date],B106))</f>
        <v/>
      </c>
      <c r="F106" s="76" t="str">
        <f>IF(SUMIFS(Таблица2[B$],Таблица2[Date],B106)=0,"-",SUMIFS(Таблица2[B$],Таблица2[Date],B106))</f>
        <v>-</v>
      </c>
      <c r="G106" s="76" t="str">
        <f t="shared" si="2"/>
        <v>-</v>
      </c>
      <c r="H106" s="77" t="str">
        <f>IFERROR(AVERAGEIFS(Таблица2[AFS],Таблица2[Date],B106)+(AVERAGEIFS(Таблица2[AFS],Таблица2[Date],B106)*0.2),"-")</f>
        <v>-</v>
      </c>
      <c r="I106" s="77" t="str">
        <f t="shared" si="3"/>
        <v>-</v>
      </c>
      <c r="J106" s="77" t="str">
        <f>IFERROR(COUNTIFS(Таблица2[Date],B106,Таблица2[WIN$],"&gt;0")/E106*100,"-")</f>
        <v>-</v>
      </c>
      <c r="K106" s="77" t="str">
        <f>IF(IFERROR((COUNTIFS(Таблица2[Date],B106,Таблица2[K],"K")+SUMIFS(Таблица2[R],#REF!,B106,Таблица2[K],"K"))/E106*100,"-")=0,"-",IFERROR((COUNTIFS(Таблица2[Date],B106,Таблица2[K],"K")+SUMIFS(Таблица2[R],Таблица2[Date],B106,Таблица2[K],"K"))/E106*100,"-"))</f>
        <v>-</v>
      </c>
      <c r="L106" s="77" t="str">
        <f>IF(IFERROR((COUNTIFS(Таблица2[Date],B106,Таблица2[T],"t")+SUMIFS(Таблица2[R],Таблица2[Date],B106,Таблица2[T],"t"))/E106*100,"-")=0,"-",IFERROR((COUNTIFS(Таблица2[Date],B106,Таблица2[T],"t")+SUMIFS(Таблица2[R],Таблица2[Date],B106,Таблица2[T],"t"))/E106*100,"-"))</f>
        <v>-</v>
      </c>
      <c r="M106" s="76" t="str">
        <f>IF(SUMIFS(Таблица2[KO$],Таблица2[Date],B106)=0,"-",SUMIFS(Таблица2[KO$],Таблица2[Date],B106))</f>
        <v>-</v>
      </c>
      <c r="N106" s="76" t="str">
        <f>IF(SUMIFS(Таблица2[WIN$],Таблица2[Date],B106)=0,"-",SUMIFS(Таблица2[WIN$],Таблица2[Date],B106))</f>
        <v>-</v>
      </c>
      <c r="O106" s="76" t="str">
        <f t="shared" si="4"/>
        <v>-</v>
      </c>
    </row>
    <row r="107" spans="1:15" ht="11.1" customHeight="1" x14ac:dyDescent="0.25">
      <c r="A107" s="93">
        <f t="shared" si="1"/>
        <v>21</v>
      </c>
      <c r="B107"/>
      <c r="C107"/>
      <c r="D107" s="117">
        <f t="shared" si="0"/>
        <v>1900</v>
      </c>
      <c r="E107" s="94" t="str">
        <f>IF(COUNTIFS(Таблица2[Date],B107)+SUMIFS(Таблица2[R],Таблица2[Date],B107)=0,"",COUNTIFS(Таблица2[Date],B107)+SUMIFS(Таблица2[R],Таблица2[Date],B107))</f>
        <v/>
      </c>
      <c r="F107" s="76" t="str">
        <f>IF(SUMIFS(Таблица2[B$],Таблица2[Date],B107)=0,"-",SUMIFS(Таблица2[B$],Таблица2[Date],B107))</f>
        <v>-</v>
      </c>
      <c r="G107" s="76" t="str">
        <f t="shared" si="2"/>
        <v>-</v>
      </c>
      <c r="H107" s="77" t="str">
        <f>IFERROR(AVERAGEIFS(Таблица2[AFS],Таблица2[Date],B107)+(AVERAGEIFS(Таблица2[AFS],Таблица2[Date],B107)*0.2),"-")</f>
        <v>-</v>
      </c>
      <c r="I107" s="77" t="str">
        <f t="shared" si="3"/>
        <v>-</v>
      </c>
      <c r="J107" s="77" t="str">
        <f>IFERROR(COUNTIFS(Таблица2[Date],B107,Таблица2[WIN$],"&gt;0")/E107*100,"-")</f>
        <v>-</v>
      </c>
      <c r="K107" s="77" t="str">
        <f>IF(IFERROR((COUNTIFS(Таблица2[Date],B107,Таблица2[K],"K")+SUMIFS(Таблица2[R],#REF!,B107,Таблица2[K],"K"))/E107*100,"-")=0,"-",IFERROR((COUNTIFS(Таблица2[Date],B107,Таблица2[K],"K")+SUMIFS(Таблица2[R],Таблица2[Date],B107,Таблица2[K],"K"))/E107*100,"-"))</f>
        <v>-</v>
      </c>
      <c r="L107" s="77" t="str">
        <f>IF(IFERROR((COUNTIFS(Таблица2[Date],B107,Таблица2[T],"t")+SUMIFS(Таблица2[R],Таблица2[Date],B107,Таблица2[T],"t"))/E107*100,"-")=0,"-",IFERROR((COUNTIFS(Таблица2[Date],B107,Таблица2[T],"t")+SUMIFS(Таблица2[R],Таблица2[Date],B107,Таблица2[T],"t"))/E107*100,"-"))</f>
        <v>-</v>
      </c>
      <c r="M107" s="76" t="str">
        <f>IF(SUMIFS(Таблица2[KO$],Таблица2[Date],B107)=0,"-",SUMIFS(Таблица2[KO$],Таблица2[Date],B107))</f>
        <v>-</v>
      </c>
      <c r="N107" s="76" t="str">
        <f>IF(SUMIFS(Таблица2[WIN$],Таблица2[Date],B107)=0,"-",SUMIFS(Таблица2[WIN$],Таблица2[Date],B107))</f>
        <v>-</v>
      </c>
      <c r="O107" s="76" t="str">
        <f t="shared" si="4"/>
        <v>-</v>
      </c>
    </row>
    <row r="108" spans="1:15" ht="11.1" customHeight="1" x14ac:dyDescent="0.25">
      <c r="A108" s="93">
        <f t="shared" si="1"/>
        <v>22</v>
      </c>
      <c r="B108"/>
      <c r="C108"/>
      <c r="D108" s="117">
        <f t="shared" si="0"/>
        <v>1900</v>
      </c>
      <c r="E108" s="94" t="str">
        <f>IF(COUNTIFS(Таблица2[Date],B108)+SUMIFS(Таблица2[R],Таблица2[Date],B108)=0,"",COUNTIFS(Таблица2[Date],B108)+SUMIFS(Таблица2[R],Таблица2[Date],B108))</f>
        <v/>
      </c>
      <c r="F108" s="76" t="str">
        <f>IF(SUMIFS(Таблица2[B$],Таблица2[Date],B108)=0,"-",SUMIFS(Таблица2[B$],Таблица2[Date],B108))</f>
        <v>-</v>
      </c>
      <c r="G108" s="76" t="str">
        <f t="shared" si="2"/>
        <v>-</v>
      </c>
      <c r="H108" s="77" t="str">
        <f>IFERROR(AVERAGEIFS(Таблица2[AFS],Таблица2[Date],B108)+(AVERAGEIFS(Таблица2[AFS],Таблица2[Date],B108)*0.2),"-")</f>
        <v>-</v>
      </c>
      <c r="I108" s="77" t="str">
        <f t="shared" si="3"/>
        <v>-</v>
      </c>
      <c r="J108" s="77" t="str">
        <f>IFERROR(COUNTIFS(Таблица2[Date],B108,Таблица2[WIN$],"&gt;0")/E108*100,"-")</f>
        <v>-</v>
      </c>
      <c r="K108" s="77" t="str">
        <f>IF(IFERROR((COUNTIFS(Таблица2[Date],B108,Таблица2[K],"K")+SUMIFS(Таблица2[R],#REF!,B108,Таблица2[K],"K"))/E108*100,"-")=0,"-",IFERROR((COUNTIFS(Таблица2[Date],B108,Таблица2[K],"K")+SUMIFS(Таблица2[R],Таблица2[Date],B108,Таблица2[K],"K"))/E108*100,"-"))</f>
        <v>-</v>
      </c>
      <c r="L108" s="77" t="str">
        <f>IF(IFERROR((COUNTIFS(Таблица2[Date],B108,Таблица2[T],"t")+SUMIFS(Таблица2[R],Таблица2[Date],B108,Таблица2[T],"t"))/E108*100,"-")=0,"-",IFERROR((COUNTIFS(Таблица2[Date],B108,Таблица2[T],"t")+SUMIFS(Таблица2[R],Таблица2[Date],B108,Таблица2[T],"t"))/E108*100,"-"))</f>
        <v>-</v>
      </c>
      <c r="M108" s="76" t="str">
        <f>IF(SUMIFS(Таблица2[KO$],Таблица2[Date],B108)=0,"-",SUMIFS(Таблица2[KO$],Таблица2[Date],B108))</f>
        <v>-</v>
      </c>
      <c r="N108" s="76" t="str">
        <f>IF(SUMIFS(Таблица2[WIN$],Таблица2[Date],B108)=0,"-",SUMIFS(Таблица2[WIN$],Таблица2[Date],B108))</f>
        <v>-</v>
      </c>
      <c r="O108" s="76" t="str">
        <f t="shared" si="4"/>
        <v>-</v>
      </c>
    </row>
    <row r="109" spans="1:15" ht="11.1" customHeight="1" x14ac:dyDescent="0.25">
      <c r="A109" s="93">
        <f t="shared" si="1"/>
        <v>23</v>
      </c>
      <c r="B109"/>
      <c r="C109"/>
      <c r="D109" s="117">
        <f t="shared" si="0"/>
        <v>1900</v>
      </c>
      <c r="E109" s="94" t="str">
        <f>IF(COUNTIFS(Таблица2[Date],B109)+SUMIFS(Таблица2[R],Таблица2[Date],B109)=0,"",COUNTIFS(Таблица2[Date],B109)+SUMIFS(Таблица2[R],Таблица2[Date],B109))</f>
        <v/>
      </c>
      <c r="F109" s="76" t="str">
        <f>IF(SUMIFS(Таблица2[B$],Таблица2[Date],B109)=0,"-",SUMIFS(Таблица2[B$],Таблица2[Date],B109))</f>
        <v>-</v>
      </c>
      <c r="G109" s="76" t="str">
        <f t="shared" si="2"/>
        <v>-</v>
      </c>
      <c r="H109" s="77" t="str">
        <f>IFERROR(AVERAGEIFS(Таблица2[AFS],Таблица2[Date],B109)+(AVERAGEIFS(Таблица2[AFS],Таблица2[Date],B109)*0.2),"-")</f>
        <v>-</v>
      </c>
      <c r="I109" s="77" t="str">
        <f t="shared" si="3"/>
        <v>-</v>
      </c>
      <c r="J109" s="77" t="str">
        <f>IFERROR(COUNTIFS(Таблица2[Date],B109,Таблица2[WIN$],"&gt;0")/E109*100,"-")</f>
        <v>-</v>
      </c>
      <c r="K109" s="77" t="str">
        <f>IF(IFERROR((COUNTIFS(Таблица2[Date],B109,Таблица2[K],"K")+SUMIFS(Таблица2[R],#REF!,B109,Таблица2[K],"K"))/E109*100,"-")=0,"-",IFERROR((COUNTIFS(Таблица2[Date],B109,Таблица2[K],"K")+SUMIFS(Таблица2[R],Таблица2[Date],B109,Таблица2[K],"K"))/E109*100,"-"))</f>
        <v>-</v>
      </c>
      <c r="L109" s="77" t="str">
        <f>IF(IFERROR((COUNTIFS(Таблица2[Date],B109,Таблица2[T],"t")+SUMIFS(Таблица2[R],Таблица2[Date],B109,Таблица2[T],"t"))/E109*100,"-")=0,"-",IFERROR((COUNTIFS(Таблица2[Date],B109,Таблица2[T],"t")+SUMIFS(Таблица2[R],Таблица2[Date],B109,Таблица2[T],"t"))/E109*100,"-"))</f>
        <v>-</v>
      </c>
      <c r="M109" s="76" t="str">
        <f>IF(SUMIFS(Таблица2[KO$],Таблица2[Date],B109)=0,"-",SUMIFS(Таблица2[KO$],Таблица2[Date],B109))</f>
        <v>-</v>
      </c>
      <c r="N109" s="76" t="str">
        <f>IF(SUMIFS(Таблица2[WIN$],Таблица2[Date],B109)=0,"-",SUMIFS(Таблица2[WIN$],Таблица2[Date],B109))</f>
        <v>-</v>
      </c>
      <c r="O109" s="76" t="str">
        <f t="shared" si="4"/>
        <v>-</v>
      </c>
    </row>
    <row r="110" spans="1:15" ht="11.1" customHeight="1" x14ac:dyDescent="0.25">
      <c r="A110" s="93">
        <f t="shared" si="1"/>
        <v>24</v>
      </c>
      <c r="B110"/>
      <c r="C110"/>
      <c r="D110" s="117">
        <f t="shared" si="0"/>
        <v>1900</v>
      </c>
      <c r="E110" s="94" t="str">
        <f>IF(COUNTIFS(Таблица2[Date],B110)+SUMIFS(Таблица2[R],Таблица2[Date],B110)=0,"",COUNTIFS(Таблица2[Date],B110)+SUMIFS(Таблица2[R],Таблица2[Date],B110))</f>
        <v/>
      </c>
      <c r="F110" s="76" t="str">
        <f>IF(SUMIFS(Таблица2[B$],Таблица2[Date],B110)=0,"-",SUMIFS(Таблица2[B$],Таблица2[Date],B110))</f>
        <v>-</v>
      </c>
      <c r="G110" s="76" t="str">
        <f t="shared" si="2"/>
        <v>-</v>
      </c>
      <c r="H110" s="77" t="str">
        <f>IFERROR(AVERAGEIFS(Таблица2[AFS],Таблица2[Date],B110)+(AVERAGEIFS(Таблица2[AFS],Таблица2[Date],B110)*0.2),"-")</f>
        <v>-</v>
      </c>
      <c r="I110" s="77" t="str">
        <f t="shared" si="3"/>
        <v>-</v>
      </c>
      <c r="J110" s="77" t="str">
        <f>IFERROR(COUNTIFS(Таблица2[Date],B110,Таблица2[WIN$],"&gt;0")/E110*100,"-")</f>
        <v>-</v>
      </c>
      <c r="K110" s="77" t="str">
        <f>IF(IFERROR((COUNTIFS(Таблица2[Date],B110,Таблица2[K],"K")+SUMIFS(Таблица2[R],#REF!,B110,Таблица2[K],"K"))/E110*100,"-")=0,"-",IFERROR((COUNTIFS(Таблица2[Date],B110,Таблица2[K],"K")+SUMIFS(Таблица2[R],Таблица2[Date],B110,Таблица2[K],"K"))/E110*100,"-"))</f>
        <v>-</v>
      </c>
      <c r="L110" s="77" t="str">
        <f>IF(IFERROR((COUNTIFS(Таблица2[Date],B110,Таблица2[T],"t")+SUMIFS(Таблица2[R],Таблица2[Date],B110,Таблица2[T],"t"))/E110*100,"-")=0,"-",IFERROR((COUNTIFS(Таблица2[Date],B110,Таблица2[T],"t")+SUMIFS(Таблица2[R],Таблица2[Date],B110,Таблица2[T],"t"))/E110*100,"-"))</f>
        <v>-</v>
      </c>
      <c r="M110" s="76" t="str">
        <f>IF(SUMIFS(Таблица2[KO$],Таблица2[Date],B110)=0,"-",SUMIFS(Таблица2[KO$],Таблица2[Date],B110))</f>
        <v>-</v>
      </c>
      <c r="N110" s="76" t="str">
        <f>IF(SUMIFS(Таблица2[WIN$],Таблица2[Date],B110)=0,"-",SUMIFS(Таблица2[WIN$],Таблица2[Date],B110))</f>
        <v>-</v>
      </c>
      <c r="O110" s="76" t="str">
        <f t="shared" si="4"/>
        <v>-</v>
      </c>
    </row>
    <row r="111" spans="1:15" ht="11.1" customHeight="1" x14ac:dyDescent="0.25">
      <c r="A111" s="93">
        <f t="shared" si="1"/>
        <v>25</v>
      </c>
      <c r="B111"/>
      <c r="C111"/>
      <c r="D111" s="117">
        <f t="shared" si="0"/>
        <v>1900</v>
      </c>
      <c r="E111" s="94" t="str">
        <f>IF(COUNTIFS(Таблица2[Date],B111)+SUMIFS(Таблица2[R],Таблица2[Date],B111)=0,"",COUNTIFS(Таблица2[Date],B111)+SUMIFS(Таблица2[R],Таблица2[Date],B111))</f>
        <v/>
      </c>
      <c r="F111" s="76" t="str">
        <f>IF(SUMIFS(Таблица2[B$],Таблица2[Date],B111)=0,"-",SUMIFS(Таблица2[B$],Таблица2[Date],B111))</f>
        <v>-</v>
      </c>
      <c r="G111" s="76" t="str">
        <f t="shared" si="2"/>
        <v>-</v>
      </c>
      <c r="H111" s="77" t="str">
        <f>IFERROR(AVERAGEIFS(Таблица2[AFS],Таблица2[Date],B111)+(AVERAGEIFS(Таблица2[AFS],Таблица2[Date],B111)*0.2),"-")</f>
        <v>-</v>
      </c>
      <c r="I111" s="77" t="str">
        <f t="shared" si="3"/>
        <v>-</v>
      </c>
      <c r="J111" s="77" t="str">
        <f>IFERROR(COUNTIFS(Таблица2[Date],B111,Таблица2[WIN$],"&gt;0")/E111*100,"-")</f>
        <v>-</v>
      </c>
      <c r="K111" s="77" t="str">
        <f>IF(IFERROR((COUNTIFS(Таблица2[Date],B111,Таблица2[K],"K")+SUMIFS(Таблица2[R],#REF!,B111,Таблица2[K],"K"))/E111*100,"-")=0,"-",IFERROR((COUNTIFS(Таблица2[Date],B111,Таблица2[K],"K")+SUMIFS(Таблица2[R],Таблица2[Date],B111,Таблица2[K],"K"))/E111*100,"-"))</f>
        <v>-</v>
      </c>
      <c r="L111" s="77" t="str">
        <f>IF(IFERROR((COUNTIFS(Таблица2[Date],B111,Таблица2[T],"t")+SUMIFS(Таблица2[R],Таблица2[Date],B111,Таблица2[T],"t"))/E111*100,"-")=0,"-",IFERROR((COUNTIFS(Таблица2[Date],B111,Таблица2[T],"t")+SUMIFS(Таблица2[R],Таблица2[Date],B111,Таблица2[T],"t"))/E111*100,"-"))</f>
        <v>-</v>
      </c>
      <c r="M111" s="76" t="str">
        <f>IF(SUMIFS(Таблица2[KO$],Таблица2[Date],B111)=0,"-",SUMIFS(Таблица2[KO$],Таблица2[Date],B111))</f>
        <v>-</v>
      </c>
      <c r="N111" s="76" t="str">
        <f>IF(SUMIFS(Таблица2[WIN$],Таблица2[Date],B111)=0,"-",SUMIFS(Таблица2[WIN$],Таблица2[Date],B111))</f>
        <v>-</v>
      </c>
      <c r="O111" s="76" t="str">
        <f t="shared" si="4"/>
        <v>-</v>
      </c>
    </row>
    <row r="112" spans="1:15" ht="11.1" customHeight="1" x14ac:dyDescent="0.25">
      <c r="A112" s="93">
        <f t="shared" si="1"/>
        <v>26</v>
      </c>
      <c r="B112"/>
      <c r="C112"/>
      <c r="D112" s="117">
        <f t="shared" si="0"/>
        <v>1900</v>
      </c>
      <c r="E112" s="94" t="str">
        <f>IF(COUNTIFS(Таблица2[Date],B112)+SUMIFS(Таблица2[R],Таблица2[Date],B112)=0,"",COUNTIFS(Таблица2[Date],B112)+SUMIFS(Таблица2[R],Таблица2[Date],B112))</f>
        <v/>
      </c>
      <c r="F112" s="76" t="str">
        <f>IF(SUMIFS(Таблица2[B$],Таблица2[Date],B112)=0,"-",SUMIFS(Таблица2[B$],Таблица2[Date],B112))</f>
        <v>-</v>
      </c>
      <c r="G112" s="76" t="str">
        <f t="shared" si="2"/>
        <v>-</v>
      </c>
      <c r="H112" s="77" t="str">
        <f>IFERROR(AVERAGEIFS(Таблица2[AFS],Таблица2[Date],B112)+(AVERAGEIFS(Таблица2[AFS],Таблица2[Date],B112)*0.2),"-")</f>
        <v>-</v>
      </c>
      <c r="I112" s="77" t="str">
        <f t="shared" si="3"/>
        <v>-</v>
      </c>
      <c r="J112" s="77" t="str">
        <f>IFERROR(COUNTIFS(Таблица2[Date],B112,Таблица2[WIN$],"&gt;0")/E112*100,"-")</f>
        <v>-</v>
      </c>
      <c r="K112" s="77" t="str">
        <f>IF(IFERROR((COUNTIFS(Таблица2[Date],B112,Таблица2[K],"K")+SUMIFS(Таблица2[R],#REF!,B112,Таблица2[K],"K"))/E112*100,"-")=0,"-",IFERROR((COUNTIFS(Таблица2[Date],B112,Таблица2[K],"K")+SUMIFS(Таблица2[R],Таблица2[Date],B112,Таблица2[K],"K"))/E112*100,"-"))</f>
        <v>-</v>
      </c>
      <c r="L112" s="77" t="str">
        <f>IF(IFERROR((COUNTIFS(Таблица2[Date],B112,Таблица2[T],"t")+SUMIFS(Таблица2[R],Таблица2[Date],B112,Таблица2[T],"t"))/E112*100,"-")=0,"-",IFERROR((COUNTIFS(Таблица2[Date],B112,Таблица2[T],"t")+SUMIFS(Таблица2[R],Таблица2[Date],B112,Таблица2[T],"t"))/E112*100,"-"))</f>
        <v>-</v>
      </c>
      <c r="M112" s="76" t="str">
        <f>IF(SUMIFS(Таблица2[KO$],Таблица2[Date],B112)=0,"-",SUMIFS(Таблица2[KO$],Таблица2[Date],B112))</f>
        <v>-</v>
      </c>
      <c r="N112" s="76" t="str">
        <f>IF(SUMIFS(Таблица2[WIN$],Таблица2[Date],B112)=0,"-",SUMIFS(Таблица2[WIN$],Таблица2[Date],B112))</f>
        <v>-</v>
      </c>
      <c r="O112" s="76" t="str">
        <f t="shared" si="4"/>
        <v>-</v>
      </c>
    </row>
    <row r="113" spans="1:15" ht="11.1" customHeight="1" x14ac:dyDescent="0.25">
      <c r="A113" s="93">
        <f t="shared" si="1"/>
        <v>27</v>
      </c>
      <c r="B113"/>
      <c r="C113"/>
      <c r="D113" s="117">
        <f t="shared" si="0"/>
        <v>1900</v>
      </c>
      <c r="E113" s="94" t="str">
        <f>IF(COUNTIFS(Таблица2[Date],B113)+SUMIFS(Таблица2[R],Таблица2[Date],B113)=0,"",COUNTIFS(Таблица2[Date],B113)+SUMIFS(Таблица2[R],Таблица2[Date],B113))</f>
        <v/>
      </c>
      <c r="F113" s="76" t="str">
        <f>IF(SUMIFS(Таблица2[B$],Таблица2[Date],B113)=0,"-",SUMIFS(Таблица2[B$],Таблица2[Date],B113))</f>
        <v>-</v>
      </c>
      <c r="G113" s="76" t="str">
        <f t="shared" si="2"/>
        <v>-</v>
      </c>
      <c r="H113" s="77" t="str">
        <f>IFERROR(AVERAGEIFS(Таблица2[AFS],Таблица2[Date],B113)+(AVERAGEIFS(Таблица2[AFS],Таблица2[Date],B113)*0.2),"-")</f>
        <v>-</v>
      </c>
      <c r="I113" s="77" t="str">
        <f t="shared" si="3"/>
        <v>-</v>
      </c>
      <c r="J113" s="77" t="str">
        <f>IFERROR(COUNTIFS(Таблица2[Date],B113,Таблица2[WIN$],"&gt;0")/E113*100,"-")</f>
        <v>-</v>
      </c>
      <c r="K113" s="77" t="str">
        <f>IF(IFERROR((COUNTIFS(Таблица2[Date],B113,Таблица2[K],"K")+SUMIFS(Таблица2[R],#REF!,B113,Таблица2[K],"K"))/E113*100,"-")=0,"-",IFERROR((COUNTIFS(Таблица2[Date],B113,Таблица2[K],"K")+SUMIFS(Таблица2[R],Таблица2[Date],B113,Таблица2[K],"K"))/E113*100,"-"))</f>
        <v>-</v>
      </c>
      <c r="L113" s="77" t="str">
        <f>IF(IFERROR((COUNTIFS(Таблица2[Date],B113,Таблица2[T],"t")+SUMIFS(Таблица2[R],Таблица2[Date],B113,Таблица2[T],"t"))/E113*100,"-")=0,"-",IFERROR((COUNTIFS(Таблица2[Date],B113,Таблица2[T],"t")+SUMIFS(Таблица2[R],Таблица2[Date],B113,Таблица2[T],"t"))/E113*100,"-"))</f>
        <v>-</v>
      </c>
      <c r="M113" s="76" t="str">
        <f>IF(SUMIFS(Таблица2[KO$],Таблица2[Date],B113)=0,"-",SUMIFS(Таблица2[KO$],Таблица2[Date],B113))</f>
        <v>-</v>
      </c>
      <c r="N113" s="76" t="str">
        <f>IF(SUMIFS(Таблица2[WIN$],Таблица2[Date],B113)=0,"-",SUMIFS(Таблица2[WIN$],Таблица2[Date],B113))</f>
        <v>-</v>
      </c>
      <c r="O113" s="76" t="str">
        <f t="shared" si="4"/>
        <v>-</v>
      </c>
    </row>
    <row r="114" spans="1:15" ht="11.1" customHeight="1" x14ac:dyDescent="0.25">
      <c r="A114" s="93">
        <f t="shared" si="1"/>
        <v>28</v>
      </c>
      <c r="B114"/>
      <c r="C114"/>
      <c r="D114" s="117">
        <f t="shared" si="0"/>
        <v>1900</v>
      </c>
      <c r="E114" s="94" t="str">
        <f>IF(COUNTIFS(Таблица2[Date],B114)+SUMIFS(Таблица2[R],Таблица2[Date],B114)=0,"",COUNTIFS(Таблица2[Date],B114)+SUMIFS(Таблица2[R],Таблица2[Date],B114))</f>
        <v/>
      </c>
      <c r="F114" s="76" t="str">
        <f>IF(SUMIFS(Таблица2[B$],Таблица2[Date],B114)=0,"-",SUMIFS(Таблица2[B$],Таблица2[Date],B114))</f>
        <v>-</v>
      </c>
      <c r="G114" s="76" t="str">
        <f t="shared" si="2"/>
        <v>-</v>
      </c>
      <c r="H114" s="77" t="str">
        <f>IFERROR(AVERAGEIFS(Таблица2[AFS],Таблица2[Date],B114)+(AVERAGEIFS(Таблица2[AFS],Таблица2[Date],B114)*0.2),"-")</f>
        <v>-</v>
      </c>
      <c r="I114" s="77" t="str">
        <f t="shared" si="3"/>
        <v>-</v>
      </c>
      <c r="J114" s="77" t="str">
        <f>IFERROR(COUNTIFS(Таблица2[Date],B114,Таблица2[WIN$],"&gt;0")/E114*100,"-")</f>
        <v>-</v>
      </c>
      <c r="K114" s="77" t="str">
        <f>IF(IFERROR((COUNTIFS(Таблица2[Date],B114,Таблица2[K],"K")+SUMIFS(Таблица2[R],#REF!,B114,Таблица2[K],"K"))/E114*100,"-")=0,"-",IFERROR((COUNTIFS(Таблица2[Date],B114,Таблица2[K],"K")+SUMIFS(Таблица2[R],Таблица2[Date],B114,Таблица2[K],"K"))/E114*100,"-"))</f>
        <v>-</v>
      </c>
      <c r="L114" s="77" t="str">
        <f>IF(IFERROR((COUNTIFS(Таблица2[Date],B114,Таблица2[T],"t")+SUMIFS(Таблица2[R],Таблица2[Date],B114,Таблица2[T],"t"))/E114*100,"-")=0,"-",IFERROR((COUNTIFS(Таблица2[Date],B114,Таблица2[T],"t")+SUMIFS(Таблица2[R],Таблица2[Date],B114,Таблица2[T],"t"))/E114*100,"-"))</f>
        <v>-</v>
      </c>
      <c r="M114" s="76" t="str">
        <f>IF(SUMIFS(Таблица2[KO$],Таблица2[Date],B114)=0,"-",SUMIFS(Таблица2[KO$],Таблица2[Date],B114))</f>
        <v>-</v>
      </c>
      <c r="N114" s="76" t="str">
        <f>IF(SUMIFS(Таблица2[WIN$],Таблица2[Date],B114)=0,"-",SUMIFS(Таблица2[WIN$],Таблица2[Date],B114))</f>
        <v>-</v>
      </c>
      <c r="O114" s="76" t="str">
        <f t="shared" si="4"/>
        <v>-</v>
      </c>
    </row>
    <row r="115" spans="1:15" ht="11.1" customHeight="1" x14ac:dyDescent="0.25">
      <c r="A115" s="93">
        <f t="shared" si="1"/>
        <v>29</v>
      </c>
      <c r="B115"/>
      <c r="C115"/>
      <c r="D115" s="117">
        <f t="shared" si="0"/>
        <v>1900</v>
      </c>
      <c r="E115" s="94" t="str">
        <f>IF(COUNTIFS(Таблица2[Date],B115)+SUMIFS(Таблица2[R],Таблица2[Date],B115)=0,"",COUNTIFS(Таблица2[Date],B115)+SUMIFS(Таблица2[R],Таблица2[Date],B115))</f>
        <v/>
      </c>
      <c r="F115" s="76" t="str">
        <f>IF(SUMIFS(Таблица2[B$],Таблица2[Date],B115)=0,"-",SUMIFS(Таблица2[B$],Таблица2[Date],B115))</f>
        <v>-</v>
      </c>
      <c r="G115" s="76" t="str">
        <f t="shared" si="2"/>
        <v>-</v>
      </c>
      <c r="H115" s="77" t="str">
        <f>IFERROR(AVERAGEIFS(Таблица2[AFS],Таблица2[Date],B115)+(AVERAGEIFS(Таблица2[AFS],Таблица2[Date],B115)*0.2),"-")</f>
        <v>-</v>
      </c>
      <c r="I115" s="77" t="str">
        <f>IFERROR(O115/F115*100,"-")</f>
        <v>-</v>
      </c>
      <c r="J115" s="77" t="str">
        <f>IFERROR(COUNTIFS(Таблица2[Date],B115,Таблица2[WIN$],"&gt;0")/E115*100,"-")</f>
        <v>-</v>
      </c>
      <c r="K115" s="77" t="str">
        <f>IF(IFERROR((COUNTIFS(Таблица2[Date],B115,Таблица2[K],"K")+SUMIFS(Таблица2[R],#REF!,B115,Таблица2[K],"K"))/E115*100,"-")=0,"-",IFERROR((COUNTIFS(Таблица2[Date],B115,Таблица2[K],"K")+SUMIFS(Таблица2[R],Таблица2[Date],B115,Таблица2[K],"K"))/E115*100,"-"))</f>
        <v>-</v>
      </c>
      <c r="L115" s="77" t="str">
        <f>IF(IFERROR((COUNTIFS(Таблица2[Date],B115,Таблица2[T],"t")+SUMIFS(Таблица2[R],Таблица2[Date],B115,Таблица2[T],"t"))/E115*100,"-")=0,"-",IFERROR((COUNTIFS(Таблица2[Date],B115,Таблица2[T],"t")+SUMIFS(Таблица2[R],Таблица2[Date],B115,Таблица2[T],"t"))/E115*100,"-"))</f>
        <v>-</v>
      </c>
      <c r="M115" s="76" t="str">
        <f>IF(SUMIFS(Таблица2[KO$],Таблица2[Date],B115)=0,"-",SUMIFS(Таблица2[KO$],Таблица2[Date],B115))</f>
        <v>-</v>
      </c>
      <c r="N115" s="76" t="str">
        <f>IF(SUMIFS(Таблица2[WIN$],Таблица2[Date],B115)=0,"-",SUMIFS(Таблица2[WIN$],Таблица2[Date],B115))</f>
        <v>-</v>
      </c>
      <c r="O115" s="76" t="str">
        <f t="shared" si="4"/>
        <v>-</v>
      </c>
    </row>
    <row r="116" spans="1:15" ht="11.1" customHeight="1" x14ac:dyDescent="0.25">
      <c r="A116" s="93">
        <f t="shared" si="1"/>
        <v>30</v>
      </c>
      <c r="B116"/>
      <c r="C116"/>
      <c r="D116" s="117">
        <f t="shared" si="0"/>
        <v>1900</v>
      </c>
      <c r="E116" s="94" t="str">
        <f>IF(COUNTIFS(Таблица2[Date],B116)+SUMIFS(Таблица2[R],Таблица2[Date],B116)=0,"",COUNTIFS(Таблица2[Date],B116)+SUMIFS(Таблица2[R],Таблица2[Date],B116))</f>
        <v/>
      </c>
      <c r="F116" s="76" t="str">
        <f>IF(SUMIFS(Таблица2[B$],Таблица2[Date],B116)=0,"-",SUMIFS(Таблица2[B$],Таблица2[Date],B116))</f>
        <v>-</v>
      </c>
      <c r="G116" s="76" t="str">
        <f t="shared" si="2"/>
        <v>-</v>
      </c>
      <c r="H116" s="77" t="str">
        <f>IFERROR(AVERAGEIFS(Таблица2[AFS],Таблица2[Date],B116)+(AVERAGEIFS(Таблица2[AFS],Таблица2[Date],B116)*0.2),"-")</f>
        <v>-</v>
      </c>
      <c r="I116" s="77" t="str">
        <f t="shared" si="3"/>
        <v>-</v>
      </c>
      <c r="J116" s="77" t="str">
        <f>IFERROR(COUNTIFS(Таблица2[Date],B116,Таблица2[WIN$],"&gt;0")/E116*100,"-")</f>
        <v>-</v>
      </c>
      <c r="K116" s="77" t="str">
        <f>IF(IFERROR((COUNTIFS(Таблица2[Date],B116,Таблица2[K],"K")+SUMIFS(Таблица2[R],#REF!,B116,Таблица2[K],"K"))/E116*100,"-")=0,"-",IFERROR((COUNTIFS(Таблица2[Date],B116,Таблица2[K],"K")+SUMIFS(Таблица2[R],Таблица2[Date],B116,Таблица2[K],"K"))/E116*100,"-"))</f>
        <v>-</v>
      </c>
      <c r="L116" s="77" t="str">
        <f>IF(IFERROR((COUNTIFS(Таблица2[Date],B116,Таблица2[T],"t")+SUMIFS(Таблица2[R],Таблица2[Date],B116,Таблица2[T],"t"))/E116*100,"-")=0,"-",IFERROR((COUNTIFS(Таблица2[Date],B116,Таблица2[T],"t")+SUMIFS(Таблица2[R],Таблица2[Date],B116,Таблица2[T],"t"))/E116*100,"-"))</f>
        <v>-</v>
      </c>
      <c r="M116" s="76" t="str">
        <f>IF(SUMIFS(Таблица2[KO$],Таблица2[Date],B116)=0,"-",SUMIFS(Таблица2[KO$],Таблица2[Date],B116))</f>
        <v>-</v>
      </c>
      <c r="N116" s="76" t="str">
        <f>IF(SUMIFS(Таблица2[WIN$],Таблица2[Date],B116)=0,"-",SUMIFS(Таблица2[WIN$],Таблица2[Date],B116))</f>
        <v>-</v>
      </c>
      <c r="O116" s="76" t="str">
        <f t="shared" si="4"/>
        <v>-</v>
      </c>
    </row>
    <row r="117" spans="1:15" ht="11.1" customHeight="1" x14ac:dyDescent="0.25">
      <c r="A117" s="93">
        <f t="shared" si="1"/>
        <v>31</v>
      </c>
      <c r="B117"/>
      <c r="C117"/>
      <c r="D117" s="117">
        <f t="shared" si="0"/>
        <v>1900</v>
      </c>
      <c r="E117" s="94" t="str">
        <f>IF(COUNTIFS(Таблица2[Date],B117)+SUMIFS(Таблица2[R],Таблица2[Date],B117)=0,"",COUNTIFS(Таблица2[Date],B117)+SUMIFS(Таблица2[R],Таблица2[Date],B117))</f>
        <v/>
      </c>
      <c r="F117" s="76" t="str">
        <f>IF(SUMIFS(Таблица2[B$],Таблица2[Date],B117)=0,"-",SUMIFS(Таблица2[B$],Таблица2[Date],B117))</f>
        <v>-</v>
      </c>
      <c r="G117" s="76" t="str">
        <f t="shared" si="2"/>
        <v>-</v>
      </c>
      <c r="H117" s="77" t="str">
        <f>IFERROR(AVERAGEIFS(Таблица2[AFS],Таблица2[Date],B117)+(AVERAGEIFS(Таблица2[AFS],Таблица2[Date],B117)*0.2),"-")</f>
        <v>-</v>
      </c>
      <c r="I117" s="77" t="str">
        <f t="shared" si="3"/>
        <v>-</v>
      </c>
      <c r="J117" s="77" t="str">
        <f>IFERROR(COUNTIFS(Таблица2[Date],B117,Таблица2[WIN$],"&gt;0")/E117*100,"-")</f>
        <v>-</v>
      </c>
      <c r="K117" s="77" t="str">
        <f>IF(IFERROR((COUNTIFS(Таблица2[Date],B117,Таблица2[K],"K")+SUMIFS(Таблица2[R],#REF!,B117,Таблица2[K],"K"))/E117*100,"-")=0,"-",IFERROR((COUNTIFS(Таблица2[Date],B117,Таблица2[K],"K")+SUMIFS(Таблица2[R],Таблица2[Date],B117,Таблица2[K],"K"))/E117*100,"-"))</f>
        <v>-</v>
      </c>
      <c r="L117" s="77" t="str">
        <f>IF(IFERROR((COUNTIFS(Таблица2[Date],B117,Таблица2[T],"t")+SUMIFS(Таблица2[R],Таблица2[Date],B117,Таблица2[T],"t"))/E117*100,"-")=0,"-",IFERROR((COUNTIFS(Таблица2[Date],B117,Таблица2[T],"t")+SUMIFS(Таблица2[R],Таблица2[Date],B117,Таблица2[T],"t"))/E117*100,"-"))</f>
        <v>-</v>
      </c>
      <c r="M117" s="76" t="str">
        <f>IF(SUMIFS(Таблица2[KO$],Таблица2[Date],B117)=0,"-",SUMIFS(Таблица2[KO$],Таблица2[Date],B117))</f>
        <v>-</v>
      </c>
      <c r="N117" s="76" t="str">
        <f>IF(SUMIFS(Таблица2[WIN$],Таблица2[Date],B117)=0,"-",SUMIFS(Таблица2[WIN$],Таблица2[Date],B117))</f>
        <v>-</v>
      </c>
      <c r="O117" s="76" t="str">
        <f t="shared" si="4"/>
        <v>-</v>
      </c>
    </row>
    <row r="118" spans="1:15" ht="11.1" customHeight="1" x14ac:dyDescent="0.25">
      <c r="A118" s="93">
        <f t="shared" si="1"/>
        <v>32</v>
      </c>
      <c r="B118"/>
      <c r="C118"/>
      <c r="D118" s="117">
        <f t="shared" si="0"/>
        <v>1900</v>
      </c>
      <c r="E118" s="94" t="str">
        <f>IF(COUNTIFS(Таблица2[Date],B118)+SUMIFS(Таблица2[R],Таблица2[Date],B118)=0,"",COUNTIFS(Таблица2[Date],B118)+SUMIFS(Таблица2[R],Таблица2[Date],B118))</f>
        <v/>
      </c>
      <c r="F118" s="76" t="str">
        <f>IF(SUMIFS(Таблица2[B$],Таблица2[Date],B118)=0,"-",SUMIFS(Таблица2[B$],Таблица2[Date],B118))</f>
        <v>-</v>
      </c>
      <c r="G118" s="76" t="str">
        <f t="shared" si="2"/>
        <v>-</v>
      </c>
      <c r="H118" s="77" t="str">
        <f>IFERROR(AVERAGEIFS(Таблица2[AFS],Таблица2[Date],B118)+(AVERAGEIFS(Таблица2[AFS],Таблица2[Date],B118)*0.2),"-")</f>
        <v>-</v>
      </c>
      <c r="I118" s="77" t="str">
        <f t="shared" si="3"/>
        <v>-</v>
      </c>
      <c r="J118" s="77" t="str">
        <f>IFERROR(COUNTIFS(Таблица2[Date],B118,Таблица2[WIN$],"&gt;0")/E118*100,"-")</f>
        <v>-</v>
      </c>
      <c r="K118" s="77" t="str">
        <f>IF(IFERROR((COUNTIFS(Таблица2[Date],B118,Таблица2[K],"K")+SUMIFS(Таблица2[R],#REF!,B118,Таблица2[K],"K"))/E118*100,"-")=0,"-",IFERROR((COUNTIFS(Таблица2[Date],B118,Таблица2[K],"K")+SUMIFS(Таблица2[R],Таблица2[Date],B118,Таблица2[K],"K"))/E118*100,"-"))</f>
        <v>-</v>
      </c>
      <c r="L118" s="77" t="str">
        <f>IF(IFERROR((COUNTIFS(Таблица2[Date],B118,Таблица2[T],"t")+SUMIFS(Таблица2[R],Таблица2[Date],B118,Таблица2[T],"t"))/E118*100,"-")=0,"-",IFERROR((COUNTIFS(Таблица2[Date],B118,Таблица2[T],"t")+SUMIFS(Таблица2[R],Таблица2[Date],B118,Таблица2[T],"t"))/E118*100,"-"))</f>
        <v>-</v>
      </c>
      <c r="M118" s="76" t="str">
        <f>IF(SUMIFS(Таблица2[KO$],Таблица2[Date],B118)=0,"-",SUMIFS(Таблица2[KO$],Таблица2[Date],B118))</f>
        <v>-</v>
      </c>
      <c r="N118" s="76" t="str">
        <f>IF(SUMIFS(Таблица2[WIN$],Таблица2[Date],B118)=0,"-",SUMIFS(Таблица2[WIN$],Таблица2[Date],B118))</f>
        <v>-</v>
      </c>
      <c r="O118" s="76" t="str">
        <f t="shared" si="4"/>
        <v>-</v>
      </c>
    </row>
    <row r="119" spans="1:15" ht="11.1" customHeight="1" x14ac:dyDescent="0.25">
      <c r="A119" s="93">
        <f t="shared" si="1"/>
        <v>33</v>
      </c>
      <c r="B119"/>
      <c r="C119"/>
      <c r="D119" s="117">
        <f t="shared" si="0"/>
        <v>1900</v>
      </c>
      <c r="E119" s="94" t="str">
        <f>IF(COUNTIFS(Таблица2[Date],B119)+SUMIFS(Таблица2[R],Таблица2[Date],B119)=0,"",COUNTIFS(Таблица2[Date],B119)+SUMIFS(Таблица2[R],Таблица2[Date],B119))</f>
        <v/>
      </c>
      <c r="F119" s="76" t="str">
        <f>IF(SUMIFS(Таблица2[B$],Таблица2[Date],B119)=0,"-",SUMIFS(Таблица2[B$],Таблица2[Date],B119))</f>
        <v>-</v>
      </c>
      <c r="G119" s="76" t="str">
        <f t="shared" si="2"/>
        <v>-</v>
      </c>
      <c r="H119" s="77" t="str">
        <f>IFERROR(AVERAGEIFS(Таблица2[AFS],Таблица2[Date],B119)+(AVERAGEIFS(Таблица2[AFS],Таблица2[Date],B119)*0.2),"-")</f>
        <v>-</v>
      </c>
      <c r="I119" s="77" t="str">
        <f t="shared" si="3"/>
        <v>-</v>
      </c>
      <c r="J119" s="77" t="str">
        <f>IFERROR(COUNTIFS(Таблица2[Date],B119,Таблица2[WIN$],"&gt;0")/E119*100,"-")</f>
        <v>-</v>
      </c>
      <c r="K119" s="77" t="str">
        <f>IF(IFERROR((COUNTIFS(Таблица2[Date],B119,Таблица2[K],"K")+SUMIFS(Таблица2[R],#REF!,B119,Таблица2[K],"K"))/E119*100,"-")=0,"-",IFERROR((COUNTIFS(Таблица2[Date],B119,Таблица2[K],"K")+SUMIFS(Таблица2[R],Таблица2[Date],B119,Таблица2[K],"K"))/E119*100,"-"))</f>
        <v>-</v>
      </c>
      <c r="L119" s="77" t="str">
        <f>IF(IFERROR((COUNTIFS(Таблица2[Date],B119,Таблица2[T],"t")+SUMIFS(Таблица2[R],Таблица2[Date],B119,Таблица2[T],"t"))/E119*100,"-")=0,"-",IFERROR((COUNTIFS(Таблица2[Date],B119,Таблица2[T],"t")+SUMIFS(Таблица2[R],Таблица2[Date],B119,Таблица2[T],"t"))/E119*100,"-"))</f>
        <v>-</v>
      </c>
      <c r="M119" s="76" t="str">
        <f>IF(SUMIFS(Таблица2[KO$],Таблица2[Date],B119)=0,"-",SUMIFS(Таблица2[KO$],Таблица2[Date],B119))</f>
        <v>-</v>
      </c>
      <c r="N119" s="76" t="str">
        <f>IF(SUMIFS(Таблица2[WIN$],Таблица2[Date],B119)=0,"-",SUMIFS(Таблица2[WIN$],Таблица2[Date],B119))</f>
        <v>-</v>
      </c>
      <c r="O119" s="76" t="str">
        <f t="shared" si="4"/>
        <v>-</v>
      </c>
    </row>
    <row r="120" spans="1:15" ht="11.1" customHeight="1" x14ac:dyDescent="0.25">
      <c r="A120" s="93">
        <f t="shared" si="1"/>
        <v>34</v>
      </c>
      <c r="B120"/>
      <c r="C120"/>
      <c r="D120" s="117">
        <f t="shared" si="0"/>
        <v>1900</v>
      </c>
      <c r="E120" s="94" t="str">
        <f>IF(COUNTIFS(Таблица2[Date],B120)+SUMIFS(Таблица2[R],Таблица2[Date],B120)=0,"",COUNTIFS(Таблица2[Date],B120)+SUMIFS(Таблица2[R],Таблица2[Date],B120))</f>
        <v/>
      </c>
      <c r="F120" s="76" t="str">
        <f>IF(SUMIFS(Таблица2[B$],Таблица2[Date],B120)=0,"-",SUMIFS(Таблица2[B$],Таблица2[Date],B120))</f>
        <v>-</v>
      </c>
      <c r="G120" s="76" t="str">
        <f t="shared" si="2"/>
        <v>-</v>
      </c>
      <c r="H120" s="77" t="str">
        <f>IFERROR(AVERAGEIFS(Таблица2[AFS],Таблица2[Date],B120)+(AVERAGEIFS(Таблица2[AFS],Таблица2[Date],B120)*0.2),"-")</f>
        <v>-</v>
      </c>
      <c r="I120" s="77" t="str">
        <f t="shared" si="3"/>
        <v>-</v>
      </c>
      <c r="J120" s="77" t="str">
        <f>IFERROR(COUNTIFS(Таблица2[Date],B120,Таблица2[WIN$],"&gt;0")/E120*100,"-")</f>
        <v>-</v>
      </c>
      <c r="K120" s="77" t="str">
        <f>IF(IFERROR((COUNTIFS(Таблица2[Date],B120,Таблица2[K],"K")+SUMIFS(Таблица2[R],#REF!,B120,Таблица2[K],"K"))/E120*100,"-")=0,"-",IFERROR((COUNTIFS(Таблица2[Date],B120,Таблица2[K],"K")+SUMIFS(Таблица2[R],Таблица2[Date],B120,Таблица2[K],"K"))/E120*100,"-"))</f>
        <v>-</v>
      </c>
      <c r="L120" s="77" t="str">
        <f>IF(IFERROR((COUNTIFS(Таблица2[Date],B120,Таблица2[T],"t")+SUMIFS(Таблица2[R],Таблица2[Date],B120,Таблица2[T],"t"))/E120*100,"-")=0,"-",IFERROR((COUNTIFS(Таблица2[Date],B120,Таблица2[T],"t")+SUMIFS(Таблица2[R],Таблица2[Date],B120,Таблица2[T],"t"))/E120*100,"-"))</f>
        <v>-</v>
      </c>
      <c r="M120" s="76" t="str">
        <f>IF(SUMIFS(Таблица2[KO$],Таблица2[Date],B120)=0,"-",SUMIFS(Таблица2[KO$],Таблица2[Date],B120))</f>
        <v>-</v>
      </c>
      <c r="N120" s="76" t="str">
        <f>IF(SUMIFS(Таблица2[WIN$],Таблица2[Date],B120)=0,"-",SUMIFS(Таблица2[WIN$],Таблица2[Date],B120))</f>
        <v>-</v>
      </c>
      <c r="O120" s="76" t="str">
        <f t="shared" si="4"/>
        <v>-</v>
      </c>
    </row>
    <row r="121" spans="1:15" ht="11.1" customHeight="1" x14ac:dyDescent="0.25">
      <c r="A121" s="93">
        <f t="shared" si="1"/>
        <v>35</v>
      </c>
      <c r="B121" s="48"/>
      <c r="C121"/>
      <c r="D121" s="117">
        <f t="shared" si="0"/>
        <v>1900</v>
      </c>
      <c r="E121" s="94" t="str">
        <f>IF(COUNTIFS(Таблица2[Date],B121)+SUMIFS(Таблица2[R],Таблица2[Date],B121)=0,"",COUNTIFS(Таблица2[Date],B121)+SUMIFS(Таблица2[R],Таблица2[Date],B121))</f>
        <v/>
      </c>
      <c r="F121" s="76" t="str">
        <f>IF(SUMIFS(Таблица2[B$],Таблица2[Date],B121)=0,"-",SUMIFS(Таблица2[B$],Таблица2[Date],B121))</f>
        <v>-</v>
      </c>
      <c r="G121" s="76" t="str">
        <f t="shared" si="2"/>
        <v>-</v>
      </c>
      <c r="H121" s="77" t="str">
        <f>IFERROR(AVERAGEIFS(Таблица2[AFS],Таблица2[Date],B121)+(AVERAGEIFS(Таблица2[AFS],Таблица2[Date],B121)*0.2),"-")</f>
        <v>-</v>
      </c>
      <c r="I121" s="77" t="str">
        <f t="shared" si="3"/>
        <v>-</v>
      </c>
      <c r="J121" s="77" t="str">
        <f>IFERROR(COUNTIFS(Таблица2[Date],B121,Таблица2[WIN$],"&gt;0")/E121*100,"-")</f>
        <v>-</v>
      </c>
      <c r="K121" s="77" t="str">
        <f>IF(IFERROR((COUNTIFS(Таблица2[Date],B121,Таблица2[K],"K")+SUMIFS(Таблица2[R],#REF!,B121,Таблица2[K],"K"))/E121*100,"-")=0,"-",IFERROR((COUNTIFS(Таблица2[Date],B121,Таблица2[K],"K")+SUMIFS(Таблица2[R],Таблица2[Date],B121,Таблица2[K],"K"))/E121*100,"-"))</f>
        <v>-</v>
      </c>
      <c r="L121" s="77" t="str">
        <f>IF(IFERROR((COUNTIFS(Таблица2[Date],B121,Таблица2[T],"t")+SUMIFS(Таблица2[R],Таблица2[Date],B121,Таблица2[T],"t"))/E121*100,"-")=0,"-",IFERROR((COUNTIFS(Таблица2[Date],B121,Таблица2[T],"t")+SUMIFS(Таблица2[R],Таблица2[Date],B121,Таблица2[T],"t"))/E121*100,"-"))</f>
        <v>-</v>
      </c>
      <c r="M121" s="76" t="str">
        <f>IF(SUMIFS(Таблица2[KO$],Таблица2[Date],B121)=0,"-",SUMIFS(Таблица2[KO$],Таблица2[Date],B121))</f>
        <v>-</v>
      </c>
      <c r="N121" s="76" t="str">
        <f>IF(SUMIFS(Таблица2[WIN$],Таблица2[Date],B121)=0,"-",SUMIFS(Таблица2[WIN$],Таблица2[Date],B121))</f>
        <v>-</v>
      </c>
      <c r="O121" s="76" t="str">
        <f t="shared" si="4"/>
        <v>-</v>
      </c>
    </row>
    <row r="122" spans="1:15" ht="11.1" customHeight="1" x14ac:dyDescent="0.25">
      <c r="A122" s="93">
        <f t="shared" si="1"/>
        <v>36</v>
      </c>
      <c r="B122" s="48"/>
      <c r="C122"/>
      <c r="D122" s="117">
        <f t="shared" si="0"/>
        <v>1900</v>
      </c>
      <c r="E122" s="94" t="str">
        <f>IF(COUNTIFS(Таблица2[Date],B122)+SUMIFS(Таблица2[R],Таблица2[Date],B122)=0,"",COUNTIFS(Таблица2[Date],B122)+SUMIFS(Таблица2[R],Таблица2[Date],B122))</f>
        <v/>
      </c>
      <c r="F122" s="76" t="str">
        <f>IF(SUMIFS(Таблица2[B$],Таблица2[Date],B122)=0,"-",SUMIFS(Таблица2[B$],Таблица2[Date],B122))</f>
        <v>-</v>
      </c>
      <c r="G122" s="76" t="str">
        <f t="shared" si="2"/>
        <v>-</v>
      </c>
      <c r="H122" s="77" t="str">
        <f>IFERROR(AVERAGEIFS(Таблица2[AFS],Таблица2[Date],B122)+(AVERAGEIFS(Таблица2[AFS],Таблица2[Date],B122)*0.2),"-")</f>
        <v>-</v>
      </c>
      <c r="I122" s="77" t="str">
        <f t="shared" si="3"/>
        <v>-</v>
      </c>
      <c r="J122" s="77" t="str">
        <f>IFERROR(COUNTIFS(Таблица2[Date],B122,Таблица2[WIN$],"&gt;0")/E122*100,"-")</f>
        <v>-</v>
      </c>
      <c r="K122" s="77" t="str">
        <f>IF(IFERROR((COUNTIFS(Таблица2[Date],B122,Таблица2[K],"K")+SUMIFS(Таблица2[R],#REF!,B122,Таблица2[K],"K"))/E122*100,"-")=0,"-",IFERROR((COUNTIFS(Таблица2[Date],B122,Таблица2[K],"K")+SUMIFS(Таблица2[R],Таблица2[Date],B122,Таблица2[K],"K"))/E122*100,"-"))</f>
        <v>-</v>
      </c>
      <c r="L122" s="77" t="str">
        <f>IF(IFERROR((COUNTIFS(Таблица2[Date],B122,Таблица2[T],"t")+SUMIFS(Таблица2[R],Таблица2[Date],B122,Таблица2[T],"t"))/E122*100,"-")=0,"-",IFERROR((COUNTIFS(Таблица2[Date],B122,Таблица2[T],"t")+SUMIFS(Таблица2[R],Таблица2[Date],B122,Таблица2[T],"t"))/E122*100,"-"))</f>
        <v>-</v>
      </c>
      <c r="M122" s="76" t="str">
        <f>IF(SUMIFS(Таблица2[KO$],Таблица2[Date],B122)=0,"-",SUMIFS(Таблица2[KO$],Таблица2[Date],B122))</f>
        <v>-</v>
      </c>
      <c r="N122" s="76" t="str">
        <f>IF(SUMIFS(Таблица2[WIN$],Таблица2[Date],B122)=0,"-",SUMIFS(Таблица2[WIN$],Таблица2[Date],B122))</f>
        <v>-</v>
      </c>
      <c r="O122" s="76" t="str">
        <f t="shared" si="4"/>
        <v>-</v>
      </c>
    </row>
    <row r="123" spans="1:15" ht="11.1" customHeight="1" x14ac:dyDescent="0.25">
      <c r="A123" s="93">
        <f t="shared" si="1"/>
        <v>37</v>
      </c>
      <c r="B123" s="48"/>
      <c r="C123"/>
      <c r="D123" s="117">
        <f t="shared" si="0"/>
        <v>1900</v>
      </c>
      <c r="E123" s="94" t="str">
        <f>IF(COUNTIFS(Таблица2[Date],B123)+SUMIFS(Таблица2[R],Таблица2[Date],B123)=0,"",COUNTIFS(Таблица2[Date],B123)+SUMIFS(Таблица2[R],Таблица2[Date],B123))</f>
        <v/>
      </c>
      <c r="F123" s="76" t="str">
        <f>IF(SUMIFS(Таблица2[B$],Таблица2[Date],B123)=0,"-",SUMIFS(Таблица2[B$],Таблица2[Date],B123))</f>
        <v>-</v>
      </c>
      <c r="G123" s="76" t="str">
        <f t="shared" si="2"/>
        <v>-</v>
      </c>
      <c r="H123" s="77" t="str">
        <f>IFERROR(AVERAGEIFS(Таблица2[AFS],Таблица2[Date],B123)+(AVERAGEIFS(Таблица2[AFS],Таблица2[Date],B123)*0.2),"-")</f>
        <v>-</v>
      </c>
      <c r="I123" s="77" t="str">
        <f t="shared" si="3"/>
        <v>-</v>
      </c>
      <c r="J123" s="77" t="str">
        <f>IFERROR(COUNTIFS(Таблица2[Date],B123,Таблица2[WIN$],"&gt;0")/E123*100,"-")</f>
        <v>-</v>
      </c>
      <c r="K123" s="77" t="str">
        <f>IF(IFERROR((COUNTIFS(Таблица2[Date],B123,Таблица2[K],"K")+SUMIFS(Таблица2[R],#REF!,B123,Таблица2[K],"K"))/E123*100,"-")=0,"-",IFERROR((COUNTIFS(Таблица2[Date],B123,Таблица2[K],"K")+SUMIFS(Таблица2[R],Таблица2[Date],B123,Таблица2[K],"K"))/E123*100,"-"))</f>
        <v>-</v>
      </c>
      <c r="L123" s="77" t="str">
        <f>IF(IFERROR((COUNTIFS(Таблица2[Date],B123,Таблица2[T],"t")+SUMIFS(Таблица2[R],Таблица2[Date],B123,Таблица2[T],"t"))/E123*100,"-")=0,"-",IFERROR((COUNTIFS(Таблица2[Date],B123,Таблица2[T],"t")+SUMIFS(Таблица2[R],Таблица2[Date],B123,Таблица2[T],"t"))/E123*100,"-"))</f>
        <v>-</v>
      </c>
      <c r="M123" s="76" t="str">
        <f>IF(SUMIFS(Таблица2[KO$],Таблица2[Date],B123)=0,"-",SUMIFS(Таблица2[KO$],Таблица2[Date],B123))</f>
        <v>-</v>
      </c>
      <c r="N123" s="76" t="str">
        <f>IF(SUMIFS(Таблица2[WIN$],Таблица2[Date],B123)=0,"-",SUMIFS(Таблица2[WIN$],Таблица2[Date],B123))</f>
        <v>-</v>
      </c>
      <c r="O123" s="76" t="str">
        <f t="shared" si="4"/>
        <v>-</v>
      </c>
    </row>
    <row r="124" spans="1:15" ht="11.1" customHeight="1" x14ac:dyDescent="0.25">
      <c r="A124" s="93">
        <f t="shared" si="1"/>
        <v>38</v>
      </c>
      <c r="B124" s="48"/>
      <c r="C124"/>
      <c r="D124" s="117">
        <f t="shared" si="0"/>
        <v>1900</v>
      </c>
      <c r="E124" s="94" t="str">
        <f>IF(COUNTIFS(Таблица2[Date],B124)+SUMIFS(Таблица2[R],Таблица2[Date],B124)=0,"",COUNTIFS(Таблица2[Date],B124)+SUMIFS(Таблица2[R],Таблица2[Date],B124))</f>
        <v/>
      </c>
      <c r="F124" s="76" t="str">
        <f>IF(SUMIFS(Таблица2[B$],Таблица2[Date],B124)=0,"-",SUMIFS(Таблица2[B$],Таблица2[Date],B124))</f>
        <v>-</v>
      </c>
      <c r="G124" s="76" t="str">
        <f t="shared" si="2"/>
        <v>-</v>
      </c>
      <c r="H124" s="77" t="str">
        <f>IFERROR(AVERAGEIFS(Таблица2[AFS],Таблица2[Date],B124)+(AVERAGEIFS(Таблица2[AFS],Таблица2[Date],B124)*0.2),"-")</f>
        <v>-</v>
      </c>
      <c r="I124" s="77" t="str">
        <f t="shared" si="3"/>
        <v>-</v>
      </c>
      <c r="J124" s="77" t="str">
        <f>IFERROR(COUNTIFS(Таблица2[Date],B124,Таблица2[WIN$],"&gt;0")/E124*100,"-")</f>
        <v>-</v>
      </c>
      <c r="K124" s="77" t="str">
        <f>IF(IFERROR((COUNTIFS(Таблица2[Date],B124,Таблица2[K],"K")+SUMIFS(Таблица2[R],#REF!,B124,Таблица2[K],"K"))/E124*100,"-")=0,"-",IFERROR((COUNTIFS(Таблица2[Date],B124,Таблица2[K],"K")+SUMIFS(Таблица2[R],Таблица2[Date],B124,Таблица2[K],"K"))/E124*100,"-"))</f>
        <v>-</v>
      </c>
      <c r="L124" s="77" t="str">
        <f>IF(IFERROR((COUNTIFS(Таблица2[Date],B124,Таблица2[T],"t")+SUMIFS(Таблица2[R],Таблица2[Date],B124,Таблица2[T],"t"))/E124*100,"-")=0,"-",IFERROR((COUNTIFS(Таблица2[Date],B124,Таблица2[T],"t")+SUMIFS(Таблица2[R],Таблица2[Date],B124,Таблица2[T],"t"))/E124*100,"-"))</f>
        <v>-</v>
      </c>
      <c r="M124" s="76" t="str">
        <f>IF(SUMIFS(Таблица2[KO$],Таблица2[Date],B124)=0,"-",SUMIFS(Таблица2[KO$],Таблица2[Date],B124))</f>
        <v>-</v>
      </c>
      <c r="N124" s="76" t="str">
        <f>IF(SUMIFS(Таблица2[WIN$],Таблица2[Date],B124)=0,"-",SUMIFS(Таблица2[WIN$],Таблица2[Date],B124))</f>
        <v>-</v>
      </c>
      <c r="O124" s="76" t="str">
        <f t="shared" si="4"/>
        <v>-</v>
      </c>
    </row>
    <row r="125" spans="1:15" ht="11.1" customHeight="1" x14ac:dyDescent="0.25">
      <c r="A125" s="93">
        <f t="shared" si="1"/>
        <v>39</v>
      </c>
      <c r="B125" s="48"/>
      <c r="C125"/>
      <c r="D125" s="117">
        <f t="shared" si="0"/>
        <v>1900</v>
      </c>
      <c r="E125" s="94" t="str">
        <f>IF(COUNTIFS(Таблица2[Date],B125)+SUMIFS(Таблица2[R],Таблица2[Date],B125)=0,"",COUNTIFS(Таблица2[Date],B125)+SUMIFS(Таблица2[R],Таблица2[Date],B125))</f>
        <v/>
      </c>
      <c r="F125" s="76" t="str">
        <f>IF(SUMIFS(Таблица2[B$],Таблица2[Date],B125)=0,"-",SUMIFS(Таблица2[B$],Таблица2[Date],B125))</f>
        <v>-</v>
      </c>
      <c r="G125" s="76" t="str">
        <f t="shared" si="2"/>
        <v>-</v>
      </c>
      <c r="H125" s="77" t="str">
        <f>IFERROR(AVERAGEIFS(Таблица2[AFS],Таблица2[Date],B125)+(AVERAGEIFS(Таблица2[AFS],Таблица2[Date],B125)*0.2),"-")</f>
        <v>-</v>
      </c>
      <c r="I125" s="77" t="str">
        <f t="shared" si="3"/>
        <v>-</v>
      </c>
      <c r="J125" s="77" t="str">
        <f>IFERROR(COUNTIFS(Таблица2[Date],B125,Таблица2[WIN$],"&gt;0")/E125*100,"-")</f>
        <v>-</v>
      </c>
      <c r="K125" s="77" t="str">
        <f>IF(IFERROR((COUNTIFS(Таблица2[Date],B125,Таблица2[K],"K")+SUMIFS(Таблица2[R],#REF!,B125,Таблица2[K],"K"))/E125*100,"-")=0,"-",IFERROR((COUNTIFS(Таблица2[Date],B125,Таблица2[K],"K")+SUMIFS(Таблица2[R],Таблица2[Date],B125,Таблица2[K],"K"))/E125*100,"-"))</f>
        <v>-</v>
      </c>
      <c r="L125" s="77" t="str">
        <f>IF(IFERROR((COUNTIFS(Таблица2[Date],B125,Таблица2[T],"t")+SUMIFS(Таблица2[R],Таблица2[Date],B125,Таблица2[T],"t"))/E125*100,"-")=0,"-",IFERROR((COUNTIFS(Таблица2[Date],B125,Таблица2[T],"t")+SUMIFS(Таблица2[R],Таблица2[Date],B125,Таблица2[T],"t"))/E125*100,"-"))</f>
        <v>-</v>
      </c>
      <c r="M125" s="76" t="str">
        <f>IF(SUMIFS(Таблица2[KO$],Таблица2[Date],B125)=0,"-",SUMIFS(Таблица2[KO$],Таблица2[Date],B125))</f>
        <v>-</v>
      </c>
      <c r="N125" s="76" t="str">
        <f>IF(SUMIFS(Таблица2[WIN$],Таблица2[Date],B125)=0,"-",SUMIFS(Таблица2[WIN$],Таблица2[Date],B125))</f>
        <v>-</v>
      </c>
      <c r="O125" s="76" t="str">
        <f t="shared" si="4"/>
        <v>-</v>
      </c>
    </row>
    <row r="126" spans="1:15" ht="11.1" customHeight="1" x14ac:dyDescent="0.25">
      <c r="A126" s="93">
        <f t="shared" si="1"/>
        <v>40</v>
      </c>
      <c r="B126" s="48"/>
      <c r="C126"/>
      <c r="D126" s="117">
        <f t="shared" si="0"/>
        <v>1900</v>
      </c>
      <c r="E126" s="94" t="str">
        <f>IF(COUNTIFS(Таблица2[Date],B126)+SUMIFS(Таблица2[R],Таблица2[Date],B126)=0,"",COUNTIFS(Таблица2[Date],B126)+SUMIFS(Таблица2[R],Таблица2[Date],B126))</f>
        <v/>
      </c>
      <c r="F126" s="76" t="str">
        <f>IF(SUMIFS(Таблица2[B$],Таблица2[Date],B126)=0,"-",SUMIFS(Таблица2[B$],Таблица2[Date],B126))</f>
        <v>-</v>
      </c>
      <c r="G126" s="76" t="str">
        <f t="shared" si="2"/>
        <v>-</v>
      </c>
      <c r="H126" s="77" t="str">
        <f>IFERROR(AVERAGEIFS(Таблица2[AFS],Таблица2[Date],B126)+(AVERAGEIFS(Таблица2[AFS],Таблица2[Date],B126)*0.2),"-")</f>
        <v>-</v>
      </c>
      <c r="I126" s="77" t="str">
        <f t="shared" si="3"/>
        <v>-</v>
      </c>
      <c r="J126" s="77" t="str">
        <f>IFERROR(COUNTIFS(Таблица2[Date],B126,Таблица2[WIN$],"&gt;0")/E126*100,"-")</f>
        <v>-</v>
      </c>
      <c r="K126" s="77" t="str">
        <f>IF(IFERROR((COUNTIFS(Таблица2[Date],B126,Таблица2[K],"K")+SUMIFS(Таблица2[R],#REF!,B126,Таблица2[K],"K"))/E126*100,"-")=0,"-",IFERROR((COUNTIFS(Таблица2[Date],B126,Таблица2[K],"K")+SUMIFS(Таблица2[R],Таблица2[Date],B126,Таблица2[K],"K"))/E126*100,"-"))</f>
        <v>-</v>
      </c>
      <c r="L126" s="77" t="str">
        <f>IF(IFERROR((COUNTIFS(Таблица2[Date],B126,Таблица2[T],"t")+SUMIFS(Таблица2[R],Таблица2[Date],B126,Таблица2[T],"t"))/E126*100,"-")=0,"-",IFERROR((COUNTIFS(Таблица2[Date],B126,Таблица2[T],"t")+SUMIFS(Таблица2[R],Таблица2[Date],B126,Таблица2[T],"t"))/E126*100,"-"))</f>
        <v>-</v>
      </c>
      <c r="M126" s="76" t="str">
        <f>IF(SUMIFS(Таблица2[KO$],Таблица2[Date],B126)=0,"-",SUMIFS(Таблица2[KO$],Таблица2[Date],B126))</f>
        <v>-</v>
      </c>
      <c r="N126" s="76" t="str">
        <f>IF(SUMIFS(Таблица2[WIN$],Таблица2[Date],B126)=0,"-",SUMIFS(Таблица2[WIN$],Таблица2[Date],B126))</f>
        <v>-</v>
      </c>
      <c r="O126" s="76" t="str">
        <f t="shared" si="4"/>
        <v>-</v>
      </c>
    </row>
    <row r="127" spans="1:15" ht="11.1" customHeight="1" x14ac:dyDescent="0.25">
      <c r="A127" s="93">
        <f t="shared" si="1"/>
        <v>41</v>
      </c>
      <c r="B127" s="48"/>
      <c r="C127"/>
      <c r="D127" s="117">
        <f t="shared" si="0"/>
        <v>1900</v>
      </c>
      <c r="E127" s="94" t="str">
        <f>IF(COUNTIFS(Таблица2[Date],B127)+SUMIFS(Таблица2[R],Таблица2[Date],B127)=0,"",COUNTIFS(Таблица2[Date],B127)+SUMIFS(Таблица2[R],Таблица2[Date],B127))</f>
        <v/>
      </c>
      <c r="F127" s="76" t="str">
        <f>IF(SUMIFS(Таблица2[B$],Таблица2[Date],B127)=0,"-",SUMIFS(Таблица2[B$],Таблица2[Date],B127))</f>
        <v>-</v>
      </c>
      <c r="G127" s="76" t="str">
        <f t="shared" si="2"/>
        <v>-</v>
      </c>
      <c r="H127" s="77" t="str">
        <f>IFERROR(AVERAGEIFS(Таблица2[AFS],Таблица2[Date],B127)+(AVERAGEIFS(Таблица2[AFS],Таблица2[Date],B127)*0.2),"-")</f>
        <v>-</v>
      </c>
      <c r="I127" s="77" t="str">
        <f t="shared" si="3"/>
        <v>-</v>
      </c>
      <c r="J127" s="77" t="str">
        <f>IFERROR(COUNTIFS(Таблица2[Date],B127,Таблица2[WIN$],"&gt;0")/E127*100,"-")</f>
        <v>-</v>
      </c>
      <c r="K127" s="77" t="str">
        <f>IF(IFERROR((COUNTIFS(Таблица2[Date],B127,Таблица2[K],"K")+SUMIFS(Таблица2[R],#REF!,B127,Таблица2[K],"K"))/E127*100,"-")=0,"-",IFERROR((COUNTIFS(Таблица2[Date],B127,Таблица2[K],"K")+SUMIFS(Таблица2[R],Таблица2[Date],B127,Таблица2[K],"K"))/E127*100,"-"))</f>
        <v>-</v>
      </c>
      <c r="L127" s="77" t="str">
        <f>IF(IFERROR((COUNTIFS(Таблица2[Date],B127,Таблица2[T],"t")+SUMIFS(Таблица2[R],Таблица2[Date],B127,Таблица2[T],"t"))/E127*100,"-")=0,"-",IFERROR((COUNTIFS(Таблица2[Date],B127,Таблица2[T],"t")+SUMIFS(Таблица2[R],Таблица2[Date],B127,Таблица2[T],"t"))/E127*100,"-"))</f>
        <v>-</v>
      </c>
      <c r="M127" s="76" t="str">
        <f>IF(SUMIFS(Таблица2[KO$],Таблица2[Date],B127)=0,"-",SUMIFS(Таблица2[KO$],Таблица2[Date],B127))</f>
        <v>-</v>
      </c>
      <c r="N127" s="76" t="str">
        <f>IF(SUMIFS(Таблица2[WIN$],Таблица2[Date],B127)=0,"-",SUMIFS(Таблица2[WIN$],Таблица2[Date],B127))</f>
        <v>-</v>
      </c>
      <c r="O127" s="76" t="str">
        <f t="shared" si="4"/>
        <v>-</v>
      </c>
    </row>
    <row r="128" spans="1:15" ht="11.1" customHeight="1" x14ac:dyDescent="0.25">
      <c r="A128" s="93">
        <f t="shared" si="1"/>
        <v>42</v>
      </c>
      <c r="B128" s="48"/>
      <c r="C128"/>
      <c r="D128" s="117">
        <f t="shared" si="0"/>
        <v>1900</v>
      </c>
      <c r="E128" s="94" t="str">
        <f>IF(COUNTIFS(Таблица2[Date],B128)+SUMIFS(Таблица2[R],Таблица2[Date],B128)=0,"",COUNTIFS(Таблица2[Date],B128)+SUMIFS(Таблица2[R],Таблица2[Date],B128))</f>
        <v/>
      </c>
      <c r="F128" s="76" t="str">
        <f>IF(SUMIFS(Таблица2[B$],Таблица2[Date],B128)=0,"-",SUMIFS(Таблица2[B$],Таблица2[Date],B128))</f>
        <v>-</v>
      </c>
      <c r="G128" s="76" t="str">
        <f t="shared" si="2"/>
        <v>-</v>
      </c>
      <c r="H128" s="77" t="str">
        <f>IFERROR(AVERAGEIFS(Таблица2[AFS],Таблица2[Date],B128)+(AVERAGEIFS(Таблица2[AFS],Таблица2[Date],B128)*0.2),"-")</f>
        <v>-</v>
      </c>
      <c r="I128" s="77" t="str">
        <f t="shared" si="3"/>
        <v>-</v>
      </c>
      <c r="J128" s="77" t="str">
        <f>IFERROR(COUNTIFS(Таблица2[Date],B128,Таблица2[WIN$],"&gt;0")/E128*100,"-")</f>
        <v>-</v>
      </c>
      <c r="K128" s="77" t="str">
        <f>IF(IFERROR((COUNTIFS(Таблица2[Date],B128,Таблица2[K],"K")+SUMIFS(Таблица2[R],#REF!,B128,Таблица2[K],"K"))/E128*100,"-")=0,"-",IFERROR((COUNTIFS(Таблица2[Date],B128,Таблица2[K],"K")+SUMIFS(Таблица2[R],Таблица2[Date],B128,Таблица2[K],"K"))/E128*100,"-"))</f>
        <v>-</v>
      </c>
      <c r="L128" s="77" t="str">
        <f>IF(IFERROR((COUNTIFS(Таблица2[Date],B128,Таблица2[T],"t")+SUMIFS(Таблица2[R],Таблица2[Date],B128,Таблица2[T],"t"))/E128*100,"-")=0,"-",IFERROR((COUNTIFS(Таблица2[Date],B128,Таблица2[T],"t")+SUMIFS(Таблица2[R],Таблица2[Date],B128,Таблица2[T],"t"))/E128*100,"-"))</f>
        <v>-</v>
      </c>
      <c r="M128" s="76" t="str">
        <f>IF(SUMIFS(Таблица2[KO$],Таблица2[Date],B128)=0,"-",SUMIFS(Таблица2[KO$],Таблица2[Date],B128))</f>
        <v>-</v>
      </c>
      <c r="N128" s="76" t="str">
        <f>IF(SUMIFS(Таблица2[WIN$],Таблица2[Date],B128)=0,"-",SUMIFS(Таблица2[WIN$],Таблица2[Date],B128))</f>
        <v>-</v>
      </c>
      <c r="O128" s="76" t="str">
        <f t="shared" si="4"/>
        <v>-</v>
      </c>
    </row>
    <row r="129" spans="1:15" ht="11.1" customHeight="1" x14ac:dyDescent="0.25">
      <c r="A129" s="93">
        <f t="shared" si="1"/>
        <v>43</v>
      </c>
      <c r="B129" s="48"/>
      <c r="C129"/>
      <c r="D129" s="117">
        <f t="shared" si="0"/>
        <v>1900</v>
      </c>
      <c r="E129" s="94" t="str">
        <f>IF(COUNTIFS(Таблица2[Date],B129)+SUMIFS(Таблица2[R],Таблица2[Date],B129)=0,"",COUNTIFS(Таблица2[Date],B129)+SUMIFS(Таблица2[R],Таблица2[Date],B129))</f>
        <v/>
      </c>
      <c r="F129" s="76" t="str">
        <f>IF(SUMIFS(Таблица2[B$],Таблица2[Date],B129)=0,"-",SUMIFS(Таблица2[B$],Таблица2[Date],B129))</f>
        <v>-</v>
      </c>
      <c r="G129" s="76" t="str">
        <f t="shared" si="2"/>
        <v>-</v>
      </c>
      <c r="H129" s="77" t="str">
        <f>IFERROR(AVERAGEIFS(Таблица2[AFS],Таблица2[Date],B129)+(AVERAGEIFS(Таблица2[AFS],Таблица2[Date],B129)*0.2),"-")</f>
        <v>-</v>
      </c>
      <c r="I129" s="77" t="str">
        <f t="shared" si="3"/>
        <v>-</v>
      </c>
      <c r="J129" s="77" t="str">
        <f>IFERROR(COUNTIFS(Таблица2[Date],B129,Таблица2[WIN$],"&gt;0")/E129*100,"-")</f>
        <v>-</v>
      </c>
      <c r="K129" s="77" t="str">
        <f>IF(IFERROR((COUNTIFS(Таблица2[Date],B129,Таблица2[K],"K")+SUMIFS(Таблица2[R],#REF!,B129,Таблица2[K],"K"))/E129*100,"-")=0,"-",IFERROR((COUNTIFS(Таблица2[Date],B129,Таблица2[K],"K")+SUMIFS(Таблица2[R],Таблица2[Date],B129,Таблица2[K],"K"))/E129*100,"-"))</f>
        <v>-</v>
      </c>
      <c r="L129" s="77" t="str">
        <f>IF(IFERROR((COUNTIFS(Таблица2[Date],B129,Таблица2[T],"t")+SUMIFS(Таблица2[R],Таблица2[Date],B129,Таблица2[T],"t"))/E129*100,"-")=0,"-",IFERROR((COUNTIFS(Таблица2[Date],B129,Таблица2[T],"t")+SUMIFS(Таблица2[R],Таблица2[Date],B129,Таблица2[T],"t"))/E129*100,"-"))</f>
        <v>-</v>
      </c>
      <c r="M129" s="76" t="str">
        <f>IF(SUMIFS(Таблица2[KO$],Таблица2[Date],B129)=0,"-",SUMIFS(Таблица2[KO$],Таблица2[Date],B129))</f>
        <v>-</v>
      </c>
      <c r="N129" s="76" t="str">
        <f>IF(SUMIFS(Таблица2[WIN$],Таблица2[Date],B129)=0,"-",SUMIFS(Таблица2[WIN$],Таблица2[Date],B129))</f>
        <v>-</v>
      </c>
      <c r="O129" s="76" t="str">
        <f t="shared" si="4"/>
        <v>-</v>
      </c>
    </row>
    <row r="130" spans="1:15" ht="11.1" customHeight="1" x14ac:dyDescent="0.25">
      <c r="A130" s="93">
        <f t="shared" si="1"/>
        <v>44</v>
      </c>
      <c r="B130" s="48"/>
      <c r="C130"/>
      <c r="D130" s="117">
        <f t="shared" si="0"/>
        <v>1900</v>
      </c>
      <c r="E130" s="94" t="str">
        <f>IF(COUNTIFS(Таблица2[Date],B130)+SUMIFS(Таблица2[R],Таблица2[Date],B130)=0,"",COUNTIFS(Таблица2[Date],B130)+SUMIFS(Таблица2[R],Таблица2[Date],B130))</f>
        <v/>
      </c>
      <c r="F130" s="76" t="str">
        <f>IF(SUMIFS(Таблица2[B$],Таблица2[Date],B130)=0,"-",SUMIFS(Таблица2[B$],Таблица2[Date],B130))</f>
        <v>-</v>
      </c>
      <c r="G130" s="76" t="str">
        <f t="shared" si="2"/>
        <v>-</v>
      </c>
      <c r="H130" s="77" t="str">
        <f>IFERROR(AVERAGEIFS(Таблица2[AFS],Таблица2[Date],B130)+(AVERAGEIFS(Таблица2[AFS],Таблица2[Date],B130)*0.2),"-")</f>
        <v>-</v>
      </c>
      <c r="I130" s="77" t="str">
        <f t="shared" si="3"/>
        <v>-</v>
      </c>
      <c r="J130" s="77" t="str">
        <f>IFERROR(COUNTIFS(Таблица2[Date],B130,Таблица2[WIN$],"&gt;0")/E130*100,"-")</f>
        <v>-</v>
      </c>
      <c r="K130" s="77" t="str">
        <f>IF(IFERROR((COUNTIFS(Таблица2[Date],B130,Таблица2[K],"K")+SUMIFS(Таблица2[R],#REF!,B130,Таблица2[K],"K"))/E130*100,"-")=0,"-",IFERROR((COUNTIFS(Таблица2[Date],B130,Таблица2[K],"K")+SUMIFS(Таблица2[R],Таблица2[Date],B130,Таблица2[K],"K"))/E130*100,"-"))</f>
        <v>-</v>
      </c>
      <c r="L130" s="77" t="str">
        <f>IF(IFERROR((COUNTIFS(Таблица2[Date],B130,Таблица2[T],"t")+SUMIFS(Таблица2[R],Таблица2[Date],B130,Таблица2[T],"t"))/E130*100,"-")=0,"-",IFERROR((COUNTIFS(Таблица2[Date],B130,Таблица2[T],"t")+SUMIFS(Таблица2[R],Таблица2[Date],B130,Таблица2[T],"t"))/E130*100,"-"))</f>
        <v>-</v>
      </c>
      <c r="M130" s="76" t="str">
        <f>IF(SUMIFS(Таблица2[KO$],Таблица2[Date],B130)=0,"-",SUMIFS(Таблица2[KO$],Таблица2[Date],B130))</f>
        <v>-</v>
      </c>
      <c r="N130" s="76" t="str">
        <f>IF(SUMIFS(Таблица2[WIN$],Таблица2[Date],B130)=0,"-",SUMIFS(Таблица2[WIN$],Таблица2[Date],B130))</f>
        <v>-</v>
      </c>
      <c r="O130" s="76" t="str">
        <f t="shared" si="4"/>
        <v>-</v>
      </c>
    </row>
    <row r="131" spans="1:15" ht="11.1" customHeight="1" x14ac:dyDescent="0.25">
      <c r="A131" s="93">
        <f t="shared" si="1"/>
        <v>45</v>
      </c>
      <c r="B131" s="48"/>
      <c r="C131"/>
      <c r="D131" s="117">
        <f t="shared" si="0"/>
        <v>1900</v>
      </c>
      <c r="E131" s="94" t="str">
        <f>IF(COUNTIFS(Таблица2[Date],B131)+SUMIFS(Таблица2[R],Таблица2[Date],B131)=0,"",COUNTIFS(Таблица2[Date],B131)+SUMIFS(Таблица2[R],Таблица2[Date],B131))</f>
        <v/>
      </c>
      <c r="F131" s="76" t="str">
        <f>IF(SUMIFS(Таблица2[B$],Таблица2[Date],B131)=0,"-",SUMIFS(Таблица2[B$],Таблица2[Date],B131))</f>
        <v>-</v>
      </c>
      <c r="G131" s="76" t="str">
        <f t="shared" si="2"/>
        <v>-</v>
      </c>
      <c r="H131" s="77" t="str">
        <f>IFERROR(AVERAGEIFS(Таблица2[AFS],Таблица2[Date],B131)+(AVERAGEIFS(Таблица2[AFS],Таблица2[Date],B131)*0.2),"-")</f>
        <v>-</v>
      </c>
      <c r="I131" s="77" t="str">
        <f t="shared" si="3"/>
        <v>-</v>
      </c>
      <c r="J131" s="77" t="str">
        <f>IFERROR(COUNTIFS(Таблица2[Date],B131,Таблица2[WIN$],"&gt;0")/E131*100,"-")</f>
        <v>-</v>
      </c>
      <c r="K131" s="77" t="str">
        <f>IF(IFERROR((COUNTIFS(Таблица2[Date],B131,Таблица2[K],"K")+SUMIFS(Таблица2[R],#REF!,B131,Таблица2[K],"K"))/E131*100,"-")=0,"-",IFERROR((COUNTIFS(Таблица2[Date],B131,Таблица2[K],"K")+SUMIFS(Таблица2[R],Таблица2[Date],B131,Таблица2[K],"K"))/E131*100,"-"))</f>
        <v>-</v>
      </c>
      <c r="L131" s="77" t="str">
        <f>IF(IFERROR((COUNTIFS(Таблица2[Date],B131,Таблица2[T],"t")+SUMIFS(Таблица2[R],Таблица2[Date],B131,Таблица2[T],"t"))/E131*100,"-")=0,"-",IFERROR((COUNTIFS(Таблица2[Date],B131,Таблица2[T],"t")+SUMIFS(Таблица2[R],Таблица2[Date],B131,Таблица2[T],"t"))/E131*100,"-"))</f>
        <v>-</v>
      </c>
      <c r="M131" s="76" t="str">
        <f>IF(SUMIFS(Таблица2[KO$],Таблица2[Date],B131)=0,"-",SUMIFS(Таблица2[KO$],Таблица2[Date],B131))</f>
        <v>-</v>
      </c>
      <c r="N131" s="76" t="str">
        <f>IF(SUMIFS(Таблица2[WIN$],Таблица2[Date],B131)=0,"-",SUMIFS(Таблица2[WIN$],Таблица2[Date],B131))</f>
        <v>-</v>
      </c>
      <c r="O131" s="76" t="str">
        <f t="shared" si="4"/>
        <v>-</v>
      </c>
    </row>
    <row r="132" spans="1:15" ht="11.1" customHeight="1" x14ac:dyDescent="0.25">
      <c r="A132" s="93">
        <f t="shared" si="1"/>
        <v>46</v>
      </c>
      <c r="B132" s="48"/>
      <c r="C132"/>
      <c r="D132" s="117">
        <f t="shared" si="0"/>
        <v>1900</v>
      </c>
      <c r="E132" s="94" t="str">
        <f>IF(COUNTIFS(Таблица2[Date],B132)+SUMIFS(Таблица2[R],Таблица2[Date],B132)=0,"",COUNTIFS(Таблица2[Date],B132)+SUMIFS(Таблица2[R],Таблица2[Date],B132))</f>
        <v/>
      </c>
      <c r="F132" s="76" t="str">
        <f>IF(SUMIFS(Таблица2[B$],Таблица2[Date],B132)=0,"-",SUMIFS(Таблица2[B$],Таблица2[Date],B132))</f>
        <v>-</v>
      </c>
      <c r="G132" s="76" t="str">
        <f t="shared" si="2"/>
        <v>-</v>
      </c>
      <c r="H132" s="77" t="str">
        <f>IFERROR(AVERAGEIFS(Таблица2[AFS],Таблица2[Date],B132)+(AVERAGEIFS(Таблица2[AFS],Таблица2[Date],B132)*0.2),"-")</f>
        <v>-</v>
      </c>
      <c r="I132" s="77" t="str">
        <f t="shared" si="3"/>
        <v>-</v>
      </c>
      <c r="J132" s="77" t="str">
        <f>IFERROR(COUNTIFS(Таблица2[Date],B132,Таблица2[WIN$],"&gt;0")/E132*100,"-")</f>
        <v>-</v>
      </c>
      <c r="K132" s="77" t="str">
        <f>IF(IFERROR((COUNTIFS(Таблица2[Date],B132,Таблица2[K],"K")+SUMIFS(Таблица2[R],#REF!,B132,Таблица2[K],"K"))/E132*100,"-")=0,"-",IFERROR((COUNTIFS(Таблица2[Date],B132,Таблица2[K],"K")+SUMIFS(Таблица2[R],Таблица2[Date],B132,Таблица2[K],"K"))/E132*100,"-"))</f>
        <v>-</v>
      </c>
      <c r="L132" s="77" t="str">
        <f>IF(IFERROR((COUNTIFS(Таблица2[Date],B132,Таблица2[T],"t")+SUMIFS(Таблица2[R],Таблица2[Date],B132,Таблица2[T],"t"))/E132*100,"-")=0,"-",IFERROR((COUNTIFS(Таблица2[Date],B132,Таблица2[T],"t")+SUMIFS(Таблица2[R],Таблица2[Date],B132,Таблица2[T],"t"))/E132*100,"-"))</f>
        <v>-</v>
      </c>
      <c r="M132" s="76" t="str">
        <f>IF(SUMIFS(Таблица2[KO$],Таблица2[Date],B132)=0,"-",SUMIFS(Таблица2[KO$],Таблица2[Date],B132))</f>
        <v>-</v>
      </c>
      <c r="N132" s="76" t="str">
        <f>IF(SUMIFS(Таблица2[WIN$],Таблица2[Date],B132)=0,"-",SUMIFS(Таблица2[WIN$],Таблица2[Date],B132))</f>
        <v>-</v>
      </c>
      <c r="O132" s="76" t="str">
        <f t="shared" si="4"/>
        <v>-</v>
      </c>
    </row>
    <row r="133" spans="1:15" ht="11.1" customHeight="1" x14ac:dyDescent="0.25">
      <c r="A133" s="93">
        <f t="shared" si="1"/>
        <v>47</v>
      </c>
      <c r="B133" s="48"/>
      <c r="C133"/>
      <c r="D133" s="117">
        <f t="shared" si="0"/>
        <v>1900</v>
      </c>
      <c r="E133" s="94" t="str">
        <f>IF(COUNTIFS(Таблица2[Date],B133)+SUMIFS(Таблица2[R],Таблица2[Date],B133)=0,"",COUNTIFS(Таблица2[Date],B133)+SUMIFS(Таблица2[R],Таблица2[Date],B133))</f>
        <v/>
      </c>
      <c r="F133" s="76" t="str">
        <f>IF(SUMIFS(Таблица2[B$],Таблица2[Date],B133)=0,"-",SUMIFS(Таблица2[B$],Таблица2[Date],B133))</f>
        <v>-</v>
      </c>
      <c r="G133" s="76" t="str">
        <f t="shared" si="2"/>
        <v>-</v>
      </c>
      <c r="H133" s="77" t="str">
        <f>IFERROR(AVERAGEIFS(Таблица2[AFS],Таблица2[Date],B133)+(AVERAGEIFS(Таблица2[AFS],Таблица2[Date],B133)*0.2),"-")</f>
        <v>-</v>
      </c>
      <c r="I133" s="77" t="str">
        <f t="shared" si="3"/>
        <v>-</v>
      </c>
      <c r="J133" s="77" t="str">
        <f>IFERROR(COUNTIFS(Таблица2[Date],B133,Таблица2[WIN$],"&gt;0")/E133*100,"-")</f>
        <v>-</v>
      </c>
      <c r="K133" s="77" t="str">
        <f>IF(IFERROR((COUNTIFS(Таблица2[Date],B133,Таблица2[K],"K")+SUMIFS(Таблица2[R],#REF!,B133,Таблица2[K],"K"))/E133*100,"-")=0,"-",IFERROR((COUNTIFS(Таблица2[Date],B133,Таблица2[K],"K")+SUMIFS(Таблица2[R],Таблица2[Date],B133,Таблица2[K],"K"))/E133*100,"-"))</f>
        <v>-</v>
      </c>
      <c r="L133" s="77" t="str">
        <f>IF(IFERROR((COUNTIFS(Таблица2[Date],B133,Таблица2[T],"t")+SUMIFS(Таблица2[R],Таблица2[Date],B133,Таблица2[T],"t"))/E133*100,"-")=0,"-",IFERROR((COUNTIFS(Таблица2[Date],B133,Таблица2[T],"t")+SUMIFS(Таблица2[R],Таблица2[Date],B133,Таблица2[T],"t"))/E133*100,"-"))</f>
        <v>-</v>
      </c>
      <c r="M133" s="76" t="str">
        <f>IF(SUMIFS(Таблица2[KO$],Таблица2[Date],B133)=0,"-",SUMIFS(Таблица2[KO$],Таблица2[Date],B133))</f>
        <v>-</v>
      </c>
      <c r="N133" s="76" t="str">
        <f>IF(SUMIFS(Таблица2[WIN$],Таблица2[Date],B133)=0,"-",SUMIFS(Таблица2[WIN$],Таблица2[Date],B133))</f>
        <v>-</v>
      </c>
      <c r="O133" s="76" t="str">
        <f t="shared" si="4"/>
        <v>-</v>
      </c>
    </row>
    <row r="134" spans="1:15" ht="11.1" customHeight="1" x14ac:dyDescent="0.25">
      <c r="A134" s="93">
        <f t="shared" si="1"/>
        <v>48</v>
      </c>
      <c r="B134" s="48"/>
      <c r="C134"/>
      <c r="D134" s="117">
        <f t="shared" si="0"/>
        <v>1900</v>
      </c>
      <c r="E134" s="94" t="str">
        <f>IF(COUNTIFS(Таблица2[Date],B134)+SUMIFS(Таблица2[R],Таблица2[Date],B134)=0,"",COUNTIFS(Таблица2[Date],B134)+SUMIFS(Таблица2[R],Таблица2[Date],B134))</f>
        <v/>
      </c>
      <c r="F134" s="76" t="str">
        <f>IF(SUMIFS(Таблица2[B$],Таблица2[Date],B134)=0,"-",SUMIFS(Таблица2[B$],Таблица2[Date],B134))</f>
        <v>-</v>
      </c>
      <c r="G134" s="76" t="str">
        <f t="shared" si="2"/>
        <v>-</v>
      </c>
      <c r="H134" s="77" t="str">
        <f>IFERROR(AVERAGEIFS(Таблица2[AFS],Таблица2[Date],B134)+(AVERAGEIFS(Таблица2[AFS],Таблица2[Date],B134)*0.2),"-")</f>
        <v>-</v>
      </c>
      <c r="I134" s="77" t="str">
        <f t="shared" si="3"/>
        <v>-</v>
      </c>
      <c r="J134" s="77" t="str">
        <f>IFERROR(COUNTIFS(Таблица2[Date],B134,Таблица2[WIN$],"&gt;0")/E134*100,"-")</f>
        <v>-</v>
      </c>
      <c r="K134" s="77" t="str">
        <f>IF(IFERROR((COUNTIFS(Таблица2[Date],B134,Таблица2[K],"K")+SUMIFS(Таблица2[R],#REF!,B134,Таблица2[K],"K"))/E134*100,"-")=0,"-",IFERROR((COUNTIFS(Таблица2[Date],B134,Таблица2[K],"K")+SUMIFS(Таблица2[R],Таблица2[Date],B134,Таблица2[K],"K"))/E134*100,"-"))</f>
        <v>-</v>
      </c>
      <c r="L134" s="77" t="str">
        <f>IF(IFERROR((COUNTIFS(Таблица2[Date],B134,Таблица2[T],"t")+SUMIFS(Таблица2[R],Таблица2[Date],B134,Таблица2[T],"t"))/E134*100,"-")=0,"-",IFERROR((COUNTIFS(Таблица2[Date],B134,Таблица2[T],"t")+SUMIFS(Таблица2[R],Таблица2[Date],B134,Таблица2[T],"t"))/E134*100,"-"))</f>
        <v>-</v>
      </c>
      <c r="M134" s="76" t="str">
        <f>IF(SUMIFS(Таблица2[KO$],Таблица2[Date],B134)=0,"-",SUMIFS(Таблица2[KO$],Таблица2[Date],B134))</f>
        <v>-</v>
      </c>
      <c r="N134" s="76" t="str">
        <f>IF(SUMIFS(Таблица2[WIN$],Таблица2[Date],B134)=0,"-",SUMIFS(Таблица2[WIN$],Таблица2[Date],B134))</f>
        <v>-</v>
      </c>
      <c r="O134" s="76" t="str">
        <f t="shared" si="4"/>
        <v>-</v>
      </c>
    </row>
    <row r="135" spans="1:15" ht="11.1" customHeight="1" x14ac:dyDescent="0.25">
      <c r="A135" s="93">
        <f t="shared" si="1"/>
        <v>49</v>
      </c>
      <c r="B135" s="48"/>
      <c r="C135"/>
      <c r="D135" s="117">
        <f t="shared" si="0"/>
        <v>1900</v>
      </c>
      <c r="E135" s="94" t="str">
        <f>IF(COUNTIFS(Таблица2[Date],B135)+SUMIFS(Таблица2[R],Таблица2[Date],B135)=0,"",COUNTIFS(Таблица2[Date],B135)+SUMIFS(Таблица2[R],Таблица2[Date],B135))</f>
        <v/>
      </c>
      <c r="F135" s="76" t="str">
        <f>IF(SUMIFS(Таблица2[B$],Таблица2[Date],B135)=0,"-",SUMIFS(Таблица2[B$],Таблица2[Date],B135))</f>
        <v>-</v>
      </c>
      <c r="G135" s="76" t="str">
        <f t="shared" si="2"/>
        <v>-</v>
      </c>
      <c r="H135" s="77" t="str">
        <f>IFERROR(AVERAGEIFS(Таблица2[AFS],Таблица2[Date],B135)+(AVERAGEIFS(Таблица2[AFS],Таблица2[Date],B135)*0.2),"-")</f>
        <v>-</v>
      </c>
      <c r="I135" s="77" t="str">
        <f t="shared" si="3"/>
        <v>-</v>
      </c>
      <c r="J135" s="77" t="str">
        <f>IFERROR(COUNTIFS(Таблица2[Date],B135,Таблица2[WIN$],"&gt;0")/E135*100,"-")</f>
        <v>-</v>
      </c>
      <c r="K135" s="77" t="str">
        <f>IF(IFERROR((COUNTIFS(Таблица2[Date],B135,Таблица2[K],"K")+SUMIFS(Таблица2[R],#REF!,B135,Таблица2[K],"K"))/E135*100,"-")=0,"-",IFERROR((COUNTIFS(Таблица2[Date],B135,Таблица2[K],"K")+SUMIFS(Таблица2[R],Таблица2[Date],B135,Таблица2[K],"K"))/E135*100,"-"))</f>
        <v>-</v>
      </c>
      <c r="L135" s="77" t="str">
        <f>IF(IFERROR((COUNTIFS(Таблица2[Date],B135,Таблица2[T],"t")+SUMIFS(Таблица2[R],Таблица2[Date],B135,Таблица2[T],"t"))/E135*100,"-")=0,"-",IFERROR((COUNTIFS(Таблица2[Date],B135,Таблица2[T],"t")+SUMIFS(Таблица2[R],Таблица2[Date],B135,Таблица2[T],"t"))/E135*100,"-"))</f>
        <v>-</v>
      </c>
      <c r="M135" s="76" t="str">
        <f>IF(SUMIFS(Таблица2[KO$],Таблица2[Date],B135)=0,"-",SUMIFS(Таблица2[KO$],Таблица2[Date],B135))</f>
        <v>-</v>
      </c>
      <c r="N135" s="76" t="str">
        <f>IF(SUMIFS(Таблица2[WIN$],Таблица2[Date],B135)=0,"-",SUMIFS(Таблица2[WIN$],Таблица2[Date],B135))</f>
        <v>-</v>
      </c>
      <c r="O135" s="76" t="str">
        <f t="shared" si="4"/>
        <v>-</v>
      </c>
    </row>
    <row r="136" spans="1:15" ht="11.1" customHeight="1" x14ac:dyDescent="0.25">
      <c r="A136" s="93">
        <f t="shared" si="1"/>
        <v>50</v>
      </c>
      <c r="B136" s="48"/>
      <c r="C136"/>
      <c r="D136" s="117">
        <f t="shared" si="0"/>
        <v>1900</v>
      </c>
      <c r="E136" s="94" t="str">
        <f>IF(COUNTIFS(Таблица2[Date],B136)+SUMIFS(Таблица2[R],Таблица2[Date],B136)=0,"",COUNTIFS(Таблица2[Date],B136)+SUMIFS(Таблица2[R],Таблица2[Date],B136))</f>
        <v/>
      </c>
      <c r="F136" s="76" t="str">
        <f>IF(SUMIFS(Таблица2[B$],Таблица2[Date],B136)=0,"-",SUMIFS(Таблица2[B$],Таблица2[Date],B136))</f>
        <v>-</v>
      </c>
      <c r="G136" s="76" t="str">
        <f t="shared" si="2"/>
        <v>-</v>
      </c>
      <c r="H136" s="77" t="str">
        <f>IFERROR(AVERAGEIFS(Таблица2[AFS],Таблица2[Date],B136)+(AVERAGEIFS(Таблица2[AFS],Таблица2[Date],B136)*0.2),"-")</f>
        <v>-</v>
      </c>
      <c r="I136" s="77" t="str">
        <f t="shared" si="3"/>
        <v>-</v>
      </c>
      <c r="J136" s="77" t="str">
        <f>IFERROR(COUNTIFS(Таблица2[Date],B136,Таблица2[WIN$],"&gt;0")/E136*100,"-")</f>
        <v>-</v>
      </c>
      <c r="K136" s="77" t="str">
        <f>IF(IFERROR((COUNTIFS(Таблица2[Date],B136,Таблица2[K],"K")+SUMIFS(Таблица2[R],#REF!,B136,Таблица2[K],"K"))/E136*100,"-")=0,"-",IFERROR((COUNTIFS(Таблица2[Date],B136,Таблица2[K],"K")+SUMIFS(Таблица2[R],Таблица2[Date],B136,Таблица2[K],"K"))/E136*100,"-"))</f>
        <v>-</v>
      </c>
      <c r="L136" s="77" t="str">
        <f>IF(IFERROR((COUNTIFS(Таблица2[Date],B136,Таблица2[T],"t")+SUMIFS(Таблица2[R],Таблица2[Date],B136,Таблица2[T],"t"))/E136*100,"-")=0,"-",IFERROR((COUNTIFS(Таблица2[Date],B136,Таблица2[T],"t")+SUMIFS(Таблица2[R],Таблица2[Date],B136,Таблица2[T],"t"))/E136*100,"-"))</f>
        <v>-</v>
      </c>
      <c r="M136" s="76" t="str">
        <f>IF(SUMIFS(Таблица2[KO$],Таблица2[Date],B136)=0,"-",SUMIFS(Таблица2[KO$],Таблица2[Date],B136))</f>
        <v>-</v>
      </c>
      <c r="N136" s="76" t="str">
        <f>IF(SUMIFS(Таблица2[WIN$],Таблица2[Date],B136)=0,"-",SUMIFS(Таблица2[WIN$],Таблица2[Date],B136))</f>
        <v>-</v>
      </c>
      <c r="O136" s="76" t="str">
        <f t="shared" si="4"/>
        <v>-</v>
      </c>
    </row>
    <row r="137" spans="1:15" ht="11.1" customHeight="1" x14ac:dyDescent="0.25">
      <c r="A137" s="93">
        <f t="shared" si="1"/>
        <v>51</v>
      </c>
      <c r="B137" s="48"/>
      <c r="C137"/>
      <c r="D137" s="117">
        <f t="shared" si="0"/>
        <v>1900</v>
      </c>
      <c r="E137" s="94" t="str">
        <f>IF(COUNTIFS(Таблица2[Date],B137)+SUMIFS(Таблица2[R],Таблица2[Date],B137)=0,"",COUNTIFS(Таблица2[Date],B137)+SUMIFS(Таблица2[R],Таблица2[Date],B137))</f>
        <v/>
      </c>
      <c r="F137" s="76" t="str">
        <f>IF(SUMIFS(Таблица2[B$],Таблица2[Date],B137)=0,"-",SUMIFS(Таблица2[B$],Таблица2[Date],B137))</f>
        <v>-</v>
      </c>
      <c r="G137" s="76" t="str">
        <f t="shared" si="2"/>
        <v>-</v>
      </c>
      <c r="H137" s="77" t="str">
        <f>IFERROR(AVERAGEIFS(Таблица2[AFS],Таблица2[Date],B137)+(AVERAGEIFS(Таблица2[AFS],Таблица2[Date],B137)*0.2),"-")</f>
        <v>-</v>
      </c>
      <c r="I137" s="77" t="str">
        <f t="shared" si="3"/>
        <v>-</v>
      </c>
      <c r="J137" s="77" t="str">
        <f>IFERROR(COUNTIFS(Таблица2[Date],B137,Таблица2[WIN$],"&gt;0")/E137*100,"-")</f>
        <v>-</v>
      </c>
      <c r="K137" s="77" t="str">
        <f>IF(IFERROR((COUNTIFS(Таблица2[Date],B137,Таблица2[K],"K")+SUMIFS(Таблица2[R],#REF!,B137,Таблица2[K],"K"))/E137*100,"-")=0,"-",IFERROR((COUNTIFS(Таблица2[Date],B137,Таблица2[K],"K")+SUMIFS(Таблица2[R],Таблица2[Date],B137,Таблица2[K],"K"))/E137*100,"-"))</f>
        <v>-</v>
      </c>
      <c r="L137" s="77" t="str">
        <f>IF(IFERROR((COUNTIFS(Таблица2[Date],B137,Таблица2[T],"t")+SUMIFS(Таблица2[R],Таблица2[Date],B137,Таблица2[T],"t"))/E137*100,"-")=0,"-",IFERROR((COUNTIFS(Таблица2[Date],B137,Таблица2[T],"t")+SUMIFS(Таблица2[R],Таблица2[Date],B137,Таблица2[T],"t"))/E137*100,"-"))</f>
        <v>-</v>
      </c>
      <c r="M137" s="76" t="str">
        <f>IF(SUMIFS(Таблица2[KO$],Таблица2[Date],B137)=0,"-",SUMIFS(Таблица2[KO$],Таблица2[Date],B137))</f>
        <v>-</v>
      </c>
      <c r="N137" s="76" t="str">
        <f>IF(SUMIFS(Таблица2[WIN$],Таблица2[Date],B137)=0,"-",SUMIFS(Таблица2[WIN$],Таблица2[Date],B137))</f>
        <v>-</v>
      </c>
      <c r="O137" s="76" t="str">
        <f t="shared" si="4"/>
        <v>-</v>
      </c>
    </row>
    <row r="138" spans="1:15" ht="11.1" customHeight="1" x14ac:dyDescent="0.25">
      <c r="A138" s="93">
        <f t="shared" si="1"/>
        <v>52</v>
      </c>
      <c r="B138" s="48"/>
      <c r="C138"/>
      <c r="D138" s="117">
        <f t="shared" si="0"/>
        <v>1900</v>
      </c>
      <c r="E138" s="94" t="str">
        <f>IF(COUNTIFS(Таблица2[Date],B138)+SUMIFS(Таблица2[R],Таблица2[Date],B138)=0,"",COUNTIFS(Таблица2[Date],B138)+SUMIFS(Таблица2[R],Таблица2[Date],B138))</f>
        <v/>
      </c>
      <c r="F138" s="76" t="str">
        <f>IF(SUMIFS(Таблица2[B$],Таблица2[Date],B138)=0,"-",SUMIFS(Таблица2[B$],Таблица2[Date],B138))</f>
        <v>-</v>
      </c>
      <c r="G138" s="76" t="str">
        <f t="shared" si="2"/>
        <v>-</v>
      </c>
      <c r="H138" s="77" t="str">
        <f>IFERROR(AVERAGEIFS(Таблица2[AFS],Таблица2[Date],B138)+(AVERAGEIFS(Таблица2[AFS],Таблица2[Date],B138)*0.2),"-")</f>
        <v>-</v>
      </c>
      <c r="I138" s="77" t="str">
        <f t="shared" si="3"/>
        <v>-</v>
      </c>
      <c r="J138" s="77" t="str">
        <f>IFERROR(COUNTIFS(Таблица2[Date],B138,Таблица2[WIN$],"&gt;0")/E138*100,"-")</f>
        <v>-</v>
      </c>
      <c r="K138" s="77" t="str">
        <f>IF(IFERROR((COUNTIFS(Таблица2[Date],B138,Таблица2[K],"K")+SUMIFS(Таблица2[R],#REF!,B138,Таблица2[K],"K"))/E138*100,"-")=0,"-",IFERROR((COUNTIFS(Таблица2[Date],B138,Таблица2[K],"K")+SUMIFS(Таблица2[R],Таблица2[Date],B138,Таблица2[K],"K"))/E138*100,"-"))</f>
        <v>-</v>
      </c>
      <c r="L138" s="77" t="str">
        <f>IF(IFERROR((COUNTIFS(Таблица2[Date],B138,Таблица2[T],"t")+SUMIFS(Таблица2[R],Таблица2[Date],B138,Таблица2[T],"t"))/E138*100,"-")=0,"-",IFERROR((COUNTIFS(Таблица2[Date],B138,Таблица2[T],"t")+SUMIFS(Таблица2[R],Таблица2[Date],B138,Таблица2[T],"t"))/E138*100,"-"))</f>
        <v>-</v>
      </c>
      <c r="M138" s="76" t="str">
        <f>IF(SUMIFS(Таблица2[KO$],Таблица2[Date],B138)=0,"-",SUMIFS(Таблица2[KO$],Таблица2[Date],B138))</f>
        <v>-</v>
      </c>
      <c r="N138" s="76" t="str">
        <f>IF(SUMIFS(Таблица2[WIN$],Таблица2[Date],B138)=0,"-",SUMIFS(Таблица2[WIN$],Таблица2[Date],B138))</f>
        <v>-</v>
      </c>
      <c r="O138" s="76" t="str">
        <f t="shared" si="4"/>
        <v>-</v>
      </c>
    </row>
    <row r="139" spans="1:15" ht="11.1" customHeight="1" x14ac:dyDescent="0.25">
      <c r="A139" s="93">
        <f t="shared" si="1"/>
        <v>53</v>
      </c>
      <c r="B139" s="48"/>
      <c r="C139"/>
      <c r="D139" s="117">
        <f t="shared" si="0"/>
        <v>1900</v>
      </c>
      <c r="E139" s="94" t="str">
        <f>IF(COUNTIFS(Таблица2[Date],B139)+SUMIFS(Таблица2[R],Таблица2[Date],B139)=0,"",COUNTIFS(Таблица2[Date],B139)+SUMIFS(Таблица2[R],Таблица2[Date],B139))</f>
        <v/>
      </c>
      <c r="F139" s="76" t="str">
        <f>IF(SUMIFS(Таблица2[B$],Таблица2[Date],B139)=0,"-",SUMIFS(Таблица2[B$],Таблица2[Date],B139))</f>
        <v>-</v>
      </c>
      <c r="G139" s="76" t="str">
        <f t="shared" si="2"/>
        <v>-</v>
      </c>
      <c r="H139" s="77" t="str">
        <f>IFERROR(AVERAGEIFS(Таблица2[AFS],Таблица2[Date],B139)+(AVERAGEIFS(Таблица2[AFS],Таблица2[Date],B139)*0.2),"-")</f>
        <v>-</v>
      </c>
      <c r="I139" s="77" t="str">
        <f t="shared" si="3"/>
        <v>-</v>
      </c>
      <c r="J139" s="77" t="str">
        <f>IFERROR(COUNTIFS(Таблица2[Date],B139,Таблица2[WIN$],"&gt;0")/E139*100,"-")</f>
        <v>-</v>
      </c>
      <c r="K139" s="77" t="str">
        <f>IF(IFERROR((COUNTIFS(Таблица2[Date],B139,Таблица2[K],"K")+SUMIFS(Таблица2[R],#REF!,B139,Таблица2[K],"K"))/E139*100,"-")=0,"-",IFERROR((COUNTIFS(Таблица2[Date],B139,Таблица2[K],"K")+SUMIFS(Таблица2[R],Таблица2[Date],B139,Таблица2[K],"K"))/E139*100,"-"))</f>
        <v>-</v>
      </c>
      <c r="L139" s="77" t="str">
        <f>IF(IFERROR((COUNTIFS(Таблица2[Date],B139,Таблица2[T],"t")+SUMIFS(Таблица2[R],Таблица2[Date],B139,Таблица2[T],"t"))/E139*100,"-")=0,"-",IFERROR((COUNTIFS(Таблица2[Date],B139,Таблица2[T],"t")+SUMIFS(Таблица2[R],Таблица2[Date],B139,Таблица2[T],"t"))/E139*100,"-"))</f>
        <v>-</v>
      </c>
      <c r="M139" s="76" t="str">
        <f>IF(SUMIFS(Таблица2[KO$],Таблица2[Date],B139)=0,"-",SUMIFS(Таблица2[KO$],Таблица2[Date],B139))</f>
        <v>-</v>
      </c>
      <c r="N139" s="76" t="str">
        <f>IF(SUMIFS(Таблица2[WIN$],Таблица2[Date],B139)=0,"-",SUMIFS(Таблица2[WIN$],Таблица2[Date],B139))</f>
        <v>-</v>
      </c>
      <c r="O139" s="76" t="str">
        <f t="shared" si="4"/>
        <v>-</v>
      </c>
    </row>
    <row r="140" spans="1:15" ht="11.1" customHeight="1" x14ac:dyDescent="0.25">
      <c r="A140" s="93">
        <f t="shared" si="1"/>
        <v>54</v>
      </c>
      <c r="B140" s="48"/>
      <c r="C140"/>
      <c r="D140" s="117">
        <f t="shared" si="0"/>
        <v>1900</v>
      </c>
      <c r="E140" s="94" t="str">
        <f>IF(COUNTIFS(Таблица2[Date],B140)+SUMIFS(Таблица2[R],Таблица2[Date],B140)=0,"",COUNTIFS(Таблица2[Date],B140)+SUMIFS(Таблица2[R],Таблица2[Date],B140))</f>
        <v/>
      </c>
      <c r="F140" s="76" t="str">
        <f>IF(SUMIFS(Таблица2[B$],Таблица2[Date],B140)=0,"-",SUMIFS(Таблица2[B$],Таблица2[Date],B140))</f>
        <v>-</v>
      </c>
      <c r="G140" s="76" t="str">
        <f t="shared" si="2"/>
        <v>-</v>
      </c>
      <c r="H140" s="77" t="str">
        <f>IFERROR(AVERAGEIFS(Таблица2[AFS],Таблица2[Date],B140)+(AVERAGEIFS(Таблица2[AFS],Таблица2[Date],B140)*0.2),"-")</f>
        <v>-</v>
      </c>
      <c r="I140" s="77" t="str">
        <f t="shared" si="3"/>
        <v>-</v>
      </c>
      <c r="J140" s="77" t="str">
        <f>IFERROR(COUNTIFS(Таблица2[Date],B140,Таблица2[WIN$],"&gt;0")/E140*100,"-")</f>
        <v>-</v>
      </c>
      <c r="K140" s="77" t="str">
        <f>IF(IFERROR((COUNTIFS(Таблица2[Date],B140,Таблица2[K],"K")+SUMIFS(Таблица2[R],#REF!,B140,Таблица2[K],"K"))/E140*100,"-")=0,"-",IFERROR((COUNTIFS(Таблица2[Date],B140,Таблица2[K],"K")+SUMIFS(Таблица2[R],Таблица2[Date],B140,Таблица2[K],"K"))/E140*100,"-"))</f>
        <v>-</v>
      </c>
      <c r="L140" s="77" t="str">
        <f>IF(IFERROR((COUNTIFS(Таблица2[Date],B140,Таблица2[T],"t")+SUMIFS(Таблица2[R],Таблица2[Date],B140,Таблица2[T],"t"))/E140*100,"-")=0,"-",IFERROR((COUNTIFS(Таблица2[Date],B140,Таблица2[T],"t")+SUMIFS(Таблица2[R],Таблица2[Date],B140,Таблица2[T],"t"))/E140*100,"-"))</f>
        <v>-</v>
      </c>
      <c r="M140" s="76" t="str">
        <f>IF(SUMIFS(Таблица2[KO$],Таблица2[Date],B140)=0,"-",SUMIFS(Таблица2[KO$],Таблица2[Date],B140))</f>
        <v>-</v>
      </c>
      <c r="N140" s="76" t="str">
        <f>IF(SUMIFS(Таблица2[WIN$],Таблица2[Date],B140)=0,"-",SUMIFS(Таблица2[WIN$],Таблица2[Date],B140))</f>
        <v>-</v>
      </c>
      <c r="O140" s="76" t="str">
        <f t="shared" si="4"/>
        <v>-</v>
      </c>
    </row>
    <row r="141" spans="1:15" ht="11.1" customHeight="1" x14ac:dyDescent="0.25">
      <c r="A141" s="93">
        <f t="shared" si="1"/>
        <v>55</v>
      </c>
      <c r="B141" s="48"/>
      <c r="C141"/>
      <c r="D141" s="117">
        <f t="shared" si="0"/>
        <v>1900</v>
      </c>
      <c r="E141" s="94" t="str">
        <f>IF(COUNTIFS(Таблица2[Date],B141)+SUMIFS(Таблица2[R],Таблица2[Date],B141)=0,"",COUNTIFS(Таблица2[Date],B141)+SUMIFS(Таблица2[R],Таблица2[Date],B141))</f>
        <v/>
      </c>
      <c r="F141" s="76" t="str">
        <f>IF(SUMIFS(Таблица2[B$],Таблица2[Date],B141)=0,"-",SUMIFS(Таблица2[B$],Таблица2[Date],B141))</f>
        <v>-</v>
      </c>
      <c r="G141" s="76" t="str">
        <f t="shared" si="2"/>
        <v>-</v>
      </c>
      <c r="H141" s="77" t="str">
        <f>IFERROR(AVERAGEIFS(Таблица2[AFS],Таблица2[Date],B141)+(AVERAGEIFS(Таблица2[AFS],Таблица2[Date],B141)*0.2),"-")</f>
        <v>-</v>
      </c>
      <c r="I141" s="77" t="str">
        <f t="shared" si="3"/>
        <v>-</v>
      </c>
      <c r="J141" s="77" t="str">
        <f>IFERROR(COUNTIFS(Таблица2[Date],B141,Таблица2[WIN$],"&gt;0")/E141*100,"-")</f>
        <v>-</v>
      </c>
      <c r="K141" s="77" t="str">
        <f>IF(IFERROR((COUNTIFS(Таблица2[Date],B141,Таблица2[K],"K")+SUMIFS(Таблица2[R],#REF!,B141,Таблица2[K],"K"))/E141*100,"-")=0,"-",IFERROR((COUNTIFS(Таблица2[Date],B141,Таблица2[K],"K")+SUMIFS(Таблица2[R],Таблица2[Date],B141,Таблица2[K],"K"))/E141*100,"-"))</f>
        <v>-</v>
      </c>
      <c r="L141" s="77" t="str">
        <f>IF(IFERROR((COUNTIFS(Таблица2[Date],B141,Таблица2[T],"t")+SUMIFS(Таблица2[R],Таблица2[Date],B141,Таблица2[T],"t"))/E141*100,"-")=0,"-",IFERROR((COUNTIFS(Таблица2[Date],B141,Таблица2[T],"t")+SUMIFS(Таблица2[R],Таблица2[Date],B141,Таблица2[T],"t"))/E141*100,"-"))</f>
        <v>-</v>
      </c>
      <c r="M141" s="76" t="str">
        <f>IF(SUMIFS(Таблица2[KO$],Таблица2[Date],B141)=0,"-",SUMIFS(Таблица2[KO$],Таблица2[Date],B141))</f>
        <v>-</v>
      </c>
      <c r="N141" s="76" t="str">
        <f>IF(SUMIFS(Таблица2[WIN$],Таблица2[Date],B141)=0,"-",SUMIFS(Таблица2[WIN$],Таблица2[Date],B141))</f>
        <v>-</v>
      </c>
      <c r="O141" s="76" t="str">
        <f t="shared" si="4"/>
        <v>-</v>
      </c>
    </row>
    <row r="142" spans="1:15" ht="11.1" customHeight="1" x14ac:dyDescent="0.25">
      <c r="A142" s="93">
        <f t="shared" si="1"/>
        <v>56</v>
      </c>
      <c r="B142" s="48"/>
      <c r="C142"/>
      <c r="D142" s="117">
        <f t="shared" si="0"/>
        <v>1900</v>
      </c>
      <c r="E142" s="94" t="str">
        <f>IF(COUNTIFS(Таблица2[Date],B142)+SUMIFS(Таблица2[R],Таблица2[Date],B142)=0,"",COUNTIFS(Таблица2[Date],B142)+SUMIFS(Таблица2[R],Таблица2[Date],B142))</f>
        <v/>
      </c>
      <c r="F142" s="76" t="str">
        <f>IF(SUMIFS(Таблица2[B$],Таблица2[Date],B142)=0,"-",SUMIFS(Таблица2[B$],Таблица2[Date],B142))</f>
        <v>-</v>
      </c>
      <c r="G142" s="76" t="str">
        <f t="shared" si="2"/>
        <v>-</v>
      </c>
      <c r="H142" s="77" t="str">
        <f>IFERROR(AVERAGEIFS(Таблица2[AFS],Таблица2[Date],B142)+(AVERAGEIFS(Таблица2[AFS],Таблица2[Date],B142)*0.2),"-")</f>
        <v>-</v>
      </c>
      <c r="I142" s="77" t="str">
        <f t="shared" si="3"/>
        <v>-</v>
      </c>
      <c r="J142" s="77" t="str">
        <f>IFERROR(COUNTIFS(Таблица2[Date],B142,Таблица2[WIN$],"&gt;0")/E142*100,"-")</f>
        <v>-</v>
      </c>
      <c r="K142" s="77" t="str">
        <f>IF(IFERROR((COUNTIFS(Таблица2[Date],B142,Таблица2[K],"K")+SUMIFS(Таблица2[R],#REF!,B142,Таблица2[K],"K"))/E142*100,"-")=0,"-",IFERROR((COUNTIFS(Таблица2[Date],B142,Таблица2[K],"K")+SUMIFS(Таблица2[R],Таблица2[Date],B142,Таблица2[K],"K"))/E142*100,"-"))</f>
        <v>-</v>
      </c>
      <c r="L142" s="77" t="str">
        <f>IF(IFERROR((COUNTIFS(Таблица2[Date],B142,Таблица2[T],"t")+SUMIFS(Таблица2[R],Таблица2[Date],B142,Таблица2[T],"t"))/E142*100,"-")=0,"-",IFERROR((COUNTIFS(Таблица2[Date],B142,Таблица2[T],"t")+SUMIFS(Таблица2[R],Таблица2[Date],B142,Таблица2[T],"t"))/E142*100,"-"))</f>
        <v>-</v>
      </c>
      <c r="M142" s="76" t="str">
        <f>IF(SUMIFS(Таблица2[KO$],Таблица2[Date],B142)=0,"-",SUMIFS(Таблица2[KO$],Таблица2[Date],B142))</f>
        <v>-</v>
      </c>
      <c r="N142" s="76" t="str">
        <f>IF(SUMIFS(Таблица2[WIN$],Таблица2[Date],B142)=0,"-",SUMIFS(Таблица2[WIN$],Таблица2[Date],B142))</f>
        <v>-</v>
      </c>
      <c r="O142" s="76" t="str">
        <f t="shared" si="4"/>
        <v>-</v>
      </c>
    </row>
    <row r="143" spans="1:15" ht="11.1" customHeight="1" x14ac:dyDescent="0.25">
      <c r="A143" s="93">
        <f t="shared" si="1"/>
        <v>57</v>
      </c>
      <c r="B143" s="48"/>
      <c r="C143"/>
      <c r="D143" s="117">
        <f t="shared" si="0"/>
        <v>1900</v>
      </c>
      <c r="E143" s="94" t="str">
        <f>IF(COUNTIFS(Таблица2[Date],B143)+SUMIFS(Таблица2[R],Таблица2[Date],B143)=0,"",COUNTIFS(Таблица2[Date],B143)+SUMIFS(Таблица2[R],Таблица2[Date],B143))</f>
        <v/>
      </c>
      <c r="F143" s="76" t="str">
        <f>IF(SUMIFS(Таблица2[B$],Таблица2[Date],B143)=0,"-",SUMIFS(Таблица2[B$],Таблица2[Date],B143))</f>
        <v>-</v>
      </c>
      <c r="G143" s="76" t="str">
        <f t="shared" si="2"/>
        <v>-</v>
      </c>
      <c r="H143" s="77" t="str">
        <f>IFERROR(AVERAGEIFS(Таблица2[AFS],Таблица2[Date],B143)+(AVERAGEIFS(Таблица2[AFS],Таблица2[Date],B143)*0.2),"-")</f>
        <v>-</v>
      </c>
      <c r="I143" s="77" t="str">
        <f t="shared" si="3"/>
        <v>-</v>
      </c>
      <c r="J143" s="77" t="str">
        <f>IFERROR(COUNTIFS(Таблица2[Date],B143,Таблица2[WIN$],"&gt;0")/E143*100,"-")</f>
        <v>-</v>
      </c>
      <c r="K143" s="77" t="str">
        <f>IF(IFERROR((COUNTIFS(Таблица2[Date],B143,Таблица2[K],"K")+SUMIFS(Таблица2[R],#REF!,B143,Таблица2[K],"K"))/E143*100,"-")=0,"-",IFERROR((COUNTIFS(Таблица2[Date],B143,Таблица2[K],"K")+SUMIFS(Таблица2[R],Таблица2[Date],B143,Таблица2[K],"K"))/E143*100,"-"))</f>
        <v>-</v>
      </c>
      <c r="L143" s="77" t="str">
        <f>IF(IFERROR((COUNTIFS(Таблица2[Date],B143,Таблица2[T],"t")+SUMIFS(Таблица2[R],Таблица2[Date],B143,Таблица2[T],"t"))/E143*100,"-")=0,"-",IFERROR((COUNTIFS(Таблица2[Date],B143,Таблица2[T],"t")+SUMIFS(Таблица2[R],Таблица2[Date],B143,Таблица2[T],"t"))/E143*100,"-"))</f>
        <v>-</v>
      </c>
      <c r="M143" s="76" t="str">
        <f>IF(SUMIFS(Таблица2[KO$],Таблица2[Date],B143)=0,"-",SUMIFS(Таблица2[KO$],Таблица2[Date],B143))</f>
        <v>-</v>
      </c>
      <c r="N143" s="76" t="str">
        <f>IF(SUMIFS(Таблица2[WIN$],Таблица2[Date],B143)=0,"-",SUMIFS(Таблица2[WIN$],Таблица2[Date],B143))</f>
        <v>-</v>
      </c>
      <c r="O143" s="76" t="str">
        <f t="shared" si="4"/>
        <v>-</v>
      </c>
    </row>
    <row r="144" spans="1:15" ht="11.1" customHeight="1" x14ac:dyDescent="0.25">
      <c r="A144" s="93">
        <f t="shared" si="1"/>
        <v>58</v>
      </c>
      <c r="B144" s="48"/>
      <c r="C144"/>
      <c r="D144" s="117">
        <f t="shared" si="0"/>
        <v>1900</v>
      </c>
      <c r="E144" s="94" t="str">
        <f>IF(COUNTIFS(Таблица2[Date],B144)+SUMIFS(Таблица2[R],Таблица2[Date],B144)=0,"",COUNTIFS(Таблица2[Date],B144)+SUMIFS(Таблица2[R],Таблица2[Date],B144))</f>
        <v/>
      </c>
      <c r="F144" s="76" t="str">
        <f>IF(SUMIFS(Таблица2[B$],Таблица2[Date],B144)=0,"-",SUMIFS(Таблица2[B$],Таблица2[Date],B144))</f>
        <v>-</v>
      </c>
      <c r="G144" s="76" t="str">
        <f t="shared" si="2"/>
        <v>-</v>
      </c>
      <c r="H144" s="77" t="str">
        <f>IFERROR(AVERAGEIFS(Таблица2[AFS],Таблица2[Date],B144)+(AVERAGEIFS(Таблица2[AFS],Таблица2[Date],B144)*0.2),"-")</f>
        <v>-</v>
      </c>
      <c r="I144" s="77" t="str">
        <f t="shared" si="3"/>
        <v>-</v>
      </c>
      <c r="J144" s="77" t="str">
        <f>IFERROR(COUNTIFS(Таблица2[Date],B144,Таблица2[WIN$],"&gt;0")/E144*100,"-")</f>
        <v>-</v>
      </c>
      <c r="K144" s="77" t="str">
        <f>IF(IFERROR((COUNTIFS(Таблица2[Date],B144,Таблица2[K],"K")+SUMIFS(Таблица2[R],#REF!,B144,Таблица2[K],"K"))/E144*100,"-")=0,"-",IFERROR((COUNTIFS(Таблица2[Date],B144,Таблица2[K],"K")+SUMIFS(Таблица2[R],Таблица2[Date],B144,Таблица2[K],"K"))/E144*100,"-"))</f>
        <v>-</v>
      </c>
      <c r="L144" s="77" t="str">
        <f>IF(IFERROR((COUNTIFS(Таблица2[Date],B144,Таблица2[T],"t")+SUMIFS(Таблица2[R],Таблица2[Date],B144,Таблица2[T],"t"))/E144*100,"-")=0,"-",IFERROR((COUNTIFS(Таблица2[Date],B144,Таблица2[T],"t")+SUMIFS(Таблица2[R],Таблица2[Date],B144,Таблица2[T],"t"))/E144*100,"-"))</f>
        <v>-</v>
      </c>
      <c r="M144" s="76" t="str">
        <f>IF(SUMIFS(Таблица2[KO$],Таблица2[Date],B144)=0,"-",SUMIFS(Таблица2[KO$],Таблица2[Date],B144))</f>
        <v>-</v>
      </c>
      <c r="N144" s="76" t="str">
        <f>IF(SUMIFS(Таблица2[WIN$],Таблица2[Date],B144)=0,"-",SUMIFS(Таблица2[WIN$],Таблица2[Date],B144))</f>
        <v>-</v>
      </c>
      <c r="O144" s="76" t="str">
        <f t="shared" si="4"/>
        <v>-</v>
      </c>
    </row>
    <row r="145" spans="1:15" ht="11.1" customHeight="1" x14ac:dyDescent="0.25">
      <c r="A145" s="93">
        <f t="shared" si="1"/>
        <v>59</v>
      </c>
      <c r="B145" s="48"/>
      <c r="C145"/>
      <c r="D145" s="117">
        <f t="shared" si="0"/>
        <v>1900</v>
      </c>
      <c r="E145" s="94" t="str">
        <f>IF(COUNTIFS(Таблица2[Date],B145)+SUMIFS(Таблица2[R],Таблица2[Date],B145)=0,"",COUNTIFS(Таблица2[Date],B145)+SUMIFS(Таблица2[R],Таблица2[Date],B145))</f>
        <v/>
      </c>
      <c r="F145" s="76" t="str">
        <f>IF(SUMIFS(Таблица2[B$],Таблица2[Date],B145)=0,"-",SUMIFS(Таблица2[B$],Таблица2[Date],B145))</f>
        <v>-</v>
      </c>
      <c r="G145" s="76" t="str">
        <f t="shared" si="2"/>
        <v>-</v>
      </c>
      <c r="H145" s="77" t="str">
        <f>IFERROR(AVERAGEIFS(Таблица2[AFS],Таблица2[Date],B145)+(AVERAGEIFS(Таблица2[AFS],Таблица2[Date],B145)*0.2),"-")</f>
        <v>-</v>
      </c>
      <c r="I145" s="77" t="str">
        <f t="shared" si="3"/>
        <v>-</v>
      </c>
      <c r="J145" s="77" t="str">
        <f>IFERROR(COUNTIFS(Таблица2[Date],B145,Таблица2[WIN$],"&gt;0")/E145*100,"-")</f>
        <v>-</v>
      </c>
      <c r="K145" s="77" t="str">
        <f>IF(IFERROR((COUNTIFS(Таблица2[Date],B145,Таблица2[K],"K")+SUMIFS(Таблица2[R],#REF!,B145,Таблица2[K],"K"))/E145*100,"-")=0,"-",IFERROR((COUNTIFS(Таблица2[Date],B145,Таблица2[K],"K")+SUMIFS(Таблица2[R],Таблица2[Date],B145,Таблица2[K],"K"))/E145*100,"-"))</f>
        <v>-</v>
      </c>
      <c r="L145" s="77" t="str">
        <f>IF(IFERROR((COUNTIFS(Таблица2[Date],B145,Таблица2[T],"t")+SUMIFS(Таблица2[R],Таблица2[Date],B145,Таблица2[T],"t"))/E145*100,"-")=0,"-",IFERROR((COUNTIFS(Таблица2[Date],B145,Таблица2[T],"t")+SUMIFS(Таблица2[R],Таблица2[Date],B145,Таблица2[T],"t"))/E145*100,"-"))</f>
        <v>-</v>
      </c>
      <c r="M145" s="76" t="str">
        <f>IF(SUMIFS(Таблица2[KO$],Таблица2[Date],B145)=0,"-",SUMIFS(Таблица2[KO$],Таблица2[Date],B145))</f>
        <v>-</v>
      </c>
      <c r="N145" s="76" t="str">
        <f>IF(SUMIFS(Таблица2[WIN$],Таблица2[Date],B145)=0,"-",SUMIFS(Таблица2[WIN$],Таблица2[Date],B145))</f>
        <v>-</v>
      </c>
      <c r="O145" s="76" t="str">
        <f t="shared" si="4"/>
        <v>-</v>
      </c>
    </row>
    <row r="146" spans="1:15" ht="11.1" customHeight="1" x14ac:dyDescent="0.25">
      <c r="A146" s="93">
        <f t="shared" si="1"/>
        <v>60</v>
      </c>
      <c r="B146" s="48"/>
      <c r="C146"/>
      <c r="D146" s="117">
        <f t="shared" si="0"/>
        <v>1900</v>
      </c>
      <c r="E146" s="94" t="str">
        <f>IF(COUNTIFS(Таблица2[Date],B146)+SUMIFS(Таблица2[R],Таблица2[Date],B146)=0,"",COUNTIFS(Таблица2[Date],B146)+SUMIFS(Таблица2[R],Таблица2[Date],B146))</f>
        <v/>
      </c>
      <c r="F146" s="76" t="str">
        <f>IF(SUMIFS(Таблица2[B$],Таблица2[Date],B146)=0,"-",SUMIFS(Таблица2[B$],Таблица2[Date],B146))</f>
        <v>-</v>
      </c>
      <c r="G146" s="76" t="str">
        <f t="shared" si="2"/>
        <v>-</v>
      </c>
      <c r="H146" s="77" t="str">
        <f>IFERROR(AVERAGEIFS(Таблица2[AFS],Таблица2[Date],B146)+(AVERAGEIFS(Таблица2[AFS],Таблица2[Date],B146)*0.2),"-")</f>
        <v>-</v>
      </c>
      <c r="I146" s="77" t="str">
        <f t="shared" si="3"/>
        <v>-</v>
      </c>
      <c r="J146" s="77" t="str">
        <f>IFERROR(COUNTIFS(Таблица2[Date],B146,Таблица2[WIN$],"&gt;0")/E146*100,"-")</f>
        <v>-</v>
      </c>
      <c r="K146" s="77" t="str">
        <f>IF(IFERROR((COUNTIFS(Таблица2[Date],B146,Таблица2[K],"K")+SUMIFS(Таблица2[R],#REF!,B146,Таблица2[K],"K"))/E146*100,"-")=0,"-",IFERROR((COUNTIFS(Таблица2[Date],B146,Таблица2[K],"K")+SUMIFS(Таблица2[R],Таблица2[Date],B146,Таблица2[K],"K"))/E146*100,"-"))</f>
        <v>-</v>
      </c>
      <c r="L146" s="77" t="str">
        <f>IF(IFERROR((COUNTIFS(Таблица2[Date],B146,Таблица2[T],"t")+SUMIFS(Таблица2[R],Таблица2[Date],B146,Таблица2[T],"t"))/E146*100,"-")=0,"-",IFERROR((COUNTIFS(Таблица2[Date],B146,Таблица2[T],"t")+SUMIFS(Таблица2[R],Таблица2[Date],B146,Таблица2[T],"t"))/E146*100,"-"))</f>
        <v>-</v>
      </c>
      <c r="M146" s="76" t="str">
        <f>IF(SUMIFS(Таблица2[KO$],Таблица2[Date],B146)=0,"-",SUMIFS(Таблица2[KO$],Таблица2[Date],B146))</f>
        <v>-</v>
      </c>
      <c r="N146" s="76" t="str">
        <f>IF(SUMIFS(Таблица2[WIN$],Таблица2[Date],B146)=0,"-",SUMIFS(Таблица2[WIN$],Таблица2[Date],B146))</f>
        <v>-</v>
      </c>
      <c r="O146" s="76" t="str">
        <f t="shared" si="4"/>
        <v>-</v>
      </c>
    </row>
    <row r="147" spans="1:15" ht="11.1" customHeight="1" x14ac:dyDescent="0.25">
      <c r="A147" s="93">
        <f t="shared" si="1"/>
        <v>61</v>
      </c>
      <c r="B147" s="48"/>
      <c r="C147"/>
      <c r="D147" s="117">
        <f t="shared" si="0"/>
        <v>1900</v>
      </c>
      <c r="E147" s="94" t="str">
        <f>IF(COUNTIFS(Таблица2[Date],B147)+SUMIFS(Таблица2[R],Таблица2[Date],B147)=0,"",COUNTIFS(Таблица2[Date],B147)+SUMIFS(Таблица2[R],Таблица2[Date],B147))</f>
        <v/>
      </c>
      <c r="F147" s="76" t="str">
        <f>IF(SUMIFS(Таблица2[B$],Таблица2[Date],B147)=0,"-",SUMIFS(Таблица2[B$],Таблица2[Date],B147))</f>
        <v>-</v>
      </c>
      <c r="G147" s="76" t="str">
        <f t="shared" si="2"/>
        <v>-</v>
      </c>
      <c r="H147" s="77" t="str">
        <f>IFERROR(AVERAGEIFS(Таблица2[AFS],Таблица2[Date],B147)+(AVERAGEIFS(Таблица2[AFS],Таблица2[Date],B147)*0.2),"-")</f>
        <v>-</v>
      </c>
      <c r="I147" s="77" t="str">
        <f t="shared" si="3"/>
        <v>-</v>
      </c>
      <c r="J147" s="77" t="str">
        <f>IFERROR(COUNTIFS(Таблица2[Date],B147,Таблица2[WIN$],"&gt;0")/E147*100,"-")</f>
        <v>-</v>
      </c>
      <c r="K147" s="77" t="str">
        <f>IF(IFERROR((COUNTIFS(Таблица2[Date],B147,Таблица2[K],"K")+SUMIFS(Таблица2[R],#REF!,B147,Таблица2[K],"K"))/E147*100,"-")=0,"-",IFERROR((COUNTIFS(Таблица2[Date],B147,Таблица2[K],"K")+SUMIFS(Таблица2[R],Таблица2[Date],B147,Таблица2[K],"K"))/E147*100,"-"))</f>
        <v>-</v>
      </c>
      <c r="L147" s="77" t="str">
        <f>IF(IFERROR((COUNTIFS(Таблица2[Date],B147,Таблица2[T],"t")+SUMIFS(Таблица2[R],Таблица2[Date],B147,Таблица2[T],"t"))/E147*100,"-")=0,"-",IFERROR((COUNTIFS(Таблица2[Date],B147,Таблица2[T],"t")+SUMIFS(Таблица2[R],Таблица2[Date],B147,Таблица2[T],"t"))/E147*100,"-"))</f>
        <v>-</v>
      </c>
      <c r="M147" s="76" t="str">
        <f>IF(SUMIFS(Таблица2[KO$],Таблица2[Date],B147)=0,"-",SUMIFS(Таблица2[KO$],Таблица2[Date],B147))</f>
        <v>-</v>
      </c>
      <c r="N147" s="76" t="str">
        <f>IF(SUMIFS(Таблица2[WIN$],Таблица2[Date],B147)=0,"-",SUMIFS(Таблица2[WIN$],Таблица2[Date],B147))</f>
        <v>-</v>
      </c>
      <c r="O147" s="76" t="str">
        <f t="shared" si="4"/>
        <v>-</v>
      </c>
    </row>
    <row r="148" spans="1:15" ht="11.1" customHeight="1" x14ac:dyDescent="0.25">
      <c r="A148" s="93">
        <f t="shared" si="1"/>
        <v>62</v>
      </c>
      <c r="B148" s="48"/>
      <c r="C148"/>
      <c r="D148" s="117">
        <f t="shared" si="0"/>
        <v>1900</v>
      </c>
      <c r="E148" s="94" t="str">
        <f>IF(COUNTIFS(Таблица2[Date],B148)+SUMIFS(Таблица2[R],Таблица2[Date],B148)=0,"",COUNTIFS(Таблица2[Date],B148)+SUMIFS(Таблица2[R],Таблица2[Date],B148))</f>
        <v/>
      </c>
      <c r="F148" s="76" t="str">
        <f>IF(SUMIFS(Таблица2[B$],Таблица2[Date],B148)=0,"-",SUMIFS(Таблица2[B$],Таблица2[Date],B148))</f>
        <v>-</v>
      </c>
      <c r="G148" s="76" t="str">
        <f t="shared" si="2"/>
        <v>-</v>
      </c>
      <c r="H148" s="77" t="str">
        <f>IFERROR(AVERAGEIFS(Таблица2[AFS],Таблица2[Date],B148)+(AVERAGEIFS(Таблица2[AFS],Таблица2[Date],B148)*0.2),"-")</f>
        <v>-</v>
      </c>
      <c r="I148" s="77" t="str">
        <f t="shared" si="3"/>
        <v>-</v>
      </c>
      <c r="J148" s="77" t="str">
        <f>IFERROR(COUNTIFS(Таблица2[Date],B148,Таблица2[WIN$],"&gt;0")/E148*100,"-")</f>
        <v>-</v>
      </c>
      <c r="K148" s="77" t="str">
        <f>IF(IFERROR((COUNTIFS(Таблица2[Date],B148,Таблица2[K],"K")+SUMIFS(Таблица2[R],#REF!,B148,Таблица2[K],"K"))/E148*100,"-")=0,"-",IFERROR((COUNTIFS(Таблица2[Date],B148,Таблица2[K],"K")+SUMIFS(Таблица2[R],Таблица2[Date],B148,Таблица2[K],"K"))/E148*100,"-"))</f>
        <v>-</v>
      </c>
      <c r="L148" s="77" t="str">
        <f>IF(IFERROR((COUNTIFS(Таблица2[Date],B148,Таблица2[T],"t")+SUMIFS(Таблица2[R],Таблица2[Date],B148,Таблица2[T],"t"))/E148*100,"-")=0,"-",IFERROR((COUNTIFS(Таблица2[Date],B148,Таблица2[T],"t")+SUMIFS(Таблица2[R],Таблица2[Date],B148,Таблица2[T],"t"))/E148*100,"-"))</f>
        <v>-</v>
      </c>
      <c r="M148" s="76" t="str">
        <f>IF(SUMIFS(Таблица2[KO$],Таблица2[Date],B148)=0,"-",SUMIFS(Таблица2[KO$],Таблица2[Date],B148))</f>
        <v>-</v>
      </c>
      <c r="N148" s="76" t="str">
        <f>IF(SUMIFS(Таблица2[WIN$],Таблица2[Date],B148)=0,"-",SUMIFS(Таблица2[WIN$],Таблица2[Date],B148))</f>
        <v>-</v>
      </c>
      <c r="O148" s="76" t="str">
        <f t="shared" si="4"/>
        <v>-</v>
      </c>
    </row>
    <row r="149" spans="1:15" ht="11.1" customHeight="1" x14ac:dyDescent="0.25">
      <c r="A149" s="93">
        <f t="shared" si="1"/>
        <v>63</v>
      </c>
      <c r="B149" s="48"/>
      <c r="C149"/>
      <c r="D149" s="117">
        <f t="shared" si="0"/>
        <v>1900</v>
      </c>
      <c r="E149" s="94" t="str">
        <f>IF(COUNTIFS(Таблица2[Date],B149)+SUMIFS(Таблица2[R],Таблица2[Date],B149)=0,"",COUNTIFS(Таблица2[Date],B149)+SUMIFS(Таблица2[R],Таблица2[Date],B149))</f>
        <v/>
      </c>
      <c r="F149" s="76" t="str">
        <f>IF(SUMIFS(Таблица2[B$],Таблица2[Date],B149)=0,"-",SUMIFS(Таблица2[B$],Таблица2[Date],B149))</f>
        <v>-</v>
      </c>
      <c r="G149" s="76" t="str">
        <f t="shared" si="2"/>
        <v>-</v>
      </c>
      <c r="H149" s="77" t="str">
        <f>IFERROR(AVERAGEIFS(Таблица2[AFS],Таблица2[Date],B149)+(AVERAGEIFS(Таблица2[AFS],Таблица2[Date],B149)*0.2),"-")</f>
        <v>-</v>
      </c>
      <c r="I149" s="77" t="str">
        <f t="shared" si="3"/>
        <v>-</v>
      </c>
      <c r="J149" s="77" t="str">
        <f>IFERROR(COUNTIFS(Таблица2[Date],B149,Таблица2[WIN$],"&gt;0")/E149*100,"-")</f>
        <v>-</v>
      </c>
      <c r="K149" s="77" t="str">
        <f>IF(IFERROR((COUNTIFS(Таблица2[Date],B149,Таблица2[K],"K")+SUMIFS(Таблица2[R],#REF!,B149,Таблица2[K],"K"))/E149*100,"-")=0,"-",IFERROR((COUNTIFS(Таблица2[Date],B149,Таблица2[K],"K")+SUMIFS(Таблица2[R],Таблица2[Date],B149,Таблица2[K],"K"))/E149*100,"-"))</f>
        <v>-</v>
      </c>
      <c r="L149" s="77" t="str">
        <f>IF(IFERROR((COUNTIFS(Таблица2[Date],B149,Таблица2[T],"t")+SUMIFS(Таблица2[R],Таблица2[Date],B149,Таблица2[T],"t"))/E149*100,"-")=0,"-",IFERROR((COUNTIFS(Таблица2[Date],B149,Таблица2[T],"t")+SUMIFS(Таблица2[R],Таблица2[Date],B149,Таблица2[T],"t"))/E149*100,"-"))</f>
        <v>-</v>
      </c>
      <c r="M149" s="76" t="str">
        <f>IF(SUMIFS(Таблица2[KO$],Таблица2[Date],B149)=0,"-",SUMIFS(Таблица2[KO$],Таблица2[Date],B149))</f>
        <v>-</v>
      </c>
      <c r="N149" s="76" t="str">
        <f>IF(SUMIFS(Таблица2[WIN$],Таблица2[Date],B149)=0,"-",SUMIFS(Таблица2[WIN$],Таблица2[Date],B149))</f>
        <v>-</v>
      </c>
      <c r="O149" s="76" t="str">
        <f t="shared" si="4"/>
        <v>-</v>
      </c>
    </row>
    <row r="150" spans="1:15" ht="11.1" customHeight="1" x14ac:dyDescent="0.25">
      <c r="A150" s="93">
        <f t="shared" si="1"/>
        <v>64</v>
      </c>
      <c r="B150" s="48"/>
      <c r="C150"/>
      <c r="D150" s="117">
        <f t="shared" si="0"/>
        <v>1900</v>
      </c>
      <c r="E150" s="94" t="str">
        <f>IF(COUNTIFS(Таблица2[Date],B150)+SUMIFS(Таблица2[R],Таблица2[Date],B150)=0,"",COUNTIFS(Таблица2[Date],B150)+SUMIFS(Таблица2[R],Таблица2[Date],B150))</f>
        <v/>
      </c>
      <c r="F150" s="76" t="str">
        <f>IF(SUMIFS(Таблица2[B$],Таблица2[Date],B150)=0,"-",SUMIFS(Таблица2[B$],Таблица2[Date],B150))</f>
        <v>-</v>
      </c>
      <c r="G150" s="76" t="str">
        <f t="shared" si="2"/>
        <v>-</v>
      </c>
      <c r="H150" s="77" t="str">
        <f>IFERROR(AVERAGEIFS(Таблица2[AFS],Таблица2[Date],B150)+(AVERAGEIFS(Таблица2[AFS],Таблица2[Date],B150)*0.2),"-")</f>
        <v>-</v>
      </c>
      <c r="I150" s="77" t="str">
        <f t="shared" si="3"/>
        <v>-</v>
      </c>
      <c r="J150" s="77" t="str">
        <f>IFERROR(COUNTIFS(Таблица2[Date],B150,Таблица2[WIN$],"&gt;0")/E150*100,"-")</f>
        <v>-</v>
      </c>
      <c r="K150" s="77" t="str">
        <f>IF(IFERROR((COUNTIFS(Таблица2[Date],B150,Таблица2[K],"K")+SUMIFS(Таблица2[R],#REF!,B150,Таблица2[K],"K"))/E150*100,"-")=0,"-",IFERROR((COUNTIFS(Таблица2[Date],B150,Таблица2[K],"K")+SUMIFS(Таблица2[R],Таблица2[Date],B150,Таблица2[K],"K"))/E150*100,"-"))</f>
        <v>-</v>
      </c>
      <c r="L150" s="77" t="str">
        <f>IF(IFERROR((COUNTIFS(Таблица2[Date],B150,Таблица2[T],"t")+SUMIFS(Таблица2[R],Таблица2[Date],B150,Таблица2[T],"t"))/E150*100,"-")=0,"-",IFERROR((COUNTIFS(Таблица2[Date],B150,Таблица2[T],"t")+SUMIFS(Таблица2[R],Таблица2[Date],B150,Таблица2[T],"t"))/E150*100,"-"))</f>
        <v>-</v>
      </c>
      <c r="M150" s="76" t="str">
        <f>IF(SUMIFS(Таблица2[KO$],Таблица2[Date],B150)=0,"-",SUMIFS(Таблица2[KO$],Таблица2[Date],B150))</f>
        <v>-</v>
      </c>
      <c r="N150" s="76" t="str">
        <f>IF(SUMIFS(Таблица2[WIN$],Таблица2[Date],B150)=0,"-",SUMIFS(Таблица2[WIN$],Таблица2[Date],B150))</f>
        <v>-</v>
      </c>
      <c r="O150" s="76" t="str">
        <f t="shared" si="4"/>
        <v>-</v>
      </c>
    </row>
    <row r="151" spans="1:15" ht="11.1" customHeight="1" x14ac:dyDescent="0.25">
      <c r="A151" s="93">
        <f t="shared" si="1"/>
        <v>65</v>
      </c>
      <c r="B151" s="48"/>
      <c r="C151"/>
      <c r="D151" s="117">
        <f t="shared" ref="D151:D214" si="5">YEAR(B151)</f>
        <v>1900</v>
      </c>
      <c r="E151" s="94" t="str">
        <f>IF(COUNTIFS(Таблица2[Date],B151)+SUMIFS(Таблица2[R],Таблица2[Date],B151)=0,"",COUNTIFS(Таблица2[Date],B151)+SUMIFS(Таблица2[R],Таблица2[Date],B151))</f>
        <v/>
      </c>
      <c r="F151" s="76" t="str">
        <f>IF(SUMIFS(Таблица2[B$],Таблица2[Date],B151)=0,"-",SUMIFS(Таблица2[B$],Таблица2[Date],B151))</f>
        <v>-</v>
      </c>
      <c r="G151" s="76" t="str">
        <f t="shared" ref="G151:G214" si="6">IFERROR(F151/E151,"-")</f>
        <v>-</v>
      </c>
      <c r="H151" s="77" t="str">
        <f>IFERROR(AVERAGEIFS(Таблица2[AFS],Таблица2[Date],B151)+(AVERAGEIFS(Таблица2[AFS],Таблица2[Date],B151)*0.2),"-")</f>
        <v>-</v>
      </c>
      <c r="I151" s="77" t="str">
        <f t="shared" ref="I151:I214" si="7">IFERROR(O151/F151*100,"-")</f>
        <v>-</v>
      </c>
      <c r="J151" s="77" t="str">
        <f>IFERROR(COUNTIFS(Таблица2[Date],B151,Таблица2[WIN$],"&gt;0")/E151*100,"-")</f>
        <v>-</v>
      </c>
      <c r="K151" s="77" t="str">
        <f>IF(IFERROR((COUNTIFS(Таблица2[Date],B151,Таблица2[K],"K")+SUMIFS(Таблица2[R],#REF!,B151,Таблица2[K],"K"))/E151*100,"-")=0,"-",IFERROR((COUNTIFS(Таблица2[Date],B151,Таблица2[K],"K")+SUMIFS(Таблица2[R],Таблица2[Date],B151,Таблица2[K],"K"))/E151*100,"-"))</f>
        <v>-</v>
      </c>
      <c r="L151" s="77" t="str">
        <f>IF(IFERROR((COUNTIFS(Таблица2[Date],B151,Таблица2[T],"t")+SUMIFS(Таблица2[R],Таблица2[Date],B151,Таблица2[T],"t"))/E151*100,"-")=0,"-",IFERROR((COUNTIFS(Таблица2[Date],B151,Таблица2[T],"t")+SUMIFS(Таблица2[R],Таблица2[Date],B151,Таблица2[T],"t"))/E151*100,"-"))</f>
        <v>-</v>
      </c>
      <c r="M151" s="76" t="str">
        <f>IF(SUMIFS(Таблица2[KO$],Таблица2[Date],B151)=0,"-",SUMIFS(Таблица2[KO$],Таблица2[Date],B151))</f>
        <v>-</v>
      </c>
      <c r="N151" s="76" t="str">
        <f>IF(SUMIFS(Таблица2[WIN$],Таблица2[Date],B151)=0,"-",SUMIFS(Таблица2[WIN$],Таблица2[Date],B151))</f>
        <v>-</v>
      </c>
      <c r="O151" s="76" t="str">
        <f t="shared" ref="O151:O214" si="8">IFERROR(IF(N151="-",0,N151)+IF(M151="-",0,M151)-F151,"-")</f>
        <v>-</v>
      </c>
    </row>
    <row r="152" spans="1:15" ht="11.1" customHeight="1" x14ac:dyDescent="0.25">
      <c r="A152" s="93">
        <f t="shared" ref="A152:A215" si="9">A151+1</f>
        <v>66</v>
      </c>
      <c r="B152" s="48"/>
      <c r="C152"/>
      <c r="D152" s="117">
        <f t="shared" si="5"/>
        <v>1900</v>
      </c>
      <c r="E152" s="94" t="str">
        <f>IF(COUNTIFS(Таблица2[Date],B152)+SUMIFS(Таблица2[R],Таблица2[Date],B152)=0,"",COUNTIFS(Таблица2[Date],B152)+SUMIFS(Таблица2[R],Таблица2[Date],B152))</f>
        <v/>
      </c>
      <c r="F152" s="76" t="str">
        <f>IF(SUMIFS(Таблица2[B$],Таблица2[Date],B152)=0,"-",SUMIFS(Таблица2[B$],Таблица2[Date],B152))</f>
        <v>-</v>
      </c>
      <c r="G152" s="76" t="str">
        <f t="shared" si="6"/>
        <v>-</v>
      </c>
      <c r="H152" s="77" t="str">
        <f>IFERROR(AVERAGEIFS(Таблица2[AFS],Таблица2[Date],B152)+(AVERAGEIFS(Таблица2[AFS],Таблица2[Date],B152)*0.2),"-")</f>
        <v>-</v>
      </c>
      <c r="I152" s="77" t="str">
        <f t="shared" si="7"/>
        <v>-</v>
      </c>
      <c r="J152" s="77" t="str">
        <f>IFERROR(COUNTIFS(Таблица2[Date],B152,Таблица2[WIN$],"&gt;0")/E152*100,"-")</f>
        <v>-</v>
      </c>
      <c r="K152" s="77" t="str">
        <f>IF(IFERROR((COUNTIFS(Таблица2[Date],B152,Таблица2[K],"K")+SUMIFS(Таблица2[R],#REF!,B152,Таблица2[K],"K"))/E152*100,"-")=0,"-",IFERROR((COUNTIFS(Таблица2[Date],B152,Таблица2[K],"K")+SUMIFS(Таблица2[R],Таблица2[Date],B152,Таблица2[K],"K"))/E152*100,"-"))</f>
        <v>-</v>
      </c>
      <c r="L152" s="77" t="str">
        <f>IF(IFERROR((COUNTIFS(Таблица2[Date],B152,Таблица2[T],"t")+SUMIFS(Таблица2[R],Таблица2[Date],B152,Таблица2[T],"t"))/E152*100,"-")=0,"-",IFERROR((COUNTIFS(Таблица2[Date],B152,Таблица2[T],"t")+SUMIFS(Таблица2[R],Таблица2[Date],B152,Таблица2[T],"t"))/E152*100,"-"))</f>
        <v>-</v>
      </c>
      <c r="M152" s="76" t="str">
        <f>IF(SUMIFS(Таблица2[KO$],Таблица2[Date],B152)=0,"-",SUMIFS(Таблица2[KO$],Таблица2[Date],B152))</f>
        <v>-</v>
      </c>
      <c r="N152" s="76" t="str">
        <f>IF(SUMIFS(Таблица2[WIN$],Таблица2[Date],B152)=0,"-",SUMIFS(Таблица2[WIN$],Таблица2[Date],B152))</f>
        <v>-</v>
      </c>
      <c r="O152" s="76" t="str">
        <f t="shared" si="8"/>
        <v>-</v>
      </c>
    </row>
    <row r="153" spans="1:15" ht="11.1" customHeight="1" x14ac:dyDescent="0.25">
      <c r="A153" s="93">
        <f t="shared" si="9"/>
        <v>67</v>
      </c>
      <c r="B153" s="48"/>
      <c r="C153"/>
      <c r="D153" s="117">
        <f t="shared" si="5"/>
        <v>1900</v>
      </c>
      <c r="E153" s="94" t="str">
        <f>IF(COUNTIFS(Таблица2[Date],B153)+SUMIFS(Таблица2[R],Таблица2[Date],B153)=0,"",COUNTIFS(Таблица2[Date],B153)+SUMIFS(Таблица2[R],Таблица2[Date],B153))</f>
        <v/>
      </c>
      <c r="F153" s="76" t="str">
        <f>IF(SUMIFS(Таблица2[B$],Таблица2[Date],B153)=0,"-",SUMIFS(Таблица2[B$],Таблица2[Date],B153))</f>
        <v>-</v>
      </c>
      <c r="G153" s="76" t="str">
        <f t="shared" si="6"/>
        <v>-</v>
      </c>
      <c r="H153" s="77" t="str">
        <f>IFERROR(AVERAGEIFS(Таблица2[AFS],Таблица2[Date],B153)+(AVERAGEIFS(Таблица2[AFS],Таблица2[Date],B153)*0.2),"-")</f>
        <v>-</v>
      </c>
      <c r="I153" s="77" t="str">
        <f t="shared" si="7"/>
        <v>-</v>
      </c>
      <c r="J153" s="77" t="str">
        <f>IFERROR(COUNTIFS(Таблица2[Date],B153,Таблица2[WIN$],"&gt;0")/E153*100,"-")</f>
        <v>-</v>
      </c>
      <c r="K153" s="77" t="str">
        <f>IF(IFERROR((COUNTIFS(Таблица2[Date],B153,Таблица2[K],"K")+SUMIFS(Таблица2[R],#REF!,B153,Таблица2[K],"K"))/E153*100,"-")=0,"-",IFERROR((COUNTIFS(Таблица2[Date],B153,Таблица2[K],"K")+SUMIFS(Таблица2[R],Таблица2[Date],B153,Таблица2[K],"K"))/E153*100,"-"))</f>
        <v>-</v>
      </c>
      <c r="L153" s="77" t="str">
        <f>IF(IFERROR((COUNTIFS(Таблица2[Date],B153,Таблица2[T],"t")+SUMIFS(Таблица2[R],Таблица2[Date],B153,Таблица2[T],"t"))/E153*100,"-")=0,"-",IFERROR((COUNTIFS(Таблица2[Date],B153,Таблица2[T],"t")+SUMIFS(Таблица2[R],Таблица2[Date],B153,Таблица2[T],"t"))/E153*100,"-"))</f>
        <v>-</v>
      </c>
      <c r="M153" s="76" t="str">
        <f>IF(SUMIFS(Таблица2[KO$],Таблица2[Date],B153)=0,"-",SUMIFS(Таблица2[KO$],Таблица2[Date],B153))</f>
        <v>-</v>
      </c>
      <c r="N153" s="76" t="str">
        <f>IF(SUMIFS(Таблица2[WIN$],Таблица2[Date],B153)=0,"-",SUMIFS(Таблица2[WIN$],Таблица2[Date],B153))</f>
        <v>-</v>
      </c>
      <c r="O153" s="76" t="str">
        <f t="shared" si="8"/>
        <v>-</v>
      </c>
    </row>
    <row r="154" spans="1:15" ht="11.1" customHeight="1" x14ac:dyDescent="0.25">
      <c r="A154" s="93">
        <f t="shared" si="9"/>
        <v>68</v>
      </c>
      <c r="B154" s="48"/>
      <c r="C154"/>
      <c r="D154" s="117">
        <f t="shared" si="5"/>
        <v>1900</v>
      </c>
      <c r="E154" s="94" t="str">
        <f>IF(COUNTIFS(Таблица2[Date],B154)+SUMIFS(Таблица2[R],Таблица2[Date],B154)=0,"",COUNTIFS(Таблица2[Date],B154)+SUMIFS(Таблица2[R],Таблица2[Date],B154))</f>
        <v/>
      </c>
      <c r="F154" s="76" t="str">
        <f>IF(SUMIFS(Таблица2[B$],Таблица2[Date],B154)=0,"-",SUMIFS(Таблица2[B$],Таблица2[Date],B154))</f>
        <v>-</v>
      </c>
      <c r="G154" s="76" t="str">
        <f t="shared" si="6"/>
        <v>-</v>
      </c>
      <c r="H154" s="77" t="str">
        <f>IFERROR(AVERAGEIFS(Таблица2[AFS],Таблица2[Date],B154)+(AVERAGEIFS(Таблица2[AFS],Таблица2[Date],B154)*0.2),"-")</f>
        <v>-</v>
      </c>
      <c r="I154" s="77" t="str">
        <f t="shared" si="7"/>
        <v>-</v>
      </c>
      <c r="J154" s="77" t="str">
        <f>IFERROR(COUNTIFS(Таблица2[Date],B154,Таблица2[WIN$],"&gt;0")/E154*100,"-")</f>
        <v>-</v>
      </c>
      <c r="K154" s="77" t="str">
        <f>IF(IFERROR((COUNTIFS(Таблица2[Date],B154,Таблица2[K],"K")+SUMIFS(Таблица2[R],#REF!,B154,Таблица2[K],"K"))/E154*100,"-")=0,"-",IFERROR((COUNTIFS(Таблица2[Date],B154,Таблица2[K],"K")+SUMIFS(Таблица2[R],Таблица2[Date],B154,Таблица2[K],"K"))/E154*100,"-"))</f>
        <v>-</v>
      </c>
      <c r="L154" s="77" t="str">
        <f>IF(IFERROR((COUNTIFS(Таблица2[Date],B154,Таблица2[T],"t")+SUMIFS(Таблица2[R],Таблица2[Date],B154,Таблица2[T],"t"))/E154*100,"-")=0,"-",IFERROR((COUNTIFS(Таблица2[Date],B154,Таблица2[T],"t")+SUMIFS(Таблица2[R],Таблица2[Date],B154,Таблица2[T],"t"))/E154*100,"-"))</f>
        <v>-</v>
      </c>
      <c r="M154" s="76" t="str">
        <f>IF(SUMIFS(Таблица2[KO$],Таблица2[Date],B154)=0,"-",SUMIFS(Таблица2[KO$],Таблица2[Date],B154))</f>
        <v>-</v>
      </c>
      <c r="N154" s="76" t="str">
        <f>IF(SUMIFS(Таблица2[WIN$],Таблица2[Date],B154)=0,"-",SUMIFS(Таблица2[WIN$],Таблица2[Date],B154))</f>
        <v>-</v>
      </c>
      <c r="O154" s="76" t="str">
        <f t="shared" si="8"/>
        <v>-</v>
      </c>
    </row>
    <row r="155" spans="1:15" ht="11.1" customHeight="1" x14ac:dyDescent="0.25">
      <c r="A155" s="93">
        <f t="shared" si="9"/>
        <v>69</v>
      </c>
      <c r="B155" s="48"/>
      <c r="C155"/>
      <c r="D155" s="117">
        <f t="shared" si="5"/>
        <v>1900</v>
      </c>
      <c r="E155" s="94" t="str">
        <f>IF(COUNTIFS(Таблица2[Date],B155)+SUMIFS(Таблица2[R],Таблица2[Date],B155)=0,"",COUNTIFS(Таблица2[Date],B155)+SUMIFS(Таблица2[R],Таблица2[Date],B155))</f>
        <v/>
      </c>
      <c r="F155" s="76" t="str">
        <f>IF(SUMIFS(Таблица2[B$],Таблица2[Date],B155)=0,"-",SUMIFS(Таблица2[B$],Таблица2[Date],B155))</f>
        <v>-</v>
      </c>
      <c r="G155" s="76" t="str">
        <f t="shared" si="6"/>
        <v>-</v>
      </c>
      <c r="H155" s="77" t="str">
        <f>IFERROR(AVERAGEIFS(Таблица2[AFS],Таблица2[Date],B155)+(AVERAGEIFS(Таблица2[AFS],Таблица2[Date],B155)*0.2),"-")</f>
        <v>-</v>
      </c>
      <c r="I155" s="77" t="str">
        <f t="shared" si="7"/>
        <v>-</v>
      </c>
      <c r="J155" s="77" t="str">
        <f>IFERROR(COUNTIFS(Таблица2[Date],B155,Таблица2[WIN$],"&gt;0")/E155*100,"-")</f>
        <v>-</v>
      </c>
      <c r="K155" s="77" t="str">
        <f>IF(IFERROR((COUNTIFS(Таблица2[Date],B155,Таблица2[K],"K")+SUMIFS(Таблица2[R],#REF!,B155,Таблица2[K],"K"))/E155*100,"-")=0,"-",IFERROR((COUNTIFS(Таблица2[Date],B155,Таблица2[K],"K")+SUMIFS(Таблица2[R],Таблица2[Date],B155,Таблица2[K],"K"))/E155*100,"-"))</f>
        <v>-</v>
      </c>
      <c r="L155" s="77" t="str">
        <f>IF(IFERROR((COUNTIFS(Таблица2[Date],B155,Таблица2[T],"t")+SUMIFS(Таблица2[R],Таблица2[Date],B155,Таблица2[T],"t"))/E155*100,"-")=0,"-",IFERROR((COUNTIFS(Таблица2[Date],B155,Таблица2[T],"t")+SUMIFS(Таблица2[R],Таблица2[Date],B155,Таблица2[T],"t"))/E155*100,"-"))</f>
        <v>-</v>
      </c>
      <c r="M155" s="76" t="str">
        <f>IF(SUMIFS(Таблица2[KO$],Таблица2[Date],B155)=0,"-",SUMIFS(Таблица2[KO$],Таблица2[Date],B155))</f>
        <v>-</v>
      </c>
      <c r="N155" s="76" t="str">
        <f>IF(SUMIFS(Таблица2[WIN$],Таблица2[Date],B155)=0,"-",SUMIFS(Таблица2[WIN$],Таблица2[Date],B155))</f>
        <v>-</v>
      </c>
      <c r="O155" s="76" t="str">
        <f t="shared" si="8"/>
        <v>-</v>
      </c>
    </row>
    <row r="156" spans="1:15" ht="11.1" customHeight="1" x14ac:dyDescent="0.25">
      <c r="A156" s="93">
        <f t="shared" si="9"/>
        <v>70</v>
      </c>
      <c r="B156" s="48"/>
      <c r="C156"/>
      <c r="D156" s="117">
        <f t="shared" si="5"/>
        <v>1900</v>
      </c>
      <c r="E156" s="94" t="str">
        <f>IF(COUNTIFS(Таблица2[Date],B156)+SUMIFS(Таблица2[R],Таблица2[Date],B156)=0,"",COUNTIFS(Таблица2[Date],B156)+SUMIFS(Таблица2[R],Таблица2[Date],B156))</f>
        <v/>
      </c>
      <c r="F156" s="76" t="str">
        <f>IF(SUMIFS(Таблица2[B$],Таблица2[Date],B156)=0,"-",SUMIFS(Таблица2[B$],Таблица2[Date],B156))</f>
        <v>-</v>
      </c>
      <c r="G156" s="76" t="str">
        <f t="shared" si="6"/>
        <v>-</v>
      </c>
      <c r="H156" s="77" t="str">
        <f>IFERROR(AVERAGEIFS(Таблица2[AFS],Таблица2[Date],B156)+(AVERAGEIFS(Таблица2[AFS],Таблица2[Date],B156)*0.2),"-")</f>
        <v>-</v>
      </c>
      <c r="I156" s="77" t="str">
        <f t="shared" si="7"/>
        <v>-</v>
      </c>
      <c r="J156" s="77" t="str">
        <f>IFERROR(COUNTIFS(Таблица2[Date],B156,Таблица2[WIN$],"&gt;0")/E156*100,"-")</f>
        <v>-</v>
      </c>
      <c r="K156" s="77" t="str">
        <f>IF(IFERROR((COUNTIFS(Таблица2[Date],B156,Таблица2[K],"K")+SUMIFS(Таблица2[R],#REF!,B156,Таблица2[K],"K"))/E156*100,"-")=0,"-",IFERROR((COUNTIFS(Таблица2[Date],B156,Таблица2[K],"K")+SUMIFS(Таблица2[R],Таблица2[Date],B156,Таблица2[K],"K"))/E156*100,"-"))</f>
        <v>-</v>
      </c>
      <c r="L156" s="77" t="str">
        <f>IF(IFERROR((COUNTIFS(Таблица2[Date],B156,Таблица2[T],"t")+SUMIFS(Таблица2[R],Таблица2[Date],B156,Таблица2[T],"t"))/E156*100,"-")=0,"-",IFERROR((COUNTIFS(Таблица2[Date],B156,Таблица2[T],"t")+SUMIFS(Таблица2[R],Таблица2[Date],B156,Таблица2[T],"t"))/E156*100,"-"))</f>
        <v>-</v>
      </c>
      <c r="M156" s="76" t="str">
        <f>IF(SUMIFS(Таблица2[KO$],Таблица2[Date],B156)=0,"-",SUMIFS(Таблица2[KO$],Таблица2[Date],B156))</f>
        <v>-</v>
      </c>
      <c r="N156" s="76" t="str">
        <f>IF(SUMIFS(Таблица2[WIN$],Таблица2[Date],B156)=0,"-",SUMIFS(Таблица2[WIN$],Таблица2[Date],B156))</f>
        <v>-</v>
      </c>
      <c r="O156" s="76" t="str">
        <f t="shared" si="8"/>
        <v>-</v>
      </c>
    </row>
    <row r="157" spans="1:15" ht="11.1" customHeight="1" x14ac:dyDescent="0.25">
      <c r="A157" s="93">
        <f t="shared" si="9"/>
        <v>71</v>
      </c>
      <c r="B157" s="48"/>
      <c r="C157"/>
      <c r="D157" s="117">
        <f t="shared" si="5"/>
        <v>1900</v>
      </c>
      <c r="E157" s="94" t="str">
        <f>IF(COUNTIFS(Таблица2[Date],B157)+SUMIFS(Таблица2[R],Таблица2[Date],B157)=0,"",COUNTIFS(Таблица2[Date],B157)+SUMIFS(Таблица2[R],Таблица2[Date],B157))</f>
        <v/>
      </c>
      <c r="F157" s="76" t="str">
        <f>IF(SUMIFS(Таблица2[B$],Таблица2[Date],B157)=0,"-",SUMIFS(Таблица2[B$],Таблица2[Date],B157))</f>
        <v>-</v>
      </c>
      <c r="G157" s="76" t="str">
        <f t="shared" si="6"/>
        <v>-</v>
      </c>
      <c r="H157" s="77" t="str">
        <f>IFERROR(AVERAGEIFS(Таблица2[AFS],Таблица2[Date],B157)+(AVERAGEIFS(Таблица2[AFS],Таблица2[Date],B157)*0.2),"-")</f>
        <v>-</v>
      </c>
      <c r="I157" s="77" t="str">
        <f t="shared" si="7"/>
        <v>-</v>
      </c>
      <c r="J157" s="77" t="str">
        <f>IFERROR(COUNTIFS(Таблица2[Date],B157,Таблица2[WIN$],"&gt;0")/E157*100,"-")</f>
        <v>-</v>
      </c>
      <c r="K157" s="77" t="str">
        <f>IF(IFERROR((COUNTIFS(Таблица2[Date],B157,Таблица2[K],"K")+SUMIFS(Таблица2[R],#REF!,B157,Таблица2[K],"K"))/E157*100,"-")=0,"-",IFERROR((COUNTIFS(Таблица2[Date],B157,Таблица2[K],"K")+SUMIFS(Таблица2[R],Таблица2[Date],B157,Таблица2[K],"K"))/E157*100,"-"))</f>
        <v>-</v>
      </c>
      <c r="L157" s="77" t="str">
        <f>IF(IFERROR((COUNTIFS(Таблица2[Date],B157,Таблица2[T],"t")+SUMIFS(Таблица2[R],Таблица2[Date],B157,Таблица2[T],"t"))/E157*100,"-")=0,"-",IFERROR((COUNTIFS(Таблица2[Date],B157,Таблица2[T],"t")+SUMIFS(Таблица2[R],Таблица2[Date],B157,Таблица2[T],"t"))/E157*100,"-"))</f>
        <v>-</v>
      </c>
      <c r="M157" s="76" t="str">
        <f>IF(SUMIFS(Таблица2[KO$],Таблица2[Date],B157)=0,"-",SUMIFS(Таблица2[KO$],Таблица2[Date],B157))</f>
        <v>-</v>
      </c>
      <c r="N157" s="76" t="str">
        <f>IF(SUMIFS(Таблица2[WIN$],Таблица2[Date],B157)=0,"-",SUMIFS(Таблица2[WIN$],Таблица2[Date],B157))</f>
        <v>-</v>
      </c>
      <c r="O157" s="76" t="str">
        <f t="shared" si="8"/>
        <v>-</v>
      </c>
    </row>
    <row r="158" spans="1:15" ht="11.1" customHeight="1" x14ac:dyDescent="0.25">
      <c r="A158" s="93">
        <f t="shared" si="9"/>
        <v>72</v>
      </c>
      <c r="B158" s="48"/>
      <c r="C158"/>
      <c r="D158" s="117">
        <f t="shared" si="5"/>
        <v>1900</v>
      </c>
      <c r="E158" s="94" t="str">
        <f>IF(COUNTIFS(Таблица2[Date],B158)+SUMIFS(Таблица2[R],Таблица2[Date],B158)=0,"",COUNTIFS(Таблица2[Date],B158)+SUMIFS(Таблица2[R],Таблица2[Date],B158))</f>
        <v/>
      </c>
      <c r="F158" s="76" t="str">
        <f>IF(SUMIFS(Таблица2[B$],Таблица2[Date],B158)=0,"-",SUMIFS(Таблица2[B$],Таблица2[Date],B158))</f>
        <v>-</v>
      </c>
      <c r="G158" s="76" t="str">
        <f t="shared" si="6"/>
        <v>-</v>
      </c>
      <c r="H158" s="77" t="str">
        <f>IFERROR(AVERAGEIFS(Таблица2[AFS],Таблица2[Date],B158)+(AVERAGEIFS(Таблица2[AFS],Таблица2[Date],B158)*0.2),"-")</f>
        <v>-</v>
      </c>
      <c r="I158" s="77" t="str">
        <f t="shared" si="7"/>
        <v>-</v>
      </c>
      <c r="J158" s="77" t="str">
        <f>IFERROR(COUNTIFS(Таблица2[Date],B158,Таблица2[WIN$],"&gt;0")/E158*100,"-")</f>
        <v>-</v>
      </c>
      <c r="K158" s="77" t="str">
        <f>IF(IFERROR((COUNTIFS(Таблица2[Date],B158,Таблица2[K],"K")+SUMIFS(Таблица2[R],#REF!,B158,Таблица2[K],"K"))/E158*100,"-")=0,"-",IFERROR((COUNTIFS(Таблица2[Date],B158,Таблица2[K],"K")+SUMIFS(Таблица2[R],Таблица2[Date],B158,Таблица2[K],"K"))/E158*100,"-"))</f>
        <v>-</v>
      </c>
      <c r="L158" s="77" t="str">
        <f>IF(IFERROR((COUNTIFS(Таблица2[Date],B158,Таблица2[T],"t")+SUMIFS(Таблица2[R],Таблица2[Date],B158,Таблица2[T],"t"))/E158*100,"-")=0,"-",IFERROR((COUNTIFS(Таблица2[Date],B158,Таблица2[T],"t")+SUMIFS(Таблица2[R],Таблица2[Date],B158,Таблица2[T],"t"))/E158*100,"-"))</f>
        <v>-</v>
      </c>
      <c r="M158" s="76" t="str">
        <f>IF(SUMIFS(Таблица2[KO$],Таблица2[Date],B158)=0,"-",SUMIFS(Таблица2[KO$],Таблица2[Date],B158))</f>
        <v>-</v>
      </c>
      <c r="N158" s="76" t="str">
        <f>IF(SUMIFS(Таблица2[WIN$],Таблица2[Date],B158)=0,"-",SUMIFS(Таблица2[WIN$],Таблица2[Date],B158))</f>
        <v>-</v>
      </c>
      <c r="O158" s="76" t="str">
        <f t="shared" si="8"/>
        <v>-</v>
      </c>
    </row>
    <row r="159" spans="1:15" ht="11.1" customHeight="1" x14ac:dyDescent="0.25">
      <c r="A159" s="93">
        <f t="shared" si="9"/>
        <v>73</v>
      </c>
      <c r="B159" s="48"/>
      <c r="C159"/>
      <c r="D159" s="117">
        <f t="shared" si="5"/>
        <v>1900</v>
      </c>
      <c r="E159" s="94" t="str">
        <f>IF(COUNTIFS(Таблица2[Date],B159)+SUMIFS(Таблица2[R],Таблица2[Date],B159)=0,"",COUNTIFS(Таблица2[Date],B159)+SUMIFS(Таблица2[R],Таблица2[Date],B159))</f>
        <v/>
      </c>
      <c r="F159" s="76" t="str">
        <f>IF(SUMIFS(Таблица2[B$],Таблица2[Date],B159)=0,"-",SUMIFS(Таблица2[B$],Таблица2[Date],B159))</f>
        <v>-</v>
      </c>
      <c r="G159" s="76" t="str">
        <f t="shared" si="6"/>
        <v>-</v>
      </c>
      <c r="H159" s="77" t="str">
        <f>IFERROR(AVERAGEIFS(Таблица2[AFS],Таблица2[Date],B159)+(AVERAGEIFS(Таблица2[AFS],Таблица2[Date],B159)*0.2),"-")</f>
        <v>-</v>
      </c>
      <c r="I159" s="77" t="str">
        <f t="shared" si="7"/>
        <v>-</v>
      </c>
      <c r="J159" s="77" t="str">
        <f>IFERROR(COUNTIFS(Таблица2[Date],B159,Таблица2[WIN$],"&gt;0")/E159*100,"-")</f>
        <v>-</v>
      </c>
      <c r="K159" s="77" t="str">
        <f>IF(IFERROR((COUNTIFS(Таблица2[Date],B159,Таблица2[K],"K")+SUMIFS(Таблица2[R],#REF!,B159,Таблица2[K],"K"))/E159*100,"-")=0,"-",IFERROR((COUNTIFS(Таблица2[Date],B159,Таблица2[K],"K")+SUMIFS(Таблица2[R],Таблица2[Date],B159,Таблица2[K],"K"))/E159*100,"-"))</f>
        <v>-</v>
      </c>
      <c r="L159" s="77" t="str">
        <f>IF(IFERROR((COUNTIFS(Таблица2[Date],B159,Таблица2[T],"t")+SUMIFS(Таблица2[R],Таблица2[Date],B159,Таблица2[T],"t"))/E159*100,"-")=0,"-",IFERROR((COUNTIFS(Таблица2[Date],B159,Таблица2[T],"t")+SUMIFS(Таблица2[R],Таблица2[Date],B159,Таблица2[T],"t"))/E159*100,"-"))</f>
        <v>-</v>
      </c>
      <c r="M159" s="76" t="str">
        <f>IF(SUMIFS(Таблица2[KO$],Таблица2[Date],B159)=0,"-",SUMIFS(Таблица2[KO$],Таблица2[Date],B159))</f>
        <v>-</v>
      </c>
      <c r="N159" s="76" t="str">
        <f>IF(SUMIFS(Таблица2[WIN$],Таблица2[Date],B159)=0,"-",SUMIFS(Таблица2[WIN$],Таблица2[Date],B159))</f>
        <v>-</v>
      </c>
      <c r="O159" s="76" t="str">
        <f t="shared" si="8"/>
        <v>-</v>
      </c>
    </row>
    <row r="160" spans="1:15" ht="11.1" customHeight="1" x14ac:dyDescent="0.25">
      <c r="A160" s="93">
        <f t="shared" si="9"/>
        <v>74</v>
      </c>
      <c r="B160" s="48"/>
      <c r="C160"/>
      <c r="D160" s="117">
        <f t="shared" si="5"/>
        <v>1900</v>
      </c>
      <c r="E160" s="94" t="str">
        <f>IF(COUNTIFS(Таблица2[Date],B160)+SUMIFS(Таблица2[R],Таблица2[Date],B160)=0,"",COUNTIFS(Таблица2[Date],B160)+SUMIFS(Таблица2[R],Таблица2[Date],B160))</f>
        <v/>
      </c>
      <c r="F160" s="76" t="str">
        <f>IF(SUMIFS(Таблица2[B$],Таблица2[Date],B160)=0,"-",SUMIFS(Таблица2[B$],Таблица2[Date],B160))</f>
        <v>-</v>
      </c>
      <c r="G160" s="76" t="str">
        <f t="shared" si="6"/>
        <v>-</v>
      </c>
      <c r="H160" s="77" t="str">
        <f>IFERROR(AVERAGEIFS(Таблица2[AFS],Таблица2[Date],B160)+(AVERAGEIFS(Таблица2[AFS],Таблица2[Date],B160)*0.2),"-")</f>
        <v>-</v>
      </c>
      <c r="I160" s="77" t="str">
        <f t="shared" si="7"/>
        <v>-</v>
      </c>
      <c r="J160" s="77" t="str">
        <f>IFERROR(COUNTIFS(Таблица2[Date],B160,Таблица2[WIN$],"&gt;0")/E160*100,"-")</f>
        <v>-</v>
      </c>
      <c r="K160" s="77" t="str">
        <f>IF(IFERROR((COUNTIFS(Таблица2[Date],B160,Таблица2[K],"K")+SUMIFS(Таблица2[R],#REF!,B160,Таблица2[K],"K"))/E160*100,"-")=0,"-",IFERROR((COUNTIFS(Таблица2[Date],B160,Таблица2[K],"K")+SUMIFS(Таблица2[R],Таблица2[Date],B160,Таблица2[K],"K"))/E160*100,"-"))</f>
        <v>-</v>
      </c>
      <c r="L160" s="77" t="str">
        <f>IF(IFERROR((COUNTIFS(Таблица2[Date],B160,Таблица2[T],"t")+SUMIFS(Таблица2[R],Таблица2[Date],B160,Таблица2[T],"t"))/E160*100,"-")=0,"-",IFERROR((COUNTIFS(Таблица2[Date],B160,Таблица2[T],"t")+SUMIFS(Таблица2[R],Таблица2[Date],B160,Таблица2[T],"t"))/E160*100,"-"))</f>
        <v>-</v>
      </c>
      <c r="M160" s="76" t="str">
        <f>IF(SUMIFS(Таблица2[KO$],Таблица2[Date],B160)=0,"-",SUMIFS(Таблица2[KO$],Таблица2[Date],B160))</f>
        <v>-</v>
      </c>
      <c r="N160" s="76" t="str">
        <f>IF(SUMIFS(Таблица2[WIN$],Таблица2[Date],B160)=0,"-",SUMIFS(Таблица2[WIN$],Таблица2[Date],B160))</f>
        <v>-</v>
      </c>
      <c r="O160" s="76" t="str">
        <f t="shared" si="8"/>
        <v>-</v>
      </c>
    </row>
    <row r="161" spans="1:15" ht="11.1" customHeight="1" x14ac:dyDescent="0.25">
      <c r="A161" s="93">
        <f t="shared" si="9"/>
        <v>75</v>
      </c>
      <c r="B161" s="48"/>
      <c r="C161"/>
      <c r="D161" s="117">
        <f t="shared" si="5"/>
        <v>1900</v>
      </c>
      <c r="E161" s="94" t="str">
        <f>IF(COUNTIFS(Таблица2[Date],B161)+SUMIFS(Таблица2[R],Таблица2[Date],B161)=0,"",COUNTIFS(Таблица2[Date],B161)+SUMIFS(Таблица2[R],Таблица2[Date],B161))</f>
        <v/>
      </c>
      <c r="F161" s="76" t="str">
        <f>IF(SUMIFS(Таблица2[B$],Таблица2[Date],B161)=0,"-",SUMIFS(Таблица2[B$],Таблица2[Date],B161))</f>
        <v>-</v>
      </c>
      <c r="G161" s="76" t="str">
        <f t="shared" si="6"/>
        <v>-</v>
      </c>
      <c r="H161" s="77" t="str">
        <f>IFERROR(AVERAGEIFS(Таблица2[AFS],Таблица2[Date],B161)+(AVERAGEIFS(Таблица2[AFS],Таблица2[Date],B161)*0.2),"-")</f>
        <v>-</v>
      </c>
      <c r="I161" s="77" t="str">
        <f t="shared" si="7"/>
        <v>-</v>
      </c>
      <c r="J161" s="77" t="str">
        <f>IFERROR(COUNTIFS(Таблица2[Date],B161,Таблица2[WIN$],"&gt;0")/E161*100,"-")</f>
        <v>-</v>
      </c>
      <c r="K161" s="77" t="str">
        <f>IF(IFERROR((COUNTIFS(Таблица2[Date],B161,Таблица2[K],"K")+SUMIFS(Таблица2[R],#REF!,B161,Таблица2[K],"K"))/E161*100,"-")=0,"-",IFERROR((COUNTIFS(Таблица2[Date],B161,Таблица2[K],"K")+SUMIFS(Таблица2[R],Таблица2[Date],B161,Таблица2[K],"K"))/E161*100,"-"))</f>
        <v>-</v>
      </c>
      <c r="L161" s="77" t="str">
        <f>IF(IFERROR((COUNTIFS(Таблица2[Date],B161,Таблица2[T],"t")+SUMIFS(Таблица2[R],Таблица2[Date],B161,Таблица2[T],"t"))/E161*100,"-")=0,"-",IFERROR((COUNTIFS(Таблица2[Date],B161,Таблица2[T],"t")+SUMIFS(Таблица2[R],Таблица2[Date],B161,Таблица2[T],"t"))/E161*100,"-"))</f>
        <v>-</v>
      </c>
      <c r="M161" s="76" t="str">
        <f>IF(SUMIFS(Таблица2[KO$],Таблица2[Date],B161)=0,"-",SUMIFS(Таблица2[KO$],Таблица2[Date],B161))</f>
        <v>-</v>
      </c>
      <c r="N161" s="76" t="str">
        <f>IF(SUMIFS(Таблица2[WIN$],Таблица2[Date],B161)=0,"-",SUMIFS(Таблица2[WIN$],Таблица2[Date],B161))</f>
        <v>-</v>
      </c>
      <c r="O161" s="76" t="str">
        <f t="shared" si="8"/>
        <v>-</v>
      </c>
    </row>
    <row r="162" spans="1:15" ht="11.1" customHeight="1" x14ac:dyDescent="0.25">
      <c r="A162" s="93">
        <f t="shared" si="9"/>
        <v>76</v>
      </c>
      <c r="B162" s="48"/>
      <c r="C162"/>
      <c r="D162" s="117">
        <f t="shared" si="5"/>
        <v>1900</v>
      </c>
      <c r="E162" s="94" t="str">
        <f>IF(COUNTIFS(Таблица2[Date],B162)+SUMIFS(Таблица2[R],Таблица2[Date],B162)=0,"",COUNTIFS(Таблица2[Date],B162)+SUMIFS(Таблица2[R],Таблица2[Date],B162))</f>
        <v/>
      </c>
      <c r="F162" s="76" t="str">
        <f>IF(SUMIFS(Таблица2[B$],Таблица2[Date],B162)=0,"-",SUMIFS(Таблица2[B$],Таблица2[Date],B162))</f>
        <v>-</v>
      </c>
      <c r="G162" s="76" t="str">
        <f t="shared" si="6"/>
        <v>-</v>
      </c>
      <c r="H162" s="77" t="str">
        <f>IFERROR(AVERAGEIFS(Таблица2[AFS],Таблица2[Date],B162)+(AVERAGEIFS(Таблица2[AFS],Таблица2[Date],B162)*0.2),"-")</f>
        <v>-</v>
      </c>
      <c r="I162" s="77" t="str">
        <f t="shared" si="7"/>
        <v>-</v>
      </c>
      <c r="J162" s="77" t="str">
        <f>IFERROR(COUNTIFS(Таблица2[Date],B162,Таблица2[WIN$],"&gt;0")/E162*100,"-")</f>
        <v>-</v>
      </c>
      <c r="K162" s="77" t="str">
        <f>IF(IFERROR((COUNTIFS(Таблица2[Date],B162,Таблица2[K],"K")+SUMIFS(Таблица2[R],#REF!,B162,Таблица2[K],"K"))/E162*100,"-")=0,"-",IFERROR((COUNTIFS(Таблица2[Date],B162,Таблица2[K],"K")+SUMIFS(Таблица2[R],Таблица2[Date],B162,Таблица2[K],"K"))/E162*100,"-"))</f>
        <v>-</v>
      </c>
      <c r="L162" s="77" t="str">
        <f>IF(IFERROR((COUNTIFS(Таблица2[Date],B162,Таблица2[T],"t")+SUMIFS(Таблица2[R],Таблица2[Date],B162,Таблица2[T],"t"))/E162*100,"-")=0,"-",IFERROR((COUNTIFS(Таблица2[Date],B162,Таблица2[T],"t")+SUMIFS(Таблица2[R],Таблица2[Date],B162,Таблица2[T],"t"))/E162*100,"-"))</f>
        <v>-</v>
      </c>
      <c r="M162" s="76" t="str">
        <f>IF(SUMIFS(Таблица2[KO$],Таблица2[Date],B162)=0,"-",SUMIFS(Таблица2[KO$],Таблица2[Date],B162))</f>
        <v>-</v>
      </c>
      <c r="N162" s="76" t="str">
        <f>IF(SUMIFS(Таблица2[WIN$],Таблица2[Date],B162)=0,"-",SUMIFS(Таблица2[WIN$],Таблица2[Date],B162))</f>
        <v>-</v>
      </c>
      <c r="O162" s="76" t="str">
        <f t="shared" si="8"/>
        <v>-</v>
      </c>
    </row>
    <row r="163" spans="1:15" ht="11.1" customHeight="1" x14ac:dyDescent="0.25">
      <c r="A163" s="93">
        <f t="shared" si="9"/>
        <v>77</v>
      </c>
      <c r="B163" s="48"/>
      <c r="C163"/>
      <c r="D163" s="117">
        <f t="shared" si="5"/>
        <v>1900</v>
      </c>
      <c r="E163" s="94" t="str">
        <f>IF(COUNTIFS(Таблица2[Date],B163)+SUMIFS(Таблица2[R],Таблица2[Date],B163)=0,"",COUNTIFS(Таблица2[Date],B163)+SUMIFS(Таблица2[R],Таблица2[Date],B163))</f>
        <v/>
      </c>
      <c r="F163" s="76" t="str">
        <f>IF(SUMIFS(Таблица2[B$],Таблица2[Date],B163)=0,"-",SUMIFS(Таблица2[B$],Таблица2[Date],B163))</f>
        <v>-</v>
      </c>
      <c r="G163" s="76" t="str">
        <f t="shared" si="6"/>
        <v>-</v>
      </c>
      <c r="H163" s="77" t="str">
        <f>IFERROR(AVERAGEIFS(Таблица2[AFS],Таблица2[Date],B163)+(AVERAGEIFS(Таблица2[AFS],Таблица2[Date],B163)*0.2),"-")</f>
        <v>-</v>
      </c>
      <c r="I163" s="77" t="str">
        <f t="shared" si="7"/>
        <v>-</v>
      </c>
      <c r="J163" s="77" t="str">
        <f>IFERROR(COUNTIFS(Таблица2[Date],B163,Таблица2[WIN$],"&gt;0")/E163*100,"-")</f>
        <v>-</v>
      </c>
      <c r="K163" s="77" t="str">
        <f>IF(IFERROR((COUNTIFS(Таблица2[Date],B163,Таблица2[K],"K")+SUMIFS(Таблица2[R],#REF!,B163,Таблица2[K],"K"))/E163*100,"-")=0,"-",IFERROR((COUNTIFS(Таблица2[Date],B163,Таблица2[K],"K")+SUMIFS(Таблица2[R],Таблица2[Date],B163,Таблица2[K],"K"))/E163*100,"-"))</f>
        <v>-</v>
      </c>
      <c r="L163" s="77" t="str">
        <f>IF(IFERROR((COUNTIFS(Таблица2[Date],B163,Таблица2[T],"t")+SUMIFS(Таблица2[R],Таблица2[Date],B163,Таблица2[T],"t"))/E163*100,"-")=0,"-",IFERROR((COUNTIFS(Таблица2[Date],B163,Таблица2[T],"t")+SUMIFS(Таблица2[R],Таблица2[Date],B163,Таблица2[T],"t"))/E163*100,"-"))</f>
        <v>-</v>
      </c>
      <c r="M163" s="76" t="str">
        <f>IF(SUMIFS(Таблица2[KO$],Таблица2[Date],B163)=0,"-",SUMIFS(Таблица2[KO$],Таблица2[Date],B163))</f>
        <v>-</v>
      </c>
      <c r="N163" s="76" t="str">
        <f>IF(SUMIFS(Таблица2[WIN$],Таблица2[Date],B163)=0,"-",SUMIFS(Таблица2[WIN$],Таблица2[Date],B163))</f>
        <v>-</v>
      </c>
      <c r="O163" s="76" t="str">
        <f t="shared" si="8"/>
        <v>-</v>
      </c>
    </row>
    <row r="164" spans="1:15" ht="11.1" customHeight="1" x14ac:dyDescent="0.25">
      <c r="A164" s="93">
        <f t="shared" si="9"/>
        <v>78</v>
      </c>
      <c r="B164" s="48"/>
      <c r="C164"/>
      <c r="D164" s="117">
        <f t="shared" si="5"/>
        <v>1900</v>
      </c>
      <c r="E164" s="94" t="str">
        <f>IF(COUNTIFS(Таблица2[Date],B164)+SUMIFS(Таблица2[R],Таблица2[Date],B164)=0,"",COUNTIFS(Таблица2[Date],B164)+SUMIFS(Таблица2[R],Таблица2[Date],B164))</f>
        <v/>
      </c>
      <c r="F164" s="76" t="str">
        <f>IF(SUMIFS(Таблица2[B$],Таблица2[Date],B164)=0,"-",SUMIFS(Таблица2[B$],Таблица2[Date],B164))</f>
        <v>-</v>
      </c>
      <c r="G164" s="76" t="str">
        <f t="shared" si="6"/>
        <v>-</v>
      </c>
      <c r="H164" s="77" t="str">
        <f>IFERROR(AVERAGEIFS(Таблица2[AFS],Таблица2[Date],B164)+(AVERAGEIFS(Таблица2[AFS],Таблица2[Date],B164)*0.2),"-")</f>
        <v>-</v>
      </c>
      <c r="I164" s="77" t="str">
        <f t="shared" si="7"/>
        <v>-</v>
      </c>
      <c r="J164" s="77" t="str">
        <f>IFERROR(COUNTIFS(Таблица2[Date],B164,Таблица2[WIN$],"&gt;0")/E164*100,"-")</f>
        <v>-</v>
      </c>
      <c r="K164" s="77" t="str">
        <f>IF(IFERROR((COUNTIFS(Таблица2[Date],B164,Таблица2[K],"K")+SUMIFS(Таблица2[R],#REF!,B164,Таблица2[K],"K"))/E164*100,"-")=0,"-",IFERROR((COUNTIFS(Таблица2[Date],B164,Таблица2[K],"K")+SUMIFS(Таблица2[R],Таблица2[Date],B164,Таблица2[K],"K"))/E164*100,"-"))</f>
        <v>-</v>
      </c>
      <c r="L164" s="77" t="str">
        <f>IF(IFERROR((COUNTIFS(Таблица2[Date],B164,Таблица2[T],"t")+SUMIFS(Таблица2[R],Таблица2[Date],B164,Таблица2[T],"t"))/E164*100,"-")=0,"-",IFERROR((COUNTIFS(Таблица2[Date],B164,Таблица2[T],"t")+SUMIFS(Таблица2[R],Таблица2[Date],B164,Таблица2[T],"t"))/E164*100,"-"))</f>
        <v>-</v>
      </c>
      <c r="M164" s="76" t="str">
        <f>IF(SUMIFS(Таблица2[KO$],Таблица2[Date],B164)=0,"-",SUMIFS(Таблица2[KO$],Таблица2[Date],B164))</f>
        <v>-</v>
      </c>
      <c r="N164" s="76" t="str">
        <f>IF(SUMIFS(Таблица2[WIN$],Таблица2[Date],B164)=0,"-",SUMIFS(Таблица2[WIN$],Таблица2[Date],B164))</f>
        <v>-</v>
      </c>
      <c r="O164" s="76" t="str">
        <f t="shared" si="8"/>
        <v>-</v>
      </c>
    </row>
    <row r="165" spans="1:15" ht="11.1" customHeight="1" x14ac:dyDescent="0.25">
      <c r="A165" s="93">
        <f t="shared" si="9"/>
        <v>79</v>
      </c>
      <c r="B165" s="48"/>
      <c r="C165"/>
      <c r="D165" s="117">
        <f t="shared" si="5"/>
        <v>1900</v>
      </c>
      <c r="E165" s="94" t="str">
        <f>IF(COUNTIFS(Таблица2[Date],B165)+SUMIFS(Таблица2[R],Таблица2[Date],B165)=0,"",COUNTIFS(Таблица2[Date],B165)+SUMIFS(Таблица2[R],Таблица2[Date],B165))</f>
        <v/>
      </c>
      <c r="F165" s="76" t="str">
        <f>IF(SUMIFS(Таблица2[B$],Таблица2[Date],B165)=0,"-",SUMIFS(Таблица2[B$],Таблица2[Date],B165))</f>
        <v>-</v>
      </c>
      <c r="G165" s="76" t="str">
        <f t="shared" si="6"/>
        <v>-</v>
      </c>
      <c r="H165" s="77" t="str">
        <f>IFERROR(AVERAGEIFS(Таблица2[AFS],Таблица2[Date],B165)+(AVERAGEIFS(Таблица2[AFS],Таблица2[Date],B165)*0.2),"-")</f>
        <v>-</v>
      </c>
      <c r="I165" s="77" t="str">
        <f t="shared" si="7"/>
        <v>-</v>
      </c>
      <c r="J165" s="77" t="str">
        <f>IFERROR(COUNTIFS(Таблица2[Date],B165,Таблица2[WIN$],"&gt;0")/E165*100,"-")</f>
        <v>-</v>
      </c>
      <c r="K165" s="77" t="str">
        <f>IF(IFERROR((COUNTIFS(Таблица2[Date],B165,Таблица2[K],"K")+SUMIFS(Таблица2[R],#REF!,B165,Таблица2[K],"K"))/E165*100,"-")=0,"-",IFERROR((COUNTIFS(Таблица2[Date],B165,Таблица2[K],"K")+SUMIFS(Таблица2[R],Таблица2[Date],B165,Таблица2[K],"K"))/E165*100,"-"))</f>
        <v>-</v>
      </c>
      <c r="L165" s="77" t="str">
        <f>IF(IFERROR((COUNTIFS(Таблица2[Date],B165,Таблица2[T],"t")+SUMIFS(Таблица2[R],Таблица2[Date],B165,Таблица2[T],"t"))/E165*100,"-")=0,"-",IFERROR((COUNTIFS(Таблица2[Date],B165,Таблица2[T],"t")+SUMIFS(Таблица2[R],Таблица2[Date],B165,Таблица2[T],"t"))/E165*100,"-"))</f>
        <v>-</v>
      </c>
      <c r="M165" s="76" t="str">
        <f>IF(SUMIFS(Таблица2[KO$],Таблица2[Date],B165)=0,"-",SUMIFS(Таблица2[KO$],Таблица2[Date],B165))</f>
        <v>-</v>
      </c>
      <c r="N165" s="76" t="str">
        <f>IF(SUMIFS(Таблица2[WIN$],Таблица2[Date],B165)=0,"-",SUMIFS(Таблица2[WIN$],Таблица2[Date],B165))</f>
        <v>-</v>
      </c>
      <c r="O165" s="76" t="str">
        <f t="shared" si="8"/>
        <v>-</v>
      </c>
    </row>
    <row r="166" spans="1:15" ht="11.1" customHeight="1" x14ac:dyDescent="0.25">
      <c r="A166" s="93">
        <f t="shared" si="9"/>
        <v>80</v>
      </c>
      <c r="B166" s="48"/>
      <c r="C166"/>
      <c r="D166" s="117">
        <f t="shared" si="5"/>
        <v>1900</v>
      </c>
      <c r="E166" s="94" t="str">
        <f>IF(COUNTIFS(Таблица2[Date],B166)+SUMIFS(Таблица2[R],Таблица2[Date],B166)=0,"",COUNTIFS(Таблица2[Date],B166)+SUMIFS(Таблица2[R],Таблица2[Date],B166))</f>
        <v/>
      </c>
      <c r="F166" s="76" t="str">
        <f>IF(SUMIFS(Таблица2[B$],Таблица2[Date],B166)=0,"-",SUMIFS(Таблица2[B$],Таблица2[Date],B166))</f>
        <v>-</v>
      </c>
      <c r="G166" s="76" t="str">
        <f t="shared" si="6"/>
        <v>-</v>
      </c>
      <c r="H166" s="77" t="str">
        <f>IFERROR(AVERAGEIFS(Таблица2[AFS],Таблица2[Date],B166)+(AVERAGEIFS(Таблица2[AFS],Таблица2[Date],B166)*0.2),"-")</f>
        <v>-</v>
      </c>
      <c r="I166" s="77" t="str">
        <f t="shared" si="7"/>
        <v>-</v>
      </c>
      <c r="J166" s="77" t="str">
        <f>IFERROR(COUNTIFS(Таблица2[Date],B166,Таблица2[WIN$],"&gt;0")/E166*100,"-")</f>
        <v>-</v>
      </c>
      <c r="K166" s="77" t="str">
        <f>IF(IFERROR((COUNTIFS(Таблица2[Date],B166,Таблица2[K],"K")+SUMIFS(Таблица2[R],#REF!,B166,Таблица2[K],"K"))/E166*100,"-")=0,"-",IFERROR((COUNTIFS(Таблица2[Date],B166,Таблица2[K],"K")+SUMIFS(Таблица2[R],Таблица2[Date],B166,Таблица2[K],"K"))/E166*100,"-"))</f>
        <v>-</v>
      </c>
      <c r="L166" s="77" t="str">
        <f>IF(IFERROR((COUNTIFS(Таблица2[Date],B166,Таблица2[T],"t")+SUMIFS(Таблица2[R],Таблица2[Date],B166,Таблица2[T],"t"))/E166*100,"-")=0,"-",IFERROR((COUNTIFS(Таблица2[Date],B166,Таблица2[T],"t")+SUMIFS(Таблица2[R],Таблица2[Date],B166,Таблица2[T],"t"))/E166*100,"-"))</f>
        <v>-</v>
      </c>
      <c r="M166" s="76" t="str">
        <f>IF(SUMIFS(Таблица2[KO$],Таблица2[Date],B166)=0,"-",SUMIFS(Таблица2[KO$],Таблица2[Date],B166))</f>
        <v>-</v>
      </c>
      <c r="N166" s="76" t="str">
        <f>IF(SUMIFS(Таблица2[WIN$],Таблица2[Date],B166)=0,"-",SUMIFS(Таблица2[WIN$],Таблица2[Date],B166))</f>
        <v>-</v>
      </c>
      <c r="O166" s="76" t="str">
        <f t="shared" si="8"/>
        <v>-</v>
      </c>
    </row>
    <row r="167" spans="1:15" ht="11.1" customHeight="1" x14ac:dyDescent="0.25">
      <c r="A167" s="93">
        <f t="shared" si="9"/>
        <v>81</v>
      </c>
      <c r="B167" s="48"/>
      <c r="C167"/>
      <c r="D167" s="117">
        <f t="shared" si="5"/>
        <v>1900</v>
      </c>
      <c r="E167" s="94" t="str">
        <f>IF(COUNTIFS(Таблица2[Date],B167)+SUMIFS(Таблица2[R],Таблица2[Date],B167)=0,"",COUNTIFS(Таблица2[Date],B167)+SUMIFS(Таблица2[R],Таблица2[Date],B167))</f>
        <v/>
      </c>
      <c r="F167" s="76" t="str">
        <f>IF(SUMIFS(Таблица2[B$],Таблица2[Date],B167)=0,"-",SUMIFS(Таблица2[B$],Таблица2[Date],B167))</f>
        <v>-</v>
      </c>
      <c r="G167" s="76" t="str">
        <f t="shared" si="6"/>
        <v>-</v>
      </c>
      <c r="H167" s="77" t="str">
        <f>IFERROR(AVERAGEIFS(Таблица2[AFS],Таблица2[Date],B167)+(AVERAGEIFS(Таблица2[AFS],Таблица2[Date],B167)*0.2),"-")</f>
        <v>-</v>
      </c>
      <c r="I167" s="77" t="str">
        <f t="shared" si="7"/>
        <v>-</v>
      </c>
      <c r="J167" s="77" t="str">
        <f>IFERROR(COUNTIFS(Таблица2[Date],B167,Таблица2[WIN$],"&gt;0")/E167*100,"-")</f>
        <v>-</v>
      </c>
      <c r="K167" s="77" t="str">
        <f>IF(IFERROR((COUNTIFS(Таблица2[Date],B167,Таблица2[K],"K")+SUMIFS(Таблица2[R],#REF!,B167,Таблица2[K],"K"))/E167*100,"-")=0,"-",IFERROR((COUNTIFS(Таблица2[Date],B167,Таблица2[K],"K")+SUMIFS(Таблица2[R],Таблица2[Date],B167,Таблица2[K],"K"))/E167*100,"-"))</f>
        <v>-</v>
      </c>
      <c r="L167" s="77" t="str">
        <f>IF(IFERROR((COUNTIFS(Таблица2[Date],B167,Таблица2[T],"t")+SUMIFS(Таблица2[R],Таблица2[Date],B167,Таблица2[T],"t"))/E167*100,"-")=0,"-",IFERROR((COUNTIFS(Таблица2[Date],B167,Таблица2[T],"t")+SUMIFS(Таблица2[R],Таблица2[Date],B167,Таблица2[T],"t"))/E167*100,"-"))</f>
        <v>-</v>
      </c>
      <c r="M167" s="76" t="str">
        <f>IF(SUMIFS(Таблица2[KO$],Таблица2[Date],B167)=0,"-",SUMIFS(Таблица2[KO$],Таблица2[Date],B167))</f>
        <v>-</v>
      </c>
      <c r="N167" s="76" t="str">
        <f>IF(SUMIFS(Таблица2[WIN$],Таблица2[Date],B167)=0,"-",SUMIFS(Таблица2[WIN$],Таблица2[Date],B167))</f>
        <v>-</v>
      </c>
      <c r="O167" s="76" t="str">
        <f t="shared" si="8"/>
        <v>-</v>
      </c>
    </row>
    <row r="168" spans="1:15" ht="11.1" customHeight="1" x14ac:dyDescent="0.25">
      <c r="A168" s="93">
        <f t="shared" si="9"/>
        <v>82</v>
      </c>
      <c r="B168" s="48"/>
      <c r="C168"/>
      <c r="D168" s="117">
        <f t="shared" si="5"/>
        <v>1900</v>
      </c>
      <c r="E168" s="94" t="str">
        <f>IF(COUNTIFS(Таблица2[Date],B168)+SUMIFS(Таблица2[R],Таблица2[Date],B168)=0,"",COUNTIFS(Таблица2[Date],B168)+SUMIFS(Таблица2[R],Таблица2[Date],B168))</f>
        <v/>
      </c>
      <c r="F168" s="76" t="str">
        <f>IF(SUMIFS(Таблица2[B$],Таблица2[Date],B168)=0,"-",SUMIFS(Таблица2[B$],Таблица2[Date],B168))</f>
        <v>-</v>
      </c>
      <c r="G168" s="76" t="str">
        <f t="shared" si="6"/>
        <v>-</v>
      </c>
      <c r="H168" s="77" t="str">
        <f>IFERROR(AVERAGEIFS(Таблица2[AFS],Таблица2[Date],B168)+(AVERAGEIFS(Таблица2[AFS],Таблица2[Date],B168)*0.2),"-")</f>
        <v>-</v>
      </c>
      <c r="I168" s="77" t="str">
        <f t="shared" si="7"/>
        <v>-</v>
      </c>
      <c r="J168" s="77" t="str">
        <f>IFERROR(COUNTIFS(Таблица2[Date],B168,Таблица2[WIN$],"&gt;0")/E168*100,"-")</f>
        <v>-</v>
      </c>
      <c r="K168" s="77" t="str">
        <f>IF(IFERROR((COUNTIFS(Таблица2[Date],B168,Таблица2[K],"K")+SUMIFS(Таблица2[R],#REF!,B168,Таблица2[K],"K"))/E168*100,"-")=0,"-",IFERROR((COUNTIFS(Таблица2[Date],B168,Таблица2[K],"K")+SUMIFS(Таблица2[R],Таблица2[Date],B168,Таблица2[K],"K"))/E168*100,"-"))</f>
        <v>-</v>
      </c>
      <c r="L168" s="77" t="str">
        <f>IF(IFERROR((COUNTIFS(Таблица2[Date],B168,Таблица2[T],"t")+SUMIFS(Таблица2[R],Таблица2[Date],B168,Таблица2[T],"t"))/E168*100,"-")=0,"-",IFERROR((COUNTIFS(Таблица2[Date],B168,Таблица2[T],"t")+SUMIFS(Таблица2[R],Таблица2[Date],B168,Таблица2[T],"t"))/E168*100,"-"))</f>
        <v>-</v>
      </c>
      <c r="M168" s="76" t="str">
        <f>IF(SUMIFS(Таблица2[KO$],Таблица2[Date],B168)=0,"-",SUMIFS(Таблица2[KO$],Таблица2[Date],B168))</f>
        <v>-</v>
      </c>
      <c r="N168" s="76" t="str">
        <f>IF(SUMIFS(Таблица2[WIN$],Таблица2[Date],B168)=0,"-",SUMIFS(Таблица2[WIN$],Таблица2[Date],B168))</f>
        <v>-</v>
      </c>
      <c r="O168" s="76" t="str">
        <f t="shared" si="8"/>
        <v>-</v>
      </c>
    </row>
    <row r="169" spans="1:15" ht="11.1" customHeight="1" x14ac:dyDescent="0.25">
      <c r="A169" s="93">
        <f t="shared" si="9"/>
        <v>83</v>
      </c>
      <c r="B169" s="48"/>
      <c r="C169"/>
      <c r="D169" s="117">
        <f t="shared" si="5"/>
        <v>1900</v>
      </c>
      <c r="E169" s="94" t="str">
        <f>IF(COUNTIFS(Таблица2[Date],B169)+SUMIFS(Таблица2[R],Таблица2[Date],B169)=0,"",COUNTIFS(Таблица2[Date],B169)+SUMIFS(Таблица2[R],Таблица2[Date],B169))</f>
        <v/>
      </c>
      <c r="F169" s="76" t="str">
        <f>IF(SUMIFS(Таблица2[B$],Таблица2[Date],B169)=0,"-",SUMIFS(Таблица2[B$],Таблица2[Date],B169))</f>
        <v>-</v>
      </c>
      <c r="G169" s="76" t="str">
        <f t="shared" si="6"/>
        <v>-</v>
      </c>
      <c r="H169" s="77" t="str">
        <f>IFERROR(AVERAGEIFS(Таблица2[AFS],Таблица2[Date],B169)+(AVERAGEIFS(Таблица2[AFS],Таблица2[Date],B169)*0.2),"-")</f>
        <v>-</v>
      </c>
      <c r="I169" s="77" t="str">
        <f t="shared" si="7"/>
        <v>-</v>
      </c>
      <c r="J169" s="77" t="str">
        <f>IFERROR(COUNTIFS(Таблица2[Date],B169,Таблица2[WIN$],"&gt;0")/E169*100,"-")</f>
        <v>-</v>
      </c>
      <c r="K169" s="77" t="str">
        <f>IF(IFERROR((COUNTIFS(Таблица2[Date],B169,Таблица2[K],"K")+SUMIFS(Таблица2[R],#REF!,B169,Таблица2[K],"K"))/E169*100,"-")=0,"-",IFERROR((COUNTIFS(Таблица2[Date],B169,Таблица2[K],"K")+SUMIFS(Таблица2[R],Таблица2[Date],B169,Таблица2[K],"K"))/E169*100,"-"))</f>
        <v>-</v>
      </c>
      <c r="L169" s="77" t="str">
        <f>IF(IFERROR((COUNTIFS(Таблица2[Date],B169,Таблица2[T],"t")+SUMIFS(Таблица2[R],Таблица2[Date],B169,Таблица2[T],"t"))/E169*100,"-")=0,"-",IFERROR((COUNTIFS(Таблица2[Date],B169,Таблица2[T],"t")+SUMIFS(Таблица2[R],Таблица2[Date],B169,Таблица2[T],"t"))/E169*100,"-"))</f>
        <v>-</v>
      </c>
      <c r="M169" s="76" t="str">
        <f>IF(SUMIFS(Таблица2[KO$],Таблица2[Date],B169)=0,"-",SUMIFS(Таблица2[KO$],Таблица2[Date],B169))</f>
        <v>-</v>
      </c>
      <c r="N169" s="76" t="str">
        <f>IF(SUMIFS(Таблица2[WIN$],Таблица2[Date],B169)=0,"-",SUMIFS(Таблица2[WIN$],Таблица2[Date],B169))</f>
        <v>-</v>
      </c>
      <c r="O169" s="76" t="str">
        <f t="shared" si="8"/>
        <v>-</v>
      </c>
    </row>
    <row r="170" spans="1:15" ht="11.1" customHeight="1" x14ac:dyDescent="0.25">
      <c r="A170" s="93">
        <f t="shared" si="9"/>
        <v>84</v>
      </c>
      <c r="B170" s="48"/>
      <c r="C170"/>
      <c r="D170" s="117">
        <f t="shared" si="5"/>
        <v>1900</v>
      </c>
      <c r="E170" s="94" t="str">
        <f>IF(COUNTIFS(Таблица2[Date],B170)+SUMIFS(Таблица2[R],Таблица2[Date],B170)=0,"",COUNTIFS(Таблица2[Date],B170)+SUMIFS(Таблица2[R],Таблица2[Date],B170))</f>
        <v/>
      </c>
      <c r="F170" s="76" t="str">
        <f>IF(SUMIFS(Таблица2[B$],Таблица2[Date],B170)=0,"-",SUMIFS(Таблица2[B$],Таблица2[Date],B170))</f>
        <v>-</v>
      </c>
      <c r="G170" s="76" t="str">
        <f t="shared" si="6"/>
        <v>-</v>
      </c>
      <c r="H170" s="77" t="str">
        <f>IFERROR(AVERAGEIFS(Таблица2[AFS],Таблица2[Date],B170)+(AVERAGEIFS(Таблица2[AFS],Таблица2[Date],B170)*0.2),"-")</f>
        <v>-</v>
      </c>
      <c r="I170" s="77" t="str">
        <f t="shared" si="7"/>
        <v>-</v>
      </c>
      <c r="J170" s="77" t="str">
        <f>IFERROR(COUNTIFS(Таблица2[Date],B170,Таблица2[WIN$],"&gt;0")/E170*100,"-")</f>
        <v>-</v>
      </c>
      <c r="K170" s="77" t="str">
        <f>IF(IFERROR((COUNTIFS(Таблица2[Date],B170,Таблица2[K],"K")+SUMIFS(Таблица2[R],#REF!,B170,Таблица2[K],"K"))/E170*100,"-")=0,"-",IFERROR((COUNTIFS(Таблица2[Date],B170,Таблица2[K],"K")+SUMIFS(Таблица2[R],Таблица2[Date],B170,Таблица2[K],"K"))/E170*100,"-"))</f>
        <v>-</v>
      </c>
      <c r="L170" s="77" t="str">
        <f>IF(IFERROR((COUNTIFS(Таблица2[Date],B170,Таблица2[T],"t")+SUMIFS(Таблица2[R],Таблица2[Date],B170,Таблица2[T],"t"))/E170*100,"-")=0,"-",IFERROR((COUNTIFS(Таблица2[Date],B170,Таблица2[T],"t")+SUMIFS(Таблица2[R],Таблица2[Date],B170,Таблица2[T],"t"))/E170*100,"-"))</f>
        <v>-</v>
      </c>
      <c r="M170" s="76" t="str">
        <f>IF(SUMIFS(Таблица2[KO$],Таблица2[Date],B170)=0,"-",SUMIFS(Таблица2[KO$],Таблица2[Date],B170))</f>
        <v>-</v>
      </c>
      <c r="N170" s="76" t="str">
        <f>IF(SUMIFS(Таблица2[WIN$],Таблица2[Date],B170)=0,"-",SUMIFS(Таблица2[WIN$],Таблица2[Date],B170))</f>
        <v>-</v>
      </c>
      <c r="O170" s="76" t="str">
        <f t="shared" si="8"/>
        <v>-</v>
      </c>
    </row>
    <row r="171" spans="1:15" ht="11.1" customHeight="1" x14ac:dyDescent="0.25">
      <c r="A171" s="93">
        <f t="shared" si="9"/>
        <v>85</v>
      </c>
      <c r="B171" s="48"/>
      <c r="C171"/>
      <c r="D171" s="117">
        <f t="shared" si="5"/>
        <v>1900</v>
      </c>
      <c r="E171" s="94" t="str">
        <f>IF(COUNTIFS(Таблица2[Date],B171)+SUMIFS(Таблица2[R],Таблица2[Date],B171)=0,"",COUNTIFS(Таблица2[Date],B171)+SUMIFS(Таблица2[R],Таблица2[Date],B171))</f>
        <v/>
      </c>
      <c r="F171" s="76" t="str">
        <f>IF(SUMIFS(Таблица2[B$],Таблица2[Date],B171)=0,"-",SUMIFS(Таблица2[B$],Таблица2[Date],B171))</f>
        <v>-</v>
      </c>
      <c r="G171" s="76" t="str">
        <f t="shared" si="6"/>
        <v>-</v>
      </c>
      <c r="H171" s="77" t="str">
        <f>IFERROR(AVERAGEIFS(Таблица2[AFS],Таблица2[Date],B171)+(AVERAGEIFS(Таблица2[AFS],Таблица2[Date],B171)*0.2),"-")</f>
        <v>-</v>
      </c>
      <c r="I171" s="77" t="str">
        <f t="shared" si="7"/>
        <v>-</v>
      </c>
      <c r="J171" s="77" t="str">
        <f>IFERROR(COUNTIFS(Таблица2[Date],B171,Таблица2[WIN$],"&gt;0")/E171*100,"-")</f>
        <v>-</v>
      </c>
      <c r="K171" s="77" t="str">
        <f>IF(IFERROR((COUNTIFS(Таблица2[Date],B171,Таблица2[K],"K")+SUMIFS(Таблица2[R],#REF!,B171,Таблица2[K],"K"))/E171*100,"-")=0,"-",IFERROR((COUNTIFS(Таблица2[Date],B171,Таблица2[K],"K")+SUMIFS(Таблица2[R],Таблица2[Date],B171,Таблица2[K],"K"))/E171*100,"-"))</f>
        <v>-</v>
      </c>
      <c r="L171" s="77" t="str">
        <f>IF(IFERROR((COUNTIFS(Таблица2[Date],B171,Таблица2[T],"t")+SUMIFS(Таблица2[R],Таблица2[Date],B171,Таблица2[T],"t"))/E171*100,"-")=0,"-",IFERROR((COUNTIFS(Таблица2[Date],B171,Таблица2[T],"t")+SUMIFS(Таблица2[R],Таблица2[Date],B171,Таблица2[T],"t"))/E171*100,"-"))</f>
        <v>-</v>
      </c>
      <c r="M171" s="76" t="str">
        <f>IF(SUMIFS(Таблица2[KO$],Таблица2[Date],B171)=0,"-",SUMIFS(Таблица2[KO$],Таблица2[Date],B171))</f>
        <v>-</v>
      </c>
      <c r="N171" s="76" t="str">
        <f>IF(SUMIFS(Таблица2[WIN$],Таблица2[Date],B171)=0,"-",SUMIFS(Таблица2[WIN$],Таблица2[Date],B171))</f>
        <v>-</v>
      </c>
      <c r="O171" s="76" t="str">
        <f t="shared" si="8"/>
        <v>-</v>
      </c>
    </row>
    <row r="172" spans="1:15" ht="11.1" customHeight="1" x14ac:dyDescent="0.25">
      <c r="A172" s="93">
        <f t="shared" si="9"/>
        <v>86</v>
      </c>
      <c r="B172" s="48"/>
      <c r="C172"/>
      <c r="D172" s="117">
        <f t="shared" si="5"/>
        <v>1900</v>
      </c>
      <c r="E172" s="94" t="str">
        <f>IF(COUNTIFS(Таблица2[Date],B172)+SUMIFS(Таблица2[R],Таблица2[Date],B172)=0,"",COUNTIFS(Таблица2[Date],B172)+SUMIFS(Таблица2[R],Таблица2[Date],B172))</f>
        <v/>
      </c>
      <c r="F172" s="76" t="str">
        <f>IF(SUMIFS(Таблица2[B$],Таблица2[Date],B172)=0,"-",SUMIFS(Таблица2[B$],Таблица2[Date],B172))</f>
        <v>-</v>
      </c>
      <c r="G172" s="76" t="str">
        <f t="shared" si="6"/>
        <v>-</v>
      </c>
      <c r="H172" s="77" t="str">
        <f>IFERROR(AVERAGEIFS(Таблица2[AFS],Таблица2[Date],B172)+(AVERAGEIFS(Таблица2[AFS],Таблица2[Date],B172)*0.2),"-")</f>
        <v>-</v>
      </c>
      <c r="I172" s="77" t="str">
        <f t="shared" si="7"/>
        <v>-</v>
      </c>
      <c r="J172" s="77" t="str">
        <f>IFERROR(COUNTIFS(Таблица2[Date],B172,Таблица2[WIN$],"&gt;0")/E172*100,"-")</f>
        <v>-</v>
      </c>
      <c r="K172" s="77" t="str">
        <f>IF(IFERROR((COUNTIFS(Таблица2[Date],B172,Таблица2[K],"K")+SUMIFS(Таблица2[R],#REF!,B172,Таблица2[K],"K"))/E172*100,"-")=0,"-",IFERROR((COUNTIFS(Таблица2[Date],B172,Таблица2[K],"K")+SUMIFS(Таблица2[R],Таблица2[Date],B172,Таблица2[K],"K"))/E172*100,"-"))</f>
        <v>-</v>
      </c>
      <c r="L172" s="77" t="str">
        <f>IF(IFERROR((COUNTIFS(Таблица2[Date],B172,Таблица2[T],"t")+SUMIFS(Таблица2[R],Таблица2[Date],B172,Таблица2[T],"t"))/E172*100,"-")=0,"-",IFERROR((COUNTIFS(Таблица2[Date],B172,Таблица2[T],"t")+SUMIFS(Таблица2[R],Таблица2[Date],B172,Таблица2[T],"t"))/E172*100,"-"))</f>
        <v>-</v>
      </c>
      <c r="M172" s="76" t="str">
        <f>IF(SUMIFS(Таблица2[KO$],Таблица2[Date],B172)=0,"-",SUMIFS(Таблица2[KO$],Таблица2[Date],B172))</f>
        <v>-</v>
      </c>
      <c r="N172" s="76" t="str">
        <f>IF(SUMIFS(Таблица2[WIN$],Таблица2[Date],B172)=0,"-",SUMIFS(Таблица2[WIN$],Таблица2[Date],B172))</f>
        <v>-</v>
      </c>
      <c r="O172" s="76" t="str">
        <f t="shared" si="8"/>
        <v>-</v>
      </c>
    </row>
    <row r="173" spans="1:15" ht="11.1" customHeight="1" x14ac:dyDescent="0.25">
      <c r="A173" s="93">
        <f t="shared" si="9"/>
        <v>87</v>
      </c>
      <c r="B173" s="48"/>
      <c r="C173"/>
      <c r="D173" s="117">
        <f t="shared" si="5"/>
        <v>1900</v>
      </c>
      <c r="E173" s="94" t="str">
        <f>IF(COUNTIFS(Таблица2[Date],B173)+SUMIFS(Таблица2[R],Таблица2[Date],B173)=0,"",COUNTIFS(Таблица2[Date],B173)+SUMIFS(Таблица2[R],Таблица2[Date],B173))</f>
        <v/>
      </c>
      <c r="F173" s="76" t="str">
        <f>IF(SUMIFS(Таблица2[B$],Таблица2[Date],B173)=0,"-",SUMIFS(Таблица2[B$],Таблица2[Date],B173))</f>
        <v>-</v>
      </c>
      <c r="G173" s="76" t="str">
        <f t="shared" si="6"/>
        <v>-</v>
      </c>
      <c r="H173" s="77" t="str">
        <f>IFERROR(AVERAGEIFS(Таблица2[AFS],Таблица2[Date],B173)+(AVERAGEIFS(Таблица2[AFS],Таблица2[Date],B173)*0.2),"-")</f>
        <v>-</v>
      </c>
      <c r="I173" s="77" t="str">
        <f t="shared" si="7"/>
        <v>-</v>
      </c>
      <c r="J173" s="77" t="str">
        <f>IFERROR(COUNTIFS(Таблица2[Date],B173,Таблица2[WIN$],"&gt;0")/E173*100,"-")</f>
        <v>-</v>
      </c>
      <c r="K173" s="77" t="str">
        <f>IF(IFERROR((COUNTIFS(Таблица2[Date],B173,Таблица2[K],"K")+SUMIFS(Таблица2[R],#REF!,B173,Таблица2[K],"K"))/E173*100,"-")=0,"-",IFERROR((COUNTIFS(Таблица2[Date],B173,Таблица2[K],"K")+SUMIFS(Таблица2[R],Таблица2[Date],B173,Таблица2[K],"K"))/E173*100,"-"))</f>
        <v>-</v>
      </c>
      <c r="L173" s="77" t="str">
        <f>IF(IFERROR((COUNTIFS(Таблица2[Date],B173,Таблица2[T],"t")+SUMIFS(Таблица2[R],Таблица2[Date],B173,Таблица2[T],"t"))/E173*100,"-")=0,"-",IFERROR((COUNTIFS(Таблица2[Date],B173,Таблица2[T],"t")+SUMIFS(Таблица2[R],Таблица2[Date],B173,Таблица2[T],"t"))/E173*100,"-"))</f>
        <v>-</v>
      </c>
      <c r="M173" s="76" t="str">
        <f>IF(SUMIFS(Таблица2[KO$],Таблица2[Date],B173)=0,"-",SUMIFS(Таблица2[KO$],Таблица2[Date],B173))</f>
        <v>-</v>
      </c>
      <c r="N173" s="76" t="str">
        <f>IF(SUMIFS(Таблица2[WIN$],Таблица2[Date],B173)=0,"-",SUMIFS(Таблица2[WIN$],Таблица2[Date],B173))</f>
        <v>-</v>
      </c>
      <c r="O173" s="76" t="str">
        <f t="shared" si="8"/>
        <v>-</v>
      </c>
    </row>
    <row r="174" spans="1:15" ht="11.1" customHeight="1" x14ac:dyDescent="0.25">
      <c r="A174" s="93">
        <f t="shared" si="9"/>
        <v>88</v>
      </c>
      <c r="B174" s="48"/>
      <c r="C174"/>
      <c r="D174" s="117">
        <f t="shared" si="5"/>
        <v>1900</v>
      </c>
      <c r="E174" s="94" t="str">
        <f>IF(COUNTIFS(Таблица2[Date],B174)+SUMIFS(Таблица2[R],Таблица2[Date],B174)=0,"",COUNTIFS(Таблица2[Date],B174)+SUMIFS(Таблица2[R],Таблица2[Date],B174))</f>
        <v/>
      </c>
      <c r="F174" s="76" t="str">
        <f>IF(SUMIFS(Таблица2[B$],Таблица2[Date],B174)=0,"-",SUMIFS(Таблица2[B$],Таблица2[Date],B174))</f>
        <v>-</v>
      </c>
      <c r="G174" s="76" t="str">
        <f t="shared" si="6"/>
        <v>-</v>
      </c>
      <c r="H174" s="77" t="str">
        <f>IFERROR(AVERAGEIFS(Таблица2[AFS],Таблица2[Date],B174)+(AVERAGEIFS(Таблица2[AFS],Таблица2[Date],B174)*0.2),"-")</f>
        <v>-</v>
      </c>
      <c r="I174" s="77" t="str">
        <f t="shared" si="7"/>
        <v>-</v>
      </c>
      <c r="J174" s="77" t="str">
        <f>IFERROR(COUNTIFS(Таблица2[Date],B174,Таблица2[WIN$],"&gt;0")/E174*100,"-")</f>
        <v>-</v>
      </c>
      <c r="K174" s="77" t="str">
        <f>IF(IFERROR((COUNTIFS(Таблица2[Date],B174,Таблица2[K],"K")+SUMIFS(Таблица2[R],#REF!,B174,Таблица2[K],"K"))/E174*100,"-")=0,"-",IFERROR((COUNTIFS(Таблица2[Date],B174,Таблица2[K],"K")+SUMIFS(Таблица2[R],Таблица2[Date],B174,Таблица2[K],"K"))/E174*100,"-"))</f>
        <v>-</v>
      </c>
      <c r="L174" s="77" t="str">
        <f>IF(IFERROR((COUNTIFS(Таблица2[Date],B174,Таблица2[T],"t")+SUMIFS(Таблица2[R],Таблица2[Date],B174,Таблица2[T],"t"))/E174*100,"-")=0,"-",IFERROR((COUNTIFS(Таблица2[Date],B174,Таблица2[T],"t")+SUMIFS(Таблица2[R],Таблица2[Date],B174,Таблица2[T],"t"))/E174*100,"-"))</f>
        <v>-</v>
      </c>
      <c r="M174" s="76" t="str">
        <f>IF(SUMIFS(Таблица2[KO$],Таблица2[Date],B174)=0,"-",SUMIFS(Таблица2[KO$],Таблица2[Date],B174))</f>
        <v>-</v>
      </c>
      <c r="N174" s="76" t="str">
        <f>IF(SUMIFS(Таблица2[WIN$],Таблица2[Date],B174)=0,"-",SUMIFS(Таблица2[WIN$],Таблица2[Date],B174))</f>
        <v>-</v>
      </c>
      <c r="O174" s="76" t="str">
        <f t="shared" si="8"/>
        <v>-</v>
      </c>
    </row>
    <row r="175" spans="1:15" ht="11.1" customHeight="1" x14ac:dyDescent="0.25">
      <c r="A175" s="93">
        <f t="shared" si="9"/>
        <v>89</v>
      </c>
      <c r="B175" s="48"/>
      <c r="C175"/>
      <c r="D175" s="117">
        <f t="shared" si="5"/>
        <v>1900</v>
      </c>
      <c r="E175" s="94" t="str">
        <f>IF(COUNTIFS(Таблица2[Date],B175)+SUMIFS(Таблица2[R],Таблица2[Date],B175)=0,"",COUNTIFS(Таблица2[Date],B175)+SUMIFS(Таблица2[R],Таблица2[Date],B175))</f>
        <v/>
      </c>
      <c r="F175" s="76" t="str">
        <f>IF(SUMIFS(Таблица2[B$],Таблица2[Date],B175)=0,"-",SUMIFS(Таблица2[B$],Таблица2[Date],B175))</f>
        <v>-</v>
      </c>
      <c r="G175" s="76" t="str">
        <f t="shared" si="6"/>
        <v>-</v>
      </c>
      <c r="H175" s="77" t="str">
        <f>IFERROR(AVERAGEIFS(Таблица2[AFS],Таблица2[Date],B175)+(AVERAGEIFS(Таблица2[AFS],Таблица2[Date],B175)*0.2),"-")</f>
        <v>-</v>
      </c>
      <c r="I175" s="77" t="str">
        <f t="shared" si="7"/>
        <v>-</v>
      </c>
      <c r="J175" s="77" t="str">
        <f>IFERROR(COUNTIFS(Таблица2[Date],B175,Таблица2[WIN$],"&gt;0")/E175*100,"-")</f>
        <v>-</v>
      </c>
      <c r="K175" s="77" t="str">
        <f>IF(IFERROR((COUNTIFS(Таблица2[Date],B175,Таблица2[K],"K")+SUMIFS(Таблица2[R],#REF!,B175,Таблица2[K],"K"))/E175*100,"-")=0,"-",IFERROR((COUNTIFS(Таблица2[Date],B175,Таблица2[K],"K")+SUMIFS(Таблица2[R],Таблица2[Date],B175,Таблица2[K],"K"))/E175*100,"-"))</f>
        <v>-</v>
      </c>
      <c r="L175" s="77" t="str">
        <f>IF(IFERROR((COUNTIFS(Таблица2[Date],B175,Таблица2[T],"t")+SUMIFS(Таблица2[R],Таблица2[Date],B175,Таблица2[T],"t"))/E175*100,"-")=0,"-",IFERROR((COUNTIFS(Таблица2[Date],B175,Таблица2[T],"t")+SUMIFS(Таблица2[R],Таблица2[Date],B175,Таблица2[T],"t"))/E175*100,"-"))</f>
        <v>-</v>
      </c>
      <c r="M175" s="76" t="str">
        <f>IF(SUMIFS(Таблица2[KO$],Таблица2[Date],B175)=0,"-",SUMIFS(Таблица2[KO$],Таблица2[Date],B175))</f>
        <v>-</v>
      </c>
      <c r="N175" s="76" t="str">
        <f>IF(SUMIFS(Таблица2[WIN$],Таблица2[Date],B175)=0,"-",SUMIFS(Таблица2[WIN$],Таблица2[Date],B175))</f>
        <v>-</v>
      </c>
      <c r="O175" s="76" t="str">
        <f t="shared" si="8"/>
        <v>-</v>
      </c>
    </row>
    <row r="176" spans="1:15" ht="11.1" customHeight="1" x14ac:dyDescent="0.25">
      <c r="A176" s="93">
        <f t="shared" si="9"/>
        <v>90</v>
      </c>
      <c r="B176" s="48"/>
      <c r="C176"/>
      <c r="D176" s="117">
        <f t="shared" si="5"/>
        <v>1900</v>
      </c>
      <c r="E176" s="94" t="str">
        <f>IF(COUNTIFS(Таблица2[Date],B176)+SUMIFS(Таблица2[R],Таблица2[Date],B176)=0,"",COUNTIFS(Таблица2[Date],B176)+SUMIFS(Таблица2[R],Таблица2[Date],B176))</f>
        <v/>
      </c>
      <c r="F176" s="76" t="str">
        <f>IF(SUMIFS(Таблица2[B$],Таблица2[Date],B176)=0,"-",SUMIFS(Таблица2[B$],Таблица2[Date],B176))</f>
        <v>-</v>
      </c>
      <c r="G176" s="76" t="str">
        <f t="shared" si="6"/>
        <v>-</v>
      </c>
      <c r="H176" s="77" t="str">
        <f>IFERROR(AVERAGEIFS(Таблица2[AFS],Таблица2[Date],B176)+(AVERAGEIFS(Таблица2[AFS],Таблица2[Date],B176)*0.2),"-")</f>
        <v>-</v>
      </c>
      <c r="I176" s="77" t="str">
        <f t="shared" si="7"/>
        <v>-</v>
      </c>
      <c r="J176" s="77" t="str">
        <f>IFERROR(COUNTIFS(Таблица2[Date],B176,Таблица2[WIN$],"&gt;0")/E176*100,"-")</f>
        <v>-</v>
      </c>
      <c r="K176" s="77" t="str">
        <f>IF(IFERROR((COUNTIFS(Таблица2[Date],B176,Таблица2[K],"K")+SUMIFS(Таблица2[R],#REF!,B176,Таблица2[K],"K"))/E176*100,"-")=0,"-",IFERROR((COUNTIFS(Таблица2[Date],B176,Таблица2[K],"K")+SUMIFS(Таблица2[R],Таблица2[Date],B176,Таблица2[K],"K"))/E176*100,"-"))</f>
        <v>-</v>
      </c>
      <c r="L176" s="77" t="str">
        <f>IF(IFERROR((COUNTIFS(Таблица2[Date],B176,Таблица2[T],"t")+SUMIFS(Таблица2[R],Таблица2[Date],B176,Таблица2[T],"t"))/E176*100,"-")=0,"-",IFERROR((COUNTIFS(Таблица2[Date],B176,Таблица2[T],"t")+SUMIFS(Таблица2[R],Таблица2[Date],B176,Таблица2[T],"t"))/E176*100,"-"))</f>
        <v>-</v>
      </c>
      <c r="M176" s="76" t="str">
        <f>IF(SUMIFS(Таблица2[KO$],Таблица2[Date],B176)=0,"-",SUMIFS(Таблица2[KO$],Таблица2[Date],B176))</f>
        <v>-</v>
      </c>
      <c r="N176" s="76" t="str">
        <f>IF(SUMIFS(Таблица2[WIN$],Таблица2[Date],B176)=0,"-",SUMIFS(Таблица2[WIN$],Таблица2[Date],B176))</f>
        <v>-</v>
      </c>
      <c r="O176" s="76" t="str">
        <f t="shared" si="8"/>
        <v>-</v>
      </c>
    </row>
    <row r="177" spans="1:15" ht="11.1" customHeight="1" x14ac:dyDescent="0.25">
      <c r="A177" s="93">
        <f t="shared" si="9"/>
        <v>91</v>
      </c>
      <c r="B177" s="48"/>
      <c r="C177"/>
      <c r="D177" s="117">
        <f t="shared" si="5"/>
        <v>1900</v>
      </c>
      <c r="E177" s="94" t="str">
        <f>IF(COUNTIFS(Таблица2[Date],B177)+SUMIFS(Таблица2[R],Таблица2[Date],B177)=0,"",COUNTIFS(Таблица2[Date],B177)+SUMIFS(Таблица2[R],Таблица2[Date],B177))</f>
        <v/>
      </c>
      <c r="F177" s="76" t="str">
        <f>IF(SUMIFS(Таблица2[B$],Таблица2[Date],B177)=0,"-",SUMIFS(Таблица2[B$],Таблица2[Date],B177))</f>
        <v>-</v>
      </c>
      <c r="G177" s="76" t="str">
        <f t="shared" si="6"/>
        <v>-</v>
      </c>
      <c r="H177" s="77" t="str">
        <f>IFERROR(AVERAGEIFS(Таблица2[AFS],Таблица2[Date],B177)+(AVERAGEIFS(Таблица2[AFS],Таблица2[Date],B177)*0.2),"-")</f>
        <v>-</v>
      </c>
      <c r="I177" s="77" t="str">
        <f t="shared" si="7"/>
        <v>-</v>
      </c>
      <c r="J177" s="77" t="str">
        <f>IFERROR(COUNTIFS(Таблица2[Date],B177,Таблица2[WIN$],"&gt;0")/E177*100,"-")</f>
        <v>-</v>
      </c>
      <c r="K177" s="77" t="str">
        <f>IF(IFERROR((COUNTIFS(Таблица2[Date],B177,Таблица2[K],"K")+SUMIFS(Таблица2[R],#REF!,B177,Таблица2[K],"K"))/E177*100,"-")=0,"-",IFERROR((COUNTIFS(Таблица2[Date],B177,Таблица2[K],"K")+SUMIFS(Таблица2[R],Таблица2[Date],B177,Таблица2[K],"K"))/E177*100,"-"))</f>
        <v>-</v>
      </c>
      <c r="L177" s="77" t="str">
        <f>IF(IFERROR((COUNTIFS(Таблица2[Date],B177,Таблица2[T],"t")+SUMIFS(Таблица2[R],Таблица2[Date],B177,Таблица2[T],"t"))/E177*100,"-")=0,"-",IFERROR((COUNTIFS(Таблица2[Date],B177,Таблица2[T],"t")+SUMIFS(Таблица2[R],Таблица2[Date],B177,Таблица2[T],"t"))/E177*100,"-"))</f>
        <v>-</v>
      </c>
      <c r="M177" s="76" t="str">
        <f>IF(SUMIFS(Таблица2[KO$],Таблица2[Date],B177)=0,"-",SUMIFS(Таблица2[KO$],Таблица2[Date],B177))</f>
        <v>-</v>
      </c>
      <c r="N177" s="76" t="str">
        <f>IF(SUMIFS(Таблица2[WIN$],Таблица2[Date],B177)=0,"-",SUMIFS(Таблица2[WIN$],Таблица2[Date],B177))</f>
        <v>-</v>
      </c>
      <c r="O177" s="76" t="str">
        <f t="shared" si="8"/>
        <v>-</v>
      </c>
    </row>
    <row r="178" spans="1:15" ht="11.1" customHeight="1" x14ac:dyDescent="0.25">
      <c r="A178" s="93">
        <f t="shared" si="9"/>
        <v>92</v>
      </c>
      <c r="B178" s="48"/>
      <c r="C178"/>
      <c r="D178" s="117">
        <f t="shared" si="5"/>
        <v>1900</v>
      </c>
      <c r="E178" s="94" t="str">
        <f>IF(COUNTIFS(Таблица2[Date],B178)+SUMIFS(Таблица2[R],Таблица2[Date],B178)=0,"",COUNTIFS(Таблица2[Date],B178)+SUMIFS(Таблица2[R],Таблица2[Date],B178))</f>
        <v/>
      </c>
      <c r="F178" s="76" t="str">
        <f>IF(SUMIFS(Таблица2[B$],Таблица2[Date],B178)=0,"-",SUMIFS(Таблица2[B$],Таблица2[Date],B178))</f>
        <v>-</v>
      </c>
      <c r="G178" s="76" t="str">
        <f t="shared" si="6"/>
        <v>-</v>
      </c>
      <c r="H178" s="77" t="str">
        <f>IFERROR(AVERAGEIFS(Таблица2[AFS],Таблица2[Date],B178)+(AVERAGEIFS(Таблица2[AFS],Таблица2[Date],B178)*0.2),"-")</f>
        <v>-</v>
      </c>
      <c r="I178" s="77" t="str">
        <f t="shared" si="7"/>
        <v>-</v>
      </c>
      <c r="J178" s="77" t="str">
        <f>IFERROR(COUNTIFS(Таблица2[Date],B178,Таблица2[WIN$],"&gt;0")/E178*100,"-")</f>
        <v>-</v>
      </c>
      <c r="K178" s="77" t="str">
        <f>IF(IFERROR((COUNTIFS(Таблица2[Date],B178,Таблица2[K],"K")+SUMIFS(Таблица2[R],#REF!,B178,Таблица2[K],"K"))/E178*100,"-")=0,"-",IFERROR((COUNTIFS(Таблица2[Date],B178,Таблица2[K],"K")+SUMIFS(Таблица2[R],Таблица2[Date],B178,Таблица2[K],"K"))/E178*100,"-"))</f>
        <v>-</v>
      </c>
      <c r="L178" s="77" t="str">
        <f>IF(IFERROR((COUNTIFS(Таблица2[Date],B178,Таблица2[T],"t")+SUMIFS(Таблица2[R],Таблица2[Date],B178,Таблица2[T],"t"))/E178*100,"-")=0,"-",IFERROR((COUNTIFS(Таблица2[Date],B178,Таблица2[T],"t")+SUMIFS(Таблица2[R],Таблица2[Date],B178,Таблица2[T],"t"))/E178*100,"-"))</f>
        <v>-</v>
      </c>
      <c r="M178" s="76" t="str">
        <f>IF(SUMIFS(Таблица2[KO$],Таблица2[Date],B178)=0,"-",SUMIFS(Таблица2[KO$],Таблица2[Date],B178))</f>
        <v>-</v>
      </c>
      <c r="N178" s="76" t="str">
        <f>IF(SUMIFS(Таблица2[WIN$],Таблица2[Date],B178)=0,"-",SUMIFS(Таблица2[WIN$],Таблица2[Date],B178))</f>
        <v>-</v>
      </c>
      <c r="O178" s="76" t="str">
        <f t="shared" si="8"/>
        <v>-</v>
      </c>
    </row>
    <row r="179" spans="1:15" ht="11.1" customHeight="1" x14ac:dyDescent="0.25">
      <c r="A179" s="93">
        <f t="shared" si="9"/>
        <v>93</v>
      </c>
      <c r="B179" s="48"/>
      <c r="C179"/>
      <c r="D179" s="117">
        <f t="shared" si="5"/>
        <v>1900</v>
      </c>
      <c r="E179" s="94" t="str">
        <f>IF(COUNTIFS(Таблица2[Date],B179)+SUMIFS(Таблица2[R],Таблица2[Date],B179)=0,"",COUNTIFS(Таблица2[Date],B179)+SUMIFS(Таблица2[R],Таблица2[Date],B179))</f>
        <v/>
      </c>
      <c r="F179" s="76" t="str">
        <f>IF(SUMIFS(Таблица2[B$],Таблица2[Date],B179)=0,"-",SUMIFS(Таблица2[B$],Таблица2[Date],B179))</f>
        <v>-</v>
      </c>
      <c r="G179" s="76" t="str">
        <f t="shared" si="6"/>
        <v>-</v>
      </c>
      <c r="H179" s="77" t="str">
        <f>IFERROR(AVERAGEIFS(Таблица2[AFS],Таблица2[Date],B179)+(AVERAGEIFS(Таблица2[AFS],Таблица2[Date],B179)*0.2),"-")</f>
        <v>-</v>
      </c>
      <c r="I179" s="77" t="str">
        <f t="shared" si="7"/>
        <v>-</v>
      </c>
      <c r="J179" s="77" t="str">
        <f>IFERROR(COUNTIFS(Таблица2[Date],B179,Таблица2[WIN$],"&gt;0")/E179*100,"-")</f>
        <v>-</v>
      </c>
      <c r="K179" s="77" t="str">
        <f>IF(IFERROR((COUNTIFS(Таблица2[Date],B179,Таблица2[K],"K")+SUMIFS(Таблица2[R],#REF!,B179,Таблица2[K],"K"))/E179*100,"-")=0,"-",IFERROR((COUNTIFS(Таблица2[Date],B179,Таблица2[K],"K")+SUMIFS(Таблица2[R],Таблица2[Date],B179,Таблица2[K],"K"))/E179*100,"-"))</f>
        <v>-</v>
      </c>
      <c r="L179" s="77" t="str">
        <f>IF(IFERROR((COUNTIFS(Таблица2[Date],B179,Таблица2[T],"t")+SUMIFS(Таблица2[R],Таблица2[Date],B179,Таблица2[T],"t"))/E179*100,"-")=0,"-",IFERROR((COUNTIFS(Таблица2[Date],B179,Таблица2[T],"t")+SUMIFS(Таблица2[R],Таблица2[Date],B179,Таблица2[T],"t"))/E179*100,"-"))</f>
        <v>-</v>
      </c>
      <c r="M179" s="76" t="str">
        <f>IF(SUMIFS(Таблица2[KO$],Таблица2[Date],B179)=0,"-",SUMIFS(Таблица2[KO$],Таблица2[Date],B179))</f>
        <v>-</v>
      </c>
      <c r="N179" s="76" t="str">
        <f>IF(SUMIFS(Таблица2[WIN$],Таблица2[Date],B179)=0,"-",SUMIFS(Таблица2[WIN$],Таблица2[Date],B179))</f>
        <v>-</v>
      </c>
      <c r="O179" s="76" t="str">
        <f t="shared" si="8"/>
        <v>-</v>
      </c>
    </row>
    <row r="180" spans="1:15" ht="11.1" customHeight="1" x14ac:dyDescent="0.25">
      <c r="A180" s="93">
        <f t="shared" si="9"/>
        <v>94</v>
      </c>
      <c r="B180" s="48"/>
      <c r="C180"/>
      <c r="D180" s="117">
        <f t="shared" si="5"/>
        <v>1900</v>
      </c>
      <c r="E180" s="94" t="str">
        <f>IF(COUNTIFS(Таблица2[Date],B180)+SUMIFS(Таблица2[R],Таблица2[Date],B180)=0,"",COUNTIFS(Таблица2[Date],B180)+SUMIFS(Таблица2[R],Таблица2[Date],B180))</f>
        <v/>
      </c>
      <c r="F180" s="76" t="str">
        <f>IF(SUMIFS(Таблица2[B$],Таблица2[Date],B180)=0,"-",SUMIFS(Таблица2[B$],Таблица2[Date],B180))</f>
        <v>-</v>
      </c>
      <c r="G180" s="76" t="str">
        <f t="shared" si="6"/>
        <v>-</v>
      </c>
      <c r="H180" s="77" t="str">
        <f>IFERROR(AVERAGEIFS(Таблица2[AFS],Таблица2[Date],B180)+(AVERAGEIFS(Таблица2[AFS],Таблица2[Date],B180)*0.2),"-")</f>
        <v>-</v>
      </c>
      <c r="I180" s="77" t="str">
        <f t="shared" si="7"/>
        <v>-</v>
      </c>
      <c r="J180" s="77" t="str">
        <f>IFERROR(COUNTIFS(Таблица2[Date],B180,Таблица2[WIN$],"&gt;0")/E180*100,"-")</f>
        <v>-</v>
      </c>
      <c r="K180" s="77" t="str">
        <f>IF(IFERROR((COUNTIFS(Таблица2[Date],B180,Таблица2[K],"K")+SUMIFS(Таблица2[R],#REF!,B180,Таблица2[K],"K"))/E180*100,"-")=0,"-",IFERROR((COUNTIFS(Таблица2[Date],B180,Таблица2[K],"K")+SUMIFS(Таблица2[R],Таблица2[Date],B180,Таблица2[K],"K"))/E180*100,"-"))</f>
        <v>-</v>
      </c>
      <c r="L180" s="77" t="str">
        <f>IF(IFERROR((COUNTIFS(Таблица2[Date],B180,Таблица2[T],"t")+SUMIFS(Таблица2[R],Таблица2[Date],B180,Таблица2[T],"t"))/E180*100,"-")=0,"-",IFERROR((COUNTIFS(Таблица2[Date],B180,Таблица2[T],"t")+SUMIFS(Таблица2[R],Таблица2[Date],B180,Таблица2[T],"t"))/E180*100,"-"))</f>
        <v>-</v>
      </c>
      <c r="M180" s="76" t="str">
        <f>IF(SUMIFS(Таблица2[KO$],Таблица2[Date],B180)=0,"-",SUMIFS(Таблица2[KO$],Таблица2[Date],B180))</f>
        <v>-</v>
      </c>
      <c r="N180" s="76" t="str">
        <f>IF(SUMIFS(Таблица2[WIN$],Таблица2[Date],B180)=0,"-",SUMIFS(Таблица2[WIN$],Таблица2[Date],B180))</f>
        <v>-</v>
      </c>
      <c r="O180" s="76" t="str">
        <f t="shared" si="8"/>
        <v>-</v>
      </c>
    </row>
    <row r="181" spans="1:15" ht="11.1" customHeight="1" x14ac:dyDescent="0.25">
      <c r="A181" s="93">
        <f t="shared" si="9"/>
        <v>95</v>
      </c>
      <c r="B181" s="48"/>
      <c r="C181"/>
      <c r="D181" s="117">
        <f t="shared" si="5"/>
        <v>1900</v>
      </c>
      <c r="E181" s="94" t="str">
        <f>IF(COUNTIFS(Таблица2[Date],B181)+SUMIFS(Таблица2[R],Таблица2[Date],B181)=0,"",COUNTIFS(Таблица2[Date],B181)+SUMIFS(Таблица2[R],Таблица2[Date],B181))</f>
        <v/>
      </c>
      <c r="F181" s="76" t="str">
        <f>IF(SUMIFS(Таблица2[B$],Таблица2[Date],B181)=0,"-",SUMIFS(Таблица2[B$],Таблица2[Date],B181))</f>
        <v>-</v>
      </c>
      <c r="G181" s="76" t="str">
        <f t="shared" si="6"/>
        <v>-</v>
      </c>
      <c r="H181" s="77" t="str">
        <f>IFERROR(AVERAGEIFS(Таблица2[AFS],Таблица2[Date],B181)+(AVERAGEIFS(Таблица2[AFS],Таблица2[Date],B181)*0.2),"-")</f>
        <v>-</v>
      </c>
      <c r="I181" s="77" t="str">
        <f t="shared" si="7"/>
        <v>-</v>
      </c>
      <c r="J181" s="77" t="str">
        <f>IFERROR(COUNTIFS(Таблица2[Date],B181,Таблица2[WIN$],"&gt;0")/E181*100,"-")</f>
        <v>-</v>
      </c>
      <c r="K181" s="77" t="str">
        <f>IF(IFERROR((COUNTIFS(Таблица2[Date],B181,Таблица2[K],"K")+SUMIFS(Таблица2[R],#REF!,B181,Таблица2[K],"K"))/E181*100,"-")=0,"-",IFERROR((COUNTIFS(Таблица2[Date],B181,Таблица2[K],"K")+SUMIFS(Таблица2[R],Таблица2[Date],B181,Таблица2[K],"K"))/E181*100,"-"))</f>
        <v>-</v>
      </c>
      <c r="L181" s="77" t="str">
        <f>IF(IFERROR((COUNTIFS(Таблица2[Date],B181,Таблица2[T],"t")+SUMIFS(Таблица2[R],Таблица2[Date],B181,Таблица2[T],"t"))/E181*100,"-")=0,"-",IFERROR((COUNTIFS(Таблица2[Date],B181,Таблица2[T],"t")+SUMIFS(Таблица2[R],Таблица2[Date],B181,Таблица2[T],"t"))/E181*100,"-"))</f>
        <v>-</v>
      </c>
      <c r="M181" s="76" t="str">
        <f>IF(SUMIFS(Таблица2[KO$],Таблица2[Date],B181)=0,"-",SUMIFS(Таблица2[KO$],Таблица2[Date],B181))</f>
        <v>-</v>
      </c>
      <c r="N181" s="76" t="str">
        <f>IF(SUMIFS(Таблица2[WIN$],Таблица2[Date],B181)=0,"-",SUMIFS(Таблица2[WIN$],Таблица2[Date],B181))</f>
        <v>-</v>
      </c>
      <c r="O181" s="76" t="str">
        <f t="shared" si="8"/>
        <v>-</v>
      </c>
    </row>
    <row r="182" spans="1:15" ht="11.1" customHeight="1" x14ac:dyDescent="0.25">
      <c r="A182" s="93">
        <f t="shared" si="9"/>
        <v>96</v>
      </c>
      <c r="B182" s="48"/>
      <c r="C182"/>
      <c r="D182" s="117">
        <f t="shared" si="5"/>
        <v>1900</v>
      </c>
      <c r="E182" s="94" t="str">
        <f>IF(COUNTIFS(Таблица2[Date],B182)+SUMIFS(Таблица2[R],Таблица2[Date],B182)=0,"",COUNTIFS(Таблица2[Date],B182)+SUMIFS(Таблица2[R],Таблица2[Date],B182))</f>
        <v/>
      </c>
      <c r="F182" s="76" t="str">
        <f>IF(SUMIFS(Таблица2[B$],Таблица2[Date],B182)=0,"-",SUMIFS(Таблица2[B$],Таблица2[Date],B182))</f>
        <v>-</v>
      </c>
      <c r="G182" s="76" t="str">
        <f t="shared" si="6"/>
        <v>-</v>
      </c>
      <c r="H182" s="77" t="str">
        <f>IFERROR(AVERAGEIFS(Таблица2[AFS],Таблица2[Date],B182)+(AVERAGEIFS(Таблица2[AFS],Таблица2[Date],B182)*0.2),"-")</f>
        <v>-</v>
      </c>
      <c r="I182" s="77" t="str">
        <f t="shared" si="7"/>
        <v>-</v>
      </c>
      <c r="J182" s="77" t="str">
        <f>IFERROR(COUNTIFS(Таблица2[Date],B182,Таблица2[WIN$],"&gt;0")/E182*100,"-")</f>
        <v>-</v>
      </c>
      <c r="K182" s="77" t="str">
        <f>IF(IFERROR((COUNTIFS(Таблица2[Date],B182,Таблица2[K],"K")+SUMIFS(Таблица2[R],#REF!,B182,Таблица2[K],"K"))/E182*100,"-")=0,"-",IFERROR((COUNTIFS(Таблица2[Date],B182,Таблица2[K],"K")+SUMIFS(Таблица2[R],Таблица2[Date],B182,Таблица2[K],"K"))/E182*100,"-"))</f>
        <v>-</v>
      </c>
      <c r="L182" s="77" t="str">
        <f>IF(IFERROR((COUNTIFS(Таблица2[Date],B182,Таблица2[T],"t")+SUMIFS(Таблица2[R],Таблица2[Date],B182,Таблица2[T],"t"))/E182*100,"-")=0,"-",IFERROR((COUNTIFS(Таблица2[Date],B182,Таблица2[T],"t")+SUMIFS(Таблица2[R],Таблица2[Date],B182,Таблица2[T],"t"))/E182*100,"-"))</f>
        <v>-</v>
      </c>
      <c r="M182" s="76" t="str">
        <f>IF(SUMIFS(Таблица2[KO$],Таблица2[Date],B182)=0,"-",SUMIFS(Таблица2[KO$],Таблица2[Date],B182))</f>
        <v>-</v>
      </c>
      <c r="N182" s="76" t="str">
        <f>IF(SUMIFS(Таблица2[WIN$],Таблица2[Date],B182)=0,"-",SUMIFS(Таблица2[WIN$],Таблица2[Date],B182))</f>
        <v>-</v>
      </c>
      <c r="O182" s="76" t="str">
        <f t="shared" si="8"/>
        <v>-</v>
      </c>
    </row>
    <row r="183" spans="1:15" ht="11.1" customHeight="1" x14ac:dyDescent="0.25">
      <c r="A183" s="93">
        <f t="shared" si="9"/>
        <v>97</v>
      </c>
      <c r="B183" s="48"/>
      <c r="C183"/>
      <c r="D183" s="117">
        <f t="shared" si="5"/>
        <v>1900</v>
      </c>
      <c r="E183" s="94" t="str">
        <f>IF(COUNTIFS(Таблица2[Date],B183)+SUMIFS(Таблица2[R],Таблица2[Date],B183)=0,"",COUNTIFS(Таблица2[Date],B183)+SUMIFS(Таблица2[R],Таблица2[Date],B183))</f>
        <v/>
      </c>
      <c r="F183" s="76" t="str">
        <f>IF(SUMIFS(Таблица2[B$],Таблица2[Date],B183)=0,"-",SUMIFS(Таблица2[B$],Таблица2[Date],B183))</f>
        <v>-</v>
      </c>
      <c r="G183" s="76" t="str">
        <f t="shared" si="6"/>
        <v>-</v>
      </c>
      <c r="H183" s="77" t="str">
        <f>IFERROR(AVERAGEIFS(Таблица2[AFS],Таблица2[Date],B183)+(AVERAGEIFS(Таблица2[AFS],Таблица2[Date],B183)*0.2),"-")</f>
        <v>-</v>
      </c>
      <c r="I183" s="77" t="str">
        <f t="shared" si="7"/>
        <v>-</v>
      </c>
      <c r="J183" s="77" t="str">
        <f>IFERROR(COUNTIFS(Таблица2[Date],B183,Таблица2[WIN$],"&gt;0")/E183*100,"-")</f>
        <v>-</v>
      </c>
      <c r="K183" s="77" t="str">
        <f>IF(IFERROR((COUNTIFS(Таблица2[Date],B183,Таблица2[K],"K")+SUMIFS(Таблица2[R],#REF!,B183,Таблица2[K],"K"))/E183*100,"-")=0,"-",IFERROR((COUNTIFS(Таблица2[Date],B183,Таблица2[K],"K")+SUMIFS(Таблица2[R],Таблица2[Date],B183,Таблица2[K],"K"))/E183*100,"-"))</f>
        <v>-</v>
      </c>
      <c r="L183" s="77" t="str">
        <f>IF(IFERROR((COUNTIFS(Таблица2[Date],B183,Таблица2[T],"t")+SUMIFS(Таблица2[R],Таблица2[Date],B183,Таблица2[T],"t"))/E183*100,"-")=0,"-",IFERROR((COUNTIFS(Таблица2[Date],B183,Таблица2[T],"t")+SUMIFS(Таблица2[R],Таблица2[Date],B183,Таблица2[T],"t"))/E183*100,"-"))</f>
        <v>-</v>
      </c>
      <c r="M183" s="76" t="str">
        <f>IF(SUMIFS(Таблица2[KO$],Таблица2[Date],B183)=0,"-",SUMIFS(Таблица2[KO$],Таблица2[Date],B183))</f>
        <v>-</v>
      </c>
      <c r="N183" s="76" t="str">
        <f>IF(SUMIFS(Таблица2[WIN$],Таблица2[Date],B183)=0,"-",SUMIFS(Таблица2[WIN$],Таблица2[Date],B183))</f>
        <v>-</v>
      </c>
      <c r="O183" s="76" t="str">
        <f t="shared" si="8"/>
        <v>-</v>
      </c>
    </row>
    <row r="184" spans="1:15" ht="11.1" customHeight="1" x14ac:dyDescent="0.25">
      <c r="A184" s="93">
        <f t="shared" si="9"/>
        <v>98</v>
      </c>
      <c r="B184" s="48"/>
      <c r="C184"/>
      <c r="D184" s="117">
        <f t="shared" si="5"/>
        <v>1900</v>
      </c>
      <c r="E184" s="94" t="str">
        <f>IF(COUNTIFS(Таблица2[Date],B184)+SUMIFS(Таблица2[R],Таблица2[Date],B184)=0,"",COUNTIFS(Таблица2[Date],B184)+SUMIFS(Таблица2[R],Таблица2[Date],B184))</f>
        <v/>
      </c>
      <c r="F184" s="76" t="str">
        <f>IF(SUMIFS(Таблица2[B$],Таблица2[Date],B184)=0,"-",SUMIFS(Таблица2[B$],Таблица2[Date],B184))</f>
        <v>-</v>
      </c>
      <c r="G184" s="76" t="str">
        <f t="shared" si="6"/>
        <v>-</v>
      </c>
      <c r="H184" s="77" t="str">
        <f>IFERROR(AVERAGEIFS(Таблица2[AFS],Таблица2[Date],B184)+(AVERAGEIFS(Таблица2[AFS],Таблица2[Date],B184)*0.2),"-")</f>
        <v>-</v>
      </c>
      <c r="I184" s="77" t="str">
        <f t="shared" si="7"/>
        <v>-</v>
      </c>
      <c r="J184" s="77" t="str">
        <f>IFERROR(COUNTIFS(Таблица2[Date],B184,Таблица2[WIN$],"&gt;0")/E184*100,"-")</f>
        <v>-</v>
      </c>
      <c r="K184" s="77" t="str">
        <f>IF(IFERROR((COUNTIFS(Таблица2[Date],B184,Таблица2[K],"K")+SUMIFS(Таблица2[R],#REF!,B184,Таблица2[K],"K"))/E184*100,"-")=0,"-",IFERROR((COUNTIFS(Таблица2[Date],B184,Таблица2[K],"K")+SUMIFS(Таблица2[R],Таблица2[Date],B184,Таблица2[K],"K"))/E184*100,"-"))</f>
        <v>-</v>
      </c>
      <c r="L184" s="77" t="str">
        <f>IF(IFERROR((COUNTIFS(Таблица2[Date],B184,Таблица2[T],"t")+SUMIFS(Таблица2[R],Таблица2[Date],B184,Таблица2[T],"t"))/E184*100,"-")=0,"-",IFERROR((COUNTIFS(Таблица2[Date],B184,Таблица2[T],"t")+SUMIFS(Таблица2[R],Таблица2[Date],B184,Таблица2[T],"t"))/E184*100,"-"))</f>
        <v>-</v>
      </c>
      <c r="M184" s="76" t="str">
        <f>IF(SUMIFS(Таблица2[KO$],Таблица2[Date],B184)=0,"-",SUMIFS(Таблица2[KO$],Таблица2[Date],B184))</f>
        <v>-</v>
      </c>
      <c r="N184" s="76" t="str">
        <f>IF(SUMIFS(Таблица2[WIN$],Таблица2[Date],B184)=0,"-",SUMIFS(Таблица2[WIN$],Таблица2[Date],B184))</f>
        <v>-</v>
      </c>
      <c r="O184" s="76" t="str">
        <f t="shared" si="8"/>
        <v>-</v>
      </c>
    </row>
    <row r="185" spans="1:15" ht="11.1" customHeight="1" x14ac:dyDescent="0.25">
      <c r="A185" s="93">
        <f t="shared" si="9"/>
        <v>99</v>
      </c>
      <c r="B185" s="48"/>
      <c r="C185"/>
      <c r="D185" s="117">
        <f t="shared" si="5"/>
        <v>1900</v>
      </c>
      <c r="E185" s="94" t="str">
        <f>IF(COUNTIFS(Таблица2[Date],B185)+SUMIFS(Таблица2[R],Таблица2[Date],B185)=0,"",COUNTIFS(Таблица2[Date],B185)+SUMIFS(Таблица2[R],Таблица2[Date],B185))</f>
        <v/>
      </c>
      <c r="F185" s="76" t="str">
        <f>IF(SUMIFS(Таблица2[B$],Таблица2[Date],B185)=0,"-",SUMIFS(Таблица2[B$],Таблица2[Date],B185))</f>
        <v>-</v>
      </c>
      <c r="G185" s="76" t="str">
        <f t="shared" si="6"/>
        <v>-</v>
      </c>
      <c r="H185" s="77" t="str">
        <f>IFERROR(AVERAGEIFS(Таблица2[AFS],Таблица2[Date],B185)+(AVERAGEIFS(Таблица2[AFS],Таблица2[Date],B185)*0.2),"-")</f>
        <v>-</v>
      </c>
      <c r="I185" s="77" t="str">
        <f t="shared" si="7"/>
        <v>-</v>
      </c>
      <c r="J185" s="77" t="str">
        <f>IFERROR(COUNTIFS(Таблица2[Date],B185,Таблица2[WIN$],"&gt;0")/E185*100,"-")</f>
        <v>-</v>
      </c>
      <c r="K185" s="77" t="str">
        <f>IF(IFERROR((COUNTIFS(Таблица2[Date],B185,Таблица2[K],"K")+SUMIFS(Таблица2[R],#REF!,B185,Таблица2[K],"K"))/E185*100,"-")=0,"-",IFERROR((COUNTIFS(Таблица2[Date],B185,Таблица2[K],"K")+SUMIFS(Таблица2[R],Таблица2[Date],B185,Таблица2[K],"K"))/E185*100,"-"))</f>
        <v>-</v>
      </c>
      <c r="L185" s="77" t="str">
        <f>IF(IFERROR((COUNTIFS(Таблица2[Date],B185,Таблица2[T],"t")+SUMIFS(Таблица2[R],Таблица2[Date],B185,Таблица2[T],"t"))/E185*100,"-")=0,"-",IFERROR((COUNTIFS(Таблица2[Date],B185,Таблица2[T],"t")+SUMIFS(Таблица2[R],Таблица2[Date],B185,Таблица2[T],"t"))/E185*100,"-"))</f>
        <v>-</v>
      </c>
      <c r="M185" s="76" t="str">
        <f>IF(SUMIFS(Таблица2[KO$],Таблица2[Date],B185)=0,"-",SUMIFS(Таблица2[KO$],Таблица2[Date],B185))</f>
        <v>-</v>
      </c>
      <c r="N185" s="76" t="str">
        <f>IF(SUMIFS(Таблица2[WIN$],Таблица2[Date],B185)=0,"-",SUMIFS(Таблица2[WIN$],Таблица2[Date],B185))</f>
        <v>-</v>
      </c>
      <c r="O185" s="76" t="str">
        <f t="shared" si="8"/>
        <v>-</v>
      </c>
    </row>
    <row r="186" spans="1:15" ht="11.1" customHeight="1" x14ac:dyDescent="0.25">
      <c r="A186" s="93">
        <f t="shared" si="9"/>
        <v>100</v>
      </c>
      <c r="B186" s="48"/>
      <c r="C186"/>
      <c r="D186" s="117">
        <f t="shared" si="5"/>
        <v>1900</v>
      </c>
      <c r="E186" s="94" t="str">
        <f>IF(COUNTIFS(Таблица2[Date],B186)+SUMIFS(Таблица2[R],Таблица2[Date],B186)=0,"",COUNTIFS(Таблица2[Date],B186)+SUMIFS(Таблица2[R],Таблица2[Date],B186))</f>
        <v/>
      </c>
      <c r="F186" s="76" t="str">
        <f>IF(SUMIFS(Таблица2[B$],Таблица2[Date],B186)=0,"-",SUMIFS(Таблица2[B$],Таблица2[Date],B186))</f>
        <v>-</v>
      </c>
      <c r="G186" s="76" t="str">
        <f t="shared" si="6"/>
        <v>-</v>
      </c>
      <c r="H186" s="77" t="str">
        <f>IFERROR(AVERAGEIFS(Таблица2[AFS],Таблица2[Date],B186)+(AVERAGEIFS(Таблица2[AFS],Таблица2[Date],B186)*0.2),"-")</f>
        <v>-</v>
      </c>
      <c r="I186" s="77" t="str">
        <f t="shared" si="7"/>
        <v>-</v>
      </c>
      <c r="J186" s="77" t="str">
        <f>IFERROR(COUNTIFS(Таблица2[Date],B186,Таблица2[WIN$],"&gt;0")/E186*100,"-")</f>
        <v>-</v>
      </c>
      <c r="K186" s="77" t="str">
        <f>IF(IFERROR((COUNTIFS(Таблица2[Date],B186,Таблица2[K],"K")+SUMIFS(Таблица2[R],#REF!,B186,Таблица2[K],"K"))/E186*100,"-")=0,"-",IFERROR((COUNTIFS(Таблица2[Date],B186,Таблица2[K],"K")+SUMIFS(Таблица2[R],Таблица2[Date],B186,Таблица2[K],"K"))/E186*100,"-"))</f>
        <v>-</v>
      </c>
      <c r="L186" s="77" t="str">
        <f>IF(IFERROR((COUNTIFS(Таблица2[Date],B186,Таблица2[T],"t")+SUMIFS(Таблица2[R],Таблица2[Date],B186,Таблица2[T],"t"))/E186*100,"-")=0,"-",IFERROR((COUNTIFS(Таблица2[Date],B186,Таблица2[T],"t")+SUMIFS(Таблица2[R],Таблица2[Date],B186,Таблица2[T],"t"))/E186*100,"-"))</f>
        <v>-</v>
      </c>
      <c r="M186" s="76" t="str">
        <f>IF(SUMIFS(Таблица2[KO$],Таблица2[Date],B186)=0,"-",SUMIFS(Таблица2[KO$],Таблица2[Date],B186))</f>
        <v>-</v>
      </c>
      <c r="N186" s="76" t="str">
        <f>IF(SUMIFS(Таблица2[WIN$],Таблица2[Date],B186)=0,"-",SUMIFS(Таблица2[WIN$],Таблица2[Date],B186))</f>
        <v>-</v>
      </c>
      <c r="O186" s="76" t="str">
        <f t="shared" si="8"/>
        <v>-</v>
      </c>
    </row>
    <row r="187" spans="1:15" ht="11.1" customHeight="1" x14ac:dyDescent="0.25">
      <c r="A187" s="93">
        <f t="shared" si="9"/>
        <v>101</v>
      </c>
      <c r="B187" s="48"/>
      <c r="C187"/>
      <c r="D187" s="117">
        <f t="shared" si="5"/>
        <v>1900</v>
      </c>
      <c r="E187" s="94" t="str">
        <f>IF(COUNTIFS(Таблица2[Date],B187)+SUMIFS(Таблица2[R],Таблица2[Date],B187)=0,"",COUNTIFS(Таблица2[Date],B187)+SUMIFS(Таблица2[R],Таблица2[Date],B187))</f>
        <v/>
      </c>
      <c r="F187" s="76" t="str">
        <f>IF(SUMIFS(Таблица2[B$],Таблица2[Date],B187)=0,"-",SUMIFS(Таблица2[B$],Таблица2[Date],B187))</f>
        <v>-</v>
      </c>
      <c r="G187" s="76" t="str">
        <f t="shared" si="6"/>
        <v>-</v>
      </c>
      <c r="H187" s="77" t="str">
        <f>IFERROR(AVERAGEIFS(Таблица2[AFS],Таблица2[Date],B187)+(AVERAGEIFS(Таблица2[AFS],Таблица2[Date],B187)*0.2),"-")</f>
        <v>-</v>
      </c>
      <c r="I187" s="77" t="str">
        <f t="shared" si="7"/>
        <v>-</v>
      </c>
      <c r="J187" s="77" t="str">
        <f>IFERROR(COUNTIFS(Таблица2[Date],B187,Таблица2[WIN$],"&gt;0")/E187*100,"-")</f>
        <v>-</v>
      </c>
      <c r="K187" s="77" t="str">
        <f>IF(IFERROR((COUNTIFS(Таблица2[Date],B187,Таблица2[K],"K")+SUMIFS(Таблица2[R],#REF!,B187,Таблица2[K],"K"))/E187*100,"-")=0,"-",IFERROR((COUNTIFS(Таблица2[Date],B187,Таблица2[K],"K")+SUMIFS(Таблица2[R],Таблица2[Date],B187,Таблица2[K],"K"))/E187*100,"-"))</f>
        <v>-</v>
      </c>
      <c r="L187" s="77" t="str">
        <f>IF(IFERROR((COUNTIFS(Таблица2[Date],B187,Таблица2[T],"t")+SUMIFS(Таблица2[R],Таблица2[Date],B187,Таблица2[T],"t"))/E187*100,"-")=0,"-",IFERROR((COUNTIFS(Таблица2[Date],B187,Таблица2[T],"t")+SUMIFS(Таблица2[R],Таблица2[Date],B187,Таблица2[T],"t"))/E187*100,"-"))</f>
        <v>-</v>
      </c>
      <c r="M187" s="76" t="str">
        <f>IF(SUMIFS(Таблица2[KO$],Таблица2[Date],B187)=0,"-",SUMIFS(Таблица2[KO$],Таблица2[Date],B187))</f>
        <v>-</v>
      </c>
      <c r="N187" s="76" t="str">
        <f>IF(SUMIFS(Таблица2[WIN$],Таблица2[Date],B187)=0,"-",SUMIFS(Таблица2[WIN$],Таблица2[Date],B187))</f>
        <v>-</v>
      </c>
      <c r="O187" s="76" t="str">
        <f t="shared" si="8"/>
        <v>-</v>
      </c>
    </row>
    <row r="188" spans="1:15" ht="11.1" customHeight="1" x14ac:dyDescent="0.25">
      <c r="A188" s="93">
        <f t="shared" si="9"/>
        <v>102</v>
      </c>
      <c r="B188" s="48"/>
      <c r="C188"/>
      <c r="D188" s="117">
        <f t="shared" si="5"/>
        <v>1900</v>
      </c>
      <c r="E188" s="94" t="str">
        <f>IF(COUNTIFS(Таблица2[Date],B188)+SUMIFS(Таблица2[R],Таблица2[Date],B188)=0,"",COUNTIFS(Таблица2[Date],B188)+SUMIFS(Таблица2[R],Таблица2[Date],B188))</f>
        <v/>
      </c>
      <c r="F188" s="76" t="str">
        <f>IF(SUMIFS(Таблица2[B$],Таблица2[Date],B188)=0,"-",SUMIFS(Таблица2[B$],Таблица2[Date],B188))</f>
        <v>-</v>
      </c>
      <c r="G188" s="76" t="str">
        <f t="shared" si="6"/>
        <v>-</v>
      </c>
      <c r="H188" s="77" t="str">
        <f>IFERROR(AVERAGEIFS(Таблица2[AFS],Таблица2[Date],B188)+(AVERAGEIFS(Таблица2[AFS],Таблица2[Date],B188)*0.2),"-")</f>
        <v>-</v>
      </c>
      <c r="I188" s="77" t="str">
        <f t="shared" si="7"/>
        <v>-</v>
      </c>
      <c r="J188" s="77" t="str">
        <f>IFERROR(COUNTIFS(Таблица2[Date],B188,Таблица2[WIN$],"&gt;0")/E188*100,"-")</f>
        <v>-</v>
      </c>
      <c r="K188" s="77" t="str">
        <f>IF(IFERROR((COUNTIFS(Таблица2[Date],B188,Таблица2[K],"K")+SUMIFS(Таблица2[R],#REF!,B188,Таблица2[K],"K"))/E188*100,"-")=0,"-",IFERROR((COUNTIFS(Таблица2[Date],B188,Таблица2[K],"K")+SUMIFS(Таблица2[R],Таблица2[Date],B188,Таблица2[K],"K"))/E188*100,"-"))</f>
        <v>-</v>
      </c>
      <c r="L188" s="77" t="str">
        <f>IF(IFERROR((COUNTIFS(Таблица2[Date],B188,Таблица2[T],"t")+SUMIFS(Таблица2[R],Таблица2[Date],B188,Таблица2[T],"t"))/E188*100,"-")=0,"-",IFERROR((COUNTIFS(Таблица2[Date],B188,Таблица2[T],"t")+SUMIFS(Таблица2[R],Таблица2[Date],B188,Таблица2[T],"t"))/E188*100,"-"))</f>
        <v>-</v>
      </c>
      <c r="M188" s="76" t="str">
        <f>IF(SUMIFS(Таблица2[KO$],Таблица2[Date],B188)=0,"-",SUMIFS(Таблица2[KO$],Таблица2[Date],B188))</f>
        <v>-</v>
      </c>
      <c r="N188" s="76" t="str">
        <f>IF(SUMIFS(Таблица2[WIN$],Таблица2[Date],B188)=0,"-",SUMIFS(Таблица2[WIN$],Таблица2[Date],B188))</f>
        <v>-</v>
      </c>
      <c r="O188" s="76" t="str">
        <f t="shared" si="8"/>
        <v>-</v>
      </c>
    </row>
    <row r="189" spans="1:15" ht="11.1" customHeight="1" x14ac:dyDescent="0.25">
      <c r="A189" s="93">
        <f t="shared" si="9"/>
        <v>103</v>
      </c>
      <c r="B189" s="48"/>
      <c r="C189"/>
      <c r="D189" s="117">
        <f t="shared" si="5"/>
        <v>1900</v>
      </c>
      <c r="E189" s="94" t="str">
        <f>IF(COUNTIFS(Таблица2[Date],B189)+SUMIFS(Таблица2[R],Таблица2[Date],B189)=0,"",COUNTIFS(Таблица2[Date],B189)+SUMIFS(Таблица2[R],Таблица2[Date],B189))</f>
        <v/>
      </c>
      <c r="F189" s="76" t="str">
        <f>IF(SUMIFS(Таблица2[B$],Таблица2[Date],B189)=0,"-",SUMIFS(Таблица2[B$],Таблица2[Date],B189))</f>
        <v>-</v>
      </c>
      <c r="G189" s="76" t="str">
        <f t="shared" si="6"/>
        <v>-</v>
      </c>
      <c r="H189" s="77" t="str">
        <f>IFERROR(AVERAGEIFS(Таблица2[AFS],Таблица2[Date],B189)+(AVERAGEIFS(Таблица2[AFS],Таблица2[Date],B189)*0.2),"-")</f>
        <v>-</v>
      </c>
      <c r="I189" s="77" t="str">
        <f t="shared" si="7"/>
        <v>-</v>
      </c>
      <c r="J189" s="77" t="str">
        <f>IFERROR(COUNTIFS(Таблица2[Date],B189,Таблица2[WIN$],"&gt;0")/E189*100,"-")</f>
        <v>-</v>
      </c>
      <c r="K189" s="77" t="str">
        <f>IF(IFERROR((COUNTIFS(Таблица2[Date],B189,Таблица2[K],"K")+SUMIFS(Таблица2[R],#REF!,B189,Таблица2[K],"K"))/E189*100,"-")=0,"-",IFERROR((COUNTIFS(Таблица2[Date],B189,Таблица2[K],"K")+SUMIFS(Таблица2[R],Таблица2[Date],B189,Таблица2[K],"K"))/E189*100,"-"))</f>
        <v>-</v>
      </c>
      <c r="L189" s="77" t="str">
        <f>IF(IFERROR((COUNTIFS(Таблица2[Date],B189,Таблица2[T],"t")+SUMIFS(Таблица2[R],Таблица2[Date],B189,Таблица2[T],"t"))/E189*100,"-")=0,"-",IFERROR((COUNTIFS(Таблица2[Date],B189,Таблица2[T],"t")+SUMIFS(Таблица2[R],Таблица2[Date],B189,Таблица2[T],"t"))/E189*100,"-"))</f>
        <v>-</v>
      </c>
      <c r="M189" s="76" t="str">
        <f>IF(SUMIFS(Таблица2[KO$],Таблица2[Date],B189)=0,"-",SUMIFS(Таблица2[KO$],Таблица2[Date],B189))</f>
        <v>-</v>
      </c>
      <c r="N189" s="76" t="str">
        <f>IF(SUMIFS(Таблица2[WIN$],Таблица2[Date],B189)=0,"-",SUMIFS(Таблица2[WIN$],Таблица2[Date],B189))</f>
        <v>-</v>
      </c>
      <c r="O189" s="76" t="str">
        <f t="shared" si="8"/>
        <v>-</v>
      </c>
    </row>
    <row r="190" spans="1:15" ht="11.1" customHeight="1" x14ac:dyDescent="0.25">
      <c r="A190" s="93">
        <f t="shared" si="9"/>
        <v>104</v>
      </c>
      <c r="B190" s="48"/>
      <c r="C190"/>
      <c r="D190" s="117">
        <f t="shared" si="5"/>
        <v>1900</v>
      </c>
      <c r="E190" s="94" t="str">
        <f>IF(COUNTIFS(Таблица2[Date],B190)+SUMIFS(Таблица2[R],Таблица2[Date],B190)=0,"",COUNTIFS(Таблица2[Date],B190)+SUMIFS(Таблица2[R],Таблица2[Date],B190))</f>
        <v/>
      </c>
      <c r="F190" s="76" t="str">
        <f>IF(SUMIFS(Таблица2[B$],Таблица2[Date],B190)=0,"-",SUMIFS(Таблица2[B$],Таблица2[Date],B190))</f>
        <v>-</v>
      </c>
      <c r="G190" s="76" t="str">
        <f t="shared" si="6"/>
        <v>-</v>
      </c>
      <c r="H190" s="77" t="str">
        <f>IFERROR(AVERAGEIFS(Таблица2[AFS],Таблица2[Date],B190)+(AVERAGEIFS(Таблица2[AFS],Таблица2[Date],B190)*0.2),"-")</f>
        <v>-</v>
      </c>
      <c r="I190" s="77" t="str">
        <f t="shared" si="7"/>
        <v>-</v>
      </c>
      <c r="J190" s="77" t="str">
        <f>IFERROR(COUNTIFS(Таблица2[Date],B190,Таблица2[WIN$],"&gt;0")/E190*100,"-")</f>
        <v>-</v>
      </c>
      <c r="K190" s="77" t="str">
        <f>IF(IFERROR((COUNTIFS(Таблица2[Date],B190,Таблица2[K],"K")+SUMIFS(Таблица2[R],#REF!,B190,Таблица2[K],"K"))/E190*100,"-")=0,"-",IFERROR((COUNTIFS(Таблица2[Date],B190,Таблица2[K],"K")+SUMIFS(Таблица2[R],Таблица2[Date],B190,Таблица2[K],"K"))/E190*100,"-"))</f>
        <v>-</v>
      </c>
      <c r="L190" s="77" t="str">
        <f>IF(IFERROR((COUNTIFS(Таблица2[Date],B190,Таблица2[T],"t")+SUMIFS(Таблица2[R],Таблица2[Date],B190,Таблица2[T],"t"))/E190*100,"-")=0,"-",IFERROR((COUNTIFS(Таблица2[Date],B190,Таблица2[T],"t")+SUMIFS(Таблица2[R],Таблица2[Date],B190,Таблица2[T],"t"))/E190*100,"-"))</f>
        <v>-</v>
      </c>
      <c r="M190" s="76" t="str">
        <f>IF(SUMIFS(Таблица2[KO$],Таблица2[Date],B190)=0,"-",SUMIFS(Таблица2[KO$],Таблица2[Date],B190))</f>
        <v>-</v>
      </c>
      <c r="N190" s="76" t="str">
        <f>IF(SUMIFS(Таблица2[WIN$],Таблица2[Date],B190)=0,"-",SUMIFS(Таблица2[WIN$],Таблица2[Date],B190))</f>
        <v>-</v>
      </c>
      <c r="O190" s="76" t="str">
        <f t="shared" si="8"/>
        <v>-</v>
      </c>
    </row>
    <row r="191" spans="1:15" ht="11.1" customHeight="1" x14ac:dyDescent="0.25">
      <c r="A191" s="93">
        <f t="shared" si="9"/>
        <v>105</v>
      </c>
      <c r="B191" s="48"/>
      <c r="C191"/>
      <c r="D191" s="117">
        <f t="shared" si="5"/>
        <v>1900</v>
      </c>
      <c r="E191" s="94" t="str">
        <f>IF(COUNTIFS(Таблица2[Date],B191)+SUMIFS(Таблица2[R],Таблица2[Date],B191)=0,"",COUNTIFS(Таблица2[Date],B191)+SUMIFS(Таблица2[R],Таблица2[Date],B191))</f>
        <v/>
      </c>
      <c r="F191" s="76" t="str">
        <f>IF(SUMIFS(Таблица2[B$],Таблица2[Date],B191)=0,"-",SUMIFS(Таблица2[B$],Таблица2[Date],B191))</f>
        <v>-</v>
      </c>
      <c r="G191" s="76" t="str">
        <f t="shared" si="6"/>
        <v>-</v>
      </c>
      <c r="H191" s="77" t="str">
        <f>IFERROR(AVERAGEIFS(Таблица2[AFS],Таблица2[Date],B191)+(AVERAGEIFS(Таблица2[AFS],Таблица2[Date],B191)*0.2),"-")</f>
        <v>-</v>
      </c>
      <c r="I191" s="77" t="str">
        <f t="shared" si="7"/>
        <v>-</v>
      </c>
      <c r="J191" s="77" t="str">
        <f>IFERROR(COUNTIFS(Таблица2[Date],B191,Таблица2[WIN$],"&gt;0")/E191*100,"-")</f>
        <v>-</v>
      </c>
      <c r="K191" s="77" t="str">
        <f>IF(IFERROR((COUNTIFS(Таблица2[Date],B191,Таблица2[K],"K")+SUMIFS(Таблица2[R],#REF!,B191,Таблица2[K],"K"))/E191*100,"-")=0,"-",IFERROR((COUNTIFS(Таблица2[Date],B191,Таблица2[K],"K")+SUMIFS(Таблица2[R],Таблица2[Date],B191,Таблица2[K],"K"))/E191*100,"-"))</f>
        <v>-</v>
      </c>
      <c r="L191" s="77" t="str">
        <f>IF(IFERROR((COUNTIFS(Таблица2[Date],B191,Таблица2[T],"t")+SUMIFS(Таблица2[R],Таблица2[Date],B191,Таблица2[T],"t"))/E191*100,"-")=0,"-",IFERROR((COUNTIFS(Таблица2[Date],B191,Таблица2[T],"t")+SUMIFS(Таблица2[R],Таблица2[Date],B191,Таблица2[T],"t"))/E191*100,"-"))</f>
        <v>-</v>
      </c>
      <c r="M191" s="76" t="str">
        <f>IF(SUMIFS(Таблица2[KO$],Таблица2[Date],B191)=0,"-",SUMIFS(Таблица2[KO$],Таблица2[Date],B191))</f>
        <v>-</v>
      </c>
      <c r="N191" s="76" t="str">
        <f>IF(SUMIFS(Таблица2[WIN$],Таблица2[Date],B191)=0,"-",SUMIFS(Таблица2[WIN$],Таблица2[Date],B191))</f>
        <v>-</v>
      </c>
      <c r="O191" s="76" t="str">
        <f t="shared" si="8"/>
        <v>-</v>
      </c>
    </row>
    <row r="192" spans="1:15" ht="11.1" customHeight="1" x14ac:dyDescent="0.25">
      <c r="A192" s="93">
        <f t="shared" si="9"/>
        <v>106</v>
      </c>
      <c r="B192" s="48"/>
      <c r="C192"/>
      <c r="D192" s="117">
        <f t="shared" si="5"/>
        <v>1900</v>
      </c>
      <c r="E192" s="94" t="str">
        <f>IF(COUNTIFS(Таблица2[Date],B192)+SUMIFS(Таблица2[R],Таблица2[Date],B192)=0,"",COUNTIFS(Таблица2[Date],B192)+SUMIFS(Таблица2[R],Таблица2[Date],B192))</f>
        <v/>
      </c>
      <c r="F192" s="76" t="str">
        <f>IF(SUMIFS(Таблица2[B$],Таблица2[Date],B192)=0,"-",SUMIFS(Таблица2[B$],Таблица2[Date],B192))</f>
        <v>-</v>
      </c>
      <c r="G192" s="76" t="str">
        <f t="shared" si="6"/>
        <v>-</v>
      </c>
      <c r="H192" s="77" t="str">
        <f>IFERROR(AVERAGEIFS(Таблица2[AFS],Таблица2[Date],B192)+(AVERAGEIFS(Таблица2[AFS],Таблица2[Date],B192)*0.2),"-")</f>
        <v>-</v>
      </c>
      <c r="I192" s="77" t="str">
        <f t="shared" si="7"/>
        <v>-</v>
      </c>
      <c r="J192" s="77" t="str">
        <f>IFERROR(COUNTIFS(Таблица2[Date],B192,Таблица2[WIN$],"&gt;0")/E192*100,"-")</f>
        <v>-</v>
      </c>
      <c r="K192" s="77" t="str">
        <f>IF(IFERROR((COUNTIFS(Таблица2[Date],B192,Таблица2[K],"K")+SUMIFS(Таблица2[R],#REF!,B192,Таблица2[K],"K"))/E192*100,"-")=0,"-",IFERROR((COUNTIFS(Таблица2[Date],B192,Таблица2[K],"K")+SUMIFS(Таблица2[R],Таблица2[Date],B192,Таблица2[K],"K"))/E192*100,"-"))</f>
        <v>-</v>
      </c>
      <c r="L192" s="77" t="str">
        <f>IF(IFERROR((COUNTIFS(Таблица2[Date],B192,Таблица2[T],"t")+SUMIFS(Таблица2[R],Таблица2[Date],B192,Таблица2[T],"t"))/E192*100,"-")=0,"-",IFERROR((COUNTIFS(Таблица2[Date],B192,Таблица2[T],"t")+SUMIFS(Таблица2[R],Таблица2[Date],B192,Таблица2[T],"t"))/E192*100,"-"))</f>
        <v>-</v>
      </c>
      <c r="M192" s="76" t="str">
        <f>IF(SUMIFS(Таблица2[KO$],Таблица2[Date],B192)=0,"-",SUMIFS(Таблица2[KO$],Таблица2[Date],B192))</f>
        <v>-</v>
      </c>
      <c r="N192" s="76" t="str">
        <f>IF(SUMIFS(Таблица2[WIN$],Таблица2[Date],B192)=0,"-",SUMIFS(Таблица2[WIN$],Таблица2[Date],B192))</f>
        <v>-</v>
      </c>
      <c r="O192" s="76" t="str">
        <f t="shared" si="8"/>
        <v>-</v>
      </c>
    </row>
    <row r="193" spans="1:15" ht="11.1" customHeight="1" x14ac:dyDescent="0.25">
      <c r="A193" s="93">
        <f t="shared" si="9"/>
        <v>107</v>
      </c>
      <c r="B193" s="48"/>
      <c r="C193"/>
      <c r="D193" s="117">
        <f t="shared" si="5"/>
        <v>1900</v>
      </c>
      <c r="E193" s="94" t="str">
        <f>IF(COUNTIFS(Таблица2[Date],B193)+SUMIFS(Таблица2[R],Таблица2[Date],B193)=0,"",COUNTIFS(Таблица2[Date],B193)+SUMIFS(Таблица2[R],Таблица2[Date],B193))</f>
        <v/>
      </c>
      <c r="F193" s="76" t="str">
        <f>IF(SUMIFS(Таблица2[B$],Таблица2[Date],B193)=0,"-",SUMIFS(Таблица2[B$],Таблица2[Date],B193))</f>
        <v>-</v>
      </c>
      <c r="G193" s="76" t="str">
        <f t="shared" si="6"/>
        <v>-</v>
      </c>
      <c r="H193" s="77" t="str">
        <f>IFERROR(AVERAGEIFS(Таблица2[AFS],Таблица2[Date],B193)+(AVERAGEIFS(Таблица2[AFS],Таблица2[Date],B193)*0.2),"-")</f>
        <v>-</v>
      </c>
      <c r="I193" s="77" t="str">
        <f t="shared" si="7"/>
        <v>-</v>
      </c>
      <c r="J193" s="77" t="str">
        <f>IFERROR(COUNTIFS(Таблица2[Date],B193,Таблица2[WIN$],"&gt;0")/E193*100,"-")</f>
        <v>-</v>
      </c>
      <c r="K193" s="77" t="str">
        <f>IF(IFERROR((COUNTIFS(Таблица2[Date],B193,Таблица2[K],"K")+SUMIFS(Таблица2[R],#REF!,B193,Таблица2[K],"K"))/E193*100,"-")=0,"-",IFERROR((COUNTIFS(Таблица2[Date],B193,Таблица2[K],"K")+SUMIFS(Таблица2[R],Таблица2[Date],B193,Таблица2[K],"K"))/E193*100,"-"))</f>
        <v>-</v>
      </c>
      <c r="L193" s="77" t="str">
        <f>IF(IFERROR((COUNTIFS(Таблица2[Date],B193,Таблица2[T],"t")+SUMIFS(Таблица2[R],Таблица2[Date],B193,Таблица2[T],"t"))/E193*100,"-")=0,"-",IFERROR((COUNTIFS(Таблица2[Date],B193,Таблица2[T],"t")+SUMIFS(Таблица2[R],Таблица2[Date],B193,Таблица2[T],"t"))/E193*100,"-"))</f>
        <v>-</v>
      </c>
      <c r="M193" s="76" t="str">
        <f>IF(SUMIFS(Таблица2[KO$],Таблица2[Date],B193)=0,"-",SUMIFS(Таблица2[KO$],Таблица2[Date],B193))</f>
        <v>-</v>
      </c>
      <c r="N193" s="76" t="str">
        <f>IF(SUMIFS(Таблица2[WIN$],Таблица2[Date],B193)=0,"-",SUMIFS(Таблица2[WIN$],Таблица2[Date],B193))</f>
        <v>-</v>
      </c>
      <c r="O193" s="76" t="str">
        <f t="shared" si="8"/>
        <v>-</v>
      </c>
    </row>
    <row r="194" spans="1:15" ht="11.1" customHeight="1" x14ac:dyDescent="0.25">
      <c r="A194" s="93">
        <f t="shared" si="9"/>
        <v>108</v>
      </c>
      <c r="B194" s="48"/>
      <c r="C194"/>
      <c r="D194" s="117">
        <f t="shared" si="5"/>
        <v>1900</v>
      </c>
      <c r="E194" s="94" t="str">
        <f>IF(COUNTIFS(Таблица2[Date],B194)+SUMIFS(Таблица2[R],Таблица2[Date],B194)=0,"",COUNTIFS(Таблица2[Date],B194)+SUMIFS(Таблица2[R],Таблица2[Date],B194))</f>
        <v/>
      </c>
      <c r="F194" s="76" t="str">
        <f>IF(SUMIFS(Таблица2[B$],Таблица2[Date],B194)=0,"-",SUMIFS(Таблица2[B$],Таблица2[Date],B194))</f>
        <v>-</v>
      </c>
      <c r="G194" s="76" t="str">
        <f t="shared" si="6"/>
        <v>-</v>
      </c>
      <c r="H194" s="77" t="str">
        <f>IFERROR(AVERAGEIFS(Таблица2[AFS],Таблица2[Date],B194)+(AVERAGEIFS(Таблица2[AFS],Таблица2[Date],B194)*0.2),"-")</f>
        <v>-</v>
      </c>
      <c r="I194" s="77" t="str">
        <f t="shared" si="7"/>
        <v>-</v>
      </c>
      <c r="J194" s="77" t="str">
        <f>IFERROR(COUNTIFS(Таблица2[Date],B194,Таблица2[WIN$],"&gt;0")/E194*100,"-")</f>
        <v>-</v>
      </c>
      <c r="K194" s="77" t="str">
        <f>IF(IFERROR((COUNTIFS(Таблица2[Date],B194,Таблица2[K],"K")+SUMIFS(Таблица2[R],#REF!,B194,Таблица2[K],"K"))/E194*100,"-")=0,"-",IFERROR((COUNTIFS(Таблица2[Date],B194,Таблица2[K],"K")+SUMIFS(Таблица2[R],Таблица2[Date],B194,Таблица2[K],"K"))/E194*100,"-"))</f>
        <v>-</v>
      </c>
      <c r="L194" s="77" t="str">
        <f>IF(IFERROR((COUNTIFS(Таблица2[Date],B194,Таблица2[T],"t")+SUMIFS(Таблица2[R],Таблица2[Date],B194,Таблица2[T],"t"))/E194*100,"-")=0,"-",IFERROR((COUNTIFS(Таблица2[Date],B194,Таблица2[T],"t")+SUMIFS(Таблица2[R],Таблица2[Date],B194,Таблица2[T],"t"))/E194*100,"-"))</f>
        <v>-</v>
      </c>
      <c r="M194" s="76" t="str">
        <f>IF(SUMIFS(Таблица2[KO$],Таблица2[Date],B194)=0,"-",SUMIFS(Таблица2[KO$],Таблица2[Date],B194))</f>
        <v>-</v>
      </c>
      <c r="N194" s="76" t="str">
        <f>IF(SUMIFS(Таблица2[WIN$],Таблица2[Date],B194)=0,"-",SUMIFS(Таблица2[WIN$],Таблица2[Date],B194))</f>
        <v>-</v>
      </c>
      <c r="O194" s="76" t="str">
        <f t="shared" si="8"/>
        <v>-</v>
      </c>
    </row>
    <row r="195" spans="1:15" ht="11.1" customHeight="1" x14ac:dyDescent="0.25">
      <c r="A195" s="93">
        <f t="shared" si="9"/>
        <v>109</v>
      </c>
      <c r="B195" s="48"/>
      <c r="C195"/>
      <c r="D195" s="117">
        <f t="shared" si="5"/>
        <v>1900</v>
      </c>
      <c r="E195" s="94" t="str">
        <f>IF(COUNTIFS(Таблица2[Date],B195)+SUMIFS(Таблица2[R],Таблица2[Date],B195)=0,"",COUNTIFS(Таблица2[Date],B195)+SUMIFS(Таблица2[R],Таблица2[Date],B195))</f>
        <v/>
      </c>
      <c r="F195" s="76" t="str">
        <f>IF(SUMIFS(Таблица2[B$],Таблица2[Date],B195)=0,"-",SUMIFS(Таблица2[B$],Таблица2[Date],B195))</f>
        <v>-</v>
      </c>
      <c r="G195" s="76" t="str">
        <f t="shared" si="6"/>
        <v>-</v>
      </c>
      <c r="H195" s="77" t="str">
        <f>IFERROR(AVERAGEIFS(Таблица2[AFS],Таблица2[Date],B195)+(AVERAGEIFS(Таблица2[AFS],Таблица2[Date],B195)*0.2),"-")</f>
        <v>-</v>
      </c>
      <c r="I195" s="77" t="str">
        <f t="shared" si="7"/>
        <v>-</v>
      </c>
      <c r="J195" s="77" t="str">
        <f>IFERROR(COUNTIFS(Таблица2[Date],B195,Таблица2[WIN$],"&gt;0")/E195*100,"-")</f>
        <v>-</v>
      </c>
      <c r="K195" s="77" t="str">
        <f>IF(IFERROR((COUNTIFS(Таблица2[Date],B195,Таблица2[K],"K")+SUMIFS(Таблица2[R],#REF!,B195,Таблица2[K],"K"))/E195*100,"-")=0,"-",IFERROR((COUNTIFS(Таблица2[Date],B195,Таблица2[K],"K")+SUMIFS(Таблица2[R],Таблица2[Date],B195,Таблица2[K],"K"))/E195*100,"-"))</f>
        <v>-</v>
      </c>
      <c r="L195" s="77" t="str">
        <f>IF(IFERROR((COUNTIFS(Таблица2[Date],B195,Таблица2[T],"t")+SUMIFS(Таблица2[R],Таблица2[Date],B195,Таблица2[T],"t"))/E195*100,"-")=0,"-",IFERROR((COUNTIFS(Таблица2[Date],B195,Таблица2[T],"t")+SUMIFS(Таблица2[R],Таблица2[Date],B195,Таблица2[T],"t"))/E195*100,"-"))</f>
        <v>-</v>
      </c>
      <c r="M195" s="76" t="str">
        <f>IF(SUMIFS(Таблица2[KO$],Таблица2[Date],B195)=0,"-",SUMIFS(Таблица2[KO$],Таблица2[Date],B195))</f>
        <v>-</v>
      </c>
      <c r="N195" s="76" t="str">
        <f>IF(SUMIFS(Таблица2[WIN$],Таблица2[Date],B195)=0,"-",SUMIFS(Таблица2[WIN$],Таблица2[Date],B195))</f>
        <v>-</v>
      </c>
      <c r="O195" s="76" t="str">
        <f t="shared" si="8"/>
        <v>-</v>
      </c>
    </row>
    <row r="196" spans="1:15" ht="11.1" customHeight="1" x14ac:dyDescent="0.25">
      <c r="A196" s="93">
        <f t="shared" si="9"/>
        <v>110</v>
      </c>
      <c r="B196" s="48"/>
      <c r="C196"/>
      <c r="D196" s="117">
        <f t="shared" si="5"/>
        <v>1900</v>
      </c>
      <c r="E196" s="94" t="str">
        <f>IF(COUNTIFS(Таблица2[Date],B196)+SUMIFS(Таблица2[R],Таблица2[Date],B196)=0,"",COUNTIFS(Таблица2[Date],B196)+SUMIFS(Таблица2[R],Таблица2[Date],B196))</f>
        <v/>
      </c>
      <c r="F196" s="76" t="str">
        <f>IF(SUMIFS(Таблица2[B$],Таблица2[Date],B196)=0,"-",SUMIFS(Таблица2[B$],Таблица2[Date],B196))</f>
        <v>-</v>
      </c>
      <c r="G196" s="76" t="str">
        <f t="shared" si="6"/>
        <v>-</v>
      </c>
      <c r="H196" s="77" t="str">
        <f>IFERROR(AVERAGEIFS(Таблица2[AFS],Таблица2[Date],B196)+(AVERAGEIFS(Таблица2[AFS],Таблица2[Date],B196)*0.2),"-")</f>
        <v>-</v>
      </c>
      <c r="I196" s="77" t="str">
        <f t="shared" si="7"/>
        <v>-</v>
      </c>
      <c r="J196" s="77" t="str">
        <f>IFERROR(COUNTIFS(Таблица2[Date],B196,Таблица2[WIN$],"&gt;0")/E196*100,"-")</f>
        <v>-</v>
      </c>
      <c r="K196" s="77" t="str">
        <f>IF(IFERROR((COUNTIFS(Таблица2[Date],B196,Таблица2[K],"K")+SUMIFS(Таблица2[R],#REF!,B196,Таблица2[K],"K"))/E196*100,"-")=0,"-",IFERROR((COUNTIFS(Таблица2[Date],B196,Таблица2[K],"K")+SUMIFS(Таблица2[R],Таблица2[Date],B196,Таблица2[K],"K"))/E196*100,"-"))</f>
        <v>-</v>
      </c>
      <c r="L196" s="77" t="str">
        <f>IF(IFERROR((COUNTIFS(Таблица2[Date],B196,Таблица2[T],"t")+SUMIFS(Таблица2[R],Таблица2[Date],B196,Таблица2[T],"t"))/E196*100,"-")=0,"-",IFERROR((COUNTIFS(Таблица2[Date],B196,Таблица2[T],"t")+SUMIFS(Таблица2[R],Таблица2[Date],B196,Таблица2[T],"t"))/E196*100,"-"))</f>
        <v>-</v>
      </c>
      <c r="M196" s="76" t="str">
        <f>IF(SUMIFS(Таблица2[KO$],Таблица2[Date],B196)=0,"-",SUMIFS(Таблица2[KO$],Таблица2[Date],B196))</f>
        <v>-</v>
      </c>
      <c r="N196" s="76" t="str">
        <f>IF(SUMIFS(Таблица2[WIN$],Таблица2[Date],B196)=0,"-",SUMIFS(Таблица2[WIN$],Таблица2[Date],B196))</f>
        <v>-</v>
      </c>
      <c r="O196" s="76" t="str">
        <f t="shared" si="8"/>
        <v>-</v>
      </c>
    </row>
    <row r="197" spans="1:15" ht="11.1" customHeight="1" x14ac:dyDescent="0.25">
      <c r="A197" s="93">
        <f t="shared" si="9"/>
        <v>111</v>
      </c>
      <c r="B197" s="48"/>
      <c r="C197"/>
      <c r="D197" s="117">
        <f t="shared" si="5"/>
        <v>1900</v>
      </c>
      <c r="E197" s="94" t="str">
        <f>IF(COUNTIFS(Таблица2[Date],B197)+SUMIFS(Таблица2[R],Таблица2[Date],B197)=0,"",COUNTIFS(Таблица2[Date],B197)+SUMIFS(Таблица2[R],Таблица2[Date],B197))</f>
        <v/>
      </c>
      <c r="F197" s="76" t="str">
        <f>IF(SUMIFS(Таблица2[B$],Таблица2[Date],B197)=0,"-",SUMIFS(Таблица2[B$],Таблица2[Date],B197))</f>
        <v>-</v>
      </c>
      <c r="G197" s="76" t="str">
        <f t="shared" si="6"/>
        <v>-</v>
      </c>
      <c r="H197" s="77" t="str">
        <f>IFERROR(AVERAGEIFS(Таблица2[AFS],Таблица2[Date],B197)+(AVERAGEIFS(Таблица2[AFS],Таблица2[Date],B197)*0.2),"-")</f>
        <v>-</v>
      </c>
      <c r="I197" s="77" t="str">
        <f t="shared" si="7"/>
        <v>-</v>
      </c>
      <c r="J197" s="77" t="str">
        <f>IFERROR(COUNTIFS(Таблица2[Date],B197,Таблица2[WIN$],"&gt;0")/E197*100,"-")</f>
        <v>-</v>
      </c>
      <c r="K197" s="77" t="str">
        <f>IF(IFERROR((COUNTIFS(Таблица2[Date],B197,Таблица2[K],"K")+SUMIFS(Таблица2[R],#REF!,B197,Таблица2[K],"K"))/E197*100,"-")=0,"-",IFERROR((COUNTIFS(Таблица2[Date],B197,Таблица2[K],"K")+SUMIFS(Таблица2[R],Таблица2[Date],B197,Таблица2[K],"K"))/E197*100,"-"))</f>
        <v>-</v>
      </c>
      <c r="L197" s="77" t="str">
        <f>IF(IFERROR((COUNTIFS(Таблица2[Date],B197,Таблица2[T],"t")+SUMIFS(Таблица2[R],Таблица2[Date],B197,Таблица2[T],"t"))/E197*100,"-")=0,"-",IFERROR((COUNTIFS(Таблица2[Date],B197,Таблица2[T],"t")+SUMIFS(Таблица2[R],Таблица2[Date],B197,Таблица2[T],"t"))/E197*100,"-"))</f>
        <v>-</v>
      </c>
      <c r="M197" s="76" t="str">
        <f>IF(SUMIFS(Таблица2[KO$],Таблица2[Date],B197)=0,"-",SUMIFS(Таблица2[KO$],Таблица2[Date],B197))</f>
        <v>-</v>
      </c>
      <c r="N197" s="76" t="str">
        <f>IF(SUMIFS(Таблица2[WIN$],Таблица2[Date],B197)=0,"-",SUMIFS(Таблица2[WIN$],Таблица2[Date],B197))</f>
        <v>-</v>
      </c>
      <c r="O197" s="76" t="str">
        <f t="shared" si="8"/>
        <v>-</v>
      </c>
    </row>
    <row r="198" spans="1:15" ht="11.1" customHeight="1" x14ac:dyDescent="0.25">
      <c r="A198" s="93">
        <f t="shared" si="9"/>
        <v>112</v>
      </c>
      <c r="B198" s="48"/>
      <c r="C198"/>
      <c r="D198" s="117">
        <f t="shared" si="5"/>
        <v>1900</v>
      </c>
      <c r="E198" s="94" t="str">
        <f>IF(COUNTIFS(Таблица2[Date],B198)+SUMIFS(Таблица2[R],Таблица2[Date],B198)=0,"",COUNTIFS(Таблица2[Date],B198)+SUMIFS(Таблица2[R],Таблица2[Date],B198))</f>
        <v/>
      </c>
      <c r="F198" s="76" t="str">
        <f>IF(SUMIFS(Таблица2[B$],Таблица2[Date],B198)=0,"-",SUMIFS(Таблица2[B$],Таблица2[Date],B198))</f>
        <v>-</v>
      </c>
      <c r="G198" s="76" t="str">
        <f t="shared" si="6"/>
        <v>-</v>
      </c>
      <c r="H198" s="77" t="str">
        <f>IFERROR(AVERAGEIFS(Таблица2[AFS],Таблица2[Date],B198)+(AVERAGEIFS(Таблица2[AFS],Таблица2[Date],B198)*0.2),"-")</f>
        <v>-</v>
      </c>
      <c r="I198" s="77" t="str">
        <f t="shared" si="7"/>
        <v>-</v>
      </c>
      <c r="J198" s="77" t="str">
        <f>IFERROR(COUNTIFS(Таблица2[Date],B198,Таблица2[WIN$],"&gt;0")/E198*100,"-")</f>
        <v>-</v>
      </c>
      <c r="K198" s="77" t="str">
        <f>IF(IFERROR((COUNTIFS(Таблица2[Date],B198,Таблица2[K],"K")+SUMIFS(Таблица2[R],#REF!,B198,Таблица2[K],"K"))/E198*100,"-")=0,"-",IFERROR((COUNTIFS(Таблица2[Date],B198,Таблица2[K],"K")+SUMIFS(Таблица2[R],Таблица2[Date],B198,Таблица2[K],"K"))/E198*100,"-"))</f>
        <v>-</v>
      </c>
      <c r="L198" s="77" t="str">
        <f>IF(IFERROR((COUNTIFS(Таблица2[Date],B198,Таблица2[T],"t")+SUMIFS(Таблица2[R],Таблица2[Date],B198,Таблица2[T],"t"))/E198*100,"-")=0,"-",IFERROR((COUNTIFS(Таблица2[Date],B198,Таблица2[T],"t")+SUMIFS(Таблица2[R],Таблица2[Date],B198,Таблица2[T],"t"))/E198*100,"-"))</f>
        <v>-</v>
      </c>
      <c r="M198" s="76" t="str">
        <f>IF(SUMIFS(Таблица2[KO$],Таблица2[Date],B198)=0,"-",SUMIFS(Таблица2[KO$],Таблица2[Date],B198))</f>
        <v>-</v>
      </c>
      <c r="N198" s="76" t="str">
        <f>IF(SUMIFS(Таблица2[WIN$],Таблица2[Date],B198)=0,"-",SUMIFS(Таблица2[WIN$],Таблица2[Date],B198))</f>
        <v>-</v>
      </c>
      <c r="O198" s="76" t="str">
        <f t="shared" si="8"/>
        <v>-</v>
      </c>
    </row>
    <row r="199" spans="1:15" ht="11.1" customHeight="1" x14ac:dyDescent="0.25">
      <c r="A199" s="93">
        <f t="shared" si="9"/>
        <v>113</v>
      </c>
      <c r="B199" s="48"/>
      <c r="C199"/>
      <c r="D199" s="117">
        <f t="shared" si="5"/>
        <v>1900</v>
      </c>
      <c r="E199" s="94" t="str">
        <f>IF(COUNTIFS(Таблица2[Date],B199)+SUMIFS(Таблица2[R],Таблица2[Date],B199)=0,"",COUNTIFS(Таблица2[Date],B199)+SUMIFS(Таблица2[R],Таблица2[Date],B199))</f>
        <v/>
      </c>
      <c r="F199" s="76" t="str">
        <f>IF(SUMIFS(Таблица2[B$],Таблица2[Date],B199)=0,"-",SUMIFS(Таблица2[B$],Таблица2[Date],B199))</f>
        <v>-</v>
      </c>
      <c r="G199" s="76" t="str">
        <f t="shared" si="6"/>
        <v>-</v>
      </c>
      <c r="H199" s="77" t="str">
        <f>IFERROR(AVERAGEIFS(Таблица2[AFS],Таблица2[Date],B199)+(AVERAGEIFS(Таблица2[AFS],Таблица2[Date],B199)*0.2),"-")</f>
        <v>-</v>
      </c>
      <c r="I199" s="77" t="str">
        <f t="shared" si="7"/>
        <v>-</v>
      </c>
      <c r="J199" s="77" t="str">
        <f>IFERROR(COUNTIFS(Таблица2[Date],B199,Таблица2[WIN$],"&gt;0")/E199*100,"-")</f>
        <v>-</v>
      </c>
      <c r="K199" s="77" t="str">
        <f>IF(IFERROR((COUNTIFS(Таблица2[Date],B199,Таблица2[K],"K")+SUMIFS(Таблица2[R],#REF!,B199,Таблица2[K],"K"))/E199*100,"-")=0,"-",IFERROR((COUNTIFS(Таблица2[Date],B199,Таблица2[K],"K")+SUMIFS(Таблица2[R],Таблица2[Date],B199,Таблица2[K],"K"))/E199*100,"-"))</f>
        <v>-</v>
      </c>
      <c r="L199" s="77" t="str">
        <f>IF(IFERROR((COUNTIFS(Таблица2[Date],B199,Таблица2[T],"t")+SUMIFS(Таблица2[R],Таблица2[Date],B199,Таблица2[T],"t"))/E199*100,"-")=0,"-",IFERROR((COUNTIFS(Таблица2[Date],B199,Таблица2[T],"t")+SUMIFS(Таблица2[R],Таблица2[Date],B199,Таблица2[T],"t"))/E199*100,"-"))</f>
        <v>-</v>
      </c>
      <c r="M199" s="76" t="str">
        <f>IF(SUMIFS(Таблица2[KO$],Таблица2[Date],B199)=0,"-",SUMIFS(Таблица2[KO$],Таблица2[Date],B199))</f>
        <v>-</v>
      </c>
      <c r="N199" s="76" t="str">
        <f>IF(SUMIFS(Таблица2[WIN$],Таблица2[Date],B199)=0,"-",SUMIFS(Таблица2[WIN$],Таблица2[Date],B199))</f>
        <v>-</v>
      </c>
      <c r="O199" s="76" t="str">
        <f t="shared" si="8"/>
        <v>-</v>
      </c>
    </row>
    <row r="200" spans="1:15" ht="11.1" customHeight="1" x14ac:dyDescent="0.25">
      <c r="A200" s="93">
        <f t="shared" si="9"/>
        <v>114</v>
      </c>
      <c r="B200" s="48"/>
      <c r="C200"/>
      <c r="D200" s="117">
        <f t="shared" si="5"/>
        <v>1900</v>
      </c>
      <c r="E200" s="94" t="str">
        <f>IF(COUNTIFS(Таблица2[Date],B200)+SUMIFS(Таблица2[R],Таблица2[Date],B200)=0,"",COUNTIFS(Таблица2[Date],B200)+SUMIFS(Таблица2[R],Таблица2[Date],B200))</f>
        <v/>
      </c>
      <c r="F200" s="76" t="str">
        <f>IF(SUMIFS(Таблица2[B$],Таблица2[Date],B200)=0,"-",SUMIFS(Таблица2[B$],Таблица2[Date],B200))</f>
        <v>-</v>
      </c>
      <c r="G200" s="76" t="str">
        <f t="shared" si="6"/>
        <v>-</v>
      </c>
      <c r="H200" s="77" t="str">
        <f>IFERROR(AVERAGEIFS(Таблица2[AFS],Таблица2[Date],B200)+(AVERAGEIFS(Таблица2[AFS],Таблица2[Date],B200)*0.2),"-")</f>
        <v>-</v>
      </c>
      <c r="I200" s="77" t="str">
        <f t="shared" si="7"/>
        <v>-</v>
      </c>
      <c r="J200" s="77" t="str">
        <f>IFERROR(COUNTIFS(Таблица2[Date],B200,Таблица2[WIN$],"&gt;0")/E200*100,"-")</f>
        <v>-</v>
      </c>
      <c r="K200" s="77" t="str">
        <f>IF(IFERROR((COUNTIFS(Таблица2[Date],B200,Таблица2[K],"K")+SUMIFS(Таблица2[R],#REF!,B200,Таблица2[K],"K"))/E200*100,"-")=0,"-",IFERROR((COUNTIFS(Таблица2[Date],B200,Таблица2[K],"K")+SUMIFS(Таблица2[R],Таблица2[Date],B200,Таблица2[K],"K"))/E200*100,"-"))</f>
        <v>-</v>
      </c>
      <c r="L200" s="77" t="str">
        <f>IF(IFERROR((COUNTIFS(Таблица2[Date],B200,Таблица2[T],"t")+SUMIFS(Таблица2[R],Таблица2[Date],B200,Таблица2[T],"t"))/E200*100,"-")=0,"-",IFERROR((COUNTIFS(Таблица2[Date],B200,Таблица2[T],"t")+SUMIFS(Таблица2[R],Таблица2[Date],B200,Таблица2[T],"t"))/E200*100,"-"))</f>
        <v>-</v>
      </c>
      <c r="M200" s="76" t="str">
        <f>IF(SUMIFS(Таблица2[KO$],Таблица2[Date],B200)=0,"-",SUMIFS(Таблица2[KO$],Таблица2[Date],B200))</f>
        <v>-</v>
      </c>
      <c r="N200" s="76" t="str">
        <f>IF(SUMIFS(Таблица2[WIN$],Таблица2[Date],B200)=0,"-",SUMIFS(Таблица2[WIN$],Таблица2[Date],B200))</f>
        <v>-</v>
      </c>
      <c r="O200" s="76" t="str">
        <f t="shared" si="8"/>
        <v>-</v>
      </c>
    </row>
    <row r="201" spans="1:15" ht="11.1" customHeight="1" x14ac:dyDescent="0.25">
      <c r="A201" s="93">
        <f t="shared" si="9"/>
        <v>115</v>
      </c>
      <c r="B201" s="48"/>
      <c r="C201"/>
      <c r="D201" s="117">
        <f t="shared" si="5"/>
        <v>1900</v>
      </c>
      <c r="E201" s="94" t="str">
        <f>IF(COUNTIFS(Таблица2[Date],B201)+SUMIFS(Таблица2[R],Таблица2[Date],B201)=0,"",COUNTIFS(Таблица2[Date],B201)+SUMIFS(Таблица2[R],Таблица2[Date],B201))</f>
        <v/>
      </c>
      <c r="F201" s="76" t="str">
        <f>IF(SUMIFS(Таблица2[B$],Таблица2[Date],B201)=0,"-",SUMIFS(Таблица2[B$],Таблица2[Date],B201))</f>
        <v>-</v>
      </c>
      <c r="G201" s="76" t="str">
        <f t="shared" si="6"/>
        <v>-</v>
      </c>
      <c r="H201" s="77" t="str">
        <f>IFERROR(AVERAGEIFS(Таблица2[AFS],Таблица2[Date],B201)+(AVERAGEIFS(Таблица2[AFS],Таблица2[Date],B201)*0.2),"-")</f>
        <v>-</v>
      </c>
      <c r="I201" s="77" t="str">
        <f t="shared" si="7"/>
        <v>-</v>
      </c>
      <c r="J201" s="77" t="str">
        <f>IFERROR(COUNTIFS(Таблица2[Date],B201,Таблица2[WIN$],"&gt;0")/E201*100,"-")</f>
        <v>-</v>
      </c>
      <c r="K201" s="77" t="str">
        <f>IF(IFERROR((COUNTIFS(Таблица2[Date],B201,Таблица2[K],"K")+SUMIFS(Таблица2[R],#REF!,B201,Таблица2[K],"K"))/E201*100,"-")=0,"-",IFERROR((COUNTIFS(Таблица2[Date],B201,Таблица2[K],"K")+SUMIFS(Таблица2[R],Таблица2[Date],B201,Таблица2[K],"K"))/E201*100,"-"))</f>
        <v>-</v>
      </c>
      <c r="L201" s="77" t="str">
        <f>IF(IFERROR((COUNTIFS(Таблица2[Date],B201,Таблица2[T],"t")+SUMIFS(Таблица2[R],Таблица2[Date],B201,Таблица2[T],"t"))/E201*100,"-")=0,"-",IFERROR((COUNTIFS(Таблица2[Date],B201,Таблица2[T],"t")+SUMIFS(Таблица2[R],Таблица2[Date],B201,Таблица2[T],"t"))/E201*100,"-"))</f>
        <v>-</v>
      </c>
      <c r="M201" s="76" t="str">
        <f>IF(SUMIFS(Таблица2[KO$],Таблица2[Date],B201)=0,"-",SUMIFS(Таблица2[KO$],Таблица2[Date],B201))</f>
        <v>-</v>
      </c>
      <c r="N201" s="76" t="str">
        <f>IF(SUMIFS(Таблица2[WIN$],Таблица2[Date],B201)=0,"-",SUMIFS(Таблица2[WIN$],Таблица2[Date],B201))</f>
        <v>-</v>
      </c>
      <c r="O201" s="76" t="str">
        <f t="shared" si="8"/>
        <v>-</v>
      </c>
    </row>
    <row r="202" spans="1:15" ht="11.1" customHeight="1" x14ac:dyDescent="0.25">
      <c r="A202" s="93">
        <f t="shared" si="9"/>
        <v>116</v>
      </c>
      <c r="B202" s="48"/>
      <c r="C202"/>
      <c r="D202" s="117">
        <f t="shared" si="5"/>
        <v>1900</v>
      </c>
      <c r="E202" s="94" t="str">
        <f>IF(COUNTIFS(Таблица2[Date],B202)+SUMIFS(Таблица2[R],Таблица2[Date],B202)=0,"",COUNTIFS(Таблица2[Date],B202)+SUMIFS(Таблица2[R],Таблица2[Date],B202))</f>
        <v/>
      </c>
      <c r="F202" s="76" t="str">
        <f>IF(SUMIFS(Таблица2[B$],Таблица2[Date],B202)=0,"-",SUMIFS(Таблица2[B$],Таблица2[Date],B202))</f>
        <v>-</v>
      </c>
      <c r="G202" s="76" t="str">
        <f t="shared" si="6"/>
        <v>-</v>
      </c>
      <c r="H202" s="77" t="str">
        <f>IFERROR(AVERAGEIFS(Таблица2[AFS],Таблица2[Date],B202)+(AVERAGEIFS(Таблица2[AFS],Таблица2[Date],B202)*0.2),"-")</f>
        <v>-</v>
      </c>
      <c r="I202" s="77" t="str">
        <f t="shared" si="7"/>
        <v>-</v>
      </c>
      <c r="J202" s="77" t="str">
        <f>IFERROR(COUNTIFS(Таблица2[Date],B202,Таблица2[WIN$],"&gt;0")/E202*100,"-")</f>
        <v>-</v>
      </c>
      <c r="K202" s="77" t="str">
        <f>IF(IFERROR((COUNTIFS(Таблица2[Date],B202,Таблица2[K],"K")+SUMIFS(Таблица2[R],#REF!,B202,Таблица2[K],"K"))/E202*100,"-")=0,"-",IFERROR((COUNTIFS(Таблица2[Date],B202,Таблица2[K],"K")+SUMIFS(Таблица2[R],Таблица2[Date],B202,Таблица2[K],"K"))/E202*100,"-"))</f>
        <v>-</v>
      </c>
      <c r="L202" s="77" t="str">
        <f>IF(IFERROR((COUNTIFS(Таблица2[Date],B202,Таблица2[T],"t")+SUMIFS(Таблица2[R],Таблица2[Date],B202,Таблица2[T],"t"))/E202*100,"-")=0,"-",IFERROR((COUNTIFS(Таблица2[Date],B202,Таблица2[T],"t")+SUMIFS(Таблица2[R],Таблица2[Date],B202,Таблица2[T],"t"))/E202*100,"-"))</f>
        <v>-</v>
      </c>
      <c r="M202" s="76" t="str">
        <f>IF(SUMIFS(Таблица2[KO$],Таблица2[Date],B202)=0,"-",SUMIFS(Таблица2[KO$],Таблица2[Date],B202))</f>
        <v>-</v>
      </c>
      <c r="N202" s="76" t="str">
        <f>IF(SUMIFS(Таблица2[WIN$],Таблица2[Date],B202)=0,"-",SUMIFS(Таблица2[WIN$],Таблица2[Date],B202))</f>
        <v>-</v>
      </c>
      <c r="O202" s="76" t="str">
        <f t="shared" si="8"/>
        <v>-</v>
      </c>
    </row>
    <row r="203" spans="1:15" ht="11.1" customHeight="1" x14ac:dyDescent="0.25">
      <c r="A203" s="93">
        <f t="shared" si="9"/>
        <v>117</v>
      </c>
      <c r="B203" s="48"/>
      <c r="C203"/>
      <c r="D203" s="117">
        <f t="shared" si="5"/>
        <v>1900</v>
      </c>
      <c r="E203" s="94" t="str">
        <f>IF(COUNTIFS(Таблица2[Date],B203)+SUMIFS(Таблица2[R],Таблица2[Date],B203)=0,"",COUNTIFS(Таблица2[Date],B203)+SUMIFS(Таблица2[R],Таблица2[Date],B203))</f>
        <v/>
      </c>
      <c r="F203" s="76" t="str">
        <f>IF(SUMIFS(Таблица2[B$],Таблица2[Date],B203)=0,"-",SUMIFS(Таблица2[B$],Таблица2[Date],B203))</f>
        <v>-</v>
      </c>
      <c r="G203" s="76" t="str">
        <f t="shared" si="6"/>
        <v>-</v>
      </c>
      <c r="H203" s="77" t="str">
        <f>IFERROR(AVERAGEIFS(Таблица2[AFS],Таблица2[Date],B203)+(AVERAGEIFS(Таблица2[AFS],Таблица2[Date],B203)*0.2),"-")</f>
        <v>-</v>
      </c>
      <c r="I203" s="77" t="str">
        <f t="shared" si="7"/>
        <v>-</v>
      </c>
      <c r="J203" s="77" t="str">
        <f>IFERROR(COUNTIFS(Таблица2[Date],B203,Таблица2[WIN$],"&gt;0")/E203*100,"-")</f>
        <v>-</v>
      </c>
      <c r="K203" s="77" t="str">
        <f>IF(IFERROR((COUNTIFS(Таблица2[Date],B203,Таблица2[K],"K")+SUMIFS(Таблица2[R],#REF!,B203,Таблица2[K],"K"))/E203*100,"-")=0,"-",IFERROR((COUNTIFS(Таблица2[Date],B203,Таблица2[K],"K")+SUMIFS(Таблица2[R],Таблица2[Date],B203,Таблица2[K],"K"))/E203*100,"-"))</f>
        <v>-</v>
      </c>
      <c r="L203" s="77" t="str">
        <f>IF(IFERROR((COUNTIFS(Таблица2[Date],B203,Таблица2[T],"t")+SUMIFS(Таблица2[R],Таблица2[Date],B203,Таблица2[T],"t"))/E203*100,"-")=0,"-",IFERROR((COUNTIFS(Таблица2[Date],B203,Таблица2[T],"t")+SUMIFS(Таблица2[R],Таблица2[Date],B203,Таблица2[T],"t"))/E203*100,"-"))</f>
        <v>-</v>
      </c>
      <c r="M203" s="76" t="str">
        <f>IF(SUMIFS(Таблица2[KO$],Таблица2[Date],B203)=0,"-",SUMIFS(Таблица2[KO$],Таблица2[Date],B203))</f>
        <v>-</v>
      </c>
      <c r="N203" s="76" t="str">
        <f>IF(SUMIFS(Таблица2[WIN$],Таблица2[Date],B203)=0,"-",SUMIFS(Таблица2[WIN$],Таблица2[Date],B203))</f>
        <v>-</v>
      </c>
      <c r="O203" s="76" t="str">
        <f t="shared" si="8"/>
        <v>-</v>
      </c>
    </row>
    <row r="204" spans="1:15" ht="11.1" customHeight="1" x14ac:dyDescent="0.25">
      <c r="A204" s="93">
        <f t="shared" si="9"/>
        <v>118</v>
      </c>
      <c r="B204" s="48"/>
      <c r="C204"/>
      <c r="D204" s="117">
        <f t="shared" si="5"/>
        <v>1900</v>
      </c>
      <c r="E204" s="94" t="str">
        <f>IF(COUNTIFS(Таблица2[Date],B204)+SUMIFS(Таблица2[R],Таблица2[Date],B204)=0,"",COUNTIFS(Таблица2[Date],B204)+SUMIFS(Таблица2[R],Таблица2[Date],B204))</f>
        <v/>
      </c>
      <c r="F204" s="76" t="str">
        <f>IF(SUMIFS(Таблица2[B$],Таблица2[Date],B204)=0,"-",SUMIFS(Таблица2[B$],Таблица2[Date],B204))</f>
        <v>-</v>
      </c>
      <c r="G204" s="76" t="str">
        <f t="shared" si="6"/>
        <v>-</v>
      </c>
      <c r="H204" s="77" t="str">
        <f>IFERROR(AVERAGEIFS(Таблица2[AFS],Таблица2[Date],B204)+(AVERAGEIFS(Таблица2[AFS],Таблица2[Date],B204)*0.2),"-")</f>
        <v>-</v>
      </c>
      <c r="I204" s="77" t="str">
        <f t="shared" si="7"/>
        <v>-</v>
      </c>
      <c r="J204" s="77" t="str">
        <f>IFERROR(COUNTIFS(Таблица2[Date],B204,Таблица2[WIN$],"&gt;0")/E204*100,"-")</f>
        <v>-</v>
      </c>
      <c r="K204" s="77" t="str">
        <f>IF(IFERROR((COUNTIFS(Таблица2[Date],B204,Таблица2[K],"K")+SUMIFS(Таблица2[R],#REF!,B204,Таблица2[K],"K"))/E204*100,"-")=0,"-",IFERROR((COUNTIFS(Таблица2[Date],B204,Таблица2[K],"K")+SUMIFS(Таблица2[R],Таблица2[Date],B204,Таблица2[K],"K"))/E204*100,"-"))</f>
        <v>-</v>
      </c>
      <c r="L204" s="77" t="str">
        <f>IF(IFERROR((COUNTIFS(Таблица2[Date],B204,Таблица2[T],"t")+SUMIFS(Таблица2[R],Таблица2[Date],B204,Таблица2[T],"t"))/E204*100,"-")=0,"-",IFERROR((COUNTIFS(Таблица2[Date],B204,Таблица2[T],"t")+SUMIFS(Таблица2[R],Таблица2[Date],B204,Таблица2[T],"t"))/E204*100,"-"))</f>
        <v>-</v>
      </c>
      <c r="M204" s="76" t="str">
        <f>IF(SUMIFS(Таблица2[KO$],Таблица2[Date],B204)=0,"-",SUMIFS(Таблица2[KO$],Таблица2[Date],B204))</f>
        <v>-</v>
      </c>
      <c r="N204" s="76" t="str">
        <f>IF(SUMIFS(Таблица2[WIN$],Таблица2[Date],B204)=0,"-",SUMIFS(Таблица2[WIN$],Таблица2[Date],B204))</f>
        <v>-</v>
      </c>
      <c r="O204" s="76" t="str">
        <f t="shared" si="8"/>
        <v>-</v>
      </c>
    </row>
    <row r="205" spans="1:15" ht="11.1" customHeight="1" x14ac:dyDescent="0.25">
      <c r="A205" s="93">
        <f t="shared" si="9"/>
        <v>119</v>
      </c>
      <c r="B205" s="48"/>
      <c r="C205"/>
      <c r="D205" s="117">
        <f t="shared" si="5"/>
        <v>1900</v>
      </c>
      <c r="E205" s="94" t="str">
        <f>IF(COUNTIFS(Таблица2[Date],B205)+SUMIFS(Таблица2[R],Таблица2[Date],B205)=0,"",COUNTIFS(Таблица2[Date],B205)+SUMIFS(Таблица2[R],Таблица2[Date],B205))</f>
        <v/>
      </c>
      <c r="F205" s="76" t="str">
        <f>IF(SUMIFS(Таблица2[B$],Таблица2[Date],B205)=0,"-",SUMIFS(Таблица2[B$],Таблица2[Date],B205))</f>
        <v>-</v>
      </c>
      <c r="G205" s="76" t="str">
        <f t="shared" si="6"/>
        <v>-</v>
      </c>
      <c r="H205" s="77" t="str">
        <f>IFERROR(AVERAGEIFS(Таблица2[AFS],Таблица2[Date],B205)+(AVERAGEIFS(Таблица2[AFS],Таблица2[Date],B205)*0.2),"-")</f>
        <v>-</v>
      </c>
      <c r="I205" s="77" t="str">
        <f t="shared" si="7"/>
        <v>-</v>
      </c>
      <c r="J205" s="77" t="str">
        <f>IFERROR(COUNTIFS(Таблица2[Date],B205,Таблица2[WIN$],"&gt;0")/E205*100,"-")</f>
        <v>-</v>
      </c>
      <c r="K205" s="77" t="str">
        <f>IF(IFERROR((COUNTIFS(Таблица2[Date],B205,Таблица2[K],"K")+SUMIFS(Таблица2[R],#REF!,B205,Таблица2[K],"K"))/E205*100,"-")=0,"-",IFERROR((COUNTIFS(Таблица2[Date],B205,Таблица2[K],"K")+SUMIFS(Таблица2[R],Таблица2[Date],B205,Таблица2[K],"K"))/E205*100,"-"))</f>
        <v>-</v>
      </c>
      <c r="L205" s="77" t="str">
        <f>IF(IFERROR((COUNTIFS(Таблица2[Date],B205,Таблица2[T],"t")+SUMIFS(Таблица2[R],Таблица2[Date],B205,Таблица2[T],"t"))/E205*100,"-")=0,"-",IFERROR((COUNTIFS(Таблица2[Date],B205,Таблица2[T],"t")+SUMIFS(Таблица2[R],Таблица2[Date],B205,Таблица2[T],"t"))/E205*100,"-"))</f>
        <v>-</v>
      </c>
      <c r="M205" s="76" t="str">
        <f>IF(SUMIFS(Таблица2[KO$],Таблица2[Date],B205)=0,"-",SUMIFS(Таблица2[KO$],Таблица2[Date],B205))</f>
        <v>-</v>
      </c>
      <c r="N205" s="76" t="str">
        <f>IF(SUMIFS(Таблица2[WIN$],Таблица2[Date],B205)=0,"-",SUMIFS(Таблица2[WIN$],Таблица2[Date],B205))</f>
        <v>-</v>
      </c>
      <c r="O205" s="76" t="str">
        <f t="shared" si="8"/>
        <v>-</v>
      </c>
    </row>
    <row r="206" spans="1:15" ht="11.1" customHeight="1" x14ac:dyDescent="0.25">
      <c r="A206" s="93">
        <f t="shared" si="9"/>
        <v>120</v>
      </c>
      <c r="B206" s="48"/>
      <c r="C206"/>
      <c r="D206" s="117">
        <f t="shared" si="5"/>
        <v>1900</v>
      </c>
      <c r="E206" s="94" t="str">
        <f>IF(COUNTIFS(Таблица2[Date],B206)+SUMIFS(Таблица2[R],Таблица2[Date],B206)=0,"",COUNTIFS(Таблица2[Date],B206)+SUMIFS(Таблица2[R],Таблица2[Date],B206))</f>
        <v/>
      </c>
      <c r="F206" s="76" t="str">
        <f>IF(SUMIFS(Таблица2[B$],Таблица2[Date],B206)=0,"-",SUMIFS(Таблица2[B$],Таблица2[Date],B206))</f>
        <v>-</v>
      </c>
      <c r="G206" s="76" t="str">
        <f t="shared" si="6"/>
        <v>-</v>
      </c>
      <c r="H206" s="77" t="str">
        <f>IFERROR(AVERAGEIFS(Таблица2[AFS],Таблица2[Date],B206)+(AVERAGEIFS(Таблица2[AFS],Таблица2[Date],B206)*0.2),"-")</f>
        <v>-</v>
      </c>
      <c r="I206" s="77" t="str">
        <f t="shared" si="7"/>
        <v>-</v>
      </c>
      <c r="J206" s="77" t="str">
        <f>IFERROR(COUNTIFS(Таблица2[Date],B206,Таблица2[WIN$],"&gt;0")/E206*100,"-")</f>
        <v>-</v>
      </c>
      <c r="K206" s="77" t="str">
        <f>IF(IFERROR((COUNTIFS(Таблица2[Date],B206,Таблица2[K],"K")+SUMIFS(Таблица2[R],#REF!,B206,Таблица2[K],"K"))/E206*100,"-")=0,"-",IFERROR((COUNTIFS(Таблица2[Date],B206,Таблица2[K],"K")+SUMIFS(Таблица2[R],Таблица2[Date],B206,Таблица2[K],"K"))/E206*100,"-"))</f>
        <v>-</v>
      </c>
      <c r="L206" s="77" t="str">
        <f>IF(IFERROR((COUNTIFS(Таблица2[Date],B206,Таблица2[T],"t")+SUMIFS(Таблица2[R],Таблица2[Date],B206,Таблица2[T],"t"))/E206*100,"-")=0,"-",IFERROR((COUNTIFS(Таблица2[Date],B206,Таблица2[T],"t")+SUMIFS(Таблица2[R],Таблица2[Date],B206,Таблица2[T],"t"))/E206*100,"-"))</f>
        <v>-</v>
      </c>
      <c r="M206" s="76" t="str">
        <f>IF(SUMIFS(Таблица2[KO$],Таблица2[Date],B206)=0,"-",SUMIFS(Таблица2[KO$],Таблица2[Date],B206))</f>
        <v>-</v>
      </c>
      <c r="N206" s="76" t="str">
        <f>IF(SUMIFS(Таблица2[WIN$],Таблица2[Date],B206)=0,"-",SUMIFS(Таблица2[WIN$],Таблица2[Date],B206))</f>
        <v>-</v>
      </c>
      <c r="O206" s="76" t="str">
        <f t="shared" si="8"/>
        <v>-</v>
      </c>
    </row>
    <row r="207" spans="1:15" ht="11.1" customHeight="1" x14ac:dyDescent="0.25">
      <c r="A207" s="93">
        <f t="shared" si="9"/>
        <v>121</v>
      </c>
      <c r="B207" s="48"/>
      <c r="C207"/>
      <c r="D207" s="117">
        <f t="shared" si="5"/>
        <v>1900</v>
      </c>
      <c r="E207" s="94" t="str">
        <f>IF(COUNTIFS(Таблица2[Date],B207)+SUMIFS(Таблица2[R],Таблица2[Date],B207)=0,"",COUNTIFS(Таблица2[Date],B207)+SUMIFS(Таблица2[R],Таблица2[Date],B207))</f>
        <v/>
      </c>
      <c r="F207" s="76" t="str">
        <f>IF(SUMIFS(Таблица2[B$],Таблица2[Date],B207)=0,"-",SUMIFS(Таблица2[B$],Таблица2[Date],B207))</f>
        <v>-</v>
      </c>
      <c r="G207" s="76" t="str">
        <f t="shared" si="6"/>
        <v>-</v>
      </c>
      <c r="H207" s="77" t="str">
        <f>IFERROR(AVERAGEIFS(Таблица2[AFS],Таблица2[Date],B207)+(AVERAGEIFS(Таблица2[AFS],Таблица2[Date],B207)*0.2),"-")</f>
        <v>-</v>
      </c>
      <c r="I207" s="77" t="str">
        <f t="shared" si="7"/>
        <v>-</v>
      </c>
      <c r="J207" s="77" t="str">
        <f>IFERROR(COUNTIFS(Таблица2[Date],B207,Таблица2[WIN$],"&gt;0")/E207*100,"-")</f>
        <v>-</v>
      </c>
      <c r="K207" s="77" t="str">
        <f>IF(IFERROR((COUNTIFS(Таблица2[Date],B207,Таблица2[K],"K")+SUMIFS(Таблица2[R],#REF!,B207,Таблица2[K],"K"))/E207*100,"-")=0,"-",IFERROR((COUNTIFS(Таблица2[Date],B207,Таблица2[K],"K")+SUMIFS(Таблица2[R],Таблица2[Date],B207,Таблица2[K],"K"))/E207*100,"-"))</f>
        <v>-</v>
      </c>
      <c r="L207" s="77" t="str">
        <f>IF(IFERROR((COUNTIFS(Таблица2[Date],B207,Таблица2[T],"t")+SUMIFS(Таблица2[R],Таблица2[Date],B207,Таблица2[T],"t"))/E207*100,"-")=0,"-",IFERROR((COUNTIFS(Таблица2[Date],B207,Таблица2[T],"t")+SUMIFS(Таблица2[R],Таблица2[Date],B207,Таблица2[T],"t"))/E207*100,"-"))</f>
        <v>-</v>
      </c>
      <c r="M207" s="76" t="str">
        <f>IF(SUMIFS(Таблица2[KO$],Таблица2[Date],B207)=0,"-",SUMIFS(Таблица2[KO$],Таблица2[Date],B207))</f>
        <v>-</v>
      </c>
      <c r="N207" s="76" t="str">
        <f>IF(SUMIFS(Таблица2[WIN$],Таблица2[Date],B207)=0,"-",SUMIFS(Таблица2[WIN$],Таблица2[Date],B207))</f>
        <v>-</v>
      </c>
      <c r="O207" s="76" t="str">
        <f t="shared" si="8"/>
        <v>-</v>
      </c>
    </row>
    <row r="208" spans="1:15" ht="11.1" customHeight="1" x14ac:dyDescent="0.25">
      <c r="A208" s="93">
        <f t="shared" si="9"/>
        <v>122</v>
      </c>
      <c r="B208" s="48"/>
      <c r="C208"/>
      <c r="D208" s="117">
        <f t="shared" si="5"/>
        <v>1900</v>
      </c>
      <c r="E208" s="94" t="str">
        <f>IF(COUNTIFS(Таблица2[Date],B208)+SUMIFS(Таблица2[R],Таблица2[Date],B208)=0,"",COUNTIFS(Таблица2[Date],B208)+SUMIFS(Таблица2[R],Таблица2[Date],B208))</f>
        <v/>
      </c>
      <c r="F208" s="76" t="str">
        <f>IF(SUMIFS(Таблица2[B$],Таблица2[Date],B208)=0,"-",SUMIFS(Таблица2[B$],Таблица2[Date],B208))</f>
        <v>-</v>
      </c>
      <c r="G208" s="76" t="str">
        <f t="shared" si="6"/>
        <v>-</v>
      </c>
      <c r="H208" s="77" t="str">
        <f>IFERROR(AVERAGEIFS(Таблица2[AFS],Таблица2[Date],B208)+(AVERAGEIFS(Таблица2[AFS],Таблица2[Date],B208)*0.2),"-")</f>
        <v>-</v>
      </c>
      <c r="I208" s="77" t="str">
        <f t="shared" si="7"/>
        <v>-</v>
      </c>
      <c r="J208" s="77" t="str">
        <f>IFERROR(COUNTIFS(Таблица2[Date],B208,Таблица2[WIN$],"&gt;0")/E208*100,"-")</f>
        <v>-</v>
      </c>
      <c r="K208" s="77" t="str">
        <f>IF(IFERROR((COUNTIFS(Таблица2[Date],B208,Таблица2[K],"K")+SUMIFS(Таблица2[R],#REF!,B208,Таблица2[K],"K"))/E208*100,"-")=0,"-",IFERROR((COUNTIFS(Таблица2[Date],B208,Таблица2[K],"K")+SUMIFS(Таблица2[R],Таблица2[Date],B208,Таблица2[K],"K"))/E208*100,"-"))</f>
        <v>-</v>
      </c>
      <c r="L208" s="77" t="str">
        <f>IF(IFERROR((COUNTIFS(Таблица2[Date],B208,Таблица2[T],"t")+SUMIFS(Таблица2[R],Таблица2[Date],B208,Таблица2[T],"t"))/E208*100,"-")=0,"-",IFERROR((COUNTIFS(Таблица2[Date],B208,Таблица2[T],"t")+SUMIFS(Таблица2[R],Таблица2[Date],B208,Таблица2[T],"t"))/E208*100,"-"))</f>
        <v>-</v>
      </c>
      <c r="M208" s="76" t="str">
        <f>IF(SUMIFS(Таблица2[KO$],Таблица2[Date],B208)=0,"-",SUMIFS(Таблица2[KO$],Таблица2[Date],B208))</f>
        <v>-</v>
      </c>
      <c r="N208" s="76" t="str">
        <f>IF(SUMIFS(Таблица2[WIN$],Таблица2[Date],B208)=0,"-",SUMIFS(Таблица2[WIN$],Таблица2[Date],B208))</f>
        <v>-</v>
      </c>
      <c r="O208" s="76" t="str">
        <f t="shared" si="8"/>
        <v>-</v>
      </c>
    </row>
    <row r="209" spans="1:15" ht="11.1" customHeight="1" x14ac:dyDescent="0.25">
      <c r="A209" s="93">
        <f t="shared" si="9"/>
        <v>123</v>
      </c>
      <c r="B209" s="48"/>
      <c r="C209"/>
      <c r="D209" s="117">
        <f t="shared" si="5"/>
        <v>1900</v>
      </c>
      <c r="E209" s="94" t="str">
        <f>IF(COUNTIFS(Таблица2[Date],B209)+SUMIFS(Таблица2[R],Таблица2[Date],B209)=0,"",COUNTIFS(Таблица2[Date],B209)+SUMIFS(Таблица2[R],Таблица2[Date],B209))</f>
        <v/>
      </c>
      <c r="F209" s="76" t="str">
        <f>IF(SUMIFS(Таблица2[B$],Таблица2[Date],B209)=0,"-",SUMIFS(Таблица2[B$],Таблица2[Date],B209))</f>
        <v>-</v>
      </c>
      <c r="G209" s="76" t="str">
        <f t="shared" si="6"/>
        <v>-</v>
      </c>
      <c r="H209" s="77" t="str">
        <f>IFERROR(AVERAGEIFS(Таблица2[AFS],Таблица2[Date],B209)+(AVERAGEIFS(Таблица2[AFS],Таблица2[Date],B209)*0.2),"-")</f>
        <v>-</v>
      </c>
      <c r="I209" s="77" t="str">
        <f t="shared" si="7"/>
        <v>-</v>
      </c>
      <c r="J209" s="77" t="str">
        <f>IFERROR(COUNTIFS(Таблица2[Date],B209,Таблица2[WIN$],"&gt;0")/E209*100,"-")</f>
        <v>-</v>
      </c>
      <c r="K209" s="77" t="str">
        <f>IF(IFERROR((COUNTIFS(Таблица2[Date],B209,Таблица2[K],"K")+SUMIFS(Таблица2[R],#REF!,B209,Таблица2[K],"K"))/E209*100,"-")=0,"-",IFERROR((COUNTIFS(Таблица2[Date],B209,Таблица2[K],"K")+SUMIFS(Таблица2[R],Таблица2[Date],B209,Таблица2[K],"K"))/E209*100,"-"))</f>
        <v>-</v>
      </c>
      <c r="L209" s="77" t="str">
        <f>IF(IFERROR((COUNTIFS(Таблица2[Date],B209,Таблица2[T],"t")+SUMIFS(Таблица2[R],Таблица2[Date],B209,Таблица2[T],"t"))/E209*100,"-")=0,"-",IFERROR((COUNTIFS(Таблица2[Date],B209,Таблица2[T],"t")+SUMIFS(Таблица2[R],Таблица2[Date],B209,Таблица2[T],"t"))/E209*100,"-"))</f>
        <v>-</v>
      </c>
      <c r="M209" s="76" t="str">
        <f>IF(SUMIFS(Таблица2[KO$],Таблица2[Date],B209)=0,"-",SUMIFS(Таблица2[KO$],Таблица2[Date],B209))</f>
        <v>-</v>
      </c>
      <c r="N209" s="76" t="str">
        <f>IF(SUMIFS(Таблица2[WIN$],Таблица2[Date],B209)=0,"-",SUMIFS(Таблица2[WIN$],Таблица2[Date],B209))</f>
        <v>-</v>
      </c>
      <c r="O209" s="76" t="str">
        <f t="shared" si="8"/>
        <v>-</v>
      </c>
    </row>
    <row r="210" spans="1:15" ht="11.1" customHeight="1" x14ac:dyDescent="0.25">
      <c r="A210" s="93">
        <f t="shared" si="9"/>
        <v>124</v>
      </c>
      <c r="B210" s="48"/>
      <c r="C210"/>
      <c r="D210" s="117">
        <f t="shared" si="5"/>
        <v>1900</v>
      </c>
      <c r="E210" s="94" t="str">
        <f>IF(COUNTIFS(Таблица2[Date],B210)+SUMIFS(Таблица2[R],Таблица2[Date],B210)=0,"",COUNTIFS(Таблица2[Date],B210)+SUMIFS(Таблица2[R],Таблица2[Date],B210))</f>
        <v/>
      </c>
      <c r="F210" s="76" t="str">
        <f>IF(SUMIFS(Таблица2[B$],Таблица2[Date],B210)=0,"-",SUMIFS(Таблица2[B$],Таблица2[Date],B210))</f>
        <v>-</v>
      </c>
      <c r="G210" s="76" t="str">
        <f t="shared" si="6"/>
        <v>-</v>
      </c>
      <c r="H210" s="77" t="str">
        <f>IFERROR(AVERAGEIFS(Таблица2[AFS],Таблица2[Date],B210)+(AVERAGEIFS(Таблица2[AFS],Таблица2[Date],B210)*0.2),"-")</f>
        <v>-</v>
      </c>
      <c r="I210" s="77" t="str">
        <f t="shared" si="7"/>
        <v>-</v>
      </c>
      <c r="J210" s="77" t="str">
        <f>IFERROR(COUNTIFS(Таблица2[Date],B210,Таблица2[WIN$],"&gt;0")/E210*100,"-")</f>
        <v>-</v>
      </c>
      <c r="K210" s="77" t="str">
        <f>IF(IFERROR((COUNTIFS(Таблица2[Date],B210,Таблица2[K],"K")+SUMIFS(Таблица2[R],#REF!,B210,Таблица2[K],"K"))/E210*100,"-")=0,"-",IFERROR((COUNTIFS(Таблица2[Date],B210,Таблица2[K],"K")+SUMIFS(Таблица2[R],Таблица2[Date],B210,Таблица2[K],"K"))/E210*100,"-"))</f>
        <v>-</v>
      </c>
      <c r="L210" s="77" t="str">
        <f>IF(IFERROR((COUNTIFS(Таблица2[Date],B210,Таблица2[T],"t")+SUMIFS(Таблица2[R],Таблица2[Date],B210,Таблица2[T],"t"))/E210*100,"-")=0,"-",IFERROR((COUNTIFS(Таблица2[Date],B210,Таблица2[T],"t")+SUMIFS(Таблица2[R],Таблица2[Date],B210,Таблица2[T],"t"))/E210*100,"-"))</f>
        <v>-</v>
      </c>
      <c r="M210" s="76" t="str">
        <f>IF(SUMIFS(Таблица2[KO$],Таблица2[Date],B210)=0,"-",SUMIFS(Таблица2[KO$],Таблица2[Date],B210))</f>
        <v>-</v>
      </c>
      <c r="N210" s="76" t="str">
        <f>IF(SUMIFS(Таблица2[WIN$],Таблица2[Date],B210)=0,"-",SUMIFS(Таблица2[WIN$],Таблица2[Date],B210))</f>
        <v>-</v>
      </c>
      <c r="O210" s="76" t="str">
        <f t="shared" si="8"/>
        <v>-</v>
      </c>
    </row>
    <row r="211" spans="1:15" ht="11.1" customHeight="1" x14ac:dyDescent="0.25">
      <c r="A211" s="93">
        <f t="shared" si="9"/>
        <v>125</v>
      </c>
      <c r="B211" s="48"/>
      <c r="C211"/>
      <c r="D211" s="117">
        <f t="shared" si="5"/>
        <v>1900</v>
      </c>
      <c r="E211" s="94" t="str">
        <f>IF(COUNTIFS(Таблица2[Date],B211)+SUMIFS(Таблица2[R],Таблица2[Date],B211)=0,"",COUNTIFS(Таблица2[Date],B211)+SUMIFS(Таблица2[R],Таблица2[Date],B211))</f>
        <v/>
      </c>
      <c r="F211" s="76" t="str">
        <f>IF(SUMIFS(Таблица2[B$],Таблица2[Date],B211)=0,"-",SUMIFS(Таблица2[B$],Таблица2[Date],B211))</f>
        <v>-</v>
      </c>
      <c r="G211" s="76" t="str">
        <f t="shared" si="6"/>
        <v>-</v>
      </c>
      <c r="H211" s="77" t="str">
        <f>IFERROR(AVERAGEIFS(Таблица2[AFS],Таблица2[Date],B211)+(AVERAGEIFS(Таблица2[AFS],Таблица2[Date],B211)*0.2),"-")</f>
        <v>-</v>
      </c>
      <c r="I211" s="77" t="str">
        <f t="shared" si="7"/>
        <v>-</v>
      </c>
      <c r="J211" s="77" t="str">
        <f>IFERROR(COUNTIFS(Таблица2[Date],B211,Таблица2[WIN$],"&gt;0")/E211*100,"-")</f>
        <v>-</v>
      </c>
      <c r="K211" s="77" t="str">
        <f>IF(IFERROR((COUNTIFS(Таблица2[Date],B211,Таблица2[K],"K")+SUMIFS(Таблица2[R],#REF!,B211,Таблица2[K],"K"))/E211*100,"-")=0,"-",IFERROR((COUNTIFS(Таблица2[Date],B211,Таблица2[K],"K")+SUMIFS(Таблица2[R],Таблица2[Date],B211,Таблица2[K],"K"))/E211*100,"-"))</f>
        <v>-</v>
      </c>
      <c r="L211" s="77" t="str">
        <f>IF(IFERROR((COUNTIFS(Таблица2[Date],B211,Таблица2[T],"t")+SUMIFS(Таблица2[R],Таблица2[Date],B211,Таблица2[T],"t"))/E211*100,"-")=0,"-",IFERROR((COUNTIFS(Таблица2[Date],B211,Таблица2[T],"t")+SUMIFS(Таблица2[R],Таблица2[Date],B211,Таблица2[T],"t"))/E211*100,"-"))</f>
        <v>-</v>
      </c>
      <c r="M211" s="76" t="str">
        <f>IF(SUMIFS(Таблица2[KO$],Таблица2[Date],B211)=0,"-",SUMIFS(Таблица2[KO$],Таблица2[Date],B211))</f>
        <v>-</v>
      </c>
      <c r="N211" s="76" t="str">
        <f>IF(SUMIFS(Таблица2[WIN$],Таблица2[Date],B211)=0,"-",SUMIFS(Таблица2[WIN$],Таблица2[Date],B211))</f>
        <v>-</v>
      </c>
      <c r="O211" s="76" t="str">
        <f t="shared" si="8"/>
        <v>-</v>
      </c>
    </row>
    <row r="212" spans="1:15" ht="11.1" customHeight="1" x14ac:dyDescent="0.25">
      <c r="A212" s="93">
        <f t="shared" si="9"/>
        <v>126</v>
      </c>
      <c r="B212" s="48"/>
      <c r="C212"/>
      <c r="D212" s="117">
        <f t="shared" si="5"/>
        <v>1900</v>
      </c>
      <c r="E212" s="94" t="str">
        <f>IF(COUNTIFS(Таблица2[Date],B212)+SUMIFS(Таблица2[R],Таблица2[Date],B212)=0,"",COUNTIFS(Таблица2[Date],B212)+SUMIFS(Таблица2[R],Таблица2[Date],B212))</f>
        <v/>
      </c>
      <c r="F212" s="76" t="str">
        <f>IF(SUMIFS(Таблица2[B$],Таблица2[Date],B212)=0,"-",SUMIFS(Таблица2[B$],Таблица2[Date],B212))</f>
        <v>-</v>
      </c>
      <c r="G212" s="76" t="str">
        <f t="shared" si="6"/>
        <v>-</v>
      </c>
      <c r="H212" s="77" t="str">
        <f>IFERROR(AVERAGEIFS(Таблица2[AFS],Таблица2[Date],B212)+(AVERAGEIFS(Таблица2[AFS],Таблица2[Date],B212)*0.2),"-")</f>
        <v>-</v>
      </c>
      <c r="I212" s="77" t="str">
        <f t="shared" si="7"/>
        <v>-</v>
      </c>
      <c r="J212" s="77" t="str">
        <f>IFERROR(COUNTIFS(Таблица2[Date],B212,Таблица2[WIN$],"&gt;0")/E212*100,"-")</f>
        <v>-</v>
      </c>
      <c r="K212" s="77" t="str">
        <f>IF(IFERROR((COUNTIFS(Таблица2[Date],B212,Таблица2[K],"K")+SUMIFS(Таблица2[R],#REF!,B212,Таблица2[K],"K"))/E212*100,"-")=0,"-",IFERROR((COUNTIFS(Таблица2[Date],B212,Таблица2[K],"K")+SUMIFS(Таблица2[R],Таблица2[Date],B212,Таблица2[K],"K"))/E212*100,"-"))</f>
        <v>-</v>
      </c>
      <c r="L212" s="77" t="str">
        <f>IF(IFERROR((COUNTIFS(Таблица2[Date],B212,Таблица2[T],"t")+SUMIFS(Таблица2[R],Таблица2[Date],B212,Таблица2[T],"t"))/E212*100,"-")=0,"-",IFERROR((COUNTIFS(Таблица2[Date],B212,Таблица2[T],"t")+SUMIFS(Таблица2[R],Таблица2[Date],B212,Таблица2[T],"t"))/E212*100,"-"))</f>
        <v>-</v>
      </c>
      <c r="M212" s="76" t="str">
        <f>IF(SUMIFS(Таблица2[KO$],Таблица2[Date],B212)=0,"-",SUMIFS(Таблица2[KO$],Таблица2[Date],B212))</f>
        <v>-</v>
      </c>
      <c r="N212" s="76" t="str">
        <f>IF(SUMIFS(Таблица2[WIN$],Таблица2[Date],B212)=0,"-",SUMIFS(Таблица2[WIN$],Таблица2[Date],B212))</f>
        <v>-</v>
      </c>
      <c r="O212" s="76" t="str">
        <f t="shared" si="8"/>
        <v>-</v>
      </c>
    </row>
    <row r="213" spans="1:15" ht="11.1" customHeight="1" x14ac:dyDescent="0.25">
      <c r="A213" s="93">
        <f t="shared" si="9"/>
        <v>127</v>
      </c>
      <c r="B213" s="48"/>
      <c r="C213"/>
      <c r="D213" s="117">
        <f t="shared" si="5"/>
        <v>1900</v>
      </c>
      <c r="E213" s="94" t="str">
        <f>IF(COUNTIFS(Таблица2[Date],B213)+SUMIFS(Таблица2[R],Таблица2[Date],B213)=0,"",COUNTIFS(Таблица2[Date],B213)+SUMIFS(Таблица2[R],Таблица2[Date],B213))</f>
        <v/>
      </c>
      <c r="F213" s="76" t="str">
        <f>IF(SUMIFS(Таблица2[B$],Таблица2[Date],B213)=0,"-",SUMIFS(Таблица2[B$],Таблица2[Date],B213))</f>
        <v>-</v>
      </c>
      <c r="G213" s="76" t="str">
        <f t="shared" si="6"/>
        <v>-</v>
      </c>
      <c r="H213" s="77" t="str">
        <f>IFERROR(AVERAGEIFS(Таблица2[AFS],Таблица2[Date],B213)+(AVERAGEIFS(Таблица2[AFS],Таблица2[Date],B213)*0.2),"-")</f>
        <v>-</v>
      </c>
      <c r="I213" s="77" t="str">
        <f t="shared" si="7"/>
        <v>-</v>
      </c>
      <c r="J213" s="77" t="str">
        <f>IFERROR(COUNTIFS(Таблица2[Date],B213,Таблица2[WIN$],"&gt;0")/E213*100,"-")</f>
        <v>-</v>
      </c>
      <c r="K213" s="77" t="str">
        <f>IF(IFERROR((COUNTIFS(Таблица2[Date],B213,Таблица2[K],"K")+SUMIFS(Таблица2[R],#REF!,B213,Таблица2[K],"K"))/E213*100,"-")=0,"-",IFERROR((COUNTIFS(Таблица2[Date],B213,Таблица2[K],"K")+SUMIFS(Таблица2[R],Таблица2[Date],B213,Таблица2[K],"K"))/E213*100,"-"))</f>
        <v>-</v>
      </c>
      <c r="L213" s="77" t="str">
        <f>IF(IFERROR((COUNTIFS(Таблица2[Date],B213,Таблица2[T],"t")+SUMIFS(Таблица2[R],Таблица2[Date],B213,Таблица2[T],"t"))/E213*100,"-")=0,"-",IFERROR((COUNTIFS(Таблица2[Date],B213,Таблица2[T],"t")+SUMIFS(Таблица2[R],Таблица2[Date],B213,Таблица2[T],"t"))/E213*100,"-"))</f>
        <v>-</v>
      </c>
      <c r="M213" s="76" t="str">
        <f>IF(SUMIFS(Таблица2[KO$],Таблица2[Date],B213)=0,"-",SUMIFS(Таблица2[KO$],Таблица2[Date],B213))</f>
        <v>-</v>
      </c>
      <c r="N213" s="76" t="str">
        <f>IF(SUMIFS(Таблица2[WIN$],Таблица2[Date],B213)=0,"-",SUMIFS(Таблица2[WIN$],Таблица2[Date],B213))</f>
        <v>-</v>
      </c>
      <c r="O213" s="76" t="str">
        <f t="shared" si="8"/>
        <v>-</v>
      </c>
    </row>
    <row r="214" spans="1:15" ht="11.1" customHeight="1" x14ac:dyDescent="0.25">
      <c r="A214" s="93">
        <f t="shared" si="9"/>
        <v>128</v>
      </c>
      <c r="B214" s="48"/>
      <c r="C214"/>
      <c r="D214" s="117">
        <f t="shared" si="5"/>
        <v>1900</v>
      </c>
      <c r="E214" s="94" t="str">
        <f>IF(COUNTIFS(Таблица2[Date],B214)+SUMIFS(Таблица2[R],Таблица2[Date],B214)=0,"",COUNTIFS(Таблица2[Date],B214)+SUMIFS(Таблица2[R],Таблица2[Date],B214))</f>
        <v/>
      </c>
      <c r="F214" s="76" t="str">
        <f>IF(SUMIFS(Таблица2[B$],Таблица2[Date],B214)=0,"-",SUMIFS(Таблица2[B$],Таблица2[Date],B214))</f>
        <v>-</v>
      </c>
      <c r="G214" s="76" t="str">
        <f t="shared" si="6"/>
        <v>-</v>
      </c>
      <c r="H214" s="77" t="str">
        <f>IFERROR(AVERAGEIFS(Таблица2[AFS],Таблица2[Date],B214)+(AVERAGEIFS(Таблица2[AFS],Таблица2[Date],B214)*0.2),"-")</f>
        <v>-</v>
      </c>
      <c r="I214" s="77" t="str">
        <f t="shared" si="7"/>
        <v>-</v>
      </c>
      <c r="J214" s="77" t="str">
        <f>IFERROR(COUNTIFS(Таблица2[Date],B214,Таблица2[WIN$],"&gt;0")/E214*100,"-")</f>
        <v>-</v>
      </c>
      <c r="K214" s="77" t="str">
        <f>IF(IFERROR((COUNTIFS(Таблица2[Date],B214,Таблица2[K],"K")+SUMIFS(Таблица2[R],#REF!,B214,Таблица2[K],"K"))/E214*100,"-")=0,"-",IFERROR((COUNTIFS(Таблица2[Date],B214,Таблица2[K],"K")+SUMIFS(Таблица2[R],Таблица2[Date],B214,Таблица2[K],"K"))/E214*100,"-"))</f>
        <v>-</v>
      </c>
      <c r="L214" s="77" t="str">
        <f>IF(IFERROR((COUNTIFS(Таблица2[Date],B214,Таблица2[T],"t")+SUMIFS(Таблица2[R],Таблица2[Date],B214,Таблица2[T],"t"))/E214*100,"-")=0,"-",IFERROR((COUNTIFS(Таблица2[Date],B214,Таблица2[T],"t")+SUMIFS(Таблица2[R],Таблица2[Date],B214,Таблица2[T],"t"))/E214*100,"-"))</f>
        <v>-</v>
      </c>
      <c r="M214" s="76" t="str">
        <f>IF(SUMIFS(Таблица2[KO$],Таблица2[Date],B214)=0,"-",SUMIFS(Таблица2[KO$],Таблица2[Date],B214))</f>
        <v>-</v>
      </c>
      <c r="N214" s="76" t="str">
        <f>IF(SUMIFS(Таблица2[WIN$],Таблица2[Date],B214)=0,"-",SUMIFS(Таблица2[WIN$],Таблица2[Date],B214))</f>
        <v>-</v>
      </c>
      <c r="O214" s="76" t="str">
        <f t="shared" si="8"/>
        <v>-</v>
      </c>
    </row>
    <row r="215" spans="1:15" ht="11.1" customHeight="1" x14ac:dyDescent="0.25">
      <c r="A215" s="93">
        <f t="shared" si="9"/>
        <v>129</v>
      </c>
      <c r="B215" s="48"/>
      <c r="C215"/>
      <c r="D215" s="117">
        <f t="shared" ref="D215:D278" si="10">YEAR(B215)</f>
        <v>1900</v>
      </c>
      <c r="E215" s="94" t="str">
        <f>IF(COUNTIFS(Таблица2[Date],B215)+SUMIFS(Таблица2[R],Таблица2[Date],B215)=0,"",COUNTIFS(Таблица2[Date],B215)+SUMIFS(Таблица2[R],Таблица2[Date],B215))</f>
        <v/>
      </c>
      <c r="F215" s="76" t="str">
        <f>IF(SUMIFS(Таблица2[B$],Таблица2[Date],B215)=0,"-",SUMIFS(Таблица2[B$],Таблица2[Date],B215))</f>
        <v>-</v>
      </c>
      <c r="G215" s="76" t="str">
        <f t="shared" ref="G215:G278" si="11">IFERROR(F215/E215,"-")</f>
        <v>-</v>
      </c>
      <c r="H215" s="77" t="str">
        <f>IFERROR(AVERAGEIFS(Таблица2[AFS],Таблица2[Date],B215)+(AVERAGEIFS(Таблица2[AFS],Таблица2[Date],B215)*0.2),"-")</f>
        <v>-</v>
      </c>
      <c r="I215" s="77" t="str">
        <f t="shared" ref="I215:I278" si="12">IFERROR(O215/F215*100,"-")</f>
        <v>-</v>
      </c>
      <c r="J215" s="77" t="str">
        <f>IFERROR(COUNTIFS(Таблица2[Date],B215,Таблица2[WIN$],"&gt;0")/E215*100,"-")</f>
        <v>-</v>
      </c>
      <c r="K215" s="77" t="str">
        <f>IF(IFERROR((COUNTIFS(Таблица2[Date],B215,Таблица2[K],"K")+SUMIFS(Таблица2[R],#REF!,B215,Таблица2[K],"K"))/E215*100,"-")=0,"-",IFERROR((COUNTIFS(Таблица2[Date],B215,Таблица2[K],"K")+SUMIFS(Таблица2[R],Таблица2[Date],B215,Таблица2[K],"K"))/E215*100,"-"))</f>
        <v>-</v>
      </c>
      <c r="L215" s="77" t="str">
        <f>IF(IFERROR((COUNTIFS(Таблица2[Date],B215,Таблица2[T],"t")+SUMIFS(Таблица2[R],Таблица2[Date],B215,Таблица2[T],"t"))/E215*100,"-")=0,"-",IFERROR((COUNTIFS(Таблица2[Date],B215,Таблица2[T],"t")+SUMIFS(Таблица2[R],Таблица2[Date],B215,Таблица2[T],"t"))/E215*100,"-"))</f>
        <v>-</v>
      </c>
      <c r="M215" s="76" t="str">
        <f>IF(SUMIFS(Таблица2[KO$],Таблица2[Date],B215)=0,"-",SUMIFS(Таблица2[KO$],Таблица2[Date],B215))</f>
        <v>-</v>
      </c>
      <c r="N215" s="76" t="str">
        <f>IF(SUMIFS(Таблица2[WIN$],Таблица2[Date],B215)=0,"-",SUMIFS(Таблица2[WIN$],Таблица2[Date],B215))</f>
        <v>-</v>
      </c>
      <c r="O215" s="76" t="str">
        <f t="shared" ref="O215:O278" si="13">IFERROR(IF(N215="-",0,N215)+IF(M215="-",0,M215)-F215,"-")</f>
        <v>-</v>
      </c>
    </row>
    <row r="216" spans="1:15" ht="11.1" customHeight="1" x14ac:dyDescent="0.25">
      <c r="A216" s="93">
        <f t="shared" ref="A216:A279" si="14">A215+1</f>
        <v>130</v>
      </c>
      <c r="B216" s="48"/>
      <c r="C216"/>
      <c r="D216" s="117">
        <f t="shared" si="10"/>
        <v>1900</v>
      </c>
      <c r="E216" s="94" t="str">
        <f>IF(COUNTIFS(Таблица2[Date],B216)+SUMIFS(Таблица2[R],Таблица2[Date],B216)=0,"",COUNTIFS(Таблица2[Date],B216)+SUMIFS(Таблица2[R],Таблица2[Date],B216))</f>
        <v/>
      </c>
      <c r="F216" s="76" t="str">
        <f>IF(SUMIFS(Таблица2[B$],Таблица2[Date],B216)=0,"-",SUMIFS(Таблица2[B$],Таблица2[Date],B216))</f>
        <v>-</v>
      </c>
      <c r="G216" s="76" t="str">
        <f t="shared" si="11"/>
        <v>-</v>
      </c>
      <c r="H216" s="77" t="str">
        <f>IFERROR(AVERAGEIFS(Таблица2[AFS],Таблица2[Date],B216)+(AVERAGEIFS(Таблица2[AFS],Таблица2[Date],B216)*0.2),"-")</f>
        <v>-</v>
      </c>
      <c r="I216" s="77" t="str">
        <f t="shared" si="12"/>
        <v>-</v>
      </c>
      <c r="J216" s="77" t="str">
        <f>IFERROR(COUNTIFS(Таблица2[Date],B216,Таблица2[WIN$],"&gt;0")/E216*100,"-")</f>
        <v>-</v>
      </c>
      <c r="K216" s="77" t="str">
        <f>IF(IFERROR((COUNTIFS(Таблица2[Date],B216,Таблица2[K],"K")+SUMIFS(Таблица2[R],#REF!,B216,Таблица2[K],"K"))/E216*100,"-")=0,"-",IFERROR((COUNTIFS(Таблица2[Date],B216,Таблица2[K],"K")+SUMIFS(Таблица2[R],Таблица2[Date],B216,Таблица2[K],"K"))/E216*100,"-"))</f>
        <v>-</v>
      </c>
      <c r="L216" s="77" t="str">
        <f>IF(IFERROR((COUNTIFS(Таблица2[Date],B216,Таблица2[T],"t")+SUMIFS(Таблица2[R],Таблица2[Date],B216,Таблица2[T],"t"))/E216*100,"-")=0,"-",IFERROR((COUNTIFS(Таблица2[Date],B216,Таблица2[T],"t")+SUMIFS(Таблица2[R],Таблица2[Date],B216,Таблица2[T],"t"))/E216*100,"-"))</f>
        <v>-</v>
      </c>
      <c r="M216" s="76" t="str">
        <f>IF(SUMIFS(Таблица2[KO$],Таблица2[Date],B216)=0,"-",SUMIFS(Таблица2[KO$],Таблица2[Date],B216))</f>
        <v>-</v>
      </c>
      <c r="N216" s="76" t="str">
        <f>IF(SUMIFS(Таблица2[WIN$],Таблица2[Date],B216)=0,"-",SUMIFS(Таблица2[WIN$],Таблица2[Date],B216))</f>
        <v>-</v>
      </c>
      <c r="O216" s="76" t="str">
        <f t="shared" si="13"/>
        <v>-</v>
      </c>
    </row>
    <row r="217" spans="1:15" ht="11.1" customHeight="1" x14ac:dyDescent="0.25">
      <c r="A217" s="93">
        <f t="shared" si="14"/>
        <v>131</v>
      </c>
      <c r="B217" s="48"/>
      <c r="C217"/>
      <c r="D217" s="117">
        <f t="shared" si="10"/>
        <v>1900</v>
      </c>
      <c r="E217" s="94" t="str">
        <f>IF(COUNTIFS(Таблица2[Date],B217)+SUMIFS(Таблица2[R],Таблица2[Date],B217)=0,"",COUNTIFS(Таблица2[Date],B217)+SUMIFS(Таблица2[R],Таблица2[Date],B217))</f>
        <v/>
      </c>
      <c r="F217" s="76" t="str">
        <f>IF(SUMIFS(Таблица2[B$],Таблица2[Date],B217)=0,"-",SUMIFS(Таблица2[B$],Таблица2[Date],B217))</f>
        <v>-</v>
      </c>
      <c r="G217" s="76" t="str">
        <f t="shared" si="11"/>
        <v>-</v>
      </c>
      <c r="H217" s="77" t="str">
        <f>IFERROR(AVERAGEIFS(Таблица2[AFS],Таблица2[Date],B217)+(AVERAGEIFS(Таблица2[AFS],Таблица2[Date],B217)*0.2),"-")</f>
        <v>-</v>
      </c>
      <c r="I217" s="77" t="str">
        <f t="shared" si="12"/>
        <v>-</v>
      </c>
      <c r="J217" s="77" t="str">
        <f>IFERROR(COUNTIFS(Таблица2[Date],B217,Таблица2[WIN$],"&gt;0")/E217*100,"-")</f>
        <v>-</v>
      </c>
      <c r="K217" s="77" t="str">
        <f>IF(IFERROR((COUNTIFS(Таблица2[Date],B217,Таблица2[K],"K")+SUMIFS(Таблица2[R],#REF!,B217,Таблица2[K],"K"))/E217*100,"-")=0,"-",IFERROR((COUNTIFS(Таблица2[Date],B217,Таблица2[K],"K")+SUMIFS(Таблица2[R],Таблица2[Date],B217,Таблица2[K],"K"))/E217*100,"-"))</f>
        <v>-</v>
      </c>
      <c r="L217" s="77" t="str">
        <f>IF(IFERROR((COUNTIFS(Таблица2[Date],B217,Таблица2[T],"t")+SUMIFS(Таблица2[R],Таблица2[Date],B217,Таблица2[T],"t"))/E217*100,"-")=0,"-",IFERROR((COUNTIFS(Таблица2[Date],B217,Таблица2[T],"t")+SUMIFS(Таблица2[R],Таблица2[Date],B217,Таблица2[T],"t"))/E217*100,"-"))</f>
        <v>-</v>
      </c>
      <c r="M217" s="76" t="str">
        <f>IF(SUMIFS(Таблица2[KO$],Таблица2[Date],B217)=0,"-",SUMIFS(Таблица2[KO$],Таблица2[Date],B217))</f>
        <v>-</v>
      </c>
      <c r="N217" s="76" t="str">
        <f>IF(SUMIFS(Таблица2[WIN$],Таблица2[Date],B217)=0,"-",SUMIFS(Таблица2[WIN$],Таблица2[Date],B217))</f>
        <v>-</v>
      </c>
      <c r="O217" s="76" t="str">
        <f t="shared" si="13"/>
        <v>-</v>
      </c>
    </row>
    <row r="218" spans="1:15" ht="11.1" customHeight="1" x14ac:dyDescent="0.25">
      <c r="A218" s="93">
        <f t="shared" si="14"/>
        <v>132</v>
      </c>
      <c r="B218" s="48"/>
      <c r="C218"/>
      <c r="D218" s="117">
        <f t="shared" si="10"/>
        <v>1900</v>
      </c>
      <c r="E218" s="94" t="str">
        <f>IF(COUNTIFS(Таблица2[Date],B218)+SUMIFS(Таблица2[R],Таблица2[Date],B218)=0,"",COUNTIFS(Таблица2[Date],B218)+SUMIFS(Таблица2[R],Таблица2[Date],B218))</f>
        <v/>
      </c>
      <c r="F218" s="76" t="str">
        <f>IF(SUMIFS(Таблица2[B$],Таблица2[Date],B218)=0,"-",SUMIFS(Таблица2[B$],Таблица2[Date],B218))</f>
        <v>-</v>
      </c>
      <c r="G218" s="76" t="str">
        <f t="shared" si="11"/>
        <v>-</v>
      </c>
      <c r="H218" s="77" t="str">
        <f>IFERROR(AVERAGEIFS(Таблица2[AFS],Таблица2[Date],B218)+(AVERAGEIFS(Таблица2[AFS],Таблица2[Date],B218)*0.2),"-")</f>
        <v>-</v>
      </c>
      <c r="I218" s="77" t="str">
        <f t="shared" si="12"/>
        <v>-</v>
      </c>
      <c r="J218" s="77" t="str">
        <f>IFERROR(COUNTIFS(Таблица2[Date],B218,Таблица2[WIN$],"&gt;0")/E218*100,"-")</f>
        <v>-</v>
      </c>
      <c r="K218" s="77" t="str">
        <f>IF(IFERROR((COUNTIFS(Таблица2[Date],B218,Таблица2[K],"K")+SUMIFS(Таблица2[R],#REF!,B218,Таблица2[K],"K"))/E218*100,"-")=0,"-",IFERROR((COUNTIFS(Таблица2[Date],B218,Таблица2[K],"K")+SUMIFS(Таблица2[R],Таблица2[Date],B218,Таблица2[K],"K"))/E218*100,"-"))</f>
        <v>-</v>
      </c>
      <c r="L218" s="77" t="str">
        <f>IF(IFERROR((COUNTIFS(Таблица2[Date],B218,Таблица2[T],"t")+SUMIFS(Таблица2[R],Таблица2[Date],B218,Таблица2[T],"t"))/E218*100,"-")=0,"-",IFERROR((COUNTIFS(Таблица2[Date],B218,Таблица2[T],"t")+SUMIFS(Таблица2[R],Таблица2[Date],B218,Таблица2[T],"t"))/E218*100,"-"))</f>
        <v>-</v>
      </c>
      <c r="M218" s="76" t="str">
        <f>IF(SUMIFS(Таблица2[KO$],Таблица2[Date],B218)=0,"-",SUMIFS(Таблица2[KO$],Таблица2[Date],B218))</f>
        <v>-</v>
      </c>
      <c r="N218" s="76" t="str">
        <f>IF(SUMIFS(Таблица2[WIN$],Таблица2[Date],B218)=0,"-",SUMIFS(Таблица2[WIN$],Таблица2[Date],B218))</f>
        <v>-</v>
      </c>
      <c r="O218" s="76" t="str">
        <f t="shared" si="13"/>
        <v>-</v>
      </c>
    </row>
    <row r="219" spans="1:15" ht="11.1" customHeight="1" x14ac:dyDescent="0.25">
      <c r="A219" s="93">
        <f t="shared" si="14"/>
        <v>133</v>
      </c>
      <c r="B219" s="48"/>
      <c r="C219"/>
      <c r="D219" s="117">
        <f t="shared" si="10"/>
        <v>1900</v>
      </c>
      <c r="E219" s="94" t="str">
        <f>IF(COUNTIFS(Таблица2[Date],B219)+SUMIFS(Таблица2[R],Таблица2[Date],B219)=0,"",COUNTIFS(Таблица2[Date],B219)+SUMIFS(Таблица2[R],Таблица2[Date],B219))</f>
        <v/>
      </c>
      <c r="F219" s="76" t="str">
        <f>IF(SUMIFS(Таблица2[B$],Таблица2[Date],B219)=0,"-",SUMIFS(Таблица2[B$],Таблица2[Date],B219))</f>
        <v>-</v>
      </c>
      <c r="G219" s="76" t="str">
        <f t="shared" si="11"/>
        <v>-</v>
      </c>
      <c r="H219" s="77" t="str">
        <f>IFERROR(AVERAGEIFS(Таблица2[AFS],Таблица2[Date],B219)+(AVERAGEIFS(Таблица2[AFS],Таблица2[Date],B219)*0.2),"-")</f>
        <v>-</v>
      </c>
      <c r="I219" s="77" t="str">
        <f t="shared" si="12"/>
        <v>-</v>
      </c>
      <c r="J219" s="77" t="str">
        <f>IFERROR(COUNTIFS(Таблица2[Date],B219,Таблица2[WIN$],"&gt;0")/E219*100,"-")</f>
        <v>-</v>
      </c>
      <c r="K219" s="77" t="str">
        <f>IF(IFERROR((COUNTIFS(Таблица2[Date],B219,Таблица2[K],"K")+SUMIFS(Таблица2[R],#REF!,B219,Таблица2[K],"K"))/E219*100,"-")=0,"-",IFERROR((COUNTIFS(Таблица2[Date],B219,Таблица2[K],"K")+SUMIFS(Таблица2[R],Таблица2[Date],B219,Таблица2[K],"K"))/E219*100,"-"))</f>
        <v>-</v>
      </c>
      <c r="L219" s="77" t="str">
        <f>IF(IFERROR((COUNTIFS(Таблица2[Date],B219,Таблица2[T],"t")+SUMIFS(Таблица2[R],Таблица2[Date],B219,Таблица2[T],"t"))/E219*100,"-")=0,"-",IFERROR((COUNTIFS(Таблица2[Date],B219,Таблица2[T],"t")+SUMIFS(Таблица2[R],Таблица2[Date],B219,Таблица2[T],"t"))/E219*100,"-"))</f>
        <v>-</v>
      </c>
      <c r="M219" s="76" t="str">
        <f>IF(SUMIFS(Таблица2[KO$],Таблица2[Date],B219)=0,"-",SUMIFS(Таблица2[KO$],Таблица2[Date],B219))</f>
        <v>-</v>
      </c>
      <c r="N219" s="76" t="str">
        <f>IF(SUMIFS(Таблица2[WIN$],Таблица2[Date],B219)=0,"-",SUMIFS(Таблица2[WIN$],Таблица2[Date],B219))</f>
        <v>-</v>
      </c>
      <c r="O219" s="76" t="str">
        <f t="shared" si="13"/>
        <v>-</v>
      </c>
    </row>
    <row r="220" spans="1:15" ht="11.1" customHeight="1" x14ac:dyDescent="0.25">
      <c r="A220" s="93">
        <f t="shared" si="14"/>
        <v>134</v>
      </c>
      <c r="B220" s="48"/>
      <c r="C220"/>
      <c r="D220" s="117">
        <f t="shared" si="10"/>
        <v>1900</v>
      </c>
      <c r="E220" s="94" t="str">
        <f>IF(COUNTIFS(Таблица2[Date],B220)+SUMIFS(Таблица2[R],Таблица2[Date],B220)=0,"",COUNTIFS(Таблица2[Date],B220)+SUMIFS(Таблица2[R],Таблица2[Date],B220))</f>
        <v/>
      </c>
      <c r="F220" s="76" t="str">
        <f>IF(SUMIFS(Таблица2[B$],Таблица2[Date],B220)=0,"-",SUMIFS(Таблица2[B$],Таблица2[Date],B220))</f>
        <v>-</v>
      </c>
      <c r="G220" s="76" t="str">
        <f t="shared" si="11"/>
        <v>-</v>
      </c>
      <c r="H220" s="77" t="str">
        <f>IFERROR(AVERAGEIFS(Таблица2[AFS],Таблица2[Date],B220)+(AVERAGEIFS(Таблица2[AFS],Таблица2[Date],B220)*0.2),"-")</f>
        <v>-</v>
      </c>
      <c r="I220" s="77" t="str">
        <f t="shared" si="12"/>
        <v>-</v>
      </c>
      <c r="J220" s="77" t="str">
        <f>IFERROR(COUNTIFS(Таблица2[Date],B220,Таблица2[WIN$],"&gt;0")/E220*100,"-")</f>
        <v>-</v>
      </c>
      <c r="K220" s="77" t="str">
        <f>IF(IFERROR((COUNTIFS(Таблица2[Date],B220,Таблица2[K],"K")+SUMIFS(Таблица2[R],#REF!,B220,Таблица2[K],"K"))/E220*100,"-")=0,"-",IFERROR((COUNTIFS(Таблица2[Date],B220,Таблица2[K],"K")+SUMIFS(Таблица2[R],Таблица2[Date],B220,Таблица2[K],"K"))/E220*100,"-"))</f>
        <v>-</v>
      </c>
      <c r="L220" s="77" t="str">
        <f>IF(IFERROR((COUNTIFS(Таблица2[Date],B220,Таблица2[T],"t")+SUMIFS(Таблица2[R],Таблица2[Date],B220,Таблица2[T],"t"))/E220*100,"-")=0,"-",IFERROR((COUNTIFS(Таблица2[Date],B220,Таблица2[T],"t")+SUMIFS(Таблица2[R],Таблица2[Date],B220,Таблица2[T],"t"))/E220*100,"-"))</f>
        <v>-</v>
      </c>
      <c r="M220" s="76" t="str">
        <f>IF(SUMIFS(Таблица2[KO$],Таблица2[Date],B220)=0,"-",SUMIFS(Таблица2[KO$],Таблица2[Date],B220))</f>
        <v>-</v>
      </c>
      <c r="N220" s="76" t="str">
        <f>IF(SUMIFS(Таблица2[WIN$],Таблица2[Date],B220)=0,"-",SUMIFS(Таблица2[WIN$],Таблица2[Date],B220))</f>
        <v>-</v>
      </c>
      <c r="O220" s="76" t="str">
        <f t="shared" si="13"/>
        <v>-</v>
      </c>
    </row>
    <row r="221" spans="1:15" ht="11.1" customHeight="1" x14ac:dyDescent="0.25">
      <c r="A221" s="93">
        <f t="shared" si="14"/>
        <v>135</v>
      </c>
      <c r="B221" s="48"/>
      <c r="C221"/>
      <c r="D221" s="117">
        <f t="shared" si="10"/>
        <v>1900</v>
      </c>
      <c r="E221" s="94" t="str">
        <f>IF(COUNTIFS(Таблица2[Date],B221)+SUMIFS(Таблица2[R],Таблица2[Date],B221)=0,"",COUNTIFS(Таблица2[Date],B221)+SUMIFS(Таблица2[R],Таблица2[Date],B221))</f>
        <v/>
      </c>
      <c r="F221" s="76" t="str">
        <f>IF(SUMIFS(Таблица2[B$],Таблица2[Date],B221)=0,"-",SUMIFS(Таблица2[B$],Таблица2[Date],B221))</f>
        <v>-</v>
      </c>
      <c r="G221" s="76" t="str">
        <f t="shared" si="11"/>
        <v>-</v>
      </c>
      <c r="H221" s="77" t="str">
        <f>IFERROR(AVERAGEIFS(Таблица2[AFS],Таблица2[Date],B221)+(AVERAGEIFS(Таблица2[AFS],Таблица2[Date],B221)*0.2),"-")</f>
        <v>-</v>
      </c>
      <c r="I221" s="77" t="str">
        <f t="shared" si="12"/>
        <v>-</v>
      </c>
      <c r="J221" s="77" t="str">
        <f>IFERROR(COUNTIFS(Таблица2[Date],B221,Таблица2[WIN$],"&gt;0")/E221*100,"-")</f>
        <v>-</v>
      </c>
      <c r="K221" s="77" t="str">
        <f>IF(IFERROR((COUNTIFS(Таблица2[Date],B221,Таблица2[K],"K")+SUMIFS(Таблица2[R],#REF!,B221,Таблица2[K],"K"))/E221*100,"-")=0,"-",IFERROR((COUNTIFS(Таблица2[Date],B221,Таблица2[K],"K")+SUMIFS(Таблица2[R],Таблица2[Date],B221,Таблица2[K],"K"))/E221*100,"-"))</f>
        <v>-</v>
      </c>
      <c r="L221" s="77" t="str">
        <f>IF(IFERROR((COUNTIFS(Таблица2[Date],B221,Таблица2[T],"t")+SUMIFS(Таблица2[R],Таблица2[Date],B221,Таблица2[T],"t"))/E221*100,"-")=0,"-",IFERROR((COUNTIFS(Таблица2[Date],B221,Таблица2[T],"t")+SUMIFS(Таблица2[R],Таблица2[Date],B221,Таблица2[T],"t"))/E221*100,"-"))</f>
        <v>-</v>
      </c>
      <c r="M221" s="76" t="str">
        <f>IF(SUMIFS(Таблица2[KO$],Таблица2[Date],B221)=0,"-",SUMIFS(Таблица2[KO$],Таблица2[Date],B221))</f>
        <v>-</v>
      </c>
      <c r="N221" s="76" t="str">
        <f>IF(SUMIFS(Таблица2[WIN$],Таблица2[Date],B221)=0,"-",SUMIFS(Таблица2[WIN$],Таблица2[Date],B221))</f>
        <v>-</v>
      </c>
      <c r="O221" s="76" t="str">
        <f t="shared" si="13"/>
        <v>-</v>
      </c>
    </row>
    <row r="222" spans="1:15" ht="11.1" customHeight="1" x14ac:dyDescent="0.25">
      <c r="A222" s="93">
        <f t="shared" si="14"/>
        <v>136</v>
      </c>
      <c r="B222" s="48"/>
      <c r="C222"/>
      <c r="D222" s="117">
        <f t="shared" si="10"/>
        <v>1900</v>
      </c>
      <c r="E222" s="94" t="str">
        <f>IF(COUNTIFS(Таблица2[Date],B222)+SUMIFS(Таблица2[R],Таблица2[Date],B222)=0,"",COUNTIFS(Таблица2[Date],B222)+SUMIFS(Таблица2[R],Таблица2[Date],B222))</f>
        <v/>
      </c>
      <c r="F222" s="76" t="str">
        <f>IF(SUMIFS(Таблица2[B$],Таблица2[Date],B222)=0,"-",SUMIFS(Таблица2[B$],Таблица2[Date],B222))</f>
        <v>-</v>
      </c>
      <c r="G222" s="76" t="str">
        <f t="shared" si="11"/>
        <v>-</v>
      </c>
      <c r="H222" s="77" t="str">
        <f>IFERROR(AVERAGEIFS(Таблица2[AFS],Таблица2[Date],B222)+(AVERAGEIFS(Таблица2[AFS],Таблица2[Date],B222)*0.2),"-")</f>
        <v>-</v>
      </c>
      <c r="I222" s="77" t="str">
        <f t="shared" si="12"/>
        <v>-</v>
      </c>
      <c r="J222" s="77" t="str">
        <f>IFERROR(COUNTIFS(Таблица2[Date],B222,Таблица2[WIN$],"&gt;0")/E222*100,"-")</f>
        <v>-</v>
      </c>
      <c r="K222" s="77" t="str">
        <f>IF(IFERROR((COUNTIFS(Таблица2[Date],B222,Таблица2[K],"K")+SUMIFS(Таблица2[R],#REF!,B222,Таблица2[K],"K"))/E222*100,"-")=0,"-",IFERROR((COUNTIFS(Таблица2[Date],B222,Таблица2[K],"K")+SUMIFS(Таблица2[R],Таблица2[Date],B222,Таблица2[K],"K"))/E222*100,"-"))</f>
        <v>-</v>
      </c>
      <c r="L222" s="77" t="str">
        <f>IF(IFERROR((COUNTIFS(Таблица2[Date],B222,Таблица2[T],"t")+SUMIFS(Таблица2[R],Таблица2[Date],B222,Таблица2[T],"t"))/E222*100,"-")=0,"-",IFERROR((COUNTIFS(Таблица2[Date],B222,Таблица2[T],"t")+SUMIFS(Таблица2[R],Таблица2[Date],B222,Таблица2[T],"t"))/E222*100,"-"))</f>
        <v>-</v>
      </c>
      <c r="M222" s="76" t="str">
        <f>IF(SUMIFS(Таблица2[KO$],Таблица2[Date],B222)=0,"-",SUMIFS(Таблица2[KO$],Таблица2[Date],B222))</f>
        <v>-</v>
      </c>
      <c r="N222" s="76" t="str">
        <f>IF(SUMIFS(Таблица2[WIN$],Таблица2[Date],B222)=0,"-",SUMIFS(Таблица2[WIN$],Таблица2[Date],B222))</f>
        <v>-</v>
      </c>
      <c r="O222" s="76" t="str">
        <f t="shared" si="13"/>
        <v>-</v>
      </c>
    </row>
    <row r="223" spans="1:15" ht="11.1" customHeight="1" x14ac:dyDescent="0.25">
      <c r="A223" s="93">
        <f t="shared" si="14"/>
        <v>137</v>
      </c>
      <c r="B223" s="48"/>
      <c r="C223"/>
      <c r="D223" s="117">
        <f t="shared" si="10"/>
        <v>1900</v>
      </c>
      <c r="E223" s="117" t="str">
        <f>IF(COUNTIFS(Таблица2[Date],B223)+SUMIFS(Таблица2[R],Таблица2[Date],B223)=0,"",COUNTIFS(Таблица2[Date],B223)+SUMIFS(Таблица2[R],Таблица2[Date],B223))</f>
        <v/>
      </c>
      <c r="F223" s="76" t="str">
        <f>IF(SUMIFS(Таблица2[B$],Таблица2[Date],B223)=0,"-",SUMIFS(Таблица2[B$],Таблица2[Date],B223))</f>
        <v>-</v>
      </c>
      <c r="G223" s="77" t="str">
        <f t="shared" si="11"/>
        <v>-</v>
      </c>
      <c r="H223" s="77" t="str">
        <f>IFERROR(AVERAGEIFS(Таблица2[AFS],Таблица2[Date],B223)+(AVERAGEIFS(Таблица2[AFS],Таблица2[Date],B223)*0.2),"-")</f>
        <v>-</v>
      </c>
      <c r="I223" s="77" t="str">
        <f t="shared" si="12"/>
        <v>-</v>
      </c>
      <c r="J223" s="77" t="str">
        <f>IFERROR(COUNTIFS(Таблица2[Date],B223,Таблица2[WIN$],"&gt;0")/E223*100,"-")</f>
        <v>-</v>
      </c>
      <c r="K223" s="77" t="str">
        <f>IF(IFERROR((COUNTIFS(Таблица2[Date],B223,Таблица2[K],"K")+SUMIFS(Таблица2[R],#REF!,B223,Таблица2[K],"K"))/E223*100,"-")=0,"-",IFERROR((COUNTIFS(Таблица2[Date],B223,Таблица2[K],"K")+SUMIFS(Таблица2[R],Таблица2[Date],B223,Таблица2[K],"K"))/E223*100,"-"))</f>
        <v>-</v>
      </c>
      <c r="L223" s="76" t="str">
        <f>IF(IFERROR((COUNTIFS(Таблица2[Date],B223,Таблица2[T],"t")+SUMIFS(Таблица2[R],Таблица2[Date],B223,Таблица2[T],"t"))/E223*100,"-")=0,"-",IFERROR((COUNTIFS(Таблица2[Date],B223,Таблица2[T],"t")+SUMIFS(Таблица2[R],Таблица2[Date],B223,Таблица2[T],"t"))/E223*100,"-"))</f>
        <v>-</v>
      </c>
      <c r="M223" s="76" t="str">
        <f>IF(SUMIFS(Таблица2[KO$],Таблица2[Date],B223)=0,"-",SUMIFS(Таблица2[KO$],Таблица2[Date],B223))</f>
        <v>-</v>
      </c>
      <c r="N223" s="76" t="str">
        <f>IF(SUMIFS(Таблица2[WIN$],Таблица2[Date],B223)=0,"-",SUMIFS(Таблица2[WIN$],Таблица2[Date],B223))</f>
        <v>-</v>
      </c>
      <c r="O223" s="78" t="str">
        <f t="shared" si="13"/>
        <v>-</v>
      </c>
    </row>
    <row r="224" spans="1:15" ht="11.1" customHeight="1" x14ac:dyDescent="0.25">
      <c r="A224" s="93">
        <f t="shared" si="14"/>
        <v>138</v>
      </c>
      <c r="B224" s="48"/>
      <c r="C224"/>
      <c r="D224" s="117">
        <f t="shared" si="10"/>
        <v>1900</v>
      </c>
      <c r="E224" s="117" t="str">
        <f>IF(COUNTIFS(Таблица2[Date],B224)+SUMIFS(Таблица2[R],Таблица2[Date],B224)=0,"",COUNTIFS(Таблица2[Date],B224)+SUMIFS(Таблица2[R],Таблица2[Date],B224))</f>
        <v/>
      </c>
      <c r="F224" s="76" t="str">
        <f>IF(SUMIFS(Таблица2[B$],Таблица2[Date],B224)=0,"-",SUMIFS(Таблица2[B$],Таблица2[Date],B224))</f>
        <v>-</v>
      </c>
      <c r="G224" s="77" t="str">
        <f t="shared" si="11"/>
        <v>-</v>
      </c>
      <c r="H224" s="77" t="str">
        <f>IFERROR(AVERAGEIFS(Таблица2[AFS],Таблица2[Date],B224)+(AVERAGEIFS(Таблица2[AFS],Таблица2[Date],B224)*0.2),"-")</f>
        <v>-</v>
      </c>
      <c r="I224" s="77" t="str">
        <f t="shared" si="12"/>
        <v>-</v>
      </c>
      <c r="J224" s="77" t="str">
        <f>IFERROR(COUNTIFS(Таблица2[Date],B224,Таблица2[WIN$],"&gt;0")/E224*100,"-")</f>
        <v>-</v>
      </c>
      <c r="K224" s="77" t="str">
        <f>IF(IFERROR((COUNTIFS(Таблица2[Date],B224,Таблица2[K],"K")+SUMIFS(Таблица2[R],#REF!,B224,Таблица2[K],"K"))/E224*100,"-")=0,"-",IFERROR((COUNTIFS(Таблица2[Date],B224,Таблица2[K],"K")+SUMIFS(Таблица2[R],Таблица2[Date],B224,Таблица2[K],"K"))/E224*100,"-"))</f>
        <v>-</v>
      </c>
      <c r="L224" s="76" t="str">
        <f>IF(IFERROR((COUNTIFS(Таблица2[Date],B224,Таблица2[T],"t")+SUMIFS(Таблица2[R],Таблица2[Date],B224,Таблица2[T],"t"))/E224*100,"-")=0,"-",IFERROR((COUNTIFS(Таблица2[Date],B224,Таблица2[T],"t")+SUMIFS(Таблица2[R],Таблица2[Date],B224,Таблица2[T],"t"))/E224*100,"-"))</f>
        <v>-</v>
      </c>
      <c r="M224" s="76" t="str">
        <f>IF(SUMIFS(Таблица2[KO$],Таблица2[Date],B224)=0,"-",SUMIFS(Таблица2[KO$],Таблица2[Date],B224))</f>
        <v>-</v>
      </c>
      <c r="N224" s="76" t="str">
        <f>IF(SUMIFS(Таблица2[WIN$],Таблица2[Date],B224)=0,"-",SUMIFS(Таблица2[WIN$],Таблица2[Date],B224))</f>
        <v>-</v>
      </c>
      <c r="O224" s="78" t="str">
        <f t="shared" si="13"/>
        <v>-</v>
      </c>
    </row>
    <row r="225" spans="1:15" ht="11.1" customHeight="1" x14ac:dyDescent="0.25">
      <c r="A225" s="93">
        <f t="shared" si="14"/>
        <v>139</v>
      </c>
      <c r="B225" s="48"/>
      <c r="C225"/>
      <c r="D225" s="117">
        <f t="shared" si="10"/>
        <v>1900</v>
      </c>
      <c r="E225" s="117" t="str">
        <f>IF(COUNTIFS(Таблица2[Date],B225)+SUMIFS(Таблица2[R],Таблица2[Date],B225)=0,"",COUNTIFS(Таблица2[Date],B225)+SUMIFS(Таблица2[R],Таблица2[Date],B225))</f>
        <v/>
      </c>
      <c r="F225" s="76" t="str">
        <f>IF(SUMIFS(Таблица2[B$],Таблица2[Date],B225)=0,"-",SUMIFS(Таблица2[B$],Таблица2[Date],B225))</f>
        <v>-</v>
      </c>
      <c r="G225" s="77" t="str">
        <f t="shared" si="11"/>
        <v>-</v>
      </c>
      <c r="H225" s="77" t="str">
        <f>IFERROR(AVERAGEIFS(Таблица2[AFS],Таблица2[Date],B225)+(AVERAGEIFS(Таблица2[AFS],Таблица2[Date],B225)*0.2),"-")</f>
        <v>-</v>
      </c>
      <c r="I225" s="77" t="str">
        <f t="shared" si="12"/>
        <v>-</v>
      </c>
      <c r="J225" s="77" t="str">
        <f>IFERROR(COUNTIFS(Таблица2[Date],B225,Таблица2[WIN$],"&gt;0")/E225*100,"-")</f>
        <v>-</v>
      </c>
      <c r="K225" s="77" t="str">
        <f>IF(IFERROR((COUNTIFS(Таблица2[Date],B225,Таблица2[K],"K")+SUMIFS(Таблица2[R],#REF!,B225,Таблица2[K],"K"))/E225*100,"-")=0,"-",IFERROR((COUNTIFS(Таблица2[Date],B225,Таблица2[K],"K")+SUMIFS(Таблица2[R],Таблица2[Date],B225,Таблица2[K],"K"))/E225*100,"-"))</f>
        <v>-</v>
      </c>
      <c r="L225" s="76" t="str">
        <f>IF(IFERROR((COUNTIFS(Таблица2[Date],B225,Таблица2[T],"t")+SUMIFS(Таблица2[R],Таблица2[Date],B225,Таблица2[T],"t"))/E225*100,"-")=0,"-",IFERROR((COUNTIFS(Таблица2[Date],B225,Таблица2[T],"t")+SUMIFS(Таблица2[R],Таблица2[Date],B225,Таблица2[T],"t"))/E225*100,"-"))</f>
        <v>-</v>
      </c>
      <c r="M225" s="76" t="str">
        <f>IF(SUMIFS(Таблица2[KO$],Таблица2[Date],B225)=0,"-",SUMIFS(Таблица2[KO$],Таблица2[Date],B225))</f>
        <v>-</v>
      </c>
      <c r="N225" s="76" t="str">
        <f>IF(SUMIFS(Таблица2[WIN$],Таблица2[Date],B225)=0,"-",SUMIFS(Таблица2[WIN$],Таблица2[Date],B225))</f>
        <v>-</v>
      </c>
      <c r="O225" s="78" t="str">
        <f t="shared" si="13"/>
        <v>-</v>
      </c>
    </row>
    <row r="226" spans="1:15" ht="11.1" customHeight="1" x14ac:dyDescent="0.25">
      <c r="A226" s="93">
        <f t="shared" si="14"/>
        <v>140</v>
      </c>
      <c r="B226" s="48"/>
      <c r="C226"/>
      <c r="D226" s="117">
        <f t="shared" si="10"/>
        <v>1900</v>
      </c>
      <c r="E226" s="117" t="str">
        <f>IF(COUNTIFS(Таблица2[Date],B226)+SUMIFS(Таблица2[R],Таблица2[Date],B226)=0,"",COUNTIFS(Таблица2[Date],B226)+SUMIFS(Таблица2[R],Таблица2[Date],B226))</f>
        <v/>
      </c>
      <c r="F226" s="76" t="str">
        <f>IF(SUMIFS(Таблица2[B$],Таблица2[Date],B226)=0,"-",SUMIFS(Таблица2[B$],Таблица2[Date],B226))</f>
        <v>-</v>
      </c>
      <c r="G226" s="77" t="str">
        <f t="shared" si="11"/>
        <v>-</v>
      </c>
      <c r="H226" s="77" t="str">
        <f>IFERROR(AVERAGEIFS(Таблица2[AFS],Таблица2[Date],B226)+(AVERAGEIFS(Таблица2[AFS],Таблица2[Date],B226)*0.2),"-")</f>
        <v>-</v>
      </c>
      <c r="I226" s="77" t="str">
        <f t="shared" si="12"/>
        <v>-</v>
      </c>
      <c r="J226" s="77" t="str">
        <f>IFERROR(COUNTIFS(Таблица2[Date],B226,Таблица2[WIN$],"&gt;0")/E226*100,"-")</f>
        <v>-</v>
      </c>
      <c r="K226" s="77" t="str">
        <f>IF(IFERROR((COUNTIFS(Таблица2[Date],B226,Таблица2[K],"K")+SUMIFS(Таблица2[R],#REF!,B226,Таблица2[K],"K"))/E226*100,"-")=0,"-",IFERROR((COUNTIFS(Таблица2[Date],B226,Таблица2[K],"K")+SUMIFS(Таблица2[R],Таблица2[Date],B226,Таблица2[K],"K"))/E226*100,"-"))</f>
        <v>-</v>
      </c>
      <c r="L226" s="76" t="str">
        <f>IF(IFERROR((COUNTIFS(Таблица2[Date],B226,Таблица2[T],"t")+SUMIFS(Таблица2[R],Таблица2[Date],B226,Таблица2[T],"t"))/E226*100,"-")=0,"-",IFERROR((COUNTIFS(Таблица2[Date],B226,Таблица2[T],"t")+SUMIFS(Таблица2[R],Таблица2[Date],B226,Таблица2[T],"t"))/E226*100,"-"))</f>
        <v>-</v>
      </c>
      <c r="M226" s="76" t="str">
        <f>IF(SUMIFS(Таблица2[KO$],Таблица2[Date],B226)=0,"-",SUMIFS(Таблица2[KO$],Таблица2[Date],B226))</f>
        <v>-</v>
      </c>
      <c r="N226" s="76" t="str">
        <f>IF(SUMIFS(Таблица2[WIN$],Таблица2[Date],B226)=0,"-",SUMIFS(Таблица2[WIN$],Таблица2[Date],B226))</f>
        <v>-</v>
      </c>
      <c r="O226" s="78" t="str">
        <f t="shared" si="13"/>
        <v>-</v>
      </c>
    </row>
    <row r="227" spans="1:15" ht="11.1" customHeight="1" x14ac:dyDescent="0.25">
      <c r="A227" s="93">
        <f t="shared" si="14"/>
        <v>141</v>
      </c>
      <c r="B227" s="48"/>
      <c r="C227"/>
      <c r="D227" s="117">
        <f t="shared" si="10"/>
        <v>1900</v>
      </c>
      <c r="E227" s="117" t="str">
        <f>IF(COUNTIFS(Таблица2[Date],B227)+SUMIFS(Таблица2[R],Таблица2[Date],B227)=0,"",COUNTIFS(Таблица2[Date],B227)+SUMIFS(Таблица2[R],Таблица2[Date],B227))</f>
        <v/>
      </c>
      <c r="F227" s="76" t="str">
        <f>IF(SUMIFS(Таблица2[B$],Таблица2[Date],B227)=0,"-",SUMIFS(Таблица2[B$],Таблица2[Date],B227))</f>
        <v>-</v>
      </c>
      <c r="G227" s="77" t="str">
        <f t="shared" si="11"/>
        <v>-</v>
      </c>
      <c r="H227" s="77" t="str">
        <f>IFERROR(AVERAGEIFS(Таблица2[AFS],Таблица2[Date],B227)+(AVERAGEIFS(Таблица2[AFS],Таблица2[Date],B227)*0.2),"-")</f>
        <v>-</v>
      </c>
      <c r="I227" s="77" t="str">
        <f t="shared" si="12"/>
        <v>-</v>
      </c>
      <c r="J227" s="77" t="str">
        <f>IFERROR(COUNTIFS(Таблица2[Date],B227,Таблица2[WIN$],"&gt;0")/E227*100,"-")</f>
        <v>-</v>
      </c>
      <c r="K227" s="77" t="str">
        <f>IF(IFERROR((COUNTIFS(Таблица2[Date],B227,Таблица2[K],"K")+SUMIFS(Таблица2[R],#REF!,B227,Таблица2[K],"K"))/E227*100,"-")=0,"-",IFERROR((COUNTIFS(Таблица2[Date],B227,Таблица2[K],"K")+SUMIFS(Таблица2[R],Таблица2[Date],B227,Таблица2[K],"K"))/E227*100,"-"))</f>
        <v>-</v>
      </c>
      <c r="L227" s="76" t="str">
        <f>IF(IFERROR((COUNTIFS(Таблица2[Date],B227,Таблица2[T],"t")+SUMIFS(Таблица2[R],Таблица2[Date],B227,Таблица2[T],"t"))/E227*100,"-")=0,"-",IFERROR((COUNTIFS(Таблица2[Date],B227,Таблица2[T],"t")+SUMIFS(Таблица2[R],Таблица2[Date],B227,Таблица2[T],"t"))/E227*100,"-"))</f>
        <v>-</v>
      </c>
      <c r="M227" s="76" t="str">
        <f>IF(SUMIFS(Таблица2[KO$],Таблица2[Date],B227)=0,"-",SUMIFS(Таблица2[KO$],Таблица2[Date],B227))</f>
        <v>-</v>
      </c>
      <c r="N227" s="76" t="str">
        <f>IF(SUMIFS(Таблица2[WIN$],Таблица2[Date],B227)=0,"-",SUMIFS(Таблица2[WIN$],Таблица2[Date],B227))</f>
        <v>-</v>
      </c>
      <c r="O227" s="78" t="str">
        <f t="shared" si="13"/>
        <v>-</v>
      </c>
    </row>
    <row r="228" spans="1:15" ht="11.1" customHeight="1" x14ac:dyDescent="0.25">
      <c r="A228" s="93">
        <f t="shared" si="14"/>
        <v>142</v>
      </c>
      <c r="B228" s="48"/>
      <c r="C228"/>
      <c r="D228" s="117">
        <f t="shared" si="10"/>
        <v>1900</v>
      </c>
      <c r="E228" s="117" t="str">
        <f>IF(COUNTIFS(Таблица2[Date],B228)+SUMIFS(Таблица2[R],Таблица2[Date],B228)=0,"",COUNTIFS(Таблица2[Date],B228)+SUMIFS(Таблица2[R],Таблица2[Date],B228))</f>
        <v/>
      </c>
      <c r="F228" s="76" t="str">
        <f>IF(SUMIFS(Таблица2[B$],Таблица2[Date],B228)=0,"-",SUMIFS(Таблица2[B$],Таблица2[Date],B228))</f>
        <v>-</v>
      </c>
      <c r="G228" s="77" t="str">
        <f t="shared" si="11"/>
        <v>-</v>
      </c>
      <c r="H228" s="77" t="str">
        <f>IFERROR(AVERAGEIFS(Таблица2[AFS],Таблица2[Date],B228)+(AVERAGEIFS(Таблица2[AFS],Таблица2[Date],B228)*0.2),"-")</f>
        <v>-</v>
      </c>
      <c r="I228" s="77" t="str">
        <f t="shared" si="12"/>
        <v>-</v>
      </c>
      <c r="J228" s="77" t="str">
        <f>IFERROR(COUNTIFS(Таблица2[Date],B228,Таблица2[WIN$],"&gt;0")/E228*100,"-")</f>
        <v>-</v>
      </c>
      <c r="K228" s="77" t="str">
        <f>IF(IFERROR((COUNTIFS(Таблица2[Date],B228,Таблица2[K],"K")+SUMIFS(Таблица2[R],#REF!,B228,Таблица2[K],"K"))/E228*100,"-")=0,"-",IFERROR((COUNTIFS(Таблица2[Date],B228,Таблица2[K],"K")+SUMIFS(Таблица2[R],Таблица2[Date],B228,Таблица2[K],"K"))/E228*100,"-"))</f>
        <v>-</v>
      </c>
      <c r="L228" s="76" t="str">
        <f>IF(IFERROR((COUNTIFS(Таблица2[Date],B228,Таблица2[T],"t")+SUMIFS(Таблица2[R],Таблица2[Date],B228,Таблица2[T],"t"))/E228*100,"-")=0,"-",IFERROR((COUNTIFS(Таблица2[Date],B228,Таблица2[T],"t")+SUMIFS(Таблица2[R],Таблица2[Date],B228,Таблица2[T],"t"))/E228*100,"-"))</f>
        <v>-</v>
      </c>
      <c r="M228" s="76" t="str">
        <f>IF(SUMIFS(Таблица2[KO$],Таблица2[Date],B228)=0,"-",SUMIFS(Таблица2[KO$],Таблица2[Date],B228))</f>
        <v>-</v>
      </c>
      <c r="N228" s="76" t="str">
        <f>IF(SUMIFS(Таблица2[WIN$],Таблица2[Date],B228)=0,"-",SUMIFS(Таблица2[WIN$],Таблица2[Date],B228))</f>
        <v>-</v>
      </c>
      <c r="O228" s="78" t="str">
        <f t="shared" si="13"/>
        <v>-</v>
      </c>
    </row>
    <row r="229" spans="1:15" ht="11.1" customHeight="1" x14ac:dyDescent="0.25">
      <c r="A229" s="93">
        <f t="shared" si="14"/>
        <v>143</v>
      </c>
      <c r="B229" s="48"/>
      <c r="C229"/>
      <c r="D229" s="117">
        <f t="shared" si="10"/>
        <v>1900</v>
      </c>
      <c r="E229" s="117" t="str">
        <f>IF(COUNTIFS(Таблица2[Date],B229)+SUMIFS(Таблица2[R],Таблица2[Date],B229)=0,"",COUNTIFS(Таблица2[Date],B229)+SUMIFS(Таблица2[R],Таблица2[Date],B229))</f>
        <v/>
      </c>
      <c r="F229" s="76" t="str">
        <f>IF(SUMIFS(Таблица2[B$],Таблица2[Date],B229)=0,"-",SUMIFS(Таблица2[B$],Таблица2[Date],B229))</f>
        <v>-</v>
      </c>
      <c r="G229" s="77" t="str">
        <f t="shared" si="11"/>
        <v>-</v>
      </c>
      <c r="H229" s="77" t="str">
        <f>IFERROR(AVERAGEIFS(Таблица2[AFS],Таблица2[Date],B229)+(AVERAGEIFS(Таблица2[AFS],Таблица2[Date],B229)*0.2),"-")</f>
        <v>-</v>
      </c>
      <c r="I229" s="77" t="str">
        <f t="shared" si="12"/>
        <v>-</v>
      </c>
      <c r="J229" s="77" t="str">
        <f>IFERROR(COUNTIFS(Таблица2[Date],B229,Таблица2[WIN$],"&gt;0")/E229*100,"-")</f>
        <v>-</v>
      </c>
      <c r="K229" s="77" t="str">
        <f>IF(IFERROR((COUNTIFS(Таблица2[Date],B229,Таблица2[K],"K")+SUMIFS(Таблица2[R],#REF!,B229,Таблица2[K],"K"))/E229*100,"-")=0,"-",IFERROR((COUNTIFS(Таблица2[Date],B229,Таблица2[K],"K")+SUMIFS(Таблица2[R],Таблица2[Date],B229,Таблица2[K],"K"))/E229*100,"-"))</f>
        <v>-</v>
      </c>
      <c r="L229" s="76" t="str">
        <f>IF(IFERROR((COUNTIFS(Таблица2[Date],B229,Таблица2[T],"t")+SUMIFS(Таблица2[R],Таблица2[Date],B229,Таблица2[T],"t"))/E229*100,"-")=0,"-",IFERROR((COUNTIFS(Таблица2[Date],B229,Таблица2[T],"t")+SUMIFS(Таблица2[R],Таблица2[Date],B229,Таблица2[T],"t"))/E229*100,"-"))</f>
        <v>-</v>
      </c>
      <c r="M229" s="76" t="str">
        <f>IF(SUMIFS(Таблица2[KO$],Таблица2[Date],B229)=0,"-",SUMIFS(Таблица2[KO$],Таблица2[Date],B229))</f>
        <v>-</v>
      </c>
      <c r="N229" s="76" t="str">
        <f>IF(SUMIFS(Таблица2[WIN$],Таблица2[Date],B229)=0,"-",SUMIFS(Таблица2[WIN$],Таблица2[Date],B229))</f>
        <v>-</v>
      </c>
      <c r="O229" s="78" t="str">
        <f t="shared" si="13"/>
        <v>-</v>
      </c>
    </row>
    <row r="230" spans="1:15" ht="11.1" customHeight="1" x14ac:dyDescent="0.25">
      <c r="A230" s="93">
        <f t="shared" si="14"/>
        <v>144</v>
      </c>
      <c r="B230" s="48"/>
      <c r="C230"/>
      <c r="D230" s="117">
        <f t="shared" si="10"/>
        <v>1900</v>
      </c>
      <c r="E230" s="117" t="str">
        <f>IF(COUNTIFS(Таблица2[Date],B230)+SUMIFS(Таблица2[R],Таблица2[Date],B230)=0,"",COUNTIFS(Таблица2[Date],B230)+SUMIFS(Таблица2[R],Таблица2[Date],B230))</f>
        <v/>
      </c>
      <c r="F230" s="76" t="str">
        <f>IF(SUMIFS(Таблица2[B$],Таблица2[Date],B230)=0,"-",SUMIFS(Таблица2[B$],Таблица2[Date],B230))</f>
        <v>-</v>
      </c>
      <c r="G230" s="77" t="str">
        <f t="shared" si="11"/>
        <v>-</v>
      </c>
      <c r="H230" s="77" t="str">
        <f>IFERROR(AVERAGEIFS(Таблица2[AFS],Таблица2[Date],B230)+(AVERAGEIFS(Таблица2[AFS],Таблица2[Date],B230)*0.2),"-")</f>
        <v>-</v>
      </c>
      <c r="I230" s="77" t="str">
        <f t="shared" si="12"/>
        <v>-</v>
      </c>
      <c r="J230" s="77" t="str">
        <f>IFERROR(COUNTIFS(Таблица2[Date],B230,Таблица2[WIN$],"&gt;0")/E230*100,"-")</f>
        <v>-</v>
      </c>
      <c r="K230" s="77" t="str">
        <f>IF(IFERROR((COUNTIFS(Таблица2[Date],B230,Таблица2[K],"K")+SUMIFS(Таблица2[R],#REF!,B230,Таблица2[K],"K"))/E230*100,"-")=0,"-",IFERROR((COUNTIFS(Таблица2[Date],B230,Таблица2[K],"K")+SUMIFS(Таблица2[R],Таблица2[Date],B230,Таблица2[K],"K"))/E230*100,"-"))</f>
        <v>-</v>
      </c>
      <c r="L230" s="76" t="str">
        <f>IF(IFERROR((COUNTIFS(Таблица2[Date],B230,Таблица2[T],"t")+SUMIFS(Таблица2[R],Таблица2[Date],B230,Таблица2[T],"t"))/E230*100,"-")=0,"-",IFERROR((COUNTIFS(Таблица2[Date],B230,Таблица2[T],"t")+SUMIFS(Таблица2[R],Таблица2[Date],B230,Таблица2[T],"t"))/E230*100,"-"))</f>
        <v>-</v>
      </c>
      <c r="M230" s="76" t="str">
        <f>IF(SUMIFS(Таблица2[KO$],Таблица2[Date],B230)=0,"-",SUMIFS(Таблица2[KO$],Таблица2[Date],B230))</f>
        <v>-</v>
      </c>
      <c r="N230" s="76" t="str">
        <f>IF(SUMIFS(Таблица2[WIN$],Таблица2[Date],B230)=0,"-",SUMIFS(Таблица2[WIN$],Таблица2[Date],B230))</f>
        <v>-</v>
      </c>
      <c r="O230" s="78" t="str">
        <f t="shared" si="13"/>
        <v>-</v>
      </c>
    </row>
    <row r="231" spans="1:15" ht="11.1" customHeight="1" x14ac:dyDescent="0.25">
      <c r="A231" s="93">
        <f t="shared" si="14"/>
        <v>145</v>
      </c>
      <c r="B231" s="48"/>
      <c r="C231"/>
      <c r="D231" s="117">
        <f t="shared" si="10"/>
        <v>1900</v>
      </c>
      <c r="E231" s="117" t="str">
        <f>IF(COUNTIFS(Таблица2[Date],B231)+SUMIFS(Таблица2[R],Таблица2[Date],B231)=0,"",COUNTIFS(Таблица2[Date],B231)+SUMIFS(Таблица2[R],Таблица2[Date],B231))</f>
        <v/>
      </c>
      <c r="F231" s="76" t="str">
        <f>IF(SUMIFS(Таблица2[B$],Таблица2[Date],B231)=0,"-",SUMIFS(Таблица2[B$],Таблица2[Date],B231))</f>
        <v>-</v>
      </c>
      <c r="G231" s="77" t="str">
        <f t="shared" si="11"/>
        <v>-</v>
      </c>
      <c r="H231" s="77" t="str">
        <f>IFERROR(AVERAGEIFS(Таблица2[AFS],Таблица2[Date],B231)+(AVERAGEIFS(Таблица2[AFS],Таблица2[Date],B231)*0.2),"-")</f>
        <v>-</v>
      </c>
      <c r="I231" s="77" t="str">
        <f t="shared" si="12"/>
        <v>-</v>
      </c>
      <c r="J231" s="77" t="str">
        <f>IFERROR(COUNTIFS(Таблица2[Date],B231,Таблица2[WIN$],"&gt;0")/E231*100,"-")</f>
        <v>-</v>
      </c>
      <c r="K231" s="77" t="str">
        <f>IF(IFERROR((COUNTIFS(Таблица2[Date],B231,Таблица2[K],"K")+SUMIFS(Таблица2[R],#REF!,B231,Таблица2[K],"K"))/E231*100,"-")=0,"-",IFERROR((COUNTIFS(Таблица2[Date],B231,Таблица2[K],"K")+SUMIFS(Таблица2[R],Таблица2[Date],B231,Таблица2[K],"K"))/E231*100,"-"))</f>
        <v>-</v>
      </c>
      <c r="L231" s="76" t="str">
        <f>IF(IFERROR((COUNTIFS(Таблица2[Date],B231,Таблица2[T],"t")+SUMIFS(Таблица2[R],Таблица2[Date],B231,Таблица2[T],"t"))/E231*100,"-")=0,"-",IFERROR((COUNTIFS(Таблица2[Date],B231,Таблица2[T],"t")+SUMIFS(Таблица2[R],Таблица2[Date],B231,Таблица2[T],"t"))/E231*100,"-"))</f>
        <v>-</v>
      </c>
      <c r="M231" s="76" t="str">
        <f>IF(SUMIFS(Таблица2[KO$],Таблица2[Date],B231)=0,"-",SUMIFS(Таблица2[KO$],Таблица2[Date],B231))</f>
        <v>-</v>
      </c>
      <c r="N231" s="76" t="str">
        <f>IF(SUMIFS(Таблица2[WIN$],Таблица2[Date],B231)=0,"-",SUMIFS(Таблица2[WIN$],Таблица2[Date],B231))</f>
        <v>-</v>
      </c>
      <c r="O231" s="78" t="str">
        <f t="shared" si="13"/>
        <v>-</v>
      </c>
    </row>
    <row r="232" spans="1:15" ht="11.1" customHeight="1" x14ac:dyDescent="0.25">
      <c r="A232" s="93">
        <f t="shared" si="14"/>
        <v>146</v>
      </c>
      <c r="B232" s="48"/>
      <c r="C232"/>
      <c r="D232" s="117">
        <f t="shared" si="10"/>
        <v>1900</v>
      </c>
      <c r="E232" s="117" t="str">
        <f>IF(COUNTIFS(Таблица2[Date],B232)+SUMIFS(Таблица2[R],Таблица2[Date],B232)=0,"",COUNTIFS(Таблица2[Date],B232)+SUMIFS(Таблица2[R],Таблица2[Date],B232))</f>
        <v/>
      </c>
      <c r="F232" s="76" t="str">
        <f>IF(SUMIFS(Таблица2[B$],Таблица2[Date],B232)=0,"-",SUMIFS(Таблица2[B$],Таблица2[Date],B232))</f>
        <v>-</v>
      </c>
      <c r="G232" s="77" t="str">
        <f t="shared" si="11"/>
        <v>-</v>
      </c>
      <c r="H232" s="77" t="str">
        <f>IFERROR(AVERAGEIFS(Таблица2[AFS],Таблица2[Date],B232)+(AVERAGEIFS(Таблица2[AFS],Таблица2[Date],B232)*0.2),"-")</f>
        <v>-</v>
      </c>
      <c r="I232" s="77" t="str">
        <f t="shared" si="12"/>
        <v>-</v>
      </c>
      <c r="J232" s="77" t="str">
        <f>IFERROR(COUNTIFS(Таблица2[Date],B232,Таблица2[WIN$],"&gt;0")/E232*100,"-")</f>
        <v>-</v>
      </c>
      <c r="K232" s="77" t="str">
        <f>IF(IFERROR((COUNTIFS(Таблица2[Date],B232,Таблица2[K],"K")+SUMIFS(Таблица2[R],#REF!,B232,Таблица2[K],"K"))/E232*100,"-")=0,"-",IFERROR((COUNTIFS(Таблица2[Date],B232,Таблица2[K],"K")+SUMIFS(Таблица2[R],Таблица2[Date],B232,Таблица2[K],"K"))/E232*100,"-"))</f>
        <v>-</v>
      </c>
      <c r="L232" s="76" t="str">
        <f>IF(IFERROR((COUNTIFS(Таблица2[Date],B232,Таблица2[T],"t")+SUMIFS(Таблица2[R],Таблица2[Date],B232,Таблица2[T],"t"))/E232*100,"-")=0,"-",IFERROR((COUNTIFS(Таблица2[Date],B232,Таблица2[T],"t")+SUMIFS(Таблица2[R],Таблица2[Date],B232,Таблица2[T],"t"))/E232*100,"-"))</f>
        <v>-</v>
      </c>
      <c r="M232" s="76" t="str">
        <f>IF(SUMIFS(Таблица2[KO$],Таблица2[Date],B232)=0,"-",SUMIFS(Таблица2[KO$],Таблица2[Date],B232))</f>
        <v>-</v>
      </c>
      <c r="N232" s="76" t="str">
        <f>IF(SUMIFS(Таблица2[WIN$],Таблица2[Date],B232)=0,"-",SUMIFS(Таблица2[WIN$],Таблица2[Date],B232))</f>
        <v>-</v>
      </c>
      <c r="O232" s="78" t="str">
        <f t="shared" si="13"/>
        <v>-</v>
      </c>
    </row>
    <row r="233" spans="1:15" ht="11.1" customHeight="1" x14ac:dyDescent="0.25">
      <c r="A233" s="93">
        <f t="shared" si="14"/>
        <v>147</v>
      </c>
      <c r="B233" s="48"/>
      <c r="C233"/>
      <c r="D233" s="117">
        <f t="shared" si="10"/>
        <v>1900</v>
      </c>
      <c r="E233" s="117" t="str">
        <f>IF(COUNTIFS(Таблица2[Date],B233)+SUMIFS(Таблица2[R],Таблица2[Date],B233)=0,"",COUNTIFS(Таблица2[Date],B233)+SUMIFS(Таблица2[R],Таблица2[Date],B233))</f>
        <v/>
      </c>
      <c r="F233" s="76" t="str">
        <f>IF(SUMIFS(Таблица2[B$],Таблица2[Date],B233)=0,"-",SUMIFS(Таблица2[B$],Таблица2[Date],B233))</f>
        <v>-</v>
      </c>
      <c r="G233" s="77" t="str">
        <f t="shared" si="11"/>
        <v>-</v>
      </c>
      <c r="H233" s="77" t="str">
        <f>IFERROR(AVERAGEIFS(Таблица2[AFS],Таблица2[Date],B233)+(AVERAGEIFS(Таблица2[AFS],Таблица2[Date],B233)*0.2),"-")</f>
        <v>-</v>
      </c>
      <c r="I233" s="77" t="str">
        <f t="shared" si="12"/>
        <v>-</v>
      </c>
      <c r="J233" s="77" t="str">
        <f>IFERROR(COUNTIFS(Таблица2[Date],B233,Таблица2[WIN$],"&gt;0")/E233*100,"-")</f>
        <v>-</v>
      </c>
      <c r="K233" s="77" t="str">
        <f>IF(IFERROR((COUNTIFS(Таблица2[Date],B233,Таблица2[K],"K")+SUMIFS(Таблица2[R],#REF!,B233,Таблица2[K],"K"))/E233*100,"-")=0,"-",IFERROR((COUNTIFS(Таблица2[Date],B233,Таблица2[K],"K")+SUMIFS(Таблица2[R],Таблица2[Date],B233,Таблица2[K],"K"))/E233*100,"-"))</f>
        <v>-</v>
      </c>
      <c r="L233" s="76" t="str">
        <f>IF(IFERROR((COUNTIFS(Таблица2[Date],B233,Таблица2[T],"t")+SUMIFS(Таблица2[R],Таблица2[Date],B233,Таблица2[T],"t"))/E233*100,"-")=0,"-",IFERROR((COUNTIFS(Таблица2[Date],B233,Таблица2[T],"t")+SUMIFS(Таблица2[R],Таблица2[Date],B233,Таблица2[T],"t"))/E233*100,"-"))</f>
        <v>-</v>
      </c>
      <c r="M233" s="76" t="str">
        <f>IF(SUMIFS(Таблица2[KO$],Таблица2[Date],B233)=0,"-",SUMIFS(Таблица2[KO$],Таблица2[Date],B233))</f>
        <v>-</v>
      </c>
      <c r="N233" s="76" t="str">
        <f>IF(SUMIFS(Таблица2[WIN$],Таблица2[Date],B233)=0,"-",SUMIFS(Таблица2[WIN$],Таблица2[Date],B233))</f>
        <v>-</v>
      </c>
      <c r="O233" s="78" t="str">
        <f t="shared" si="13"/>
        <v>-</v>
      </c>
    </row>
    <row r="234" spans="1:15" ht="11.1" customHeight="1" x14ac:dyDescent="0.25">
      <c r="A234" s="93">
        <f t="shared" si="14"/>
        <v>148</v>
      </c>
      <c r="B234" s="48"/>
      <c r="C234"/>
      <c r="D234" s="117">
        <f t="shared" si="10"/>
        <v>1900</v>
      </c>
      <c r="E234" s="117" t="str">
        <f>IF(COUNTIFS(Таблица2[Date],B234)+SUMIFS(Таблица2[R],Таблица2[Date],B234)=0,"",COUNTIFS(Таблица2[Date],B234)+SUMIFS(Таблица2[R],Таблица2[Date],B234))</f>
        <v/>
      </c>
      <c r="F234" s="76" t="str">
        <f>IF(SUMIFS(Таблица2[B$],Таблица2[Date],B234)=0,"-",SUMIFS(Таблица2[B$],Таблица2[Date],B234))</f>
        <v>-</v>
      </c>
      <c r="G234" s="77" t="str">
        <f t="shared" si="11"/>
        <v>-</v>
      </c>
      <c r="H234" s="77" t="str">
        <f>IFERROR(AVERAGEIFS(Таблица2[AFS],Таблица2[Date],B234)+(AVERAGEIFS(Таблица2[AFS],Таблица2[Date],B234)*0.2),"-")</f>
        <v>-</v>
      </c>
      <c r="I234" s="77" t="str">
        <f t="shared" si="12"/>
        <v>-</v>
      </c>
      <c r="J234" s="77" t="str">
        <f>IFERROR(COUNTIFS(Таблица2[Date],B234,Таблица2[WIN$],"&gt;0")/E234*100,"-")</f>
        <v>-</v>
      </c>
      <c r="K234" s="77" t="str">
        <f>IF(IFERROR((COUNTIFS(Таблица2[Date],B234,Таблица2[K],"K")+SUMIFS(Таблица2[R],#REF!,B234,Таблица2[K],"K"))/E234*100,"-")=0,"-",IFERROR((COUNTIFS(Таблица2[Date],B234,Таблица2[K],"K")+SUMIFS(Таблица2[R],Таблица2[Date],B234,Таблица2[K],"K"))/E234*100,"-"))</f>
        <v>-</v>
      </c>
      <c r="L234" s="76" t="str">
        <f>IF(IFERROR((COUNTIFS(Таблица2[Date],B234,Таблица2[T],"t")+SUMIFS(Таблица2[R],Таблица2[Date],B234,Таблица2[T],"t"))/E234*100,"-")=0,"-",IFERROR((COUNTIFS(Таблица2[Date],B234,Таблица2[T],"t")+SUMIFS(Таблица2[R],Таблица2[Date],B234,Таблица2[T],"t"))/E234*100,"-"))</f>
        <v>-</v>
      </c>
      <c r="M234" s="76" t="str">
        <f>IF(SUMIFS(Таблица2[KO$],Таблица2[Date],B234)=0,"-",SUMIFS(Таблица2[KO$],Таблица2[Date],B234))</f>
        <v>-</v>
      </c>
      <c r="N234" s="76" t="str">
        <f>IF(SUMIFS(Таблица2[WIN$],Таблица2[Date],B234)=0,"-",SUMIFS(Таблица2[WIN$],Таблица2[Date],B234))</f>
        <v>-</v>
      </c>
      <c r="O234" s="78" t="str">
        <f t="shared" si="13"/>
        <v>-</v>
      </c>
    </row>
    <row r="235" spans="1:15" ht="11.1" customHeight="1" x14ac:dyDescent="0.25">
      <c r="A235" s="93">
        <f t="shared" si="14"/>
        <v>149</v>
      </c>
      <c r="B235" s="48"/>
      <c r="C235"/>
      <c r="D235" s="117">
        <f t="shared" si="10"/>
        <v>1900</v>
      </c>
      <c r="E235" s="117" t="str">
        <f>IF(COUNTIFS(Таблица2[Date],B235)+SUMIFS(Таблица2[R],Таблица2[Date],B235)=0,"",COUNTIFS(Таблица2[Date],B235)+SUMIFS(Таблица2[R],Таблица2[Date],B235))</f>
        <v/>
      </c>
      <c r="F235" s="76" t="str">
        <f>IF(SUMIFS(Таблица2[B$],Таблица2[Date],B235)=0,"-",SUMIFS(Таблица2[B$],Таблица2[Date],B235))</f>
        <v>-</v>
      </c>
      <c r="G235" s="77" t="str">
        <f t="shared" si="11"/>
        <v>-</v>
      </c>
      <c r="H235" s="77" t="str">
        <f>IFERROR(AVERAGEIFS(Таблица2[AFS],Таблица2[Date],B235)+(AVERAGEIFS(Таблица2[AFS],Таблица2[Date],B235)*0.2),"-")</f>
        <v>-</v>
      </c>
      <c r="I235" s="77" t="str">
        <f t="shared" si="12"/>
        <v>-</v>
      </c>
      <c r="J235" s="77" t="str">
        <f>IFERROR(COUNTIFS(Таблица2[Date],B235,Таблица2[WIN$],"&gt;0")/E235*100,"-")</f>
        <v>-</v>
      </c>
      <c r="K235" s="77" t="str">
        <f>IF(IFERROR((COUNTIFS(Таблица2[Date],B235,Таблица2[K],"K")+SUMIFS(Таблица2[R],#REF!,B235,Таблица2[K],"K"))/E235*100,"-")=0,"-",IFERROR((COUNTIFS(Таблица2[Date],B235,Таблица2[K],"K")+SUMIFS(Таблица2[R],Таблица2[Date],B235,Таблица2[K],"K"))/E235*100,"-"))</f>
        <v>-</v>
      </c>
      <c r="L235" s="76" t="str">
        <f>IF(IFERROR((COUNTIFS(Таблица2[Date],B235,Таблица2[T],"t")+SUMIFS(Таблица2[R],Таблица2[Date],B235,Таблица2[T],"t"))/E235*100,"-")=0,"-",IFERROR((COUNTIFS(Таблица2[Date],B235,Таблица2[T],"t")+SUMIFS(Таблица2[R],Таблица2[Date],B235,Таблица2[T],"t"))/E235*100,"-"))</f>
        <v>-</v>
      </c>
      <c r="M235" s="76" t="str">
        <f>IF(SUMIFS(Таблица2[KO$],Таблица2[Date],B235)=0,"-",SUMIFS(Таблица2[KO$],Таблица2[Date],B235))</f>
        <v>-</v>
      </c>
      <c r="N235" s="76" t="str">
        <f>IF(SUMIFS(Таблица2[WIN$],Таблица2[Date],B235)=0,"-",SUMIFS(Таблица2[WIN$],Таблица2[Date],B235))</f>
        <v>-</v>
      </c>
      <c r="O235" s="78" t="str">
        <f t="shared" si="13"/>
        <v>-</v>
      </c>
    </row>
    <row r="236" spans="1:15" ht="11.1" customHeight="1" x14ac:dyDescent="0.25">
      <c r="A236" s="93">
        <f t="shared" si="14"/>
        <v>150</v>
      </c>
      <c r="B236" s="48"/>
      <c r="C236"/>
      <c r="D236" s="117">
        <f t="shared" si="10"/>
        <v>1900</v>
      </c>
      <c r="E236" s="117" t="str">
        <f>IF(COUNTIFS(Таблица2[Date],B236)+SUMIFS(Таблица2[R],Таблица2[Date],B236)=0,"",COUNTIFS(Таблица2[Date],B236)+SUMIFS(Таблица2[R],Таблица2[Date],B236))</f>
        <v/>
      </c>
      <c r="F236" s="76" t="str">
        <f>IF(SUMIFS(Таблица2[B$],Таблица2[Date],B236)=0,"-",SUMIFS(Таблица2[B$],Таблица2[Date],B236))</f>
        <v>-</v>
      </c>
      <c r="G236" s="77" t="str">
        <f t="shared" si="11"/>
        <v>-</v>
      </c>
      <c r="H236" s="77" t="str">
        <f>IFERROR(AVERAGEIFS(Таблица2[AFS],Таблица2[Date],B236)+(AVERAGEIFS(Таблица2[AFS],Таблица2[Date],B236)*0.2),"-")</f>
        <v>-</v>
      </c>
      <c r="I236" s="77" t="str">
        <f t="shared" si="12"/>
        <v>-</v>
      </c>
      <c r="J236" s="77" t="str">
        <f>IFERROR(COUNTIFS(Таблица2[Date],B236,Таблица2[WIN$],"&gt;0")/E236*100,"-")</f>
        <v>-</v>
      </c>
      <c r="K236" s="77" t="str">
        <f>IF(IFERROR((COUNTIFS(Таблица2[Date],B236,Таблица2[K],"K")+SUMIFS(Таблица2[R],#REF!,B236,Таблица2[K],"K"))/E236*100,"-")=0,"-",IFERROR((COUNTIFS(Таблица2[Date],B236,Таблица2[K],"K")+SUMIFS(Таблица2[R],Таблица2[Date],B236,Таблица2[K],"K"))/E236*100,"-"))</f>
        <v>-</v>
      </c>
      <c r="L236" s="76" t="str">
        <f>IF(IFERROR((COUNTIFS(Таблица2[Date],B236,Таблица2[T],"t")+SUMIFS(Таблица2[R],Таблица2[Date],B236,Таблица2[T],"t"))/E236*100,"-")=0,"-",IFERROR((COUNTIFS(Таблица2[Date],B236,Таблица2[T],"t")+SUMIFS(Таблица2[R],Таблица2[Date],B236,Таблица2[T],"t"))/E236*100,"-"))</f>
        <v>-</v>
      </c>
      <c r="M236" s="76" t="str">
        <f>IF(SUMIFS(Таблица2[KO$],Таблица2[Date],B236)=0,"-",SUMIFS(Таблица2[KO$],Таблица2[Date],B236))</f>
        <v>-</v>
      </c>
      <c r="N236" s="76" t="str">
        <f>IF(SUMIFS(Таблица2[WIN$],Таблица2[Date],B236)=0,"-",SUMIFS(Таблица2[WIN$],Таблица2[Date],B236))</f>
        <v>-</v>
      </c>
      <c r="O236" s="78" t="str">
        <f t="shared" si="13"/>
        <v>-</v>
      </c>
    </row>
    <row r="237" spans="1:15" ht="11.1" customHeight="1" x14ac:dyDescent="0.25">
      <c r="A237" s="93">
        <f t="shared" si="14"/>
        <v>151</v>
      </c>
      <c r="B237" s="48"/>
      <c r="C237"/>
      <c r="D237" s="117">
        <f t="shared" si="10"/>
        <v>1900</v>
      </c>
      <c r="E237" s="117" t="str">
        <f>IF(COUNTIFS(Таблица2[Date],B237)+SUMIFS(Таблица2[R],Таблица2[Date],B237)=0,"",COUNTIFS(Таблица2[Date],B237)+SUMIFS(Таблица2[R],Таблица2[Date],B237))</f>
        <v/>
      </c>
      <c r="F237" s="76" t="str">
        <f>IF(SUMIFS(Таблица2[B$],Таблица2[Date],B237)=0,"-",SUMIFS(Таблица2[B$],Таблица2[Date],B237))</f>
        <v>-</v>
      </c>
      <c r="G237" s="77" t="str">
        <f t="shared" si="11"/>
        <v>-</v>
      </c>
      <c r="H237" s="77" t="str">
        <f>IFERROR(AVERAGEIFS(Таблица2[AFS],Таблица2[Date],B237)+(AVERAGEIFS(Таблица2[AFS],Таблица2[Date],B237)*0.2),"-")</f>
        <v>-</v>
      </c>
      <c r="I237" s="77" t="str">
        <f t="shared" si="12"/>
        <v>-</v>
      </c>
      <c r="J237" s="77" t="str">
        <f>IFERROR(COUNTIFS(Таблица2[Date],B237,Таблица2[WIN$],"&gt;0")/E237*100,"-")</f>
        <v>-</v>
      </c>
      <c r="K237" s="77" t="str">
        <f>IF(IFERROR((COUNTIFS(Таблица2[Date],B237,Таблица2[K],"K")+SUMIFS(Таблица2[R],#REF!,B237,Таблица2[K],"K"))/E237*100,"-")=0,"-",IFERROR((COUNTIFS(Таблица2[Date],B237,Таблица2[K],"K")+SUMIFS(Таблица2[R],Таблица2[Date],B237,Таблица2[K],"K"))/E237*100,"-"))</f>
        <v>-</v>
      </c>
      <c r="L237" s="76" t="str">
        <f>IF(IFERROR((COUNTIFS(Таблица2[Date],B237,Таблица2[T],"t")+SUMIFS(Таблица2[R],Таблица2[Date],B237,Таблица2[T],"t"))/E237*100,"-")=0,"-",IFERROR((COUNTIFS(Таблица2[Date],B237,Таблица2[T],"t")+SUMIFS(Таблица2[R],Таблица2[Date],B237,Таблица2[T],"t"))/E237*100,"-"))</f>
        <v>-</v>
      </c>
      <c r="M237" s="76" t="str">
        <f>IF(SUMIFS(Таблица2[KO$],Таблица2[Date],B237)=0,"-",SUMIFS(Таблица2[KO$],Таблица2[Date],B237))</f>
        <v>-</v>
      </c>
      <c r="N237" s="76" t="str">
        <f>IF(SUMIFS(Таблица2[WIN$],Таблица2[Date],B237)=0,"-",SUMIFS(Таблица2[WIN$],Таблица2[Date],B237))</f>
        <v>-</v>
      </c>
      <c r="O237" s="78" t="str">
        <f t="shared" si="13"/>
        <v>-</v>
      </c>
    </row>
    <row r="238" spans="1:15" ht="11.1" customHeight="1" x14ac:dyDescent="0.25">
      <c r="A238" s="93">
        <f t="shared" si="14"/>
        <v>152</v>
      </c>
      <c r="B238" s="48"/>
      <c r="C238"/>
      <c r="D238" s="117">
        <f t="shared" si="10"/>
        <v>1900</v>
      </c>
      <c r="E238" s="117" t="str">
        <f>IF(COUNTIFS(Таблица2[Date],B238)+SUMIFS(Таблица2[R],Таблица2[Date],B238)=0,"",COUNTIFS(Таблица2[Date],B238)+SUMIFS(Таблица2[R],Таблица2[Date],B238))</f>
        <v/>
      </c>
      <c r="F238" s="76" t="str">
        <f>IF(SUMIFS(Таблица2[B$],Таблица2[Date],B238)=0,"-",SUMIFS(Таблица2[B$],Таблица2[Date],B238))</f>
        <v>-</v>
      </c>
      <c r="G238" s="77" t="str">
        <f t="shared" si="11"/>
        <v>-</v>
      </c>
      <c r="H238" s="77" t="str">
        <f>IFERROR(AVERAGEIFS(Таблица2[AFS],Таблица2[Date],B238)+(AVERAGEIFS(Таблица2[AFS],Таблица2[Date],B238)*0.2),"-")</f>
        <v>-</v>
      </c>
      <c r="I238" s="77" t="str">
        <f t="shared" si="12"/>
        <v>-</v>
      </c>
      <c r="J238" s="77" t="str">
        <f>IFERROR(COUNTIFS(Таблица2[Date],B238,Таблица2[WIN$],"&gt;0")/E238*100,"-")</f>
        <v>-</v>
      </c>
      <c r="K238" s="77" t="str">
        <f>IF(IFERROR((COUNTIFS(Таблица2[Date],B238,Таблица2[K],"K")+SUMIFS(Таблица2[R],#REF!,B238,Таблица2[K],"K"))/E238*100,"-")=0,"-",IFERROR((COUNTIFS(Таблица2[Date],B238,Таблица2[K],"K")+SUMIFS(Таблица2[R],Таблица2[Date],B238,Таблица2[K],"K"))/E238*100,"-"))</f>
        <v>-</v>
      </c>
      <c r="L238" s="76" t="str">
        <f>IF(IFERROR((COUNTIFS(Таблица2[Date],B238,Таблица2[T],"t")+SUMIFS(Таблица2[R],Таблица2[Date],B238,Таблица2[T],"t"))/E238*100,"-")=0,"-",IFERROR((COUNTIFS(Таблица2[Date],B238,Таблица2[T],"t")+SUMIFS(Таблица2[R],Таблица2[Date],B238,Таблица2[T],"t"))/E238*100,"-"))</f>
        <v>-</v>
      </c>
      <c r="M238" s="76" t="str">
        <f>IF(SUMIFS(Таблица2[KO$],Таблица2[Date],B238)=0,"-",SUMIFS(Таблица2[KO$],Таблица2[Date],B238))</f>
        <v>-</v>
      </c>
      <c r="N238" s="76" t="str">
        <f>IF(SUMIFS(Таблица2[WIN$],Таблица2[Date],B238)=0,"-",SUMIFS(Таблица2[WIN$],Таблица2[Date],B238))</f>
        <v>-</v>
      </c>
      <c r="O238" s="78" t="str">
        <f t="shared" si="13"/>
        <v>-</v>
      </c>
    </row>
    <row r="239" spans="1:15" ht="11.1" customHeight="1" x14ac:dyDescent="0.25">
      <c r="A239" s="93">
        <f t="shared" si="14"/>
        <v>153</v>
      </c>
      <c r="B239" s="48"/>
      <c r="C239"/>
      <c r="D239" s="117">
        <f t="shared" si="10"/>
        <v>1900</v>
      </c>
      <c r="E239" s="117" t="str">
        <f>IF(COUNTIFS(Таблица2[Date],B239)+SUMIFS(Таблица2[R],Таблица2[Date],B239)=0,"",COUNTIFS(Таблица2[Date],B239)+SUMIFS(Таблица2[R],Таблица2[Date],B239))</f>
        <v/>
      </c>
      <c r="F239" s="76" t="str">
        <f>IF(SUMIFS(Таблица2[B$],Таблица2[Date],B239)=0,"-",SUMIFS(Таблица2[B$],Таблица2[Date],B239))</f>
        <v>-</v>
      </c>
      <c r="G239" s="77" t="str">
        <f t="shared" si="11"/>
        <v>-</v>
      </c>
      <c r="H239" s="77" t="str">
        <f>IFERROR(AVERAGEIFS(Таблица2[AFS],Таблица2[Date],B239)+(AVERAGEIFS(Таблица2[AFS],Таблица2[Date],B239)*0.2),"-")</f>
        <v>-</v>
      </c>
      <c r="I239" s="77" t="str">
        <f t="shared" si="12"/>
        <v>-</v>
      </c>
      <c r="J239" s="77" t="str">
        <f>IFERROR(COUNTIFS(Таблица2[Date],B239,Таблица2[WIN$],"&gt;0")/E239*100,"-")</f>
        <v>-</v>
      </c>
      <c r="K239" s="77" t="str">
        <f>IF(IFERROR((COUNTIFS(Таблица2[Date],B239,Таблица2[K],"K")+SUMIFS(Таблица2[R],#REF!,B239,Таблица2[K],"K"))/E239*100,"-")=0,"-",IFERROR((COUNTIFS(Таблица2[Date],B239,Таблица2[K],"K")+SUMIFS(Таблица2[R],Таблица2[Date],B239,Таблица2[K],"K"))/E239*100,"-"))</f>
        <v>-</v>
      </c>
      <c r="L239" s="76" t="str">
        <f>IF(IFERROR((COUNTIFS(Таблица2[Date],B239,Таблица2[T],"t")+SUMIFS(Таблица2[R],Таблица2[Date],B239,Таблица2[T],"t"))/E239*100,"-")=0,"-",IFERROR((COUNTIFS(Таблица2[Date],B239,Таблица2[T],"t")+SUMIFS(Таблица2[R],Таблица2[Date],B239,Таблица2[T],"t"))/E239*100,"-"))</f>
        <v>-</v>
      </c>
      <c r="M239" s="76" t="str">
        <f>IF(SUMIFS(Таблица2[KO$],Таблица2[Date],B239)=0,"-",SUMIFS(Таблица2[KO$],Таблица2[Date],B239))</f>
        <v>-</v>
      </c>
      <c r="N239" s="76" t="str">
        <f>IF(SUMIFS(Таблица2[WIN$],Таблица2[Date],B239)=0,"-",SUMIFS(Таблица2[WIN$],Таблица2[Date],B239))</f>
        <v>-</v>
      </c>
      <c r="O239" s="78" t="str">
        <f t="shared" si="13"/>
        <v>-</v>
      </c>
    </row>
    <row r="240" spans="1:15" ht="11.1" customHeight="1" x14ac:dyDescent="0.25">
      <c r="A240" s="93">
        <f t="shared" si="14"/>
        <v>154</v>
      </c>
      <c r="B240" s="48"/>
      <c r="C240"/>
      <c r="D240" s="117">
        <f t="shared" si="10"/>
        <v>1900</v>
      </c>
      <c r="E240" s="117" t="str">
        <f>IF(COUNTIFS(Таблица2[Date],B240)+SUMIFS(Таблица2[R],Таблица2[Date],B240)=0,"",COUNTIFS(Таблица2[Date],B240)+SUMIFS(Таблица2[R],Таблица2[Date],B240))</f>
        <v/>
      </c>
      <c r="F240" s="76" t="str">
        <f>IF(SUMIFS(Таблица2[B$],Таблица2[Date],B240)=0,"-",SUMIFS(Таблица2[B$],Таблица2[Date],B240))</f>
        <v>-</v>
      </c>
      <c r="G240" s="77" t="str">
        <f t="shared" si="11"/>
        <v>-</v>
      </c>
      <c r="H240" s="77" t="str">
        <f>IFERROR(AVERAGEIFS(Таблица2[AFS],Таблица2[Date],B240)+(AVERAGEIFS(Таблица2[AFS],Таблица2[Date],B240)*0.2),"-")</f>
        <v>-</v>
      </c>
      <c r="I240" s="77" t="str">
        <f t="shared" si="12"/>
        <v>-</v>
      </c>
      <c r="J240" s="77" t="str">
        <f>IFERROR(COUNTIFS(Таблица2[Date],B240,Таблица2[WIN$],"&gt;0")/E240*100,"-")</f>
        <v>-</v>
      </c>
      <c r="K240" s="77" t="str">
        <f>IF(IFERROR((COUNTIFS(Таблица2[Date],B240,Таблица2[K],"K")+SUMIFS(Таблица2[R],#REF!,B240,Таблица2[K],"K"))/E240*100,"-")=0,"-",IFERROR((COUNTIFS(Таблица2[Date],B240,Таблица2[K],"K")+SUMIFS(Таблица2[R],Таблица2[Date],B240,Таблица2[K],"K"))/E240*100,"-"))</f>
        <v>-</v>
      </c>
      <c r="L240" s="76" t="str">
        <f>IF(IFERROR((COUNTIFS(Таблица2[Date],B240,Таблица2[T],"t")+SUMIFS(Таблица2[R],Таблица2[Date],B240,Таблица2[T],"t"))/E240*100,"-")=0,"-",IFERROR((COUNTIFS(Таблица2[Date],B240,Таблица2[T],"t")+SUMIFS(Таблица2[R],Таблица2[Date],B240,Таблица2[T],"t"))/E240*100,"-"))</f>
        <v>-</v>
      </c>
      <c r="M240" s="76" t="str">
        <f>IF(SUMIFS(Таблица2[KO$],Таблица2[Date],B240)=0,"-",SUMIFS(Таблица2[KO$],Таблица2[Date],B240))</f>
        <v>-</v>
      </c>
      <c r="N240" s="76" t="str">
        <f>IF(SUMIFS(Таблица2[WIN$],Таблица2[Date],B240)=0,"-",SUMIFS(Таблица2[WIN$],Таблица2[Date],B240))</f>
        <v>-</v>
      </c>
      <c r="O240" s="78" t="str">
        <f t="shared" si="13"/>
        <v>-</v>
      </c>
    </row>
    <row r="241" spans="1:15" ht="11.1" customHeight="1" x14ac:dyDescent="0.25">
      <c r="A241" s="93">
        <f t="shared" si="14"/>
        <v>155</v>
      </c>
      <c r="B241" s="48"/>
      <c r="C241"/>
      <c r="D241" s="117">
        <f t="shared" si="10"/>
        <v>1900</v>
      </c>
      <c r="E241" s="117" t="str">
        <f>IF(COUNTIFS(Таблица2[Date],B241)+SUMIFS(Таблица2[R],Таблица2[Date],B241)=0,"",COUNTIFS(Таблица2[Date],B241)+SUMIFS(Таблица2[R],Таблица2[Date],B241))</f>
        <v/>
      </c>
      <c r="F241" s="76" t="str">
        <f>IF(SUMIFS(Таблица2[B$],Таблица2[Date],B241)=0,"-",SUMIFS(Таблица2[B$],Таблица2[Date],B241))</f>
        <v>-</v>
      </c>
      <c r="G241" s="77" t="str">
        <f t="shared" si="11"/>
        <v>-</v>
      </c>
      <c r="H241" s="77" t="str">
        <f>IFERROR(AVERAGEIFS(Таблица2[AFS],Таблица2[Date],B241)+(AVERAGEIFS(Таблица2[AFS],Таблица2[Date],B241)*0.2),"-")</f>
        <v>-</v>
      </c>
      <c r="I241" s="77" t="str">
        <f t="shared" si="12"/>
        <v>-</v>
      </c>
      <c r="J241" s="77" t="str">
        <f>IFERROR(COUNTIFS(Таблица2[Date],B241,Таблица2[WIN$],"&gt;0")/E241*100,"-")</f>
        <v>-</v>
      </c>
      <c r="K241" s="77" t="str">
        <f>IF(IFERROR((COUNTIFS(Таблица2[Date],B241,Таблица2[K],"K")+SUMIFS(Таблица2[R],#REF!,B241,Таблица2[K],"K"))/E241*100,"-")=0,"-",IFERROR((COUNTIFS(Таблица2[Date],B241,Таблица2[K],"K")+SUMIFS(Таблица2[R],Таблица2[Date],B241,Таблица2[K],"K"))/E241*100,"-"))</f>
        <v>-</v>
      </c>
      <c r="L241" s="76" t="str">
        <f>IF(IFERROR((COUNTIFS(Таблица2[Date],B241,Таблица2[T],"t")+SUMIFS(Таблица2[R],Таблица2[Date],B241,Таблица2[T],"t"))/E241*100,"-")=0,"-",IFERROR((COUNTIFS(Таблица2[Date],B241,Таблица2[T],"t")+SUMIFS(Таблица2[R],Таблица2[Date],B241,Таблица2[T],"t"))/E241*100,"-"))</f>
        <v>-</v>
      </c>
      <c r="M241" s="76" t="str">
        <f>IF(SUMIFS(Таблица2[KO$],Таблица2[Date],B241)=0,"-",SUMIFS(Таблица2[KO$],Таблица2[Date],B241))</f>
        <v>-</v>
      </c>
      <c r="N241" s="76" t="str">
        <f>IF(SUMIFS(Таблица2[WIN$],Таблица2[Date],B241)=0,"-",SUMIFS(Таблица2[WIN$],Таблица2[Date],B241))</f>
        <v>-</v>
      </c>
      <c r="O241" s="78" t="str">
        <f t="shared" si="13"/>
        <v>-</v>
      </c>
    </row>
    <row r="242" spans="1:15" ht="11.1" customHeight="1" x14ac:dyDescent="0.25">
      <c r="A242" s="93">
        <f t="shared" si="14"/>
        <v>156</v>
      </c>
      <c r="B242" s="48"/>
      <c r="C242"/>
      <c r="D242" s="117">
        <f t="shared" si="10"/>
        <v>1900</v>
      </c>
      <c r="E242" s="117" t="str">
        <f>IF(COUNTIFS(Таблица2[Date],B242)+SUMIFS(Таблица2[R],Таблица2[Date],B242)=0,"",COUNTIFS(Таблица2[Date],B242)+SUMIFS(Таблица2[R],Таблица2[Date],B242))</f>
        <v/>
      </c>
      <c r="F242" s="76" t="str">
        <f>IF(SUMIFS(Таблица2[B$],Таблица2[Date],B242)=0,"-",SUMIFS(Таблица2[B$],Таблица2[Date],B242))</f>
        <v>-</v>
      </c>
      <c r="G242" s="77" t="str">
        <f t="shared" si="11"/>
        <v>-</v>
      </c>
      <c r="H242" s="77" t="str">
        <f>IFERROR(AVERAGEIFS(Таблица2[AFS],Таблица2[Date],B242)+(AVERAGEIFS(Таблица2[AFS],Таблица2[Date],B242)*0.2),"-")</f>
        <v>-</v>
      </c>
      <c r="I242" s="77" t="str">
        <f t="shared" si="12"/>
        <v>-</v>
      </c>
      <c r="J242" s="77" t="str">
        <f>IFERROR(COUNTIFS(Таблица2[Date],B242,Таблица2[WIN$],"&gt;0")/E242*100,"-")</f>
        <v>-</v>
      </c>
      <c r="K242" s="77" t="str">
        <f>IF(IFERROR((COUNTIFS(Таблица2[Date],B242,Таблица2[K],"K")+SUMIFS(Таблица2[R],#REF!,B242,Таблица2[K],"K"))/E242*100,"-")=0,"-",IFERROR((COUNTIFS(Таблица2[Date],B242,Таблица2[K],"K")+SUMIFS(Таблица2[R],Таблица2[Date],B242,Таблица2[K],"K"))/E242*100,"-"))</f>
        <v>-</v>
      </c>
      <c r="L242" s="76" t="str">
        <f>IF(IFERROR((COUNTIFS(Таблица2[Date],B242,Таблица2[T],"t")+SUMIFS(Таблица2[R],Таблица2[Date],B242,Таблица2[T],"t"))/E242*100,"-")=0,"-",IFERROR((COUNTIFS(Таблица2[Date],B242,Таблица2[T],"t")+SUMIFS(Таблица2[R],Таблица2[Date],B242,Таблица2[T],"t"))/E242*100,"-"))</f>
        <v>-</v>
      </c>
      <c r="M242" s="76" t="str">
        <f>IF(SUMIFS(Таблица2[KO$],Таблица2[Date],B242)=0,"-",SUMIFS(Таблица2[KO$],Таблица2[Date],B242))</f>
        <v>-</v>
      </c>
      <c r="N242" s="76" t="str">
        <f>IF(SUMIFS(Таблица2[WIN$],Таблица2[Date],B242)=0,"-",SUMIFS(Таблица2[WIN$],Таблица2[Date],B242))</f>
        <v>-</v>
      </c>
      <c r="O242" s="78" t="str">
        <f t="shared" si="13"/>
        <v>-</v>
      </c>
    </row>
    <row r="243" spans="1:15" ht="11.1" customHeight="1" x14ac:dyDescent="0.25">
      <c r="A243" s="93">
        <f t="shared" si="14"/>
        <v>157</v>
      </c>
      <c r="B243" s="48"/>
      <c r="C243"/>
      <c r="D243" s="117">
        <f t="shared" si="10"/>
        <v>1900</v>
      </c>
      <c r="E243" s="117" t="str">
        <f>IF(COUNTIFS(Таблица2[Date],B243)+SUMIFS(Таблица2[R],Таблица2[Date],B243)=0,"",COUNTIFS(Таблица2[Date],B243)+SUMIFS(Таблица2[R],Таблица2[Date],B243))</f>
        <v/>
      </c>
      <c r="F243" s="76" t="str">
        <f>IF(SUMIFS(Таблица2[B$],Таблица2[Date],B243)=0,"-",SUMIFS(Таблица2[B$],Таблица2[Date],B243))</f>
        <v>-</v>
      </c>
      <c r="G243" s="77" t="str">
        <f t="shared" si="11"/>
        <v>-</v>
      </c>
      <c r="H243" s="77" t="str">
        <f>IFERROR(AVERAGEIFS(Таблица2[AFS],Таблица2[Date],B243)+(AVERAGEIFS(Таблица2[AFS],Таблица2[Date],B243)*0.2),"-")</f>
        <v>-</v>
      </c>
      <c r="I243" s="77" t="str">
        <f t="shared" si="12"/>
        <v>-</v>
      </c>
      <c r="J243" s="77" t="str">
        <f>IFERROR(COUNTIFS(Таблица2[Date],B243,Таблица2[WIN$],"&gt;0")/E243*100,"-")</f>
        <v>-</v>
      </c>
      <c r="K243" s="77" t="str">
        <f>IF(IFERROR((COUNTIFS(Таблица2[Date],B243,Таблица2[K],"K")+SUMIFS(Таблица2[R],#REF!,B243,Таблица2[K],"K"))/E243*100,"-")=0,"-",IFERROR((COUNTIFS(Таблица2[Date],B243,Таблица2[K],"K")+SUMIFS(Таблица2[R],Таблица2[Date],B243,Таблица2[K],"K"))/E243*100,"-"))</f>
        <v>-</v>
      </c>
      <c r="L243" s="76" t="str">
        <f>IF(IFERROR((COUNTIFS(Таблица2[Date],B243,Таблица2[T],"t")+SUMIFS(Таблица2[R],Таблица2[Date],B243,Таблица2[T],"t"))/E243*100,"-")=0,"-",IFERROR((COUNTIFS(Таблица2[Date],B243,Таблица2[T],"t")+SUMIFS(Таблица2[R],Таблица2[Date],B243,Таблица2[T],"t"))/E243*100,"-"))</f>
        <v>-</v>
      </c>
      <c r="M243" s="76" t="str">
        <f>IF(SUMIFS(Таблица2[KO$],Таблица2[Date],B243)=0,"-",SUMIFS(Таблица2[KO$],Таблица2[Date],B243))</f>
        <v>-</v>
      </c>
      <c r="N243" s="76" t="str">
        <f>IF(SUMIFS(Таблица2[WIN$],Таблица2[Date],B243)=0,"-",SUMIFS(Таблица2[WIN$],Таблица2[Date],B243))</f>
        <v>-</v>
      </c>
      <c r="O243" s="78" t="str">
        <f t="shared" si="13"/>
        <v>-</v>
      </c>
    </row>
    <row r="244" spans="1:15" ht="11.1" customHeight="1" x14ac:dyDescent="0.25">
      <c r="A244" s="93">
        <f t="shared" si="14"/>
        <v>158</v>
      </c>
      <c r="B244" s="48"/>
      <c r="C244"/>
      <c r="D244" s="117">
        <f t="shared" si="10"/>
        <v>1900</v>
      </c>
      <c r="E244" s="117" t="str">
        <f>IF(COUNTIFS(Таблица2[Date],B244)+SUMIFS(Таблица2[R],Таблица2[Date],B244)=0,"",COUNTIFS(Таблица2[Date],B244)+SUMIFS(Таблица2[R],Таблица2[Date],B244))</f>
        <v/>
      </c>
      <c r="F244" s="76" t="str">
        <f>IF(SUMIFS(Таблица2[B$],Таблица2[Date],B244)=0,"-",SUMIFS(Таблица2[B$],Таблица2[Date],B244))</f>
        <v>-</v>
      </c>
      <c r="G244" s="77" t="str">
        <f t="shared" si="11"/>
        <v>-</v>
      </c>
      <c r="H244" s="77" t="str">
        <f>IFERROR(AVERAGEIFS(Таблица2[AFS],Таблица2[Date],B244)+(AVERAGEIFS(Таблица2[AFS],Таблица2[Date],B244)*0.2),"-")</f>
        <v>-</v>
      </c>
      <c r="I244" s="77" t="str">
        <f t="shared" si="12"/>
        <v>-</v>
      </c>
      <c r="J244" s="77" t="str">
        <f>IFERROR(COUNTIFS(Таблица2[Date],B244,Таблица2[WIN$],"&gt;0")/E244*100,"-")</f>
        <v>-</v>
      </c>
      <c r="K244" s="77" t="str">
        <f>IF(IFERROR((COUNTIFS(Таблица2[Date],B244,Таблица2[K],"K")+SUMIFS(Таблица2[R],#REF!,B244,Таблица2[K],"K"))/E244*100,"-")=0,"-",IFERROR((COUNTIFS(Таблица2[Date],B244,Таблица2[K],"K")+SUMIFS(Таблица2[R],Таблица2[Date],B244,Таблица2[K],"K"))/E244*100,"-"))</f>
        <v>-</v>
      </c>
      <c r="L244" s="76" t="str">
        <f>IF(IFERROR((COUNTIFS(Таблица2[Date],B244,Таблица2[T],"t")+SUMIFS(Таблица2[R],Таблица2[Date],B244,Таблица2[T],"t"))/E244*100,"-")=0,"-",IFERROR((COUNTIFS(Таблица2[Date],B244,Таблица2[T],"t")+SUMIFS(Таблица2[R],Таблица2[Date],B244,Таблица2[T],"t"))/E244*100,"-"))</f>
        <v>-</v>
      </c>
      <c r="M244" s="76" t="str">
        <f>IF(SUMIFS(Таблица2[KO$],Таблица2[Date],B244)=0,"-",SUMIFS(Таблица2[KO$],Таблица2[Date],B244))</f>
        <v>-</v>
      </c>
      <c r="N244" s="76" t="str">
        <f>IF(SUMIFS(Таблица2[WIN$],Таблица2[Date],B244)=0,"-",SUMIFS(Таблица2[WIN$],Таблица2[Date],B244))</f>
        <v>-</v>
      </c>
      <c r="O244" s="78" t="str">
        <f t="shared" si="13"/>
        <v>-</v>
      </c>
    </row>
    <row r="245" spans="1:15" ht="11.1" customHeight="1" x14ac:dyDescent="0.25">
      <c r="A245" s="93">
        <f t="shared" si="14"/>
        <v>159</v>
      </c>
      <c r="B245" s="48"/>
      <c r="C245"/>
      <c r="D245" s="117">
        <f t="shared" si="10"/>
        <v>1900</v>
      </c>
      <c r="E245" s="117" t="str">
        <f>IF(COUNTIFS(Таблица2[Date],B245)+SUMIFS(Таблица2[R],Таблица2[Date],B245)=0,"",COUNTIFS(Таблица2[Date],B245)+SUMIFS(Таблица2[R],Таблица2[Date],B245))</f>
        <v/>
      </c>
      <c r="F245" s="76" t="str">
        <f>IF(SUMIFS(Таблица2[B$],Таблица2[Date],B245)=0,"-",SUMIFS(Таблица2[B$],Таблица2[Date],B245))</f>
        <v>-</v>
      </c>
      <c r="G245" s="77" t="str">
        <f t="shared" si="11"/>
        <v>-</v>
      </c>
      <c r="H245" s="77" t="str">
        <f>IFERROR(AVERAGEIFS(Таблица2[AFS],Таблица2[Date],B245)+(AVERAGEIFS(Таблица2[AFS],Таблица2[Date],B245)*0.2),"-")</f>
        <v>-</v>
      </c>
      <c r="I245" s="77" t="str">
        <f t="shared" si="12"/>
        <v>-</v>
      </c>
      <c r="J245" s="77" t="str">
        <f>IFERROR(COUNTIFS(Таблица2[Date],B245,Таблица2[WIN$],"&gt;0")/E245*100,"-")</f>
        <v>-</v>
      </c>
      <c r="K245" s="77" t="str">
        <f>IF(IFERROR((COUNTIFS(Таблица2[Date],B245,Таблица2[K],"K")+SUMIFS(Таблица2[R],#REF!,B245,Таблица2[K],"K"))/E245*100,"-")=0,"-",IFERROR((COUNTIFS(Таблица2[Date],B245,Таблица2[K],"K")+SUMIFS(Таблица2[R],Таблица2[Date],B245,Таблица2[K],"K"))/E245*100,"-"))</f>
        <v>-</v>
      </c>
      <c r="L245" s="76" t="str">
        <f>IF(IFERROR((COUNTIFS(Таблица2[Date],B245,Таблица2[T],"t")+SUMIFS(Таблица2[R],Таблица2[Date],B245,Таблица2[T],"t"))/E245*100,"-")=0,"-",IFERROR((COUNTIFS(Таблица2[Date],B245,Таблица2[T],"t")+SUMIFS(Таблица2[R],Таблица2[Date],B245,Таблица2[T],"t"))/E245*100,"-"))</f>
        <v>-</v>
      </c>
      <c r="M245" s="76" t="str">
        <f>IF(SUMIFS(Таблица2[KO$],Таблица2[Date],B245)=0,"-",SUMIFS(Таблица2[KO$],Таблица2[Date],B245))</f>
        <v>-</v>
      </c>
      <c r="N245" s="76" t="str">
        <f>IF(SUMIFS(Таблица2[WIN$],Таблица2[Date],B245)=0,"-",SUMIFS(Таблица2[WIN$],Таблица2[Date],B245))</f>
        <v>-</v>
      </c>
      <c r="O245" s="78" t="str">
        <f t="shared" si="13"/>
        <v>-</v>
      </c>
    </row>
    <row r="246" spans="1:15" ht="11.1" customHeight="1" x14ac:dyDescent="0.25">
      <c r="A246" s="93">
        <f t="shared" si="14"/>
        <v>160</v>
      </c>
      <c r="B246" s="48"/>
      <c r="C246"/>
      <c r="D246" s="117">
        <f t="shared" si="10"/>
        <v>1900</v>
      </c>
      <c r="E246" s="117" t="str">
        <f>IF(COUNTIFS(Таблица2[Date],B246)+SUMIFS(Таблица2[R],Таблица2[Date],B246)=0,"",COUNTIFS(Таблица2[Date],B246)+SUMIFS(Таблица2[R],Таблица2[Date],B246))</f>
        <v/>
      </c>
      <c r="F246" s="76" t="str">
        <f>IF(SUMIFS(Таблица2[B$],Таблица2[Date],B246)=0,"-",SUMIFS(Таблица2[B$],Таблица2[Date],B246))</f>
        <v>-</v>
      </c>
      <c r="G246" s="77" t="str">
        <f t="shared" si="11"/>
        <v>-</v>
      </c>
      <c r="H246" s="77" t="str">
        <f>IFERROR(AVERAGEIFS(Таблица2[AFS],Таблица2[Date],B246)+(AVERAGEIFS(Таблица2[AFS],Таблица2[Date],B246)*0.2),"-")</f>
        <v>-</v>
      </c>
      <c r="I246" s="77" t="str">
        <f t="shared" si="12"/>
        <v>-</v>
      </c>
      <c r="J246" s="77" t="str">
        <f>IFERROR(COUNTIFS(Таблица2[Date],B246,Таблица2[WIN$],"&gt;0")/E246*100,"-")</f>
        <v>-</v>
      </c>
      <c r="K246" s="77" t="str">
        <f>IF(IFERROR((COUNTIFS(Таблица2[Date],B246,Таблица2[K],"K")+SUMIFS(Таблица2[R],#REF!,B246,Таблица2[K],"K"))/E246*100,"-")=0,"-",IFERROR((COUNTIFS(Таблица2[Date],B246,Таблица2[K],"K")+SUMIFS(Таблица2[R],Таблица2[Date],B246,Таблица2[K],"K"))/E246*100,"-"))</f>
        <v>-</v>
      </c>
      <c r="L246" s="76" t="str">
        <f>IF(IFERROR((COUNTIFS(Таблица2[Date],B246,Таблица2[T],"t")+SUMIFS(Таблица2[R],Таблица2[Date],B246,Таблица2[T],"t"))/E246*100,"-")=0,"-",IFERROR((COUNTIFS(Таблица2[Date],B246,Таблица2[T],"t")+SUMIFS(Таблица2[R],Таблица2[Date],B246,Таблица2[T],"t"))/E246*100,"-"))</f>
        <v>-</v>
      </c>
      <c r="M246" s="76" t="str">
        <f>IF(SUMIFS(Таблица2[KO$],Таблица2[Date],B246)=0,"-",SUMIFS(Таблица2[KO$],Таблица2[Date],B246))</f>
        <v>-</v>
      </c>
      <c r="N246" s="76" t="str">
        <f>IF(SUMIFS(Таблица2[WIN$],Таблица2[Date],B246)=0,"-",SUMIFS(Таблица2[WIN$],Таблица2[Date],B246))</f>
        <v>-</v>
      </c>
      <c r="O246" s="78" t="str">
        <f t="shared" si="13"/>
        <v>-</v>
      </c>
    </row>
    <row r="247" spans="1:15" ht="11.1" customHeight="1" x14ac:dyDescent="0.25">
      <c r="A247" s="93">
        <f t="shared" si="14"/>
        <v>161</v>
      </c>
      <c r="B247" s="48"/>
      <c r="C247"/>
      <c r="D247" s="117">
        <f t="shared" si="10"/>
        <v>1900</v>
      </c>
      <c r="E247" s="117" t="str">
        <f>IF(COUNTIFS(Таблица2[Date],B247)+SUMIFS(Таблица2[R],Таблица2[Date],B247)=0,"",COUNTIFS(Таблица2[Date],B247)+SUMIFS(Таблица2[R],Таблица2[Date],B247))</f>
        <v/>
      </c>
      <c r="F247" s="76" t="str">
        <f>IF(SUMIFS(Таблица2[B$],Таблица2[Date],B247)=0,"-",SUMIFS(Таблица2[B$],Таблица2[Date],B247))</f>
        <v>-</v>
      </c>
      <c r="G247" s="77" t="str">
        <f t="shared" si="11"/>
        <v>-</v>
      </c>
      <c r="H247" s="77" t="str">
        <f>IFERROR(AVERAGEIFS(Таблица2[AFS],Таблица2[Date],B247)+(AVERAGEIFS(Таблица2[AFS],Таблица2[Date],B247)*0.2),"-")</f>
        <v>-</v>
      </c>
      <c r="I247" s="77" t="str">
        <f t="shared" si="12"/>
        <v>-</v>
      </c>
      <c r="J247" s="77" t="str">
        <f>IFERROR(COUNTIFS(Таблица2[Date],B247,Таблица2[WIN$],"&gt;0")/E247*100,"-")</f>
        <v>-</v>
      </c>
      <c r="K247" s="77" t="str">
        <f>IF(IFERROR((COUNTIFS(Таблица2[Date],B247,Таблица2[K],"K")+SUMIFS(Таблица2[R],#REF!,B247,Таблица2[K],"K"))/E247*100,"-")=0,"-",IFERROR((COUNTIFS(Таблица2[Date],B247,Таблица2[K],"K")+SUMIFS(Таблица2[R],Таблица2[Date],B247,Таблица2[K],"K"))/E247*100,"-"))</f>
        <v>-</v>
      </c>
      <c r="L247" s="76" t="str">
        <f>IF(IFERROR((COUNTIFS(Таблица2[Date],B247,Таблица2[T],"t")+SUMIFS(Таблица2[R],Таблица2[Date],B247,Таблица2[T],"t"))/E247*100,"-")=0,"-",IFERROR((COUNTIFS(Таблица2[Date],B247,Таблица2[T],"t")+SUMIFS(Таблица2[R],Таблица2[Date],B247,Таблица2[T],"t"))/E247*100,"-"))</f>
        <v>-</v>
      </c>
      <c r="M247" s="76" t="str">
        <f>IF(SUMIFS(Таблица2[KO$],Таблица2[Date],B247)=0,"-",SUMIFS(Таблица2[KO$],Таблица2[Date],B247))</f>
        <v>-</v>
      </c>
      <c r="N247" s="76" t="str">
        <f>IF(SUMIFS(Таблица2[WIN$],Таблица2[Date],B247)=0,"-",SUMIFS(Таблица2[WIN$],Таблица2[Date],B247))</f>
        <v>-</v>
      </c>
      <c r="O247" s="78" t="str">
        <f t="shared" si="13"/>
        <v>-</v>
      </c>
    </row>
    <row r="248" spans="1:15" ht="11.1" customHeight="1" x14ac:dyDescent="0.25">
      <c r="A248" s="93">
        <f t="shared" si="14"/>
        <v>162</v>
      </c>
      <c r="B248" s="48"/>
      <c r="C248"/>
      <c r="D248" s="117">
        <f t="shared" si="10"/>
        <v>1900</v>
      </c>
      <c r="E248" s="117" t="str">
        <f>IF(COUNTIFS(Таблица2[Date],B248)+SUMIFS(Таблица2[R],Таблица2[Date],B248)=0,"",COUNTIFS(Таблица2[Date],B248)+SUMIFS(Таблица2[R],Таблица2[Date],B248))</f>
        <v/>
      </c>
      <c r="F248" s="76" t="str">
        <f>IF(SUMIFS(Таблица2[B$],Таблица2[Date],B248)=0,"-",SUMIFS(Таблица2[B$],Таблица2[Date],B248))</f>
        <v>-</v>
      </c>
      <c r="G248" s="77" t="str">
        <f t="shared" si="11"/>
        <v>-</v>
      </c>
      <c r="H248" s="77" t="str">
        <f>IFERROR(AVERAGEIFS(Таблица2[AFS],Таблица2[Date],B248)+(AVERAGEIFS(Таблица2[AFS],Таблица2[Date],B248)*0.2),"-")</f>
        <v>-</v>
      </c>
      <c r="I248" s="77" t="str">
        <f t="shared" si="12"/>
        <v>-</v>
      </c>
      <c r="J248" s="77" t="str">
        <f>IFERROR(COUNTIFS(Таблица2[Date],B248,Таблица2[WIN$],"&gt;0")/E248*100,"-")</f>
        <v>-</v>
      </c>
      <c r="K248" s="77" t="str">
        <f>IF(IFERROR((COUNTIFS(Таблица2[Date],B248,Таблица2[K],"K")+SUMIFS(Таблица2[R],#REF!,B248,Таблица2[K],"K"))/E248*100,"-")=0,"-",IFERROR((COUNTIFS(Таблица2[Date],B248,Таблица2[K],"K")+SUMIFS(Таблица2[R],Таблица2[Date],B248,Таблица2[K],"K"))/E248*100,"-"))</f>
        <v>-</v>
      </c>
      <c r="L248" s="76" t="str">
        <f>IF(IFERROR((COUNTIFS(Таблица2[Date],B248,Таблица2[T],"t")+SUMIFS(Таблица2[R],Таблица2[Date],B248,Таблица2[T],"t"))/E248*100,"-")=0,"-",IFERROR((COUNTIFS(Таблица2[Date],B248,Таблица2[T],"t")+SUMIFS(Таблица2[R],Таблица2[Date],B248,Таблица2[T],"t"))/E248*100,"-"))</f>
        <v>-</v>
      </c>
      <c r="M248" s="76" t="str">
        <f>IF(SUMIFS(Таблица2[KO$],Таблица2[Date],B248)=0,"-",SUMIFS(Таблица2[KO$],Таблица2[Date],B248))</f>
        <v>-</v>
      </c>
      <c r="N248" s="76" t="str">
        <f>IF(SUMIFS(Таблица2[WIN$],Таблица2[Date],B248)=0,"-",SUMIFS(Таблица2[WIN$],Таблица2[Date],B248))</f>
        <v>-</v>
      </c>
      <c r="O248" s="78" t="str">
        <f t="shared" si="13"/>
        <v>-</v>
      </c>
    </row>
    <row r="249" spans="1:15" ht="11.1" customHeight="1" x14ac:dyDescent="0.25">
      <c r="A249" s="93">
        <f t="shared" si="14"/>
        <v>163</v>
      </c>
      <c r="B249" s="48"/>
      <c r="C249"/>
      <c r="D249" s="117">
        <f t="shared" si="10"/>
        <v>1900</v>
      </c>
      <c r="E249" s="117" t="str">
        <f>IF(COUNTIFS(Таблица2[Date],B249)+SUMIFS(Таблица2[R],Таблица2[Date],B249)=0,"",COUNTIFS(Таблица2[Date],B249)+SUMIFS(Таблица2[R],Таблица2[Date],B249))</f>
        <v/>
      </c>
      <c r="F249" s="76" t="str">
        <f>IF(SUMIFS(Таблица2[B$],Таблица2[Date],B249)=0,"-",SUMIFS(Таблица2[B$],Таблица2[Date],B249))</f>
        <v>-</v>
      </c>
      <c r="G249" s="77" t="str">
        <f t="shared" si="11"/>
        <v>-</v>
      </c>
      <c r="H249" s="77" t="str">
        <f>IFERROR(AVERAGEIFS(Таблица2[AFS],Таблица2[Date],B249)+(AVERAGEIFS(Таблица2[AFS],Таблица2[Date],B249)*0.2),"-")</f>
        <v>-</v>
      </c>
      <c r="I249" s="77" t="str">
        <f t="shared" si="12"/>
        <v>-</v>
      </c>
      <c r="J249" s="77" t="str">
        <f>IFERROR(COUNTIFS(Таблица2[Date],B249,Таблица2[WIN$],"&gt;0")/E249*100,"-")</f>
        <v>-</v>
      </c>
      <c r="K249" s="77" t="str">
        <f>IF(IFERROR((COUNTIFS(Таблица2[Date],B249,Таблица2[K],"K")+SUMIFS(Таблица2[R],#REF!,B249,Таблица2[K],"K"))/E249*100,"-")=0,"-",IFERROR((COUNTIFS(Таблица2[Date],B249,Таблица2[K],"K")+SUMIFS(Таблица2[R],Таблица2[Date],B249,Таблица2[K],"K"))/E249*100,"-"))</f>
        <v>-</v>
      </c>
      <c r="L249" s="76" t="str">
        <f>IF(IFERROR((COUNTIFS(Таблица2[Date],B249,Таблица2[T],"t")+SUMIFS(Таблица2[R],Таблица2[Date],B249,Таблица2[T],"t"))/E249*100,"-")=0,"-",IFERROR((COUNTIFS(Таблица2[Date],B249,Таблица2[T],"t")+SUMIFS(Таблица2[R],Таблица2[Date],B249,Таблица2[T],"t"))/E249*100,"-"))</f>
        <v>-</v>
      </c>
      <c r="M249" s="76" t="str">
        <f>IF(SUMIFS(Таблица2[KO$],Таблица2[Date],B249)=0,"-",SUMIFS(Таблица2[KO$],Таблица2[Date],B249))</f>
        <v>-</v>
      </c>
      <c r="N249" s="76" t="str">
        <f>IF(SUMIFS(Таблица2[WIN$],Таблица2[Date],B249)=0,"-",SUMIFS(Таблица2[WIN$],Таблица2[Date],B249))</f>
        <v>-</v>
      </c>
      <c r="O249" s="78" t="str">
        <f t="shared" si="13"/>
        <v>-</v>
      </c>
    </row>
    <row r="250" spans="1:15" ht="11.1" customHeight="1" x14ac:dyDescent="0.25">
      <c r="A250" s="93">
        <f t="shared" si="14"/>
        <v>164</v>
      </c>
      <c r="B250" s="48"/>
      <c r="C250"/>
      <c r="D250" s="117">
        <f t="shared" si="10"/>
        <v>1900</v>
      </c>
      <c r="E250" s="117" t="str">
        <f>IF(COUNTIFS(Таблица2[Date],B250)+SUMIFS(Таблица2[R],Таблица2[Date],B250)=0,"",COUNTIFS(Таблица2[Date],B250)+SUMIFS(Таблица2[R],Таблица2[Date],B250))</f>
        <v/>
      </c>
      <c r="F250" s="76" t="str">
        <f>IF(SUMIFS(Таблица2[B$],Таблица2[Date],B250)=0,"-",SUMIFS(Таблица2[B$],Таблица2[Date],B250))</f>
        <v>-</v>
      </c>
      <c r="G250" s="77" t="str">
        <f t="shared" si="11"/>
        <v>-</v>
      </c>
      <c r="H250" s="77" t="str">
        <f>IFERROR(AVERAGEIFS(Таблица2[AFS],Таблица2[Date],B250)+(AVERAGEIFS(Таблица2[AFS],Таблица2[Date],B250)*0.2),"-")</f>
        <v>-</v>
      </c>
      <c r="I250" s="77" t="str">
        <f t="shared" si="12"/>
        <v>-</v>
      </c>
      <c r="J250" s="77" t="str">
        <f>IFERROR(COUNTIFS(Таблица2[Date],B250,Таблица2[WIN$],"&gt;0")/E250*100,"-")</f>
        <v>-</v>
      </c>
      <c r="K250" s="77" t="str">
        <f>IF(IFERROR((COUNTIFS(Таблица2[Date],B250,Таблица2[K],"K")+SUMIFS(Таблица2[R],#REF!,B250,Таблица2[K],"K"))/E250*100,"-")=0,"-",IFERROR((COUNTIFS(Таблица2[Date],B250,Таблица2[K],"K")+SUMIFS(Таблица2[R],Таблица2[Date],B250,Таблица2[K],"K"))/E250*100,"-"))</f>
        <v>-</v>
      </c>
      <c r="L250" s="76" t="str">
        <f>IF(IFERROR((COUNTIFS(Таблица2[Date],B250,Таблица2[T],"t")+SUMIFS(Таблица2[R],Таблица2[Date],B250,Таблица2[T],"t"))/E250*100,"-")=0,"-",IFERROR((COUNTIFS(Таблица2[Date],B250,Таблица2[T],"t")+SUMIFS(Таблица2[R],Таблица2[Date],B250,Таблица2[T],"t"))/E250*100,"-"))</f>
        <v>-</v>
      </c>
      <c r="M250" s="76" t="str">
        <f>IF(SUMIFS(Таблица2[KO$],Таблица2[Date],B250)=0,"-",SUMIFS(Таблица2[KO$],Таблица2[Date],B250))</f>
        <v>-</v>
      </c>
      <c r="N250" s="76" t="str">
        <f>IF(SUMIFS(Таблица2[WIN$],Таблица2[Date],B250)=0,"-",SUMIFS(Таблица2[WIN$],Таблица2[Date],B250))</f>
        <v>-</v>
      </c>
      <c r="O250" s="78" t="str">
        <f t="shared" si="13"/>
        <v>-</v>
      </c>
    </row>
    <row r="251" spans="1:15" ht="11.1" customHeight="1" x14ac:dyDescent="0.25">
      <c r="A251" s="93">
        <f t="shared" si="14"/>
        <v>165</v>
      </c>
      <c r="B251" s="48"/>
      <c r="C251"/>
      <c r="D251" s="117">
        <f t="shared" si="10"/>
        <v>1900</v>
      </c>
      <c r="E251" s="117" t="str">
        <f>IF(COUNTIFS(Таблица2[Date],B251)+SUMIFS(Таблица2[R],Таблица2[Date],B251)=0,"",COUNTIFS(Таблица2[Date],B251)+SUMIFS(Таблица2[R],Таблица2[Date],B251))</f>
        <v/>
      </c>
      <c r="F251" s="76" t="str">
        <f>IF(SUMIFS(Таблица2[B$],Таблица2[Date],B251)=0,"-",SUMIFS(Таблица2[B$],Таблица2[Date],B251))</f>
        <v>-</v>
      </c>
      <c r="G251" s="77" t="str">
        <f t="shared" si="11"/>
        <v>-</v>
      </c>
      <c r="H251" s="77" t="str">
        <f>IFERROR(AVERAGEIFS(Таблица2[AFS],Таблица2[Date],B251)+(AVERAGEIFS(Таблица2[AFS],Таблица2[Date],B251)*0.2),"-")</f>
        <v>-</v>
      </c>
      <c r="I251" s="77" t="str">
        <f t="shared" si="12"/>
        <v>-</v>
      </c>
      <c r="J251" s="77" t="str">
        <f>IFERROR(COUNTIFS(Таблица2[Date],B251,Таблица2[WIN$],"&gt;0")/E251*100,"-")</f>
        <v>-</v>
      </c>
      <c r="K251" s="77" t="str">
        <f>IF(IFERROR((COUNTIFS(Таблица2[Date],B251,Таблица2[K],"K")+SUMIFS(Таблица2[R],#REF!,B251,Таблица2[K],"K"))/E251*100,"-")=0,"-",IFERROR((COUNTIFS(Таблица2[Date],B251,Таблица2[K],"K")+SUMIFS(Таблица2[R],Таблица2[Date],B251,Таблица2[K],"K"))/E251*100,"-"))</f>
        <v>-</v>
      </c>
      <c r="L251" s="76" t="str">
        <f>IF(IFERROR((COUNTIFS(Таблица2[Date],B251,Таблица2[T],"t")+SUMIFS(Таблица2[R],Таблица2[Date],B251,Таблица2[T],"t"))/E251*100,"-")=0,"-",IFERROR((COUNTIFS(Таблица2[Date],B251,Таблица2[T],"t")+SUMIFS(Таблица2[R],Таблица2[Date],B251,Таблица2[T],"t"))/E251*100,"-"))</f>
        <v>-</v>
      </c>
      <c r="M251" s="76" t="str">
        <f>IF(SUMIFS(Таблица2[KO$],Таблица2[Date],B251)=0,"-",SUMIFS(Таблица2[KO$],Таблица2[Date],B251))</f>
        <v>-</v>
      </c>
      <c r="N251" s="76" t="str">
        <f>IF(SUMIFS(Таблица2[WIN$],Таблица2[Date],B251)=0,"-",SUMIFS(Таблица2[WIN$],Таблица2[Date],B251))</f>
        <v>-</v>
      </c>
      <c r="O251" s="78" t="str">
        <f t="shared" si="13"/>
        <v>-</v>
      </c>
    </row>
    <row r="252" spans="1:15" ht="11.1" customHeight="1" x14ac:dyDescent="0.25">
      <c r="A252" s="93">
        <f t="shared" si="14"/>
        <v>166</v>
      </c>
      <c r="B252" s="48"/>
      <c r="C252"/>
      <c r="D252" s="117">
        <f t="shared" si="10"/>
        <v>1900</v>
      </c>
      <c r="E252" s="117" t="str">
        <f>IF(COUNTIFS(Таблица2[Date],B252)+SUMIFS(Таблица2[R],Таблица2[Date],B252)=0,"",COUNTIFS(Таблица2[Date],B252)+SUMIFS(Таблица2[R],Таблица2[Date],B252))</f>
        <v/>
      </c>
      <c r="F252" s="76" t="str">
        <f>IF(SUMIFS(Таблица2[B$],Таблица2[Date],B252)=0,"-",SUMIFS(Таблица2[B$],Таблица2[Date],B252))</f>
        <v>-</v>
      </c>
      <c r="G252" s="77" t="str">
        <f t="shared" si="11"/>
        <v>-</v>
      </c>
      <c r="H252" s="77" t="str">
        <f>IFERROR(AVERAGEIFS(Таблица2[AFS],Таблица2[Date],B252)+(AVERAGEIFS(Таблица2[AFS],Таблица2[Date],B252)*0.2),"-")</f>
        <v>-</v>
      </c>
      <c r="I252" s="77" t="str">
        <f t="shared" si="12"/>
        <v>-</v>
      </c>
      <c r="J252" s="77" t="str">
        <f>IFERROR(COUNTIFS(Таблица2[Date],B252,Таблица2[WIN$],"&gt;0")/E252*100,"-")</f>
        <v>-</v>
      </c>
      <c r="K252" s="77" t="str">
        <f>IF(IFERROR((COUNTIFS(Таблица2[Date],B252,Таблица2[K],"K")+SUMIFS(Таблица2[R],#REF!,B252,Таблица2[K],"K"))/E252*100,"-")=0,"-",IFERROR((COUNTIFS(Таблица2[Date],B252,Таблица2[K],"K")+SUMIFS(Таблица2[R],Таблица2[Date],B252,Таблица2[K],"K"))/E252*100,"-"))</f>
        <v>-</v>
      </c>
      <c r="L252" s="76" t="str">
        <f>IF(IFERROR((COUNTIFS(Таблица2[Date],B252,Таблица2[T],"t")+SUMIFS(Таблица2[R],Таблица2[Date],B252,Таблица2[T],"t"))/E252*100,"-")=0,"-",IFERROR((COUNTIFS(Таблица2[Date],B252,Таблица2[T],"t")+SUMIFS(Таблица2[R],Таблица2[Date],B252,Таблица2[T],"t"))/E252*100,"-"))</f>
        <v>-</v>
      </c>
      <c r="M252" s="76" t="str">
        <f>IF(SUMIFS(Таблица2[KO$],Таблица2[Date],B252)=0,"-",SUMIFS(Таблица2[KO$],Таблица2[Date],B252))</f>
        <v>-</v>
      </c>
      <c r="N252" s="76" t="str">
        <f>IF(SUMIFS(Таблица2[WIN$],Таблица2[Date],B252)=0,"-",SUMIFS(Таблица2[WIN$],Таблица2[Date],B252))</f>
        <v>-</v>
      </c>
      <c r="O252" s="78" t="str">
        <f t="shared" si="13"/>
        <v>-</v>
      </c>
    </row>
    <row r="253" spans="1:15" ht="11.1" customHeight="1" x14ac:dyDescent="0.25">
      <c r="A253" s="93">
        <f t="shared" si="14"/>
        <v>167</v>
      </c>
      <c r="B253" s="48"/>
      <c r="C253"/>
      <c r="D253" s="117">
        <f t="shared" si="10"/>
        <v>1900</v>
      </c>
      <c r="E253" s="117" t="str">
        <f>IF(COUNTIFS(Таблица2[Date],B253)+SUMIFS(Таблица2[R],Таблица2[Date],B253)=0,"",COUNTIFS(Таблица2[Date],B253)+SUMIFS(Таблица2[R],Таблица2[Date],B253))</f>
        <v/>
      </c>
      <c r="F253" s="76" t="str">
        <f>IF(SUMIFS(Таблица2[B$],Таблица2[Date],B253)=0,"-",SUMIFS(Таблица2[B$],Таблица2[Date],B253))</f>
        <v>-</v>
      </c>
      <c r="G253" s="77" t="str">
        <f t="shared" si="11"/>
        <v>-</v>
      </c>
      <c r="H253" s="77" t="str">
        <f>IFERROR(AVERAGEIFS(Таблица2[AFS],Таблица2[Date],B253)+(AVERAGEIFS(Таблица2[AFS],Таблица2[Date],B253)*0.2),"-")</f>
        <v>-</v>
      </c>
      <c r="I253" s="77" t="str">
        <f t="shared" si="12"/>
        <v>-</v>
      </c>
      <c r="J253" s="77" t="str">
        <f>IFERROR(COUNTIFS(Таблица2[Date],B253,Таблица2[WIN$],"&gt;0")/E253*100,"-")</f>
        <v>-</v>
      </c>
      <c r="K253" s="77" t="str">
        <f>IF(IFERROR((COUNTIFS(Таблица2[Date],B253,Таблица2[K],"K")+SUMIFS(Таблица2[R],#REF!,B253,Таблица2[K],"K"))/E253*100,"-")=0,"-",IFERROR((COUNTIFS(Таблица2[Date],B253,Таблица2[K],"K")+SUMIFS(Таблица2[R],Таблица2[Date],B253,Таблица2[K],"K"))/E253*100,"-"))</f>
        <v>-</v>
      </c>
      <c r="L253" s="76" t="str">
        <f>IF(IFERROR((COUNTIFS(Таблица2[Date],B253,Таблица2[T],"t")+SUMIFS(Таблица2[R],Таблица2[Date],B253,Таблица2[T],"t"))/E253*100,"-")=0,"-",IFERROR((COUNTIFS(Таблица2[Date],B253,Таблица2[T],"t")+SUMIFS(Таблица2[R],Таблица2[Date],B253,Таблица2[T],"t"))/E253*100,"-"))</f>
        <v>-</v>
      </c>
      <c r="M253" s="76" t="str">
        <f>IF(SUMIFS(Таблица2[KO$],Таблица2[Date],B253)=0,"-",SUMIFS(Таблица2[KO$],Таблица2[Date],B253))</f>
        <v>-</v>
      </c>
      <c r="N253" s="76" t="str">
        <f>IF(SUMIFS(Таблица2[WIN$],Таблица2[Date],B253)=0,"-",SUMIFS(Таблица2[WIN$],Таблица2[Date],B253))</f>
        <v>-</v>
      </c>
      <c r="O253" s="78" t="str">
        <f t="shared" si="13"/>
        <v>-</v>
      </c>
    </row>
    <row r="254" spans="1:15" ht="11.1" customHeight="1" x14ac:dyDescent="0.25">
      <c r="A254" s="93">
        <f t="shared" si="14"/>
        <v>168</v>
      </c>
      <c r="B254" s="48"/>
      <c r="C254"/>
      <c r="D254" s="117">
        <f t="shared" si="10"/>
        <v>1900</v>
      </c>
      <c r="E254" s="117" t="str">
        <f>IF(COUNTIFS(Таблица2[Date],B254)+SUMIFS(Таблица2[R],Таблица2[Date],B254)=0,"",COUNTIFS(Таблица2[Date],B254)+SUMIFS(Таблица2[R],Таблица2[Date],B254))</f>
        <v/>
      </c>
      <c r="F254" s="76" t="str">
        <f>IF(SUMIFS(Таблица2[B$],Таблица2[Date],B254)=0,"-",SUMIFS(Таблица2[B$],Таблица2[Date],B254))</f>
        <v>-</v>
      </c>
      <c r="G254" s="77" t="str">
        <f t="shared" si="11"/>
        <v>-</v>
      </c>
      <c r="H254" s="77" t="str">
        <f>IFERROR(AVERAGEIFS(Таблица2[AFS],Таблица2[Date],B254)+(AVERAGEIFS(Таблица2[AFS],Таблица2[Date],B254)*0.2),"-")</f>
        <v>-</v>
      </c>
      <c r="I254" s="77" t="str">
        <f t="shared" si="12"/>
        <v>-</v>
      </c>
      <c r="J254" s="77" t="str">
        <f>IFERROR(COUNTIFS(Таблица2[Date],B254,Таблица2[WIN$],"&gt;0")/E254*100,"-")</f>
        <v>-</v>
      </c>
      <c r="K254" s="77" t="str">
        <f>IF(IFERROR((COUNTIFS(Таблица2[Date],B254,Таблица2[K],"K")+SUMIFS(Таблица2[R],#REF!,B254,Таблица2[K],"K"))/E254*100,"-")=0,"-",IFERROR((COUNTIFS(Таблица2[Date],B254,Таблица2[K],"K")+SUMIFS(Таблица2[R],Таблица2[Date],B254,Таблица2[K],"K"))/E254*100,"-"))</f>
        <v>-</v>
      </c>
      <c r="L254" s="76" t="str">
        <f>IF(IFERROR((COUNTIFS(Таблица2[Date],B254,Таблица2[T],"t")+SUMIFS(Таблица2[R],Таблица2[Date],B254,Таблица2[T],"t"))/E254*100,"-")=0,"-",IFERROR((COUNTIFS(Таблица2[Date],B254,Таблица2[T],"t")+SUMIFS(Таблица2[R],Таблица2[Date],B254,Таблица2[T],"t"))/E254*100,"-"))</f>
        <v>-</v>
      </c>
      <c r="M254" s="76" t="str">
        <f>IF(SUMIFS(Таблица2[KO$],Таблица2[Date],B254)=0,"-",SUMIFS(Таблица2[KO$],Таблица2[Date],B254))</f>
        <v>-</v>
      </c>
      <c r="N254" s="76" t="str">
        <f>IF(SUMIFS(Таблица2[WIN$],Таблица2[Date],B254)=0,"-",SUMIFS(Таблица2[WIN$],Таблица2[Date],B254))</f>
        <v>-</v>
      </c>
      <c r="O254" s="78" t="str">
        <f t="shared" si="13"/>
        <v>-</v>
      </c>
    </row>
    <row r="255" spans="1:15" ht="11.1" customHeight="1" x14ac:dyDescent="0.25">
      <c r="A255" s="93">
        <f t="shared" si="14"/>
        <v>169</v>
      </c>
      <c r="B255" s="48"/>
      <c r="C255"/>
      <c r="D255" s="117">
        <f t="shared" si="10"/>
        <v>1900</v>
      </c>
      <c r="E255" s="117" t="str">
        <f>IF(COUNTIFS(Таблица2[Date],B255)+SUMIFS(Таблица2[R],Таблица2[Date],B255)=0,"",COUNTIFS(Таблица2[Date],B255)+SUMIFS(Таблица2[R],Таблица2[Date],B255))</f>
        <v/>
      </c>
      <c r="F255" s="76" t="str">
        <f>IF(SUMIFS(Таблица2[B$],Таблица2[Date],B255)=0,"-",SUMIFS(Таблица2[B$],Таблица2[Date],B255))</f>
        <v>-</v>
      </c>
      <c r="G255" s="77" t="str">
        <f t="shared" si="11"/>
        <v>-</v>
      </c>
      <c r="H255" s="77" t="str">
        <f>IFERROR(AVERAGEIFS(Таблица2[AFS],Таблица2[Date],B255)+(AVERAGEIFS(Таблица2[AFS],Таблица2[Date],B255)*0.2),"-")</f>
        <v>-</v>
      </c>
      <c r="I255" s="77" t="str">
        <f t="shared" si="12"/>
        <v>-</v>
      </c>
      <c r="J255" s="77" t="str">
        <f>IFERROR(COUNTIFS(Таблица2[Date],B255,Таблица2[WIN$],"&gt;0")/E255*100,"-")</f>
        <v>-</v>
      </c>
      <c r="K255" s="77" t="str">
        <f>IF(IFERROR((COUNTIFS(Таблица2[Date],B255,Таблица2[K],"K")+SUMIFS(Таблица2[R],#REF!,B255,Таблица2[K],"K"))/E255*100,"-")=0,"-",IFERROR((COUNTIFS(Таблица2[Date],B255,Таблица2[K],"K")+SUMIFS(Таблица2[R],Таблица2[Date],B255,Таблица2[K],"K"))/E255*100,"-"))</f>
        <v>-</v>
      </c>
      <c r="L255" s="76" t="str">
        <f>IF(IFERROR((COUNTIFS(Таблица2[Date],B255,Таблица2[T],"t")+SUMIFS(Таблица2[R],Таблица2[Date],B255,Таблица2[T],"t"))/E255*100,"-")=0,"-",IFERROR((COUNTIFS(Таблица2[Date],B255,Таблица2[T],"t")+SUMIFS(Таблица2[R],Таблица2[Date],B255,Таблица2[T],"t"))/E255*100,"-"))</f>
        <v>-</v>
      </c>
      <c r="M255" s="76" t="str">
        <f>IF(SUMIFS(Таблица2[KO$],Таблица2[Date],B255)=0,"-",SUMIFS(Таблица2[KO$],Таблица2[Date],B255))</f>
        <v>-</v>
      </c>
      <c r="N255" s="76" t="str">
        <f>IF(SUMIFS(Таблица2[WIN$],Таблица2[Date],B255)=0,"-",SUMIFS(Таблица2[WIN$],Таблица2[Date],B255))</f>
        <v>-</v>
      </c>
      <c r="O255" s="78" t="str">
        <f t="shared" si="13"/>
        <v>-</v>
      </c>
    </row>
    <row r="256" spans="1:15" ht="11.1" customHeight="1" x14ac:dyDescent="0.25">
      <c r="A256" s="93">
        <f t="shared" si="14"/>
        <v>170</v>
      </c>
      <c r="B256" s="48"/>
      <c r="C256"/>
      <c r="D256" s="117">
        <f t="shared" si="10"/>
        <v>1900</v>
      </c>
      <c r="E256" s="117" t="str">
        <f>IF(COUNTIFS(Таблица2[Date],B256)+SUMIFS(Таблица2[R],Таблица2[Date],B256)=0,"",COUNTIFS(Таблица2[Date],B256)+SUMIFS(Таблица2[R],Таблица2[Date],B256))</f>
        <v/>
      </c>
      <c r="F256" s="76" t="str">
        <f>IF(SUMIFS(Таблица2[B$],Таблица2[Date],B256)=0,"-",SUMIFS(Таблица2[B$],Таблица2[Date],B256))</f>
        <v>-</v>
      </c>
      <c r="G256" s="77" t="str">
        <f t="shared" si="11"/>
        <v>-</v>
      </c>
      <c r="H256" s="77" t="str">
        <f>IFERROR(AVERAGEIFS(Таблица2[AFS],Таблица2[Date],B256)+(AVERAGEIFS(Таблица2[AFS],Таблица2[Date],B256)*0.2),"-")</f>
        <v>-</v>
      </c>
      <c r="I256" s="77" t="str">
        <f t="shared" si="12"/>
        <v>-</v>
      </c>
      <c r="J256" s="77" t="str">
        <f>IFERROR(COUNTIFS(Таблица2[Date],B256,Таблица2[WIN$],"&gt;0")/E256*100,"-")</f>
        <v>-</v>
      </c>
      <c r="K256" s="77" t="str">
        <f>IF(IFERROR((COUNTIFS(Таблица2[Date],B256,Таблица2[K],"K")+SUMIFS(Таблица2[R],#REF!,B256,Таблица2[K],"K"))/E256*100,"-")=0,"-",IFERROR((COUNTIFS(Таблица2[Date],B256,Таблица2[K],"K")+SUMIFS(Таблица2[R],Таблица2[Date],B256,Таблица2[K],"K"))/E256*100,"-"))</f>
        <v>-</v>
      </c>
      <c r="L256" s="76" t="str">
        <f>IF(IFERROR((COUNTIFS(Таблица2[Date],B256,Таблица2[T],"t")+SUMIFS(Таблица2[R],Таблица2[Date],B256,Таблица2[T],"t"))/E256*100,"-")=0,"-",IFERROR((COUNTIFS(Таблица2[Date],B256,Таблица2[T],"t")+SUMIFS(Таблица2[R],Таблица2[Date],B256,Таблица2[T],"t"))/E256*100,"-"))</f>
        <v>-</v>
      </c>
      <c r="M256" s="76" t="str">
        <f>IF(SUMIFS(Таблица2[KO$],Таблица2[Date],B256)=0,"-",SUMIFS(Таблица2[KO$],Таблица2[Date],B256))</f>
        <v>-</v>
      </c>
      <c r="N256" s="76" t="str">
        <f>IF(SUMIFS(Таблица2[WIN$],Таблица2[Date],B256)=0,"-",SUMIFS(Таблица2[WIN$],Таблица2[Date],B256))</f>
        <v>-</v>
      </c>
      <c r="O256" s="78" t="str">
        <f t="shared" si="13"/>
        <v>-</v>
      </c>
    </row>
    <row r="257" spans="1:15" ht="11.1" customHeight="1" x14ac:dyDescent="0.25">
      <c r="A257" s="93">
        <f t="shared" si="14"/>
        <v>171</v>
      </c>
      <c r="B257" s="48"/>
      <c r="C257"/>
      <c r="D257" s="117">
        <f t="shared" si="10"/>
        <v>1900</v>
      </c>
      <c r="E257" s="117" t="str">
        <f>IF(COUNTIFS(Таблица2[Date],B257)+SUMIFS(Таблица2[R],Таблица2[Date],B257)=0,"",COUNTIFS(Таблица2[Date],B257)+SUMIFS(Таблица2[R],Таблица2[Date],B257))</f>
        <v/>
      </c>
      <c r="F257" s="76" t="str">
        <f>IF(SUMIFS(Таблица2[B$],Таблица2[Date],B257)=0,"-",SUMIFS(Таблица2[B$],Таблица2[Date],B257))</f>
        <v>-</v>
      </c>
      <c r="G257" s="77" t="str">
        <f t="shared" si="11"/>
        <v>-</v>
      </c>
      <c r="H257" s="77" t="str">
        <f>IFERROR(AVERAGEIFS(Таблица2[AFS],Таблица2[Date],B257)+(AVERAGEIFS(Таблица2[AFS],Таблица2[Date],B257)*0.2),"-")</f>
        <v>-</v>
      </c>
      <c r="I257" s="77" t="str">
        <f t="shared" si="12"/>
        <v>-</v>
      </c>
      <c r="J257" s="77" t="str">
        <f>IFERROR(COUNTIFS(Таблица2[Date],B257,Таблица2[WIN$],"&gt;0")/E257*100,"-")</f>
        <v>-</v>
      </c>
      <c r="K257" s="77" t="str">
        <f>IF(IFERROR((COUNTIFS(Таблица2[Date],B257,Таблица2[K],"K")+SUMIFS(Таблица2[R],#REF!,B257,Таблица2[K],"K"))/E257*100,"-")=0,"-",IFERROR((COUNTIFS(Таблица2[Date],B257,Таблица2[K],"K")+SUMIFS(Таблица2[R],Таблица2[Date],B257,Таблица2[K],"K"))/E257*100,"-"))</f>
        <v>-</v>
      </c>
      <c r="L257" s="76" t="str">
        <f>IF(IFERROR((COUNTIFS(Таблица2[Date],B257,Таблица2[T],"t")+SUMIFS(Таблица2[R],Таблица2[Date],B257,Таблица2[T],"t"))/E257*100,"-")=0,"-",IFERROR((COUNTIFS(Таблица2[Date],B257,Таблица2[T],"t")+SUMIFS(Таблица2[R],Таблица2[Date],B257,Таблица2[T],"t"))/E257*100,"-"))</f>
        <v>-</v>
      </c>
      <c r="M257" s="76" t="str">
        <f>IF(SUMIFS(Таблица2[KO$],Таблица2[Date],B257)=0,"-",SUMIFS(Таблица2[KO$],Таблица2[Date],B257))</f>
        <v>-</v>
      </c>
      <c r="N257" s="76" t="str">
        <f>IF(SUMIFS(Таблица2[WIN$],Таблица2[Date],B257)=0,"-",SUMIFS(Таблица2[WIN$],Таблица2[Date],B257))</f>
        <v>-</v>
      </c>
      <c r="O257" s="78" t="str">
        <f t="shared" si="13"/>
        <v>-</v>
      </c>
    </row>
    <row r="258" spans="1:15" ht="11.1" customHeight="1" x14ac:dyDescent="0.25">
      <c r="A258" s="93">
        <f t="shared" si="14"/>
        <v>172</v>
      </c>
      <c r="B258" s="48"/>
      <c r="C258"/>
      <c r="D258" s="117">
        <f t="shared" si="10"/>
        <v>1900</v>
      </c>
      <c r="E258" s="117" t="str">
        <f>IF(COUNTIFS(Таблица2[Date],B258)+SUMIFS(Таблица2[R],Таблица2[Date],B258)=0,"",COUNTIFS(Таблица2[Date],B258)+SUMIFS(Таблица2[R],Таблица2[Date],B258))</f>
        <v/>
      </c>
      <c r="F258" s="76" t="str">
        <f>IF(SUMIFS(Таблица2[B$],Таблица2[Date],B258)=0,"-",SUMIFS(Таблица2[B$],Таблица2[Date],B258))</f>
        <v>-</v>
      </c>
      <c r="G258" s="77" t="str">
        <f t="shared" si="11"/>
        <v>-</v>
      </c>
      <c r="H258" s="77" t="str">
        <f>IFERROR(AVERAGEIFS(Таблица2[AFS],Таблица2[Date],B258)+(AVERAGEIFS(Таблица2[AFS],Таблица2[Date],B258)*0.2),"-")</f>
        <v>-</v>
      </c>
      <c r="I258" s="77" t="str">
        <f t="shared" si="12"/>
        <v>-</v>
      </c>
      <c r="J258" s="77" t="str">
        <f>IFERROR(COUNTIFS(Таблица2[Date],B258,Таблица2[WIN$],"&gt;0")/E258*100,"-")</f>
        <v>-</v>
      </c>
      <c r="K258" s="77" t="str">
        <f>IF(IFERROR((COUNTIFS(Таблица2[Date],B258,Таблица2[K],"K")+SUMIFS(Таблица2[R],#REF!,B258,Таблица2[K],"K"))/E258*100,"-")=0,"-",IFERROR((COUNTIFS(Таблица2[Date],B258,Таблица2[K],"K")+SUMIFS(Таблица2[R],Таблица2[Date],B258,Таблица2[K],"K"))/E258*100,"-"))</f>
        <v>-</v>
      </c>
      <c r="L258" s="76" t="str">
        <f>IF(IFERROR((COUNTIFS(Таблица2[Date],B258,Таблица2[T],"t")+SUMIFS(Таблица2[R],Таблица2[Date],B258,Таблица2[T],"t"))/E258*100,"-")=0,"-",IFERROR((COUNTIFS(Таблица2[Date],B258,Таблица2[T],"t")+SUMIFS(Таблица2[R],Таблица2[Date],B258,Таблица2[T],"t"))/E258*100,"-"))</f>
        <v>-</v>
      </c>
      <c r="M258" s="76" t="str">
        <f>IF(SUMIFS(Таблица2[KO$],Таблица2[Date],B258)=0,"-",SUMIFS(Таблица2[KO$],Таблица2[Date],B258))</f>
        <v>-</v>
      </c>
      <c r="N258" s="76" t="str">
        <f>IF(SUMIFS(Таблица2[WIN$],Таблица2[Date],B258)=0,"-",SUMIFS(Таблица2[WIN$],Таблица2[Date],B258))</f>
        <v>-</v>
      </c>
      <c r="O258" s="78" t="str">
        <f t="shared" si="13"/>
        <v>-</v>
      </c>
    </row>
    <row r="259" spans="1:15" ht="11.1" customHeight="1" x14ac:dyDescent="0.25">
      <c r="A259" s="93">
        <f t="shared" si="14"/>
        <v>173</v>
      </c>
      <c r="B259" s="48"/>
      <c r="C259"/>
      <c r="D259" s="117">
        <f t="shared" si="10"/>
        <v>1900</v>
      </c>
      <c r="E259" s="117" t="str">
        <f>IF(COUNTIFS(Таблица2[Date],B259)+SUMIFS(Таблица2[R],Таблица2[Date],B259)=0,"",COUNTIFS(Таблица2[Date],B259)+SUMIFS(Таблица2[R],Таблица2[Date],B259))</f>
        <v/>
      </c>
      <c r="F259" s="76" t="str">
        <f>IF(SUMIFS(Таблица2[B$],Таблица2[Date],B259)=0,"-",SUMIFS(Таблица2[B$],Таблица2[Date],B259))</f>
        <v>-</v>
      </c>
      <c r="G259" s="77" t="str">
        <f t="shared" si="11"/>
        <v>-</v>
      </c>
      <c r="H259" s="77" t="str">
        <f>IFERROR(AVERAGEIFS(Таблица2[AFS],Таблица2[Date],B259)+(AVERAGEIFS(Таблица2[AFS],Таблица2[Date],B259)*0.2),"-")</f>
        <v>-</v>
      </c>
      <c r="I259" s="77" t="str">
        <f t="shared" si="12"/>
        <v>-</v>
      </c>
      <c r="J259" s="77" t="str">
        <f>IFERROR(COUNTIFS(Таблица2[Date],B259,Таблица2[WIN$],"&gt;0")/E259*100,"-")</f>
        <v>-</v>
      </c>
      <c r="K259" s="77" t="str">
        <f>IF(IFERROR((COUNTIFS(Таблица2[Date],B259,Таблица2[K],"K")+SUMIFS(Таблица2[R],#REF!,B259,Таблица2[K],"K"))/E259*100,"-")=0,"-",IFERROR((COUNTIFS(Таблица2[Date],B259,Таблица2[K],"K")+SUMIFS(Таблица2[R],Таблица2[Date],B259,Таблица2[K],"K"))/E259*100,"-"))</f>
        <v>-</v>
      </c>
      <c r="L259" s="76" t="str">
        <f>IF(IFERROR((COUNTIFS(Таблица2[Date],B259,Таблица2[T],"t")+SUMIFS(Таблица2[R],Таблица2[Date],B259,Таблица2[T],"t"))/E259*100,"-")=0,"-",IFERROR((COUNTIFS(Таблица2[Date],B259,Таблица2[T],"t")+SUMIFS(Таблица2[R],Таблица2[Date],B259,Таблица2[T],"t"))/E259*100,"-"))</f>
        <v>-</v>
      </c>
      <c r="M259" s="76" t="str">
        <f>IF(SUMIFS(Таблица2[KO$],Таблица2[Date],B259)=0,"-",SUMIFS(Таблица2[KO$],Таблица2[Date],B259))</f>
        <v>-</v>
      </c>
      <c r="N259" s="76" t="str">
        <f>IF(SUMIFS(Таблица2[WIN$],Таблица2[Date],B259)=0,"-",SUMIFS(Таблица2[WIN$],Таблица2[Date],B259))</f>
        <v>-</v>
      </c>
      <c r="O259" s="78" t="str">
        <f t="shared" si="13"/>
        <v>-</v>
      </c>
    </row>
    <row r="260" spans="1:15" ht="11.1" customHeight="1" x14ac:dyDescent="0.25">
      <c r="A260" s="93">
        <f t="shared" si="14"/>
        <v>174</v>
      </c>
      <c r="B260" s="48"/>
      <c r="C260"/>
      <c r="D260" s="117">
        <f t="shared" si="10"/>
        <v>1900</v>
      </c>
      <c r="E260" s="117" t="str">
        <f>IF(COUNTIFS(Таблица2[Date],B260)+SUMIFS(Таблица2[R],Таблица2[Date],B260)=0,"",COUNTIFS(Таблица2[Date],B260)+SUMIFS(Таблица2[R],Таблица2[Date],B260))</f>
        <v/>
      </c>
      <c r="F260" s="76" t="str">
        <f>IF(SUMIFS(Таблица2[B$],Таблица2[Date],B260)=0,"-",SUMIFS(Таблица2[B$],Таблица2[Date],B260))</f>
        <v>-</v>
      </c>
      <c r="G260" s="77" t="str">
        <f t="shared" si="11"/>
        <v>-</v>
      </c>
      <c r="H260" s="77" t="str">
        <f>IFERROR(AVERAGEIFS(Таблица2[AFS],Таблица2[Date],B260)+(AVERAGEIFS(Таблица2[AFS],Таблица2[Date],B260)*0.2),"-")</f>
        <v>-</v>
      </c>
      <c r="I260" s="77" t="str">
        <f t="shared" si="12"/>
        <v>-</v>
      </c>
      <c r="J260" s="77" t="str">
        <f>IFERROR(COUNTIFS(Таблица2[Date],B260,Таблица2[WIN$],"&gt;0")/E260*100,"-")</f>
        <v>-</v>
      </c>
      <c r="K260" s="77" t="str">
        <f>IF(IFERROR((COUNTIFS(Таблица2[Date],B260,Таблица2[K],"K")+SUMIFS(Таблица2[R],#REF!,B260,Таблица2[K],"K"))/E260*100,"-")=0,"-",IFERROR((COUNTIFS(Таблица2[Date],B260,Таблица2[K],"K")+SUMIFS(Таблица2[R],Таблица2[Date],B260,Таблица2[K],"K"))/E260*100,"-"))</f>
        <v>-</v>
      </c>
      <c r="L260" s="76" t="str">
        <f>IF(IFERROR((COUNTIFS(Таблица2[Date],B260,Таблица2[T],"t")+SUMIFS(Таблица2[R],Таблица2[Date],B260,Таблица2[T],"t"))/E260*100,"-")=0,"-",IFERROR((COUNTIFS(Таблица2[Date],B260,Таблица2[T],"t")+SUMIFS(Таблица2[R],Таблица2[Date],B260,Таблица2[T],"t"))/E260*100,"-"))</f>
        <v>-</v>
      </c>
      <c r="M260" s="76" t="str">
        <f>IF(SUMIFS(Таблица2[KO$],Таблица2[Date],B260)=0,"-",SUMIFS(Таблица2[KO$],Таблица2[Date],B260))</f>
        <v>-</v>
      </c>
      <c r="N260" s="76" t="str">
        <f>IF(SUMIFS(Таблица2[WIN$],Таблица2[Date],B260)=0,"-",SUMIFS(Таблица2[WIN$],Таблица2[Date],B260))</f>
        <v>-</v>
      </c>
      <c r="O260" s="78" t="str">
        <f t="shared" si="13"/>
        <v>-</v>
      </c>
    </row>
    <row r="261" spans="1:15" ht="11.1" customHeight="1" x14ac:dyDescent="0.25">
      <c r="A261" s="93">
        <f t="shared" si="14"/>
        <v>175</v>
      </c>
      <c r="B261" s="48"/>
      <c r="C261"/>
      <c r="D261" s="117">
        <f t="shared" si="10"/>
        <v>1900</v>
      </c>
      <c r="E261" s="117" t="str">
        <f>IF(COUNTIFS(Таблица2[Date],B261)+SUMIFS(Таблица2[R],Таблица2[Date],B261)=0,"",COUNTIFS(Таблица2[Date],B261)+SUMIFS(Таблица2[R],Таблица2[Date],B261))</f>
        <v/>
      </c>
      <c r="F261" s="76" t="str">
        <f>IF(SUMIFS(Таблица2[B$],Таблица2[Date],B261)=0,"-",SUMIFS(Таблица2[B$],Таблица2[Date],B261))</f>
        <v>-</v>
      </c>
      <c r="G261" s="77" t="str">
        <f t="shared" si="11"/>
        <v>-</v>
      </c>
      <c r="H261" s="77" t="str">
        <f>IFERROR(AVERAGEIFS(Таблица2[AFS],Таблица2[Date],B261)+(AVERAGEIFS(Таблица2[AFS],Таблица2[Date],B261)*0.2),"-")</f>
        <v>-</v>
      </c>
      <c r="I261" s="77" t="str">
        <f t="shared" si="12"/>
        <v>-</v>
      </c>
      <c r="J261" s="77" t="str">
        <f>IFERROR(COUNTIFS(Таблица2[Date],B261,Таблица2[WIN$],"&gt;0")/E261*100,"-")</f>
        <v>-</v>
      </c>
      <c r="K261" s="77" t="str">
        <f>IF(IFERROR((COUNTIFS(Таблица2[Date],B261,Таблица2[K],"K")+SUMIFS(Таблица2[R],#REF!,B261,Таблица2[K],"K"))/E261*100,"-")=0,"-",IFERROR((COUNTIFS(Таблица2[Date],B261,Таблица2[K],"K")+SUMIFS(Таблица2[R],Таблица2[Date],B261,Таблица2[K],"K"))/E261*100,"-"))</f>
        <v>-</v>
      </c>
      <c r="L261" s="76" t="str">
        <f>IF(IFERROR((COUNTIFS(Таблица2[Date],B261,Таблица2[T],"t")+SUMIFS(Таблица2[R],Таблица2[Date],B261,Таблица2[T],"t"))/E261*100,"-")=0,"-",IFERROR((COUNTIFS(Таблица2[Date],B261,Таблица2[T],"t")+SUMIFS(Таблица2[R],Таблица2[Date],B261,Таблица2[T],"t"))/E261*100,"-"))</f>
        <v>-</v>
      </c>
      <c r="M261" s="76" t="str">
        <f>IF(SUMIFS(Таблица2[KO$],Таблица2[Date],B261)=0,"-",SUMIFS(Таблица2[KO$],Таблица2[Date],B261))</f>
        <v>-</v>
      </c>
      <c r="N261" s="76" t="str">
        <f>IF(SUMIFS(Таблица2[WIN$],Таблица2[Date],B261)=0,"-",SUMIFS(Таблица2[WIN$],Таблица2[Date],B261))</f>
        <v>-</v>
      </c>
      <c r="O261" s="78" t="str">
        <f t="shared" si="13"/>
        <v>-</v>
      </c>
    </row>
    <row r="262" spans="1:15" ht="11.1" customHeight="1" x14ac:dyDescent="0.25">
      <c r="A262" s="93">
        <f t="shared" si="14"/>
        <v>176</v>
      </c>
      <c r="B262" s="48"/>
      <c r="C262"/>
      <c r="D262" s="117">
        <f t="shared" si="10"/>
        <v>1900</v>
      </c>
      <c r="E262" s="117" t="str">
        <f>IF(COUNTIFS(Таблица2[Date],B262)+SUMIFS(Таблица2[R],Таблица2[Date],B262)=0,"",COUNTIFS(Таблица2[Date],B262)+SUMIFS(Таблица2[R],Таблица2[Date],B262))</f>
        <v/>
      </c>
      <c r="F262" s="76" t="str">
        <f>IF(SUMIFS(Таблица2[B$],Таблица2[Date],B262)=0,"-",SUMIFS(Таблица2[B$],Таблица2[Date],B262))</f>
        <v>-</v>
      </c>
      <c r="G262" s="77" t="str">
        <f t="shared" si="11"/>
        <v>-</v>
      </c>
      <c r="H262" s="77" t="str">
        <f>IFERROR(AVERAGEIFS(Таблица2[AFS],Таблица2[Date],B262)+(AVERAGEIFS(Таблица2[AFS],Таблица2[Date],B262)*0.2),"-")</f>
        <v>-</v>
      </c>
      <c r="I262" s="77" t="str">
        <f t="shared" si="12"/>
        <v>-</v>
      </c>
      <c r="J262" s="77" t="str">
        <f>IFERROR(COUNTIFS(Таблица2[Date],B262,Таблица2[WIN$],"&gt;0")/E262*100,"-")</f>
        <v>-</v>
      </c>
      <c r="K262" s="77" t="str">
        <f>IF(IFERROR((COUNTIFS(Таблица2[Date],B262,Таблица2[K],"K")+SUMIFS(Таблица2[R],#REF!,B262,Таблица2[K],"K"))/E262*100,"-")=0,"-",IFERROR((COUNTIFS(Таблица2[Date],B262,Таблица2[K],"K")+SUMIFS(Таблица2[R],Таблица2[Date],B262,Таблица2[K],"K"))/E262*100,"-"))</f>
        <v>-</v>
      </c>
      <c r="L262" s="76" t="str">
        <f>IF(IFERROR((COUNTIFS(Таблица2[Date],B262,Таблица2[T],"t")+SUMIFS(Таблица2[R],Таблица2[Date],B262,Таблица2[T],"t"))/E262*100,"-")=0,"-",IFERROR((COUNTIFS(Таблица2[Date],B262,Таблица2[T],"t")+SUMIFS(Таблица2[R],Таблица2[Date],B262,Таблица2[T],"t"))/E262*100,"-"))</f>
        <v>-</v>
      </c>
      <c r="M262" s="76" t="str">
        <f>IF(SUMIFS(Таблица2[KO$],Таблица2[Date],B262)=0,"-",SUMIFS(Таблица2[KO$],Таблица2[Date],B262))</f>
        <v>-</v>
      </c>
      <c r="N262" s="76" t="str">
        <f>IF(SUMIFS(Таблица2[WIN$],Таблица2[Date],B262)=0,"-",SUMIFS(Таблица2[WIN$],Таблица2[Date],B262))</f>
        <v>-</v>
      </c>
      <c r="O262" s="78" t="str">
        <f t="shared" si="13"/>
        <v>-</v>
      </c>
    </row>
    <row r="263" spans="1:15" ht="11.1" customHeight="1" x14ac:dyDescent="0.25">
      <c r="A263" s="93">
        <f t="shared" si="14"/>
        <v>177</v>
      </c>
      <c r="B263" s="48"/>
      <c r="C263"/>
      <c r="D263" s="117">
        <f t="shared" si="10"/>
        <v>1900</v>
      </c>
      <c r="E263" s="117" t="str">
        <f>IF(COUNTIFS(Таблица2[Date],B263)+SUMIFS(Таблица2[R],Таблица2[Date],B263)=0,"",COUNTIFS(Таблица2[Date],B263)+SUMIFS(Таблица2[R],Таблица2[Date],B263))</f>
        <v/>
      </c>
      <c r="F263" s="76" t="str">
        <f>IF(SUMIFS(Таблица2[B$],Таблица2[Date],B263)=0,"-",SUMIFS(Таблица2[B$],Таблица2[Date],B263))</f>
        <v>-</v>
      </c>
      <c r="G263" s="77" t="str">
        <f t="shared" si="11"/>
        <v>-</v>
      </c>
      <c r="H263" s="77" t="str">
        <f>IFERROR(AVERAGEIFS(Таблица2[AFS],Таблица2[Date],B263)+(AVERAGEIFS(Таблица2[AFS],Таблица2[Date],B263)*0.2),"-")</f>
        <v>-</v>
      </c>
      <c r="I263" s="77" t="str">
        <f t="shared" si="12"/>
        <v>-</v>
      </c>
      <c r="J263" s="77" t="str">
        <f>IFERROR(COUNTIFS(Таблица2[Date],B263,Таблица2[WIN$],"&gt;0")/E263*100,"-")</f>
        <v>-</v>
      </c>
      <c r="K263" s="77" t="str">
        <f>IF(IFERROR((COUNTIFS(Таблица2[Date],B263,Таблица2[K],"K")+SUMIFS(Таблица2[R],#REF!,B263,Таблица2[K],"K"))/E263*100,"-")=0,"-",IFERROR((COUNTIFS(Таблица2[Date],B263,Таблица2[K],"K")+SUMIFS(Таблица2[R],Таблица2[Date],B263,Таблица2[K],"K"))/E263*100,"-"))</f>
        <v>-</v>
      </c>
      <c r="L263" s="76" t="str">
        <f>IF(IFERROR((COUNTIFS(Таблица2[Date],B263,Таблица2[T],"t")+SUMIFS(Таблица2[R],Таблица2[Date],B263,Таблица2[T],"t"))/E263*100,"-")=0,"-",IFERROR((COUNTIFS(Таблица2[Date],B263,Таблица2[T],"t")+SUMIFS(Таблица2[R],Таблица2[Date],B263,Таблица2[T],"t"))/E263*100,"-"))</f>
        <v>-</v>
      </c>
      <c r="M263" s="76" t="str">
        <f>IF(SUMIFS(Таблица2[KO$],Таблица2[Date],B263)=0,"-",SUMIFS(Таблица2[KO$],Таблица2[Date],B263))</f>
        <v>-</v>
      </c>
      <c r="N263" s="76" t="str">
        <f>IF(SUMIFS(Таблица2[WIN$],Таблица2[Date],B263)=0,"-",SUMIFS(Таблица2[WIN$],Таблица2[Date],B263))</f>
        <v>-</v>
      </c>
      <c r="O263" s="78" t="str">
        <f t="shared" si="13"/>
        <v>-</v>
      </c>
    </row>
    <row r="264" spans="1:15" ht="11.1" customHeight="1" x14ac:dyDescent="0.25">
      <c r="A264" s="93">
        <f t="shared" si="14"/>
        <v>178</v>
      </c>
      <c r="B264" s="48"/>
      <c r="C264"/>
      <c r="D264" s="117">
        <f t="shared" si="10"/>
        <v>1900</v>
      </c>
      <c r="E264" s="117" t="str">
        <f>IF(COUNTIFS(Таблица2[Date],B264)+SUMIFS(Таблица2[R],Таблица2[Date],B264)=0,"",COUNTIFS(Таблица2[Date],B264)+SUMIFS(Таблица2[R],Таблица2[Date],B264))</f>
        <v/>
      </c>
      <c r="F264" s="76" t="str">
        <f>IF(SUMIFS(Таблица2[B$],Таблица2[Date],B264)=0,"-",SUMIFS(Таблица2[B$],Таблица2[Date],B264))</f>
        <v>-</v>
      </c>
      <c r="G264" s="77" t="str">
        <f t="shared" si="11"/>
        <v>-</v>
      </c>
      <c r="H264" s="77" t="str">
        <f>IFERROR(AVERAGEIFS(Таблица2[AFS],Таблица2[Date],B264)+(AVERAGEIFS(Таблица2[AFS],Таблица2[Date],B264)*0.2),"-")</f>
        <v>-</v>
      </c>
      <c r="I264" s="77" t="str">
        <f t="shared" si="12"/>
        <v>-</v>
      </c>
      <c r="J264" s="77" t="str">
        <f>IFERROR(COUNTIFS(Таблица2[Date],B264,Таблица2[WIN$],"&gt;0")/E264*100,"-")</f>
        <v>-</v>
      </c>
      <c r="K264" s="77" t="str">
        <f>IF(IFERROR((COUNTIFS(Таблица2[Date],B264,Таблица2[K],"K")+SUMIFS(Таблица2[R],#REF!,B264,Таблица2[K],"K"))/E264*100,"-")=0,"-",IFERROR((COUNTIFS(Таблица2[Date],B264,Таблица2[K],"K")+SUMIFS(Таблица2[R],Таблица2[Date],B264,Таблица2[K],"K"))/E264*100,"-"))</f>
        <v>-</v>
      </c>
      <c r="L264" s="76" t="str">
        <f>IF(IFERROR((COUNTIFS(Таблица2[Date],B264,Таблица2[T],"t")+SUMIFS(Таблица2[R],Таблица2[Date],B264,Таблица2[T],"t"))/E264*100,"-")=0,"-",IFERROR((COUNTIFS(Таблица2[Date],B264,Таблица2[T],"t")+SUMIFS(Таблица2[R],Таблица2[Date],B264,Таблица2[T],"t"))/E264*100,"-"))</f>
        <v>-</v>
      </c>
      <c r="M264" s="76" t="str">
        <f>IF(SUMIFS(Таблица2[KO$],Таблица2[Date],B264)=0,"-",SUMIFS(Таблица2[KO$],Таблица2[Date],B264))</f>
        <v>-</v>
      </c>
      <c r="N264" s="76" t="str">
        <f>IF(SUMIFS(Таблица2[WIN$],Таблица2[Date],B264)=0,"-",SUMIFS(Таблица2[WIN$],Таблица2[Date],B264))</f>
        <v>-</v>
      </c>
      <c r="O264" s="78" t="str">
        <f t="shared" si="13"/>
        <v>-</v>
      </c>
    </row>
    <row r="265" spans="1:15" ht="11.1" customHeight="1" x14ac:dyDescent="0.25">
      <c r="A265" s="93">
        <f t="shared" si="14"/>
        <v>179</v>
      </c>
      <c r="B265" s="48"/>
      <c r="C265"/>
      <c r="D265" s="117">
        <f t="shared" si="10"/>
        <v>1900</v>
      </c>
      <c r="E265" s="117" t="str">
        <f>IF(COUNTIFS(Таблица2[Date],B265)+SUMIFS(Таблица2[R],Таблица2[Date],B265)=0,"",COUNTIFS(Таблица2[Date],B265)+SUMIFS(Таблица2[R],Таблица2[Date],B265))</f>
        <v/>
      </c>
      <c r="F265" s="76" t="str">
        <f>IF(SUMIFS(Таблица2[B$],Таблица2[Date],B265)=0,"-",SUMIFS(Таблица2[B$],Таблица2[Date],B265))</f>
        <v>-</v>
      </c>
      <c r="G265" s="77" t="str">
        <f t="shared" si="11"/>
        <v>-</v>
      </c>
      <c r="H265" s="77" t="str">
        <f>IFERROR(AVERAGEIFS(Таблица2[AFS],Таблица2[Date],B265)+(AVERAGEIFS(Таблица2[AFS],Таблица2[Date],B265)*0.2),"-")</f>
        <v>-</v>
      </c>
      <c r="I265" s="77" t="str">
        <f t="shared" si="12"/>
        <v>-</v>
      </c>
      <c r="J265" s="77" t="str">
        <f>IFERROR(COUNTIFS(Таблица2[Date],B265,Таблица2[WIN$],"&gt;0")/E265*100,"-")</f>
        <v>-</v>
      </c>
      <c r="K265" s="77" t="str">
        <f>IF(IFERROR((COUNTIFS(Таблица2[Date],B265,Таблица2[K],"K")+SUMIFS(Таблица2[R],#REF!,B265,Таблица2[K],"K"))/E265*100,"-")=0,"-",IFERROR((COUNTIFS(Таблица2[Date],B265,Таблица2[K],"K")+SUMIFS(Таблица2[R],Таблица2[Date],B265,Таблица2[K],"K"))/E265*100,"-"))</f>
        <v>-</v>
      </c>
      <c r="L265" s="76" t="str">
        <f>IF(IFERROR((COUNTIFS(Таблица2[Date],B265,Таблица2[T],"t")+SUMIFS(Таблица2[R],Таблица2[Date],B265,Таблица2[T],"t"))/E265*100,"-")=0,"-",IFERROR((COUNTIFS(Таблица2[Date],B265,Таблица2[T],"t")+SUMIFS(Таблица2[R],Таблица2[Date],B265,Таблица2[T],"t"))/E265*100,"-"))</f>
        <v>-</v>
      </c>
      <c r="M265" s="76" t="str">
        <f>IF(SUMIFS(Таблица2[KO$],Таблица2[Date],B265)=0,"-",SUMIFS(Таблица2[KO$],Таблица2[Date],B265))</f>
        <v>-</v>
      </c>
      <c r="N265" s="76" t="str">
        <f>IF(SUMIFS(Таблица2[WIN$],Таблица2[Date],B265)=0,"-",SUMIFS(Таблица2[WIN$],Таблица2[Date],B265))</f>
        <v>-</v>
      </c>
      <c r="O265" s="78" t="str">
        <f t="shared" si="13"/>
        <v>-</v>
      </c>
    </row>
    <row r="266" spans="1:15" ht="11.1" customHeight="1" x14ac:dyDescent="0.25">
      <c r="A266" s="93">
        <f t="shared" si="14"/>
        <v>180</v>
      </c>
      <c r="B266" s="48"/>
      <c r="C266"/>
      <c r="D266" s="117">
        <f t="shared" si="10"/>
        <v>1900</v>
      </c>
      <c r="E266" s="117" t="str">
        <f>IF(COUNTIFS(Таблица2[Date],B266)+SUMIFS(Таблица2[R],Таблица2[Date],B266)=0,"",COUNTIFS(Таблица2[Date],B266)+SUMIFS(Таблица2[R],Таблица2[Date],B266))</f>
        <v/>
      </c>
      <c r="F266" s="76" t="str">
        <f>IF(SUMIFS(Таблица2[B$],Таблица2[Date],B266)=0,"-",SUMIFS(Таблица2[B$],Таблица2[Date],B266))</f>
        <v>-</v>
      </c>
      <c r="G266" s="77" t="str">
        <f t="shared" si="11"/>
        <v>-</v>
      </c>
      <c r="H266" s="77" t="str">
        <f>IFERROR(AVERAGEIFS(Таблица2[AFS],Таблица2[Date],B266)+(AVERAGEIFS(Таблица2[AFS],Таблица2[Date],B266)*0.2),"-")</f>
        <v>-</v>
      </c>
      <c r="I266" s="77" t="str">
        <f t="shared" si="12"/>
        <v>-</v>
      </c>
      <c r="J266" s="77" t="str">
        <f>IFERROR(COUNTIFS(Таблица2[Date],B266,Таблица2[WIN$],"&gt;0")/E266*100,"-")</f>
        <v>-</v>
      </c>
      <c r="K266" s="77" t="str">
        <f>IF(IFERROR((COUNTIFS(Таблица2[Date],B266,Таблица2[K],"K")+SUMIFS(Таблица2[R],#REF!,B266,Таблица2[K],"K"))/E266*100,"-")=0,"-",IFERROR((COUNTIFS(Таблица2[Date],B266,Таблица2[K],"K")+SUMIFS(Таблица2[R],Таблица2[Date],B266,Таблица2[K],"K"))/E266*100,"-"))</f>
        <v>-</v>
      </c>
      <c r="L266" s="76" t="str">
        <f>IF(IFERROR((COUNTIFS(Таблица2[Date],B266,Таблица2[T],"t")+SUMIFS(Таблица2[R],Таблица2[Date],B266,Таблица2[T],"t"))/E266*100,"-")=0,"-",IFERROR((COUNTIFS(Таблица2[Date],B266,Таблица2[T],"t")+SUMIFS(Таблица2[R],Таблица2[Date],B266,Таблица2[T],"t"))/E266*100,"-"))</f>
        <v>-</v>
      </c>
      <c r="M266" s="76" t="str">
        <f>IF(SUMIFS(Таблица2[KO$],Таблица2[Date],B266)=0,"-",SUMIFS(Таблица2[KO$],Таблица2[Date],B266))</f>
        <v>-</v>
      </c>
      <c r="N266" s="76" t="str">
        <f>IF(SUMIFS(Таблица2[WIN$],Таблица2[Date],B266)=0,"-",SUMIFS(Таблица2[WIN$],Таблица2[Date],B266))</f>
        <v>-</v>
      </c>
      <c r="O266" s="78" t="str">
        <f t="shared" si="13"/>
        <v>-</v>
      </c>
    </row>
    <row r="267" spans="1:15" ht="11.1" customHeight="1" x14ac:dyDescent="0.25">
      <c r="A267" s="93">
        <f t="shared" si="14"/>
        <v>181</v>
      </c>
      <c r="B267" s="48"/>
      <c r="C267"/>
      <c r="D267" s="117">
        <f t="shared" si="10"/>
        <v>1900</v>
      </c>
      <c r="E267" s="117" t="str">
        <f>IF(COUNTIFS(Таблица2[Date],B267)+SUMIFS(Таблица2[R],Таблица2[Date],B267)=0,"",COUNTIFS(Таблица2[Date],B267)+SUMIFS(Таблица2[R],Таблица2[Date],B267))</f>
        <v/>
      </c>
      <c r="F267" s="76" t="str">
        <f>IF(SUMIFS(Таблица2[B$],Таблица2[Date],B267)=0,"-",SUMIFS(Таблица2[B$],Таблица2[Date],B267))</f>
        <v>-</v>
      </c>
      <c r="G267" s="77" t="str">
        <f t="shared" si="11"/>
        <v>-</v>
      </c>
      <c r="H267" s="77" t="str">
        <f>IFERROR(AVERAGEIFS(Таблица2[AFS],Таблица2[Date],B267)+(AVERAGEIFS(Таблица2[AFS],Таблица2[Date],B267)*0.2),"-")</f>
        <v>-</v>
      </c>
      <c r="I267" s="77" t="str">
        <f t="shared" si="12"/>
        <v>-</v>
      </c>
      <c r="J267" s="77" t="str">
        <f>IFERROR(COUNTIFS(Таблица2[Date],B267,Таблица2[WIN$],"&gt;0")/E267*100,"-")</f>
        <v>-</v>
      </c>
      <c r="K267" s="77" t="str">
        <f>IF(IFERROR((COUNTIFS(Таблица2[Date],B267,Таблица2[K],"K")+SUMIFS(Таблица2[R],#REF!,B267,Таблица2[K],"K"))/E267*100,"-")=0,"-",IFERROR((COUNTIFS(Таблица2[Date],B267,Таблица2[K],"K")+SUMIFS(Таблица2[R],Таблица2[Date],B267,Таблица2[K],"K"))/E267*100,"-"))</f>
        <v>-</v>
      </c>
      <c r="L267" s="76" t="str">
        <f>IF(IFERROR((COUNTIFS(Таблица2[Date],B267,Таблица2[T],"t")+SUMIFS(Таблица2[R],Таблица2[Date],B267,Таблица2[T],"t"))/E267*100,"-")=0,"-",IFERROR((COUNTIFS(Таблица2[Date],B267,Таблица2[T],"t")+SUMIFS(Таблица2[R],Таблица2[Date],B267,Таблица2[T],"t"))/E267*100,"-"))</f>
        <v>-</v>
      </c>
      <c r="M267" s="76" t="str">
        <f>IF(SUMIFS(Таблица2[KO$],Таблица2[Date],B267)=0,"-",SUMIFS(Таблица2[KO$],Таблица2[Date],B267))</f>
        <v>-</v>
      </c>
      <c r="N267" s="76" t="str">
        <f>IF(SUMIFS(Таблица2[WIN$],Таблица2[Date],B267)=0,"-",SUMIFS(Таблица2[WIN$],Таблица2[Date],B267))</f>
        <v>-</v>
      </c>
      <c r="O267" s="78" t="str">
        <f t="shared" si="13"/>
        <v>-</v>
      </c>
    </row>
    <row r="268" spans="1:15" ht="11.1" customHeight="1" x14ac:dyDescent="0.25">
      <c r="A268" s="93">
        <f t="shared" si="14"/>
        <v>182</v>
      </c>
      <c r="B268" s="48"/>
      <c r="C268"/>
      <c r="D268" s="117">
        <f t="shared" si="10"/>
        <v>1900</v>
      </c>
      <c r="E268" s="117" t="str">
        <f>IF(COUNTIFS(Таблица2[Date],B268)+SUMIFS(Таблица2[R],Таблица2[Date],B268)=0,"",COUNTIFS(Таблица2[Date],B268)+SUMIFS(Таблица2[R],Таблица2[Date],B268))</f>
        <v/>
      </c>
      <c r="F268" s="76" t="str">
        <f>IF(SUMIFS(Таблица2[B$],Таблица2[Date],B268)=0,"-",SUMIFS(Таблица2[B$],Таблица2[Date],B268))</f>
        <v>-</v>
      </c>
      <c r="G268" s="77" t="str">
        <f t="shared" si="11"/>
        <v>-</v>
      </c>
      <c r="H268" s="77" t="str">
        <f>IFERROR(AVERAGEIFS(Таблица2[AFS],Таблица2[Date],B268)+(AVERAGEIFS(Таблица2[AFS],Таблица2[Date],B268)*0.2),"-")</f>
        <v>-</v>
      </c>
      <c r="I268" s="77" t="str">
        <f t="shared" si="12"/>
        <v>-</v>
      </c>
      <c r="J268" s="77" t="str">
        <f>IFERROR(COUNTIFS(Таблица2[Date],B268,Таблица2[WIN$],"&gt;0")/E268*100,"-")</f>
        <v>-</v>
      </c>
      <c r="K268" s="77" t="str">
        <f>IF(IFERROR((COUNTIFS(Таблица2[Date],B268,Таблица2[K],"K")+SUMIFS(Таблица2[R],#REF!,B268,Таблица2[K],"K"))/E268*100,"-")=0,"-",IFERROR((COUNTIFS(Таблица2[Date],B268,Таблица2[K],"K")+SUMIFS(Таблица2[R],Таблица2[Date],B268,Таблица2[K],"K"))/E268*100,"-"))</f>
        <v>-</v>
      </c>
      <c r="L268" s="76" t="str">
        <f>IF(IFERROR((COUNTIFS(Таблица2[Date],B268,Таблица2[T],"t")+SUMIFS(Таблица2[R],Таблица2[Date],B268,Таблица2[T],"t"))/E268*100,"-")=0,"-",IFERROR((COUNTIFS(Таблица2[Date],B268,Таблица2[T],"t")+SUMIFS(Таблица2[R],Таблица2[Date],B268,Таблица2[T],"t"))/E268*100,"-"))</f>
        <v>-</v>
      </c>
      <c r="M268" s="76" t="str">
        <f>IF(SUMIFS(Таблица2[KO$],Таблица2[Date],B268)=0,"-",SUMIFS(Таблица2[KO$],Таблица2[Date],B268))</f>
        <v>-</v>
      </c>
      <c r="N268" s="76" t="str">
        <f>IF(SUMIFS(Таблица2[WIN$],Таблица2[Date],B268)=0,"-",SUMIFS(Таблица2[WIN$],Таблица2[Date],B268))</f>
        <v>-</v>
      </c>
      <c r="O268" s="78" t="str">
        <f t="shared" si="13"/>
        <v>-</v>
      </c>
    </row>
    <row r="269" spans="1:15" ht="11.1" customHeight="1" x14ac:dyDescent="0.25">
      <c r="A269" s="93">
        <f t="shared" si="14"/>
        <v>183</v>
      </c>
      <c r="B269" s="48"/>
      <c r="C269"/>
      <c r="D269" s="117">
        <f t="shared" si="10"/>
        <v>1900</v>
      </c>
      <c r="E269" s="117" t="str">
        <f>IF(COUNTIFS(Таблица2[Date],B269)+SUMIFS(Таблица2[R],Таблица2[Date],B269)=0,"",COUNTIFS(Таблица2[Date],B269)+SUMIFS(Таблица2[R],Таблица2[Date],B269))</f>
        <v/>
      </c>
      <c r="F269" s="76" t="str">
        <f>IF(SUMIFS(Таблица2[B$],Таблица2[Date],B269)=0,"-",SUMIFS(Таблица2[B$],Таблица2[Date],B269))</f>
        <v>-</v>
      </c>
      <c r="G269" s="77" t="str">
        <f t="shared" si="11"/>
        <v>-</v>
      </c>
      <c r="H269" s="77" t="str">
        <f>IFERROR(AVERAGEIFS(Таблица2[AFS],Таблица2[Date],B269)+(AVERAGEIFS(Таблица2[AFS],Таблица2[Date],B269)*0.2),"-")</f>
        <v>-</v>
      </c>
      <c r="I269" s="77" t="str">
        <f t="shared" si="12"/>
        <v>-</v>
      </c>
      <c r="J269" s="77" t="str">
        <f>IFERROR(COUNTIFS(Таблица2[Date],B269,Таблица2[WIN$],"&gt;0")/E269*100,"-")</f>
        <v>-</v>
      </c>
      <c r="K269" s="77" t="str">
        <f>IF(IFERROR((COUNTIFS(Таблица2[Date],B269,Таблица2[K],"K")+SUMIFS(Таблица2[R],#REF!,B269,Таблица2[K],"K"))/E269*100,"-")=0,"-",IFERROR((COUNTIFS(Таблица2[Date],B269,Таблица2[K],"K")+SUMIFS(Таблица2[R],Таблица2[Date],B269,Таблица2[K],"K"))/E269*100,"-"))</f>
        <v>-</v>
      </c>
      <c r="L269" s="76" t="str">
        <f>IF(IFERROR((COUNTIFS(Таблица2[Date],B269,Таблица2[T],"t")+SUMIFS(Таблица2[R],Таблица2[Date],B269,Таблица2[T],"t"))/E269*100,"-")=0,"-",IFERROR((COUNTIFS(Таблица2[Date],B269,Таблица2[T],"t")+SUMIFS(Таблица2[R],Таблица2[Date],B269,Таблица2[T],"t"))/E269*100,"-"))</f>
        <v>-</v>
      </c>
      <c r="M269" s="76" t="str">
        <f>IF(SUMIFS(Таблица2[KO$],Таблица2[Date],B269)=0,"-",SUMIFS(Таблица2[KO$],Таблица2[Date],B269))</f>
        <v>-</v>
      </c>
      <c r="N269" s="76" t="str">
        <f>IF(SUMIFS(Таблица2[WIN$],Таблица2[Date],B269)=0,"-",SUMIFS(Таблица2[WIN$],Таблица2[Date],B269))</f>
        <v>-</v>
      </c>
      <c r="O269" s="78" t="str">
        <f t="shared" si="13"/>
        <v>-</v>
      </c>
    </row>
    <row r="270" spans="1:15" ht="11.1" customHeight="1" x14ac:dyDescent="0.25">
      <c r="A270" s="93">
        <f t="shared" si="14"/>
        <v>184</v>
      </c>
      <c r="B270" s="48"/>
      <c r="C270"/>
      <c r="D270" s="117">
        <f t="shared" si="10"/>
        <v>1900</v>
      </c>
      <c r="E270" s="117" t="str">
        <f>IF(COUNTIFS(Таблица2[Date],B270)+SUMIFS(Таблица2[R],Таблица2[Date],B270)=0,"",COUNTIFS(Таблица2[Date],B270)+SUMIFS(Таблица2[R],Таблица2[Date],B270))</f>
        <v/>
      </c>
      <c r="F270" s="76" t="str">
        <f>IF(SUMIFS(Таблица2[B$],Таблица2[Date],B270)=0,"-",SUMIFS(Таблица2[B$],Таблица2[Date],B270))</f>
        <v>-</v>
      </c>
      <c r="G270" s="77" t="str">
        <f t="shared" si="11"/>
        <v>-</v>
      </c>
      <c r="H270" s="77" t="str">
        <f>IFERROR(AVERAGEIFS(Таблица2[AFS],Таблица2[Date],B270)+(AVERAGEIFS(Таблица2[AFS],Таблица2[Date],B270)*0.2),"-")</f>
        <v>-</v>
      </c>
      <c r="I270" s="77" t="str">
        <f t="shared" si="12"/>
        <v>-</v>
      </c>
      <c r="J270" s="77" t="str">
        <f>IFERROR(COUNTIFS(Таблица2[Date],B270,Таблица2[WIN$],"&gt;0")/E270*100,"-")</f>
        <v>-</v>
      </c>
      <c r="K270" s="77" t="str">
        <f>IF(IFERROR((COUNTIFS(Таблица2[Date],B270,Таблица2[K],"K")+SUMIFS(Таблица2[R],#REF!,B270,Таблица2[K],"K"))/E270*100,"-")=0,"-",IFERROR((COUNTIFS(Таблица2[Date],B270,Таблица2[K],"K")+SUMIFS(Таблица2[R],Таблица2[Date],B270,Таблица2[K],"K"))/E270*100,"-"))</f>
        <v>-</v>
      </c>
      <c r="L270" s="76" t="str">
        <f>IF(IFERROR((COUNTIFS(Таблица2[Date],B270,Таблица2[T],"t")+SUMIFS(Таблица2[R],Таблица2[Date],B270,Таблица2[T],"t"))/E270*100,"-")=0,"-",IFERROR((COUNTIFS(Таблица2[Date],B270,Таблица2[T],"t")+SUMIFS(Таблица2[R],Таблица2[Date],B270,Таблица2[T],"t"))/E270*100,"-"))</f>
        <v>-</v>
      </c>
      <c r="M270" s="76" t="str">
        <f>IF(SUMIFS(Таблица2[KO$],Таблица2[Date],B270)=0,"-",SUMIFS(Таблица2[KO$],Таблица2[Date],B270))</f>
        <v>-</v>
      </c>
      <c r="N270" s="76" t="str">
        <f>IF(SUMIFS(Таблица2[WIN$],Таблица2[Date],B270)=0,"-",SUMIFS(Таблица2[WIN$],Таблица2[Date],B270))</f>
        <v>-</v>
      </c>
      <c r="O270" s="78" t="str">
        <f t="shared" si="13"/>
        <v>-</v>
      </c>
    </row>
    <row r="271" spans="1:15" ht="11.1" customHeight="1" x14ac:dyDescent="0.25">
      <c r="A271" s="93">
        <f t="shared" si="14"/>
        <v>185</v>
      </c>
      <c r="B271" s="48"/>
      <c r="C271"/>
      <c r="D271" s="117">
        <f t="shared" si="10"/>
        <v>1900</v>
      </c>
      <c r="E271" s="117" t="str">
        <f>IF(COUNTIFS(Таблица2[Date],B271)+SUMIFS(Таблица2[R],Таблица2[Date],B271)=0,"",COUNTIFS(Таблица2[Date],B271)+SUMIFS(Таблица2[R],Таблица2[Date],B271))</f>
        <v/>
      </c>
      <c r="F271" s="76" t="str">
        <f>IF(SUMIFS(Таблица2[B$],Таблица2[Date],B271)=0,"-",SUMIFS(Таблица2[B$],Таблица2[Date],B271))</f>
        <v>-</v>
      </c>
      <c r="G271" s="77" t="str">
        <f t="shared" si="11"/>
        <v>-</v>
      </c>
      <c r="H271" s="77" t="str">
        <f>IFERROR(AVERAGEIFS(Таблица2[AFS],Таблица2[Date],B271)+(AVERAGEIFS(Таблица2[AFS],Таблица2[Date],B271)*0.2),"-")</f>
        <v>-</v>
      </c>
      <c r="I271" s="77" t="str">
        <f t="shared" si="12"/>
        <v>-</v>
      </c>
      <c r="J271" s="77" t="str">
        <f>IFERROR(COUNTIFS(Таблица2[Date],B271,Таблица2[WIN$],"&gt;0")/E271*100,"-")</f>
        <v>-</v>
      </c>
      <c r="K271" s="77" t="str">
        <f>IF(IFERROR((COUNTIFS(Таблица2[Date],B271,Таблица2[K],"K")+SUMIFS(Таблица2[R],#REF!,B271,Таблица2[K],"K"))/E271*100,"-")=0,"-",IFERROR((COUNTIFS(Таблица2[Date],B271,Таблица2[K],"K")+SUMIFS(Таблица2[R],Таблица2[Date],B271,Таблица2[K],"K"))/E271*100,"-"))</f>
        <v>-</v>
      </c>
      <c r="L271" s="76" t="str">
        <f>IF(IFERROR((COUNTIFS(Таблица2[Date],B271,Таблица2[T],"t")+SUMIFS(Таблица2[R],Таблица2[Date],B271,Таблица2[T],"t"))/E271*100,"-")=0,"-",IFERROR((COUNTIFS(Таблица2[Date],B271,Таблица2[T],"t")+SUMIFS(Таблица2[R],Таблица2[Date],B271,Таблица2[T],"t"))/E271*100,"-"))</f>
        <v>-</v>
      </c>
      <c r="M271" s="76" t="str">
        <f>IF(SUMIFS(Таблица2[KO$],Таблица2[Date],B271)=0,"-",SUMIFS(Таблица2[KO$],Таблица2[Date],B271))</f>
        <v>-</v>
      </c>
      <c r="N271" s="76" t="str">
        <f>IF(SUMIFS(Таблица2[WIN$],Таблица2[Date],B271)=0,"-",SUMIFS(Таблица2[WIN$],Таблица2[Date],B271))</f>
        <v>-</v>
      </c>
      <c r="O271" s="78" t="str">
        <f t="shared" si="13"/>
        <v>-</v>
      </c>
    </row>
    <row r="272" spans="1:15" ht="11.1" customHeight="1" x14ac:dyDescent="0.25">
      <c r="A272" s="93">
        <f t="shared" si="14"/>
        <v>186</v>
      </c>
      <c r="B272" s="48"/>
      <c r="C272"/>
      <c r="D272" s="117">
        <f t="shared" si="10"/>
        <v>1900</v>
      </c>
      <c r="E272" s="117" t="str">
        <f>IF(COUNTIFS(Таблица2[Date],B272)+SUMIFS(Таблица2[R],Таблица2[Date],B272)=0,"",COUNTIFS(Таблица2[Date],B272)+SUMIFS(Таблица2[R],Таблица2[Date],B272))</f>
        <v/>
      </c>
      <c r="F272" s="76" t="str">
        <f>IF(SUMIFS(Таблица2[B$],Таблица2[Date],B272)=0,"-",SUMIFS(Таблица2[B$],Таблица2[Date],B272))</f>
        <v>-</v>
      </c>
      <c r="G272" s="77" t="str">
        <f t="shared" si="11"/>
        <v>-</v>
      </c>
      <c r="H272" s="77" t="str">
        <f>IFERROR(AVERAGEIFS(Таблица2[AFS],Таблица2[Date],B272)+(AVERAGEIFS(Таблица2[AFS],Таблица2[Date],B272)*0.2),"-")</f>
        <v>-</v>
      </c>
      <c r="I272" s="77" t="str">
        <f t="shared" si="12"/>
        <v>-</v>
      </c>
      <c r="J272" s="77" t="str">
        <f>IFERROR(COUNTIFS(Таблица2[Date],B272,Таблица2[WIN$],"&gt;0")/E272*100,"-")</f>
        <v>-</v>
      </c>
      <c r="K272" s="77" t="str">
        <f>IF(IFERROR((COUNTIFS(Таблица2[Date],B272,Таблица2[K],"K")+SUMIFS(Таблица2[R],#REF!,B272,Таблица2[K],"K"))/E272*100,"-")=0,"-",IFERROR((COUNTIFS(Таблица2[Date],B272,Таблица2[K],"K")+SUMIFS(Таблица2[R],Таблица2[Date],B272,Таблица2[K],"K"))/E272*100,"-"))</f>
        <v>-</v>
      </c>
      <c r="L272" s="76" t="str">
        <f>IF(IFERROR((COUNTIFS(Таблица2[Date],B272,Таблица2[T],"t")+SUMIFS(Таблица2[R],Таблица2[Date],B272,Таблица2[T],"t"))/E272*100,"-")=0,"-",IFERROR((COUNTIFS(Таблица2[Date],B272,Таблица2[T],"t")+SUMIFS(Таблица2[R],Таблица2[Date],B272,Таблица2[T],"t"))/E272*100,"-"))</f>
        <v>-</v>
      </c>
      <c r="M272" s="76" t="str">
        <f>IF(SUMIFS(Таблица2[KO$],Таблица2[Date],B272)=0,"-",SUMIFS(Таблица2[KO$],Таблица2[Date],B272))</f>
        <v>-</v>
      </c>
      <c r="N272" s="76" t="str">
        <f>IF(SUMIFS(Таблица2[WIN$],Таблица2[Date],B272)=0,"-",SUMIFS(Таблица2[WIN$],Таблица2[Date],B272))</f>
        <v>-</v>
      </c>
      <c r="O272" s="78" t="str">
        <f t="shared" si="13"/>
        <v>-</v>
      </c>
    </row>
    <row r="273" spans="1:15" ht="11.1" customHeight="1" x14ac:dyDescent="0.25">
      <c r="A273" s="93">
        <f t="shared" si="14"/>
        <v>187</v>
      </c>
      <c r="B273" s="48"/>
      <c r="C273"/>
      <c r="D273" s="117">
        <f t="shared" si="10"/>
        <v>1900</v>
      </c>
      <c r="E273" s="117" t="str">
        <f>IF(COUNTIFS(Таблица2[Date],B273)+SUMIFS(Таблица2[R],Таблица2[Date],B273)=0,"",COUNTIFS(Таблица2[Date],B273)+SUMIFS(Таблица2[R],Таблица2[Date],B273))</f>
        <v/>
      </c>
      <c r="F273" s="76" t="str">
        <f>IF(SUMIFS(Таблица2[B$],Таблица2[Date],B273)=0,"-",SUMIFS(Таблица2[B$],Таблица2[Date],B273))</f>
        <v>-</v>
      </c>
      <c r="G273" s="77" t="str">
        <f t="shared" si="11"/>
        <v>-</v>
      </c>
      <c r="H273" s="77" t="str">
        <f>IFERROR(AVERAGEIFS(Таблица2[AFS],Таблица2[Date],B273)+(AVERAGEIFS(Таблица2[AFS],Таблица2[Date],B273)*0.2),"-")</f>
        <v>-</v>
      </c>
      <c r="I273" s="77" t="str">
        <f t="shared" si="12"/>
        <v>-</v>
      </c>
      <c r="J273" s="77" t="str">
        <f>IFERROR(COUNTIFS(Таблица2[Date],B273,Таблица2[WIN$],"&gt;0")/E273*100,"-")</f>
        <v>-</v>
      </c>
      <c r="K273" s="77" t="str">
        <f>IF(IFERROR((COUNTIFS(Таблица2[Date],B273,Таблица2[K],"K")+SUMIFS(Таблица2[R],#REF!,B273,Таблица2[K],"K"))/E273*100,"-")=0,"-",IFERROR((COUNTIFS(Таблица2[Date],B273,Таблица2[K],"K")+SUMIFS(Таблица2[R],Таблица2[Date],B273,Таблица2[K],"K"))/E273*100,"-"))</f>
        <v>-</v>
      </c>
      <c r="L273" s="76" t="str">
        <f>IF(IFERROR((COUNTIFS(Таблица2[Date],B273,Таблица2[T],"t")+SUMIFS(Таблица2[R],Таблица2[Date],B273,Таблица2[T],"t"))/E273*100,"-")=0,"-",IFERROR((COUNTIFS(Таблица2[Date],B273,Таблица2[T],"t")+SUMIFS(Таблица2[R],Таблица2[Date],B273,Таблица2[T],"t"))/E273*100,"-"))</f>
        <v>-</v>
      </c>
      <c r="M273" s="76" t="str">
        <f>IF(SUMIFS(Таблица2[KO$],Таблица2[Date],B273)=0,"-",SUMIFS(Таблица2[KO$],Таблица2[Date],B273))</f>
        <v>-</v>
      </c>
      <c r="N273" s="76" t="str">
        <f>IF(SUMIFS(Таблица2[WIN$],Таблица2[Date],B273)=0,"-",SUMIFS(Таблица2[WIN$],Таблица2[Date],B273))</f>
        <v>-</v>
      </c>
      <c r="O273" s="78" t="str">
        <f t="shared" si="13"/>
        <v>-</v>
      </c>
    </row>
    <row r="274" spans="1:15" ht="11.1" customHeight="1" x14ac:dyDescent="0.25">
      <c r="A274" s="93">
        <f t="shared" si="14"/>
        <v>188</v>
      </c>
      <c r="B274" s="48"/>
      <c r="C274"/>
      <c r="D274" s="117">
        <f t="shared" si="10"/>
        <v>1900</v>
      </c>
      <c r="E274" s="117" t="str">
        <f>IF(COUNTIFS(Таблица2[Date],B274)+SUMIFS(Таблица2[R],Таблица2[Date],B274)=0,"",COUNTIFS(Таблица2[Date],B274)+SUMIFS(Таблица2[R],Таблица2[Date],B274))</f>
        <v/>
      </c>
      <c r="F274" s="76" t="str">
        <f>IF(SUMIFS(Таблица2[B$],Таблица2[Date],B274)=0,"-",SUMIFS(Таблица2[B$],Таблица2[Date],B274))</f>
        <v>-</v>
      </c>
      <c r="G274" s="77" t="str">
        <f t="shared" si="11"/>
        <v>-</v>
      </c>
      <c r="H274" s="77" t="str">
        <f>IFERROR(AVERAGEIFS(Таблица2[AFS],Таблица2[Date],B274)+(AVERAGEIFS(Таблица2[AFS],Таблица2[Date],B274)*0.2),"-")</f>
        <v>-</v>
      </c>
      <c r="I274" s="77" t="str">
        <f t="shared" si="12"/>
        <v>-</v>
      </c>
      <c r="J274" s="77" t="str">
        <f>IFERROR(COUNTIFS(Таблица2[Date],B274,Таблица2[WIN$],"&gt;0")/E274*100,"-")</f>
        <v>-</v>
      </c>
      <c r="K274" s="77" t="str">
        <f>IF(IFERROR((COUNTIFS(Таблица2[Date],B274,Таблица2[K],"K")+SUMIFS(Таблица2[R],#REF!,B274,Таблица2[K],"K"))/E274*100,"-")=0,"-",IFERROR((COUNTIFS(Таблица2[Date],B274,Таблица2[K],"K")+SUMIFS(Таблица2[R],Таблица2[Date],B274,Таблица2[K],"K"))/E274*100,"-"))</f>
        <v>-</v>
      </c>
      <c r="L274" s="76" t="str">
        <f>IF(IFERROR((COUNTIFS(Таблица2[Date],B274,Таблица2[T],"t")+SUMIFS(Таблица2[R],Таблица2[Date],B274,Таблица2[T],"t"))/E274*100,"-")=0,"-",IFERROR((COUNTIFS(Таблица2[Date],B274,Таблица2[T],"t")+SUMIFS(Таблица2[R],Таблица2[Date],B274,Таблица2[T],"t"))/E274*100,"-"))</f>
        <v>-</v>
      </c>
      <c r="M274" s="76" t="str">
        <f>IF(SUMIFS(Таблица2[KO$],Таблица2[Date],B274)=0,"-",SUMIFS(Таблица2[KO$],Таблица2[Date],B274))</f>
        <v>-</v>
      </c>
      <c r="N274" s="76" t="str">
        <f>IF(SUMIFS(Таблица2[WIN$],Таблица2[Date],B274)=0,"-",SUMIFS(Таблица2[WIN$],Таблица2[Date],B274))</f>
        <v>-</v>
      </c>
      <c r="O274" s="78" t="str">
        <f t="shared" si="13"/>
        <v>-</v>
      </c>
    </row>
    <row r="275" spans="1:15" ht="11.1" customHeight="1" x14ac:dyDescent="0.25">
      <c r="A275" s="93">
        <f t="shared" si="14"/>
        <v>189</v>
      </c>
      <c r="B275" s="48"/>
      <c r="C275"/>
      <c r="D275" s="117">
        <f t="shared" si="10"/>
        <v>1900</v>
      </c>
      <c r="E275" s="117" t="str">
        <f>IF(COUNTIFS(Таблица2[Date],B275)+SUMIFS(Таблица2[R],Таблица2[Date],B275)=0,"",COUNTIFS(Таблица2[Date],B275)+SUMIFS(Таблица2[R],Таблица2[Date],B275))</f>
        <v/>
      </c>
      <c r="F275" s="76" t="str">
        <f>IF(SUMIFS(Таблица2[B$],Таблица2[Date],B275)=0,"-",SUMIFS(Таблица2[B$],Таблица2[Date],B275))</f>
        <v>-</v>
      </c>
      <c r="G275" s="77" t="str">
        <f t="shared" si="11"/>
        <v>-</v>
      </c>
      <c r="H275" s="77" t="str">
        <f>IFERROR(AVERAGEIFS(Таблица2[AFS],Таблица2[Date],B275)+(AVERAGEIFS(Таблица2[AFS],Таблица2[Date],B275)*0.2),"-")</f>
        <v>-</v>
      </c>
      <c r="I275" s="77" t="str">
        <f t="shared" si="12"/>
        <v>-</v>
      </c>
      <c r="J275" s="77" t="str">
        <f>IFERROR(COUNTIFS(Таблица2[Date],B275,Таблица2[WIN$],"&gt;0")/E275*100,"-")</f>
        <v>-</v>
      </c>
      <c r="K275" s="77" t="str">
        <f>IF(IFERROR((COUNTIFS(Таблица2[Date],B275,Таблица2[K],"K")+SUMIFS(Таблица2[R],#REF!,B275,Таблица2[K],"K"))/E275*100,"-")=0,"-",IFERROR((COUNTIFS(Таблица2[Date],B275,Таблица2[K],"K")+SUMIFS(Таблица2[R],Таблица2[Date],B275,Таблица2[K],"K"))/E275*100,"-"))</f>
        <v>-</v>
      </c>
      <c r="L275" s="76" t="str">
        <f>IF(IFERROR((COUNTIFS(Таблица2[Date],B275,Таблица2[T],"t")+SUMIFS(Таблица2[R],Таблица2[Date],B275,Таблица2[T],"t"))/E275*100,"-")=0,"-",IFERROR((COUNTIFS(Таблица2[Date],B275,Таблица2[T],"t")+SUMIFS(Таблица2[R],Таблица2[Date],B275,Таблица2[T],"t"))/E275*100,"-"))</f>
        <v>-</v>
      </c>
      <c r="M275" s="76" t="str">
        <f>IF(SUMIFS(Таблица2[KO$],Таблица2[Date],B275)=0,"-",SUMIFS(Таблица2[KO$],Таблица2[Date],B275))</f>
        <v>-</v>
      </c>
      <c r="N275" s="76" t="str">
        <f>IF(SUMIFS(Таблица2[WIN$],Таблица2[Date],B275)=0,"-",SUMIFS(Таблица2[WIN$],Таблица2[Date],B275))</f>
        <v>-</v>
      </c>
      <c r="O275" s="78" t="str">
        <f t="shared" si="13"/>
        <v>-</v>
      </c>
    </row>
    <row r="276" spans="1:15" ht="11.1" customHeight="1" x14ac:dyDescent="0.25">
      <c r="A276" s="93">
        <f t="shared" si="14"/>
        <v>190</v>
      </c>
      <c r="B276" s="48"/>
      <c r="C276"/>
      <c r="D276" s="117">
        <f t="shared" si="10"/>
        <v>1900</v>
      </c>
      <c r="E276" s="117" t="str">
        <f>IF(COUNTIFS(Таблица2[Date],B276)+SUMIFS(Таблица2[R],Таблица2[Date],B276)=0,"",COUNTIFS(Таблица2[Date],B276)+SUMIFS(Таблица2[R],Таблица2[Date],B276))</f>
        <v/>
      </c>
      <c r="F276" s="76" t="str">
        <f>IF(SUMIFS(Таблица2[B$],Таблица2[Date],B276)=0,"-",SUMIFS(Таблица2[B$],Таблица2[Date],B276))</f>
        <v>-</v>
      </c>
      <c r="G276" s="77" t="str">
        <f t="shared" si="11"/>
        <v>-</v>
      </c>
      <c r="H276" s="77" t="str">
        <f>IFERROR(AVERAGEIFS(Таблица2[AFS],Таблица2[Date],B276)+(AVERAGEIFS(Таблица2[AFS],Таблица2[Date],B276)*0.2),"-")</f>
        <v>-</v>
      </c>
      <c r="I276" s="77" t="str">
        <f t="shared" si="12"/>
        <v>-</v>
      </c>
      <c r="J276" s="77" t="str">
        <f>IFERROR(COUNTIFS(Таблица2[Date],B276,Таблица2[WIN$],"&gt;0")/E276*100,"-")</f>
        <v>-</v>
      </c>
      <c r="K276" s="77" t="str">
        <f>IF(IFERROR((COUNTIFS(Таблица2[Date],B276,Таблица2[K],"K")+SUMIFS(Таблица2[R],#REF!,B276,Таблица2[K],"K"))/E276*100,"-")=0,"-",IFERROR((COUNTIFS(Таблица2[Date],B276,Таблица2[K],"K")+SUMIFS(Таблица2[R],Таблица2[Date],B276,Таблица2[K],"K"))/E276*100,"-"))</f>
        <v>-</v>
      </c>
      <c r="L276" s="76" t="str">
        <f>IF(IFERROR((COUNTIFS(Таблица2[Date],B276,Таблица2[T],"t")+SUMIFS(Таблица2[R],Таблица2[Date],B276,Таблица2[T],"t"))/E276*100,"-")=0,"-",IFERROR((COUNTIFS(Таблица2[Date],B276,Таблица2[T],"t")+SUMIFS(Таблица2[R],Таблица2[Date],B276,Таблица2[T],"t"))/E276*100,"-"))</f>
        <v>-</v>
      </c>
      <c r="M276" s="76" t="str">
        <f>IF(SUMIFS(Таблица2[KO$],Таблица2[Date],B276)=0,"-",SUMIFS(Таблица2[KO$],Таблица2[Date],B276))</f>
        <v>-</v>
      </c>
      <c r="N276" s="76" t="str">
        <f>IF(SUMIFS(Таблица2[WIN$],Таблица2[Date],B276)=0,"-",SUMIFS(Таблица2[WIN$],Таблица2[Date],B276))</f>
        <v>-</v>
      </c>
      <c r="O276" s="78" t="str">
        <f t="shared" si="13"/>
        <v>-</v>
      </c>
    </row>
    <row r="277" spans="1:15" ht="11.1" customHeight="1" x14ac:dyDescent="0.25">
      <c r="A277" s="93">
        <f t="shared" si="14"/>
        <v>191</v>
      </c>
      <c r="B277" s="48"/>
      <c r="C277"/>
      <c r="D277" s="117">
        <f t="shared" si="10"/>
        <v>1900</v>
      </c>
      <c r="E277" s="117" t="str">
        <f>IF(COUNTIFS(Таблица2[Date],B277)+SUMIFS(Таблица2[R],Таблица2[Date],B277)=0,"",COUNTIFS(Таблица2[Date],B277)+SUMIFS(Таблица2[R],Таблица2[Date],B277))</f>
        <v/>
      </c>
      <c r="F277" s="76" t="str">
        <f>IF(SUMIFS(Таблица2[B$],Таблица2[Date],B277)=0,"-",SUMIFS(Таблица2[B$],Таблица2[Date],B277))</f>
        <v>-</v>
      </c>
      <c r="G277" s="77" t="str">
        <f t="shared" si="11"/>
        <v>-</v>
      </c>
      <c r="H277" s="77" t="str">
        <f>IFERROR(AVERAGEIFS(Таблица2[AFS],Таблица2[Date],B277)+(AVERAGEIFS(Таблица2[AFS],Таблица2[Date],B277)*0.2),"-")</f>
        <v>-</v>
      </c>
      <c r="I277" s="77" t="str">
        <f t="shared" si="12"/>
        <v>-</v>
      </c>
      <c r="J277" s="77" t="str">
        <f>IFERROR(COUNTIFS(Таблица2[Date],B277,Таблица2[WIN$],"&gt;0")/E277*100,"-")</f>
        <v>-</v>
      </c>
      <c r="K277" s="77" t="str">
        <f>IF(IFERROR((COUNTIFS(Таблица2[Date],B277,Таблица2[K],"K")+SUMIFS(Таблица2[R],#REF!,B277,Таблица2[K],"K"))/E277*100,"-")=0,"-",IFERROR((COUNTIFS(Таблица2[Date],B277,Таблица2[K],"K")+SUMIFS(Таблица2[R],Таблица2[Date],B277,Таблица2[K],"K"))/E277*100,"-"))</f>
        <v>-</v>
      </c>
      <c r="L277" s="76" t="str">
        <f>IF(IFERROR((COUNTIFS(Таблица2[Date],B277,Таблица2[T],"t")+SUMIFS(Таблица2[R],Таблица2[Date],B277,Таблица2[T],"t"))/E277*100,"-")=0,"-",IFERROR((COUNTIFS(Таблица2[Date],B277,Таблица2[T],"t")+SUMIFS(Таблица2[R],Таблица2[Date],B277,Таблица2[T],"t"))/E277*100,"-"))</f>
        <v>-</v>
      </c>
      <c r="M277" s="76" t="str">
        <f>IF(SUMIFS(Таблица2[KO$],Таблица2[Date],B277)=0,"-",SUMIFS(Таблица2[KO$],Таблица2[Date],B277))</f>
        <v>-</v>
      </c>
      <c r="N277" s="76" t="str">
        <f>IF(SUMIFS(Таблица2[WIN$],Таблица2[Date],B277)=0,"-",SUMIFS(Таблица2[WIN$],Таблица2[Date],B277))</f>
        <v>-</v>
      </c>
      <c r="O277" s="78" t="str">
        <f t="shared" si="13"/>
        <v>-</v>
      </c>
    </row>
    <row r="278" spans="1:15" ht="11.1" customHeight="1" x14ac:dyDescent="0.25">
      <c r="A278" s="93">
        <f t="shared" si="14"/>
        <v>192</v>
      </c>
      <c r="B278" s="48"/>
      <c r="C278"/>
      <c r="D278" s="117">
        <f t="shared" si="10"/>
        <v>1900</v>
      </c>
      <c r="E278" s="117" t="str">
        <f>IF(COUNTIFS(Таблица2[Date],B278)+SUMIFS(Таблица2[R],Таблица2[Date],B278)=0,"",COUNTIFS(Таблица2[Date],B278)+SUMIFS(Таблица2[R],Таблица2[Date],B278))</f>
        <v/>
      </c>
      <c r="F278" s="76" t="str">
        <f>IF(SUMIFS(Таблица2[B$],Таблица2[Date],B278)=0,"-",SUMIFS(Таблица2[B$],Таблица2[Date],B278))</f>
        <v>-</v>
      </c>
      <c r="G278" s="77" t="str">
        <f t="shared" si="11"/>
        <v>-</v>
      </c>
      <c r="H278" s="77" t="str">
        <f>IFERROR(AVERAGEIFS(Таблица2[AFS],Таблица2[Date],B278)+(AVERAGEIFS(Таблица2[AFS],Таблица2[Date],B278)*0.2),"-")</f>
        <v>-</v>
      </c>
      <c r="I278" s="77" t="str">
        <f t="shared" si="12"/>
        <v>-</v>
      </c>
      <c r="J278" s="77" t="str">
        <f>IFERROR(COUNTIFS(Таблица2[Date],B278,Таблица2[WIN$],"&gt;0")/E278*100,"-")</f>
        <v>-</v>
      </c>
      <c r="K278" s="77" t="str">
        <f>IF(IFERROR((COUNTIFS(Таблица2[Date],B278,Таблица2[K],"K")+SUMIFS(Таблица2[R],#REF!,B278,Таблица2[K],"K"))/E278*100,"-")=0,"-",IFERROR((COUNTIFS(Таблица2[Date],B278,Таблица2[K],"K")+SUMIFS(Таблица2[R],Таблица2[Date],B278,Таблица2[K],"K"))/E278*100,"-"))</f>
        <v>-</v>
      </c>
      <c r="L278" s="76" t="str">
        <f>IF(IFERROR((COUNTIFS(Таблица2[Date],B278,Таблица2[T],"t")+SUMIFS(Таблица2[R],Таблица2[Date],B278,Таблица2[T],"t"))/E278*100,"-")=0,"-",IFERROR((COUNTIFS(Таблица2[Date],B278,Таблица2[T],"t")+SUMIFS(Таблица2[R],Таблица2[Date],B278,Таблица2[T],"t"))/E278*100,"-"))</f>
        <v>-</v>
      </c>
      <c r="M278" s="76" t="str">
        <f>IF(SUMIFS(Таблица2[KO$],Таблица2[Date],B278)=0,"-",SUMIFS(Таблица2[KO$],Таблица2[Date],B278))</f>
        <v>-</v>
      </c>
      <c r="N278" s="76" t="str">
        <f>IF(SUMIFS(Таблица2[WIN$],Таблица2[Date],B278)=0,"-",SUMIFS(Таблица2[WIN$],Таблица2[Date],B278))</f>
        <v>-</v>
      </c>
      <c r="O278" s="78" t="str">
        <f t="shared" si="13"/>
        <v>-</v>
      </c>
    </row>
    <row r="279" spans="1:15" ht="11.1" customHeight="1" x14ac:dyDescent="0.25">
      <c r="A279" s="93">
        <f t="shared" si="14"/>
        <v>193</v>
      </c>
      <c r="B279" s="48"/>
      <c r="C279"/>
      <c r="D279" s="117">
        <f t="shared" ref="D279:D342" si="15">YEAR(B279)</f>
        <v>1900</v>
      </c>
      <c r="E279" s="117" t="str">
        <f>IF(COUNTIFS(Таблица2[Date],B279)+SUMIFS(Таблица2[R],Таблица2[Date],B279)=0,"",COUNTIFS(Таблица2[Date],B279)+SUMIFS(Таблица2[R],Таблица2[Date],B279))</f>
        <v/>
      </c>
      <c r="F279" s="76" t="str">
        <f>IF(SUMIFS(Таблица2[B$],Таблица2[Date],B279)=0,"-",SUMIFS(Таблица2[B$],Таблица2[Date],B279))</f>
        <v>-</v>
      </c>
      <c r="G279" s="77" t="str">
        <f t="shared" ref="G279:G342" si="16">IFERROR(F279/E279,"-")</f>
        <v>-</v>
      </c>
      <c r="H279" s="77" t="str">
        <f>IFERROR(AVERAGEIFS(Таблица2[AFS],Таблица2[Date],B279)+(AVERAGEIFS(Таблица2[AFS],Таблица2[Date],B279)*0.2),"-")</f>
        <v>-</v>
      </c>
      <c r="I279" s="77" t="str">
        <f t="shared" ref="I279:I342" si="17">IFERROR(O279/F279*100,"-")</f>
        <v>-</v>
      </c>
      <c r="J279" s="77" t="str">
        <f>IFERROR(COUNTIFS(Таблица2[Date],B279,Таблица2[WIN$],"&gt;0")/E279*100,"-")</f>
        <v>-</v>
      </c>
      <c r="K279" s="77" t="str">
        <f>IF(IFERROR((COUNTIFS(Таблица2[Date],B279,Таблица2[K],"K")+SUMIFS(Таблица2[R],#REF!,B279,Таблица2[K],"K"))/E279*100,"-")=0,"-",IFERROR((COUNTIFS(Таблица2[Date],B279,Таблица2[K],"K")+SUMIFS(Таблица2[R],Таблица2[Date],B279,Таблица2[K],"K"))/E279*100,"-"))</f>
        <v>-</v>
      </c>
      <c r="L279" s="76" t="str">
        <f>IF(IFERROR((COUNTIFS(Таблица2[Date],B279,Таблица2[T],"t")+SUMIFS(Таблица2[R],Таблица2[Date],B279,Таблица2[T],"t"))/E279*100,"-")=0,"-",IFERROR((COUNTIFS(Таблица2[Date],B279,Таблица2[T],"t")+SUMIFS(Таблица2[R],Таблица2[Date],B279,Таблица2[T],"t"))/E279*100,"-"))</f>
        <v>-</v>
      </c>
      <c r="M279" s="76" t="str">
        <f>IF(SUMIFS(Таблица2[KO$],Таблица2[Date],B279)=0,"-",SUMIFS(Таблица2[KO$],Таблица2[Date],B279))</f>
        <v>-</v>
      </c>
      <c r="N279" s="76" t="str">
        <f>IF(SUMIFS(Таблица2[WIN$],Таблица2[Date],B279)=0,"-",SUMIFS(Таблица2[WIN$],Таблица2[Date],B279))</f>
        <v>-</v>
      </c>
      <c r="O279" s="78" t="str">
        <f t="shared" ref="O279:O342" si="18">IFERROR(IF(N279="-",0,N279)+IF(M279="-",0,M279)-F279,"-")</f>
        <v>-</v>
      </c>
    </row>
    <row r="280" spans="1:15" ht="11.1" customHeight="1" x14ac:dyDescent="0.25">
      <c r="A280" s="93">
        <f t="shared" ref="A280:A343" si="19">A279+1</f>
        <v>194</v>
      </c>
      <c r="B280" s="48"/>
      <c r="C280"/>
      <c r="D280" s="117">
        <f t="shared" si="15"/>
        <v>1900</v>
      </c>
      <c r="E280" s="117" t="str">
        <f>IF(COUNTIFS(Таблица2[Date],B280)+SUMIFS(Таблица2[R],Таблица2[Date],B280)=0,"",COUNTIFS(Таблица2[Date],B280)+SUMIFS(Таблица2[R],Таблица2[Date],B280))</f>
        <v/>
      </c>
      <c r="F280" s="76" t="str">
        <f>IF(SUMIFS(Таблица2[B$],Таблица2[Date],B280)=0,"-",SUMIFS(Таблица2[B$],Таблица2[Date],B280))</f>
        <v>-</v>
      </c>
      <c r="G280" s="77" t="str">
        <f t="shared" si="16"/>
        <v>-</v>
      </c>
      <c r="H280" s="77" t="str">
        <f>IFERROR(AVERAGEIFS(Таблица2[AFS],Таблица2[Date],B280)+(AVERAGEIFS(Таблица2[AFS],Таблица2[Date],B280)*0.2),"-")</f>
        <v>-</v>
      </c>
      <c r="I280" s="77" t="str">
        <f t="shared" si="17"/>
        <v>-</v>
      </c>
      <c r="J280" s="77" t="str">
        <f>IFERROR(COUNTIFS(Таблица2[Date],B280,Таблица2[WIN$],"&gt;0")/E280*100,"-")</f>
        <v>-</v>
      </c>
      <c r="K280" s="77" t="str">
        <f>IF(IFERROR((COUNTIFS(Таблица2[Date],B280,Таблица2[K],"K")+SUMIFS(Таблица2[R],#REF!,B280,Таблица2[K],"K"))/E280*100,"-")=0,"-",IFERROR((COUNTIFS(Таблица2[Date],B280,Таблица2[K],"K")+SUMIFS(Таблица2[R],Таблица2[Date],B280,Таблица2[K],"K"))/E280*100,"-"))</f>
        <v>-</v>
      </c>
      <c r="L280" s="76" t="str">
        <f>IF(IFERROR((COUNTIFS(Таблица2[Date],B280,Таблица2[T],"t")+SUMIFS(Таблица2[R],Таблица2[Date],B280,Таблица2[T],"t"))/E280*100,"-")=0,"-",IFERROR((COUNTIFS(Таблица2[Date],B280,Таблица2[T],"t")+SUMIFS(Таблица2[R],Таблица2[Date],B280,Таблица2[T],"t"))/E280*100,"-"))</f>
        <v>-</v>
      </c>
      <c r="M280" s="76" t="str">
        <f>IF(SUMIFS(Таблица2[KO$],Таблица2[Date],B280)=0,"-",SUMIFS(Таблица2[KO$],Таблица2[Date],B280))</f>
        <v>-</v>
      </c>
      <c r="N280" s="76" t="str">
        <f>IF(SUMIFS(Таблица2[WIN$],Таблица2[Date],B280)=0,"-",SUMIFS(Таблица2[WIN$],Таблица2[Date],B280))</f>
        <v>-</v>
      </c>
      <c r="O280" s="78" t="str">
        <f t="shared" si="18"/>
        <v>-</v>
      </c>
    </row>
    <row r="281" spans="1:15" ht="11.1" customHeight="1" x14ac:dyDescent="0.25">
      <c r="A281" s="93">
        <f t="shared" si="19"/>
        <v>195</v>
      </c>
      <c r="B281" s="48"/>
      <c r="C281"/>
      <c r="D281" s="117">
        <f t="shared" si="15"/>
        <v>1900</v>
      </c>
      <c r="E281" s="117" t="str">
        <f>IF(COUNTIFS(Таблица2[Date],B281)+SUMIFS(Таблица2[R],Таблица2[Date],B281)=0,"",COUNTIFS(Таблица2[Date],B281)+SUMIFS(Таблица2[R],Таблица2[Date],B281))</f>
        <v/>
      </c>
      <c r="F281" s="76" t="str">
        <f>IF(SUMIFS(Таблица2[B$],Таблица2[Date],B281)=0,"-",SUMIFS(Таблица2[B$],Таблица2[Date],B281))</f>
        <v>-</v>
      </c>
      <c r="G281" s="77" t="str">
        <f t="shared" si="16"/>
        <v>-</v>
      </c>
      <c r="H281" s="77" t="str">
        <f>IFERROR(AVERAGEIFS(Таблица2[AFS],Таблица2[Date],B281)+(AVERAGEIFS(Таблица2[AFS],Таблица2[Date],B281)*0.2),"-")</f>
        <v>-</v>
      </c>
      <c r="I281" s="77" t="str">
        <f t="shared" si="17"/>
        <v>-</v>
      </c>
      <c r="J281" s="77" t="str">
        <f>IFERROR(COUNTIFS(Таблица2[Date],B281,Таблица2[WIN$],"&gt;0")/E281*100,"-")</f>
        <v>-</v>
      </c>
      <c r="K281" s="77" t="str">
        <f>IF(IFERROR((COUNTIFS(Таблица2[Date],B281,Таблица2[K],"K")+SUMIFS(Таблица2[R],#REF!,B281,Таблица2[K],"K"))/E281*100,"-")=0,"-",IFERROR((COUNTIFS(Таблица2[Date],B281,Таблица2[K],"K")+SUMIFS(Таблица2[R],Таблица2[Date],B281,Таблица2[K],"K"))/E281*100,"-"))</f>
        <v>-</v>
      </c>
      <c r="L281" s="76" t="str">
        <f>IF(IFERROR((COUNTIFS(Таблица2[Date],B281,Таблица2[T],"t")+SUMIFS(Таблица2[R],Таблица2[Date],B281,Таблица2[T],"t"))/E281*100,"-")=0,"-",IFERROR((COUNTIFS(Таблица2[Date],B281,Таблица2[T],"t")+SUMIFS(Таблица2[R],Таблица2[Date],B281,Таблица2[T],"t"))/E281*100,"-"))</f>
        <v>-</v>
      </c>
      <c r="M281" s="76" t="str">
        <f>IF(SUMIFS(Таблица2[KO$],Таблица2[Date],B281)=0,"-",SUMIFS(Таблица2[KO$],Таблица2[Date],B281))</f>
        <v>-</v>
      </c>
      <c r="N281" s="76" t="str">
        <f>IF(SUMIFS(Таблица2[WIN$],Таблица2[Date],B281)=0,"-",SUMIFS(Таблица2[WIN$],Таблица2[Date],B281))</f>
        <v>-</v>
      </c>
      <c r="O281" s="78" t="str">
        <f t="shared" si="18"/>
        <v>-</v>
      </c>
    </row>
    <row r="282" spans="1:15" ht="11.1" customHeight="1" x14ac:dyDescent="0.25">
      <c r="A282" s="93">
        <f t="shared" si="19"/>
        <v>196</v>
      </c>
      <c r="B282" s="48"/>
      <c r="C282"/>
      <c r="D282" s="117">
        <f t="shared" si="15"/>
        <v>1900</v>
      </c>
      <c r="E282" s="117" t="str">
        <f>IF(COUNTIFS(Таблица2[Date],B282)+SUMIFS(Таблица2[R],Таблица2[Date],B282)=0,"",COUNTIFS(Таблица2[Date],B282)+SUMIFS(Таблица2[R],Таблица2[Date],B282))</f>
        <v/>
      </c>
      <c r="F282" s="76" t="str">
        <f>IF(SUMIFS(Таблица2[B$],Таблица2[Date],B282)=0,"-",SUMIFS(Таблица2[B$],Таблица2[Date],B282))</f>
        <v>-</v>
      </c>
      <c r="G282" s="77" t="str">
        <f t="shared" si="16"/>
        <v>-</v>
      </c>
      <c r="H282" s="77" t="str">
        <f>IFERROR(AVERAGEIFS(Таблица2[AFS],Таблица2[Date],B282)+(AVERAGEIFS(Таблица2[AFS],Таблица2[Date],B282)*0.2),"-")</f>
        <v>-</v>
      </c>
      <c r="I282" s="77" t="str">
        <f t="shared" si="17"/>
        <v>-</v>
      </c>
      <c r="J282" s="77" t="str">
        <f>IFERROR(COUNTIFS(Таблица2[Date],B282,Таблица2[WIN$],"&gt;0")/E282*100,"-")</f>
        <v>-</v>
      </c>
      <c r="K282" s="77" t="str">
        <f>IF(IFERROR((COUNTIFS(Таблица2[Date],B282,Таблица2[K],"K")+SUMIFS(Таблица2[R],#REF!,B282,Таблица2[K],"K"))/E282*100,"-")=0,"-",IFERROR((COUNTIFS(Таблица2[Date],B282,Таблица2[K],"K")+SUMIFS(Таблица2[R],Таблица2[Date],B282,Таблица2[K],"K"))/E282*100,"-"))</f>
        <v>-</v>
      </c>
      <c r="L282" s="76" t="str">
        <f>IF(IFERROR((COUNTIFS(Таблица2[Date],B282,Таблица2[T],"t")+SUMIFS(Таблица2[R],Таблица2[Date],B282,Таблица2[T],"t"))/E282*100,"-")=0,"-",IFERROR((COUNTIFS(Таблица2[Date],B282,Таблица2[T],"t")+SUMIFS(Таблица2[R],Таблица2[Date],B282,Таблица2[T],"t"))/E282*100,"-"))</f>
        <v>-</v>
      </c>
      <c r="M282" s="76" t="str">
        <f>IF(SUMIFS(Таблица2[KO$],Таблица2[Date],B282)=0,"-",SUMIFS(Таблица2[KO$],Таблица2[Date],B282))</f>
        <v>-</v>
      </c>
      <c r="N282" s="76" t="str">
        <f>IF(SUMIFS(Таблица2[WIN$],Таблица2[Date],B282)=0,"-",SUMIFS(Таблица2[WIN$],Таблица2[Date],B282))</f>
        <v>-</v>
      </c>
      <c r="O282" s="78" t="str">
        <f t="shared" si="18"/>
        <v>-</v>
      </c>
    </row>
    <row r="283" spans="1:15" ht="11.1" customHeight="1" x14ac:dyDescent="0.25">
      <c r="A283" s="93">
        <f t="shared" si="19"/>
        <v>197</v>
      </c>
      <c r="B283" s="48"/>
      <c r="C283"/>
      <c r="D283" s="117">
        <f t="shared" si="15"/>
        <v>1900</v>
      </c>
      <c r="E283" s="117" t="str">
        <f>IF(COUNTIFS(Таблица2[Date],B283)+SUMIFS(Таблица2[R],Таблица2[Date],B283)=0,"",COUNTIFS(Таблица2[Date],B283)+SUMIFS(Таблица2[R],Таблица2[Date],B283))</f>
        <v/>
      </c>
      <c r="F283" s="76" t="str">
        <f>IF(SUMIFS(Таблица2[B$],Таблица2[Date],B283)=0,"-",SUMIFS(Таблица2[B$],Таблица2[Date],B283))</f>
        <v>-</v>
      </c>
      <c r="G283" s="77" t="str">
        <f t="shared" si="16"/>
        <v>-</v>
      </c>
      <c r="H283" s="77" t="str">
        <f>IFERROR(AVERAGEIFS(Таблица2[AFS],Таблица2[Date],B283)+(AVERAGEIFS(Таблица2[AFS],Таблица2[Date],B283)*0.2),"-")</f>
        <v>-</v>
      </c>
      <c r="I283" s="77" t="str">
        <f t="shared" si="17"/>
        <v>-</v>
      </c>
      <c r="J283" s="77" t="str">
        <f>IFERROR(COUNTIFS(Таблица2[Date],B283,Таблица2[WIN$],"&gt;0")/E283*100,"-")</f>
        <v>-</v>
      </c>
      <c r="K283" s="77" t="str">
        <f>IF(IFERROR((COUNTIFS(Таблица2[Date],B283,Таблица2[K],"K")+SUMIFS(Таблица2[R],#REF!,B283,Таблица2[K],"K"))/E283*100,"-")=0,"-",IFERROR((COUNTIFS(Таблица2[Date],B283,Таблица2[K],"K")+SUMIFS(Таблица2[R],Таблица2[Date],B283,Таблица2[K],"K"))/E283*100,"-"))</f>
        <v>-</v>
      </c>
      <c r="L283" s="76" t="str">
        <f>IF(IFERROR((COUNTIFS(Таблица2[Date],B283,Таблица2[T],"t")+SUMIFS(Таблица2[R],Таблица2[Date],B283,Таблица2[T],"t"))/E283*100,"-")=0,"-",IFERROR((COUNTIFS(Таблица2[Date],B283,Таблица2[T],"t")+SUMIFS(Таблица2[R],Таблица2[Date],B283,Таблица2[T],"t"))/E283*100,"-"))</f>
        <v>-</v>
      </c>
      <c r="M283" s="76" t="str">
        <f>IF(SUMIFS(Таблица2[KO$],Таблица2[Date],B283)=0,"-",SUMIFS(Таблица2[KO$],Таблица2[Date],B283))</f>
        <v>-</v>
      </c>
      <c r="N283" s="76" t="str">
        <f>IF(SUMIFS(Таблица2[WIN$],Таблица2[Date],B283)=0,"-",SUMIFS(Таблица2[WIN$],Таблица2[Date],B283))</f>
        <v>-</v>
      </c>
      <c r="O283" s="78" t="str">
        <f t="shared" si="18"/>
        <v>-</v>
      </c>
    </row>
    <row r="284" spans="1:15" ht="11.1" customHeight="1" x14ac:dyDescent="0.25">
      <c r="A284" s="93">
        <f t="shared" si="19"/>
        <v>198</v>
      </c>
      <c r="B284" s="48"/>
      <c r="C284"/>
      <c r="D284" s="117">
        <f t="shared" si="15"/>
        <v>1900</v>
      </c>
      <c r="E284" s="117" t="str">
        <f>IF(COUNTIFS(Таблица2[Date],B284)+SUMIFS(Таблица2[R],Таблица2[Date],B284)=0,"",COUNTIFS(Таблица2[Date],B284)+SUMIFS(Таблица2[R],Таблица2[Date],B284))</f>
        <v/>
      </c>
      <c r="F284" s="76" t="str">
        <f>IF(SUMIFS(Таблица2[B$],Таблица2[Date],B284)=0,"-",SUMIFS(Таблица2[B$],Таблица2[Date],B284))</f>
        <v>-</v>
      </c>
      <c r="G284" s="77" t="str">
        <f t="shared" si="16"/>
        <v>-</v>
      </c>
      <c r="H284" s="77" t="str">
        <f>IFERROR(AVERAGEIFS(Таблица2[AFS],Таблица2[Date],B284)+(AVERAGEIFS(Таблица2[AFS],Таблица2[Date],B284)*0.2),"-")</f>
        <v>-</v>
      </c>
      <c r="I284" s="77" t="str">
        <f t="shared" si="17"/>
        <v>-</v>
      </c>
      <c r="J284" s="77" t="str">
        <f>IFERROR(COUNTIFS(Таблица2[Date],B284,Таблица2[WIN$],"&gt;0")/E284*100,"-")</f>
        <v>-</v>
      </c>
      <c r="K284" s="77" t="str">
        <f>IF(IFERROR((COUNTIFS(Таблица2[Date],B284,Таблица2[K],"K")+SUMIFS(Таблица2[R],#REF!,B284,Таблица2[K],"K"))/E284*100,"-")=0,"-",IFERROR((COUNTIFS(Таблица2[Date],B284,Таблица2[K],"K")+SUMIFS(Таблица2[R],Таблица2[Date],B284,Таблица2[K],"K"))/E284*100,"-"))</f>
        <v>-</v>
      </c>
      <c r="L284" s="76" t="str">
        <f>IF(IFERROR((COUNTIFS(Таблица2[Date],B284,Таблица2[T],"t")+SUMIFS(Таблица2[R],Таблица2[Date],B284,Таблица2[T],"t"))/E284*100,"-")=0,"-",IFERROR((COUNTIFS(Таблица2[Date],B284,Таблица2[T],"t")+SUMIFS(Таблица2[R],Таблица2[Date],B284,Таблица2[T],"t"))/E284*100,"-"))</f>
        <v>-</v>
      </c>
      <c r="M284" s="76" t="str">
        <f>IF(SUMIFS(Таблица2[KO$],Таблица2[Date],B284)=0,"-",SUMIFS(Таблица2[KO$],Таблица2[Date],B284))</f>
        <v>-</v>
      </c>
      <c r="N284" s="76" t="str">
        <f>IF(SUMIFS(Таблица2[WIN$],Таблица2[Date],B284)=0,"-",SUMIFS(Таблица2[WIN$],Таблица2[Date],B284))</f>
        <v>-</v>
      </c>
      <c r="O284" s="78" t="str">
        <f t="shared" si="18"/>
        <v>-</v>
      </c>
    </row>
    <row r="285" spans="1:15" ht="11.1" customHeight="1" x14ac:dyDescent="0.25">
      <c r="A285" s="93">
        <f t="shared" si="19"/>
        <v>199</v>
      </c>
      <c r="B285" s="48"/>
      <c r="C285"/>
      <c r="D285" s="117">
        <f t="shared" si="15"/>
        <v>1900</v>
      </c>
      <c r="E285" s="117" t="str">
        <f>IF(COUNTIFS(Таблица2[Date],B285)+SUMIFS(Таблица2[R],Таблица2[Date],B285)=0,"",COUNTIFS(Таблица2[Date],B285)+SUMIFS(Таблица2[R],Таблица2[Date],B285))</f>
        <v/>
      </c>
      <c r="F285" s="76" t="str">
        <f>IF(SUMIFS(Таблица2[B$],Таблица2[Date],B285)=0,"-",SUMIFS(Таблица2[B$],Таблица2[Date],B285))</f>
        <v>-</v>
      </c>
      <c r="G285" s="77" t="str">
        <f t="shared" si="16"/>
        <v>-</v>
      </c>
      <c r="H285" s="77" t="str">
        <f>IFERROR(AVERAGEIFS(Таблица2[AFS],Таблица2[Date],B285)+(AVERAGEIFS(Таблица2[AFS],Таблица2[Date],B285)*0.2),"-")</f>
        <v>-</v>
      </c>
      <c r="I285" s="77" t="str">
        <f t="shared" si="17"/>
        <v>-</v>
      </c>
      <c r="J285" s="77" t="str">
        <f>IFERROR(COUNTIFS(Таблица2[Date],B285,Таблица2[WIN$],"&gt;0")/E285*100,"-")</f>
        <v>-</v>
      </c>
      <c r="K285" s="77" t="str">
        <f>IF(IFERROR((COUNTIFS(Таблица2[Date],B285,Таблица2[K],"K")+SUMIFS(Таблица2[R],#REF!,B285,Таблица2[K],"K"))/E285*100,"-")=0,"-",IFERROR((COUNTIFS(Таблица2[Date],B285,Таблица2[K],"K")+SUMIFS(Таблица2[R],Таблица2[Date],B285,Таблица2[K],"K"))/E285*100,"-"))</f>
        <v>-</v>
      </c>
      <c r="L285" s="76" t="str">
        <f>IF(IFERROR((COUNTIFS(Таблица2[Date],B285,Таблица2[T],"t")+SUMIFS(Таблица2[R],Таблица2[Date],B285,Таблица2[T],"t"))/E285*100,"-")=0,"-",IFERROR((COUNTIFS(Таблица2[Date],B285,Таблица2[T],"t")+SUMIFS(Таблица2[R],Таблица2[Date],B285,Таблица2[T],"t"))/E285*100,"-"))</f>
        <v>-</v>
      </c>
      <c r="M285" s="76" t="str">
        <f>IF(SUMIFS(Таблица2[KO$],Таблица2[Date],B285)=0,"-",SUMIFS(Таблица2[KO$],Таблица2[Date],B285))</f>
        <v>-</v>
      </c>
      <c r="N285" s="76" t="str">
        <f>IF(SUMIFS(Таблица2[WIN$],Таблица2[Date],B285)=0,"-",SUMIFS(Таблица2[WIN$],Таблица2[Date],B285))</f>
        <v>-</v>
      </c>
      <c r="O285" s="78" t="str">
        <f t="shared" si="18"/>
        <v>-</v>
      </c>
    </row>
    <row r="286" spans="1:15" ht="11.1" customHeight="1" x14ac:dyDescent="0.25">
      <c r="A286" s="93">
        <f t="shared" si="19"/>
        <v>200</v>
      </c>
      <c r="B286" s="48"/>
      <c r="C286"/>
      <c r="D286" s="117">
        <f t="shared" si="15"/>
        <v>1900</v>
      </c>
      <c r="E286" s="117" t="str">
        <f>IF(COUNTIFS(Таблица2[Date],B286)+SUMIFS(Таблица2[R],Таблица2[Date],B286)=0,"",COUNTIFS(Таблица2[Date],B286)+SUMIFS(Таблица2[R],Таблица2[Date],B286))</f>
        <v/>
      </c>
      <c r="F286" s="76" t="str">
        <f>IF(SUMIFS(Таблица2[B$],Таблица2[Date],B286)=0,"-",SUMIFS(Таблица2[B$],Таблица2[Date],B286))</f>
        <v>-</v>
      </c>
      <c r="G286" s="77" t="str">
        <f t="shared" si="16"/>
        <v>-</v>
      </c>
      <c r="H286" s="77" t="str">
        <f>IFERROR(AVERAGEIFS(Таблица2[AFS],Таблица2[Date],B286)+(AVERAGEIFS(Таблица2[AFS],Таблица2[Date],B286)*0.2),"-")</f>
        <v>-</v>
      </c>
      <c r="I286" s="77" t="str">
        <f t="shared" si="17"/>
        <v>-</v>
      </c>
      <c r="J286" s="77" t="str">
        <f>IFERROR(COUNTIFS(Таблица2[Date],B286,Таблица2[WIN$],"&gt;0")/E286*100,"-")</f>
        <v>-</v>
      </c>
      <c r="K286" s="77" t="str">
        <f>IF(IFERROR((COUNTIFS(Таблица2[Date],B286,Таблица2[K],"K")+SUMIFS(Таблица2[R],#REF!,B286,Таблица2[K],"K"))/E286*100,"-")=0,"-",IFERROR((COUNTIFS(Таблица2[Date],B286,Таблица2[K],"K")+SUMIFS(Таблица2[R],Таблица2[Date],B286,Таблица2[K],"K"))/E286*100,"-"))</f>
        <v>-</v>
      </c>
      <c r="L286" s="76" t="str">
        <f>IF(IFERROR((COUNTIFS(Таблица2[Date],B286,Таблица2[T],"t")+SUMIFS(Таблица2[R],Таблица2[Date],B286,Таблица2[T],"t"))/E286*100,"-")=0,"-",IFERROR((COUNTIFS(Таблица2[Date],B286,Таблица2[T],"t")+SUMIFS(Таблица2[R],Таблица2[Date],B286,Таблица2[T],"t"))/E286*100,"-"))</f>
        <v>-</v>
      </c>
      <c r="M286" s="76" t="str">
        <f>IF(SUMIFS(Таблица2[KO$],Таблица2[Date],B286)=0,"-",SUMIFS(Таблица2[KO$],Таблица2[Date],B286))</f>
        <v>-</v>
      </c>
      <c r="N286" s="76" t="str">
        <f>IF(SUMIFS(Таблица2[WIN$],Таблица2[Date],B286)=0,"-",SUMIFS(Таблица2[WIN$],Таблица2[Date],B286))</f>
        <v>-</v>
      </c>
      <c r="O286" s="78" t="str">
        <f t="shared" si="18"/>
        <v>-</v>
      </c>
    </row>
    <row r="287" spans="1:15" ht="11.1" customHeight="1" x14ac:dyDescent="0.25">
      <c r="A287" s="93">
        <f t="shared" si="19"/>
        <v>201</v>
      </c>
      <c r="B287" s="48"/>
      <c r="C287"/>
      <c r="D287" s="117">
        <f t="shared" si="15"/>
        <v>1900</v>
      </c>
      <c r="E287" s="117" t="str">
        <f>IF(COUNTIFS(Таблица2[Date],B287)+SUMIFS(Таблица2[R],Таблица2[Date],B287)=0,"",COUNTIFS(Таблица2[Date],B287)+SUMIFS(Таблица2[R],Таблица2[Date],B287))</f>
        <v/>
      </c>
      <c r="F287" s="76" t="str">
        <f>IF(SUMIFS(Таблица2[B$],Таблица2[Date],B287)=0,"-",SUMIFS(Таблица2[B$],Таблица2[Date],B287))</f>
        <v>-</v>
      </c>
      <c r="G287" s="77" t="str">
        <f t="shared" si="16"/>
        <v>-</v>
      </c>
      <c r="H287" s="77" t="str">
        <f>IFERROR(AVERAGEIFS(Таблица2[AFS],Таблица2[Date],B287)+(AVERAGEIFS(Таблица2[AFS],Таблица2[Date],B287)*0.2),"-")</f>
        <v>-</v>
      </c>
      <c r="I287" s="77" t="str">
        <f t="shared" si="17"/>
        <v>-</v>
      </c>
      <c r="J287" s="77" t="str">
        <f>IFERROR(COUNTIFS(Таблица2[Date],B287,Таблица2[WIN$],"&gt;0")/E287*100,"-")</f>
        <v>-</v>
      </c>
      <c r="K287" s="77" t="str">
        <f>IF(IFERROR((COUNTIFS(Таблица2[Date],B287,Таблица2[K],"K")+SUMIFS(Таблица2[R],#REF!,B287,Таблица2[K],"K"))/E287*100,"-")=0,"-",IFERROR((COUNTIFS(Таблица2[Date],B287,Таблица2[K],"K")+SUMIFS(Таблица2[R],Таблица2[Date],B287,Таблица2[K],"K"))/E287*100,"-"))</f>
        <v>-</v>
      </c>
      <c r="L287" s="76" t="str">
        <f>IF(IFERROR((COUNTIFS(Таблица2[Date],B287,Таблица2[T],"t")+SUMIFS(Таблица2[R],Таблица2[Date],B287,Таблица2[T],"t"))/E287*100,"-")=0,"-",IFERROR((COUNTIFS(Таблица2[Date],B287,Таблица2[T],"t")+SUMIFS(Таблица2[R],Таблица2[Date],B287,Таблица2[T],"t"))/E287*100,"-"))</f>
        <v>-</v>
      </c>
      <c r="M287" s="76" t="str">
        <f>IF(SUMIFS(Таблица2[KO$],Таблица2[Date],B287)=0,"-",SUMIFS(Таблица2[KO$],Таблица2[Date],B287))</f>
        <v>-</v>
      </c>
      <c r="N287" s="76" t="str">
        <f>IF(SUMIFS(Таблица2[WIN$],Таблица2[Date],B287)=0,"-",SUMIFS(Таблица2[WIN$],Таблица2[Date],B287))</f>
        <v>-</v>
      </c>
      <c r="O287" s="78" t="str">
        <f t="shared" si="18"/>
        <v>-</v>
      </c>
    </row>
    <row r="288" spans="1:15" ht="11.1" customHeight="1" x14ac:dyDescent="0.25">
      <c r="A288" s="93">
        <f t="shared" si="19"/>
        <v>202</v>
      </c>
      <c r="B288" s="48"/>
      <c r="C288"/>
      <c r="D288" s="117">
        <f t="shared" si="15"/>
        <v>1900</v>
      </c>
      <c r="E288" s="117" t="str">
        <f>IF(COUNTIFS(Таблица2[Date],B288)+SUMIFS(Таблица2[R],Таблица2[Date],B288)=0,"",COUNTIFS(Таблица2[Date],B288)+SUMIFS(Таблица2[R],Таблица2[Date],B288))</f>
        <v/>
      </c>
      <c r="F288" s="76" t="str">
        <f>IF(SUMIFS(Таблица2[B$],Таблица2[Date],B288)=0,"-",SUMIFS(Таблица2[B$],Таблица2[Date],B288))</f>
        <v>-</v>
      </c>
      <c r="G288" s="77" t="str">
        <f t="shared" si="16"/>
        <v>-</v>
      </c>
      <c r="H288" s="77" t="str">
        <f>IFERROR(AVERAGEIFS(Таблица2[AFS],Таблица2[Date],B288)+(AVERAGEIFS(Таблица2[AFS],Таблица2[Date],B288)*0.2),"-")</f>
        <v>-</v>
      </c>
      <c r="I288" s="77" t="str">
        <f t="shared" si="17"/>
        <v>-</v>
      </c>
      <c r="J288" s="77" t="str">
        <f>IFERROR(COUNTIFS(Таблица2[Date],B288,Таблица2[WIN$],"&gt;0")/E288*100,"-")</f>
        <v>-</v>
      </c>
      <c r="K288" s="77" t="str">
        <f>IF(IFERROR((COUNTIFS(Таблица2[Date],B288,Таблица2[K],"K")+SUMIFS(Таблица2[R],#REF!,B288,Таблица2[K],"K"))/E288*100,"-")=0,"-",IFERROR((COUNTIFS(Таблица2[Date],B288,Таблица2[K],"K")+SUMIFS(Таблица2[R],Таблица2[Date],B288,Таблица2[K],"K"))/E288*100,"-"))</f>
        <v>-</v>
      </c>
      <c r="L288" s="76" t="str">
        <f>IF(IFERROR((COUNTIFS(Таблица2[Date],B288,Таблица2[T],"t")+SUMIFS(Таблица2[R],Таблица2[Date],B288,Таблица2[T],"t"))/E288*100,"-")=0,"-",IFERROR((COUNTIFS(Таблица2[Date],B288,Таблица2[T],"t")+SUMIFS(Таблица2[R],Таблица2[Date],B288,Таблица2[T],"t"))/E288*100,"-"))</f>
        <v>-</v>
      </c>
      <c r="M288" s="76" t="str">
        <f>IF(SUMIFS(Таблица2[KO$],Таблица2[Date],B288)=0,"-",SUMIFS(Таблица2[KO$],Таблица2[Date],B288))</f>
        <v>-</v>
      </c>
      <c r="N288" s="76" t="str">
        <f>IF(SUMIFS(Таблица2[WIN$],Таблица2[Date],B288)=0,"-",SUMIFS(Таблица2[WIN$],Таблица2[Date],B288))</f>
        <v>-</v>
      </c>
      <c r="O288" s="78" t="str">
        <f t="shared" si="18"/>
        <v>-</v>
      </c>
    </row>
    <row r="289" spans="1:15" ht="11.1" customHeight="1" x14ac:dyDescent="0.25">
      <c r="A289" s="93">
        <f t="shared" si="19"/>
        <v>203</v>
      </c>
      <c r="B289" s="48"/>
      <c r="C289"/>
      <c r="D289" s="117">
        <f t="shared" si="15"/>
        <v>1900</v>
      </c>
      <c r="E289" s="117" t="str">
        <f>IF(COUNTIFS(Таблица2[Date],B289)+SUMIFS(Таблица2[R],Таблица2[Date],B289)=0,"",COUNTIFS(Таблица2[Date],B289)+SUMIFS(Таблица2[R],Таблица2[Date],B289))</f>
        <v/>
      </c>
      <c r="F289" s="76" t="str">
        <f>IF(SUMIFS(Таблица2[B$],Таблица2[Date],B289)=0,"-",SUMIFS(Таблица2[B$],Таблица2[Date],B289))</f>
        <v>-</v>
      </c>
      <c r="G289" s="77" t="str">
        <f t="shared" si="16"/>
        <v>-</v>
      </c>
      <c r="H289" s="77" t="str">
        <f>IFERROR(AVERAGEIFS(Таблица2[AFS],Таблица2[Date],B289)+(AVERAGEIFS(Таблица2[AFS],Таблица2[Date],B289)*0.2),"-")</f>
        <v>-</v>
      </c>
      <c r="I289" s="77" t="str">
        <f t="shared" si="17"/>
        <v>-</v>
      </c>
      <c r="J289" s="77" t="str">
        <f>IFERROR(COUNTIFS(Таблица2[Date],B289,Таблица2[WIN$],"&gt;0")/E289*100,"-")</f>
        <v>-</v>
      </c>
      <c r="K289" s="77" t="str">
        <f>IF(IFERROR((COUNTIFS(Таблица2[Date],B289,Таблица2[K],"K")+SUMIFS(Таблица2[R],#REF!,B289,Таблица2[K],"K"))/E289*100,"-")=0,"-",IFERROR((COUNTIFS(Таблица2[Date],B289,Таблица2[K],"K")+SUMIFS(Таблица2[R],Таблица2[Date],B289,Таблица2[K],"K"))/E289*100,"-"))</f>
        <v>-</v>
      </c>
      <c r="L289" s="76" t="str">
        <f>IF(IFERROR((COUNTIFS(Таблица2[Date],B289,Таблица2[T],"t")+SUMIFS(Таблица2[R],Таблица2[Date],B289,Таблица2[T],"t"))/E289*100,"-")=0,"-",IFERROR((COUNTIFS(Таблица2[Date],B289,Таблица2[T],"t")+SUMIFS(Таблица2[R],Таблица2[Date],B289,Таблица2[T],"t"))/E289*100,"-"))</f>
        <v>-</v>
      </c>
      <c r="M289" s="76" t="str">
        <f>IF(SUMIFS(Таблица2[KO$],Таблица2[Date],B289)=0,"-",SUMIFS(Таблица2[KO$],Таблица2[Date],B289))</f>
        <v>-</v>
      </c>
      <c r="N289" s="76" t="str">
        <f>IF(SUMIFS(Таблица2[WIN$],Таблица2[Date],B289)=0,"-",SUMIFS(Таблица2[WIN$],Таблица2[Date],B289))</f>
        <v>-</v>
      </c>
      <c r="O289" s="78" t="str">
        <f t="shared" si="18"/>
        <v>-</v>
      </c>
    </row>
    <row r="290" spans="1:15" ht="11.1" customHeight="1" x14ac:dyDescent="0.25">
      <c r="A290" s="93">
        <f t="shared" si="19"/>
        <v>204</v>
      </c>
      <c r="B290" s="48"/>
      <c r="C290"/>
      <c r="D290" s="117">
        <f t="shared" si="15"/>
        <v>1900</v>
      </c>
      <c r="E290" s="117" t="str">
        <f>IF(COUNTIFS(Таблица2[Date],B290)+SUMIFS(Таблица2[R],Таблица2[Date],B290)=0,"",COUNTIFS(Таблица2[Date],B290)+SUMIFS(Таблица2[R],Таблица2[Date],B290))</f>
        <v/>
      </c>
      <c r="F290" s="76" t="str">
        <f>IF(SUMIFS(Таблица2[B$],Таблица2[Date],B290)=0,"-",SUMIFS(Таблица2[B$],Таблица2[Date],B290))</f>
        <v>-</v>
      </c>
      <c r="G290" s="77" t="str">
        <f t="shared" si="16"/>
        <v>-</v>
      </c>
      <c r="H290" s="77" t="str">
        <f>IFERROR(AVERAGEIFS(Таблица2[AFS],Таблица2[Date],B290)+(AVERAGEIFS(Таблица2[AFS],Таблица2[Date],B290)*0.2),"-")</f>
        <v>-</v>
      </c>
      <c r="I290" s="77" t="str">
        <f t="shared" si="17"/>
        <v>-</v>
      </c>
      <c r="J290" s="77" t="str">
        <f>IFERROR(COUNTIFS(Таблица2[Date],B290,Таблица2[WIN$],"&gt;0")/E290*100,"-")</f>
        <v>-</v>
      </c>
      <c r="K290" s="77" t="str">
        <f>IF(IFERROR((COUNTIFS(Таблица2[Date],B290,Таблица2[K],"K")+SUMIFS(Таблица2[R],#REF!,B290,Таблица2[K],"K"))/E290*100,"-")=0,"-",IFERROR((COUNTIFS(Таблица2[Date],B290,Таблица2[K],"K")+SUMIFS(Таблица2[R],Таблица2[Date],B290,Таблица2[K],"K"))/E290*100,"-"))</f>
        <v>-</v>
      </c>
      <c r="L290" s="76" t="str">
        <f>IF(IFERROR((COUNTIFS(Таблица2[Date],B290,Таблица2[T],"t")+SUMIFS(Таблица2[R],Таблица2[Date],B290,Таблица2[T],"t"))/E290*100,"-")=0,"-",IFERROR((COUNTIFS(Таблица2[Date],B290,Таблица2[T],"t")+SUMIFS(Таблица2[R],Таблица2[Date],B290,Таблица2[T],"t"))/E290*100,"-"))</f>
        <v>-</v>
      </c>
      <c r="M290" s="76" t="str">
        <f>IF(SUMIFS(Таблица2[KO$],Таблица2[Date],B290)=0,"-",SUMIFS(Таблица2[KO$],Таблица2[Date],B290))</f>
        <v>-</v>
      </c>
      <c r="N290" s="76" t="str">
        <f>IF(SUMIFS(Таблица2[WIN$],Таблица2[Date],B290)=0,"-",SUMIFS(Таблица2[WIN$],Таблица2[Date],B290))</f>
        <v>-</v>
      </c>
      <c r="O290" s="78" t="str">
        <f t="shared" si="18"/>
        <v>-</v>
      </c>
    </row>
    <row r="291" spans="1:15" ht="11.1" customHeight="1" x14ac:dyDescent="0.25">
      <c r="A291" s="93">
        <f t="shared" si="19"/>
        <v>205</v>
      </c>
      <c r="B291" s="48"/>
      <c r="C291"/>
      <c r="D291" s="117">
        <f t="shared" si="15"/>
        <v>1900</v>
      </c>
      <c r="E291" s="117" t="str">
        <f>IF(COUNTIFS(Таблица2[Date],B291)+SUMIFS(Таблица2[R],Таблица2[Date],B291)=0,"",COUNTIFS(Таблица2[Date],B291)+SUMIFS(Таблица2[R],Таблица2[Date],B291))</f>
        <v/>
      </c>
      <c r="F291" s="76" t="str">
        <f>IF(SUMIFS(Таблица2[B$],Таблица2[Date],B291)=0,"-",SUMIFS(Таблица2[B$],Таблица2[Date],B291))</f>
        <v>-</v>
      </c>
      <c r="G291" s="77" t="str">
        <f t="shared" si="16"/>
        <v>-</v>
      </c>
      <c r="H291" s="77" t="str">
        <f>IFERROR(AVERAGEIFS(Таблица2[AFS],Таблица2[Date],B291)+(AVERAGEIFS(Таблица2[AFS],Таблица2[Date],B291)*0.2),"-")</f>
        <v>-</v>
      </c>
      <c r="I291" s="77" t="str">
        <f t="shared" si="17"/>
        <v>-</v>
      </c>
      <c r="J291" s="77" t="str">
        <f>IFERROR(COUNTIFS(Таблица2[Date],B291,Таблица2[WIN$],"&gt;0")/E291*100,"-")</f>
        <v>-</v>
      </c>
      <c r="K291" s="77" t="str">
        <f>IF(IFERROR((COUNTIFS(Таблица2[Date],B291,Таблица2[K],"K")+SUMIFS(Таблица2[R],#REF!,B291,Таблица2[K],"K"))/E291*100,"-")=0,"-",IFERROR((COUNTIFS(Таблица2[Date],B291,Таблица2[K],"K")+SUMIFS(Таблица2[R],Таблица2[Date],B291,Таблица2[K],"K"))/E291*100,"-"))</f>
        <v>-</v>
      </c>
      <c r="L291" s="76" t="str">
        <f>IF(IFERROR((COUNTIFS(Таблица2[Date],B291,Таблица2[T],"t")+SUMIFS(Таблица2[R],Таблица2[Date],B291,Таблица2[T],"t"))/E291*100,"-")=0,"-",IFERROR((COUNTIFS(Таблица2[Date],B291,Таблица2[T],"t")+SUMIFS(Таблица2[R],Таблица2[Date],B291,Таблица2[T],"t"))/E291*100,"-"))</f>
        <v>-</v>
      </c>
      <c r="M291" s="76" t="str">
        <f>IF(SUMIFS(Таблица2[KO$],Таблица2[Date],B291)=0,"-",SUMIFS(Таблица2[KO$],Таблица2[Date],B291))</f>
        <v>-</v>
      </c>
      <c r="N291" s="76" t="str">
        <f>IF(SUMIFS(Таблица2[WIN$],Таблица2[Date],B291)=0,"-",SUMIFS(Таблица2[WIN$],Таблица2[Date],B291))</f>
        <v>-</v>
      </c>
      <c r="O291" s="78" t="str">
        <f t="shared" si="18"/>
        <v>-</v>
      </c>
    </row>
    <row r="292" spans="1:15" ht="11.1" customHeight="1" x14ac:dyDescent="0.25">
      <c r="A292" s="93">
        <f t="shared" si="19"/>
        <v>206</v>
      </c>
      <c r="B292" s="48"/>
      <c r="C292"/>
      <c r="D292" s="117">
        <f t="shared" si="15"/>
        <v>1900</v>
      </c>
      <c r="E292" s="117" t="str">
        <f>IF(COUNTIFS(Таблица2[Date],B292)+SUMIFS(Таблица2[R],Таблица2[Date],B292)=0,"",COUNTIFS(Таблица2[Date],B292)+SUMIFS(Таблица2[R],Таблица2[Date],B292))</f>
        <v/>
      </c>
      <c r="F292" s="76" t="str">
        <f>IF(SUMIFS(Таблица2[B$],Таблица2[Date],B292)=0,"-",SUMIFS(Таблица2[B$],Таблица2[Date],B292))</f>
        <v>-</v>
      </c>
      <c r="G292" s="77" t="str">
        <f t="shared" si="16"/>
        <v>-</v>
      </c>
      <c r="H292" s="77" t="str">
        <f>IFERROR(AVERAGEIFS(Таблица2[AFS],Таблица2[Date],B292)+(AVERAGEIFS(Таблица2[AFS],Таблица2[Date],B292)*0.2),"-")</f>
        <v>-</v>
      </c>
      <c r="I292" s="77" t="str">
        <f t="shared" si="17"/>
        <v>-</v>
      </c>
      <c r="J292" s="77" t="str">
        <f>IFERROR(COUNTIFS(Таблица2[Date],B292,Таблица2[WIN$],"&gt;0")/E292*100,"-")</f>
        <v>-</v>
      </c>
      <c r="K292" s="77" t="str">
        <f>IF(IFERROR((COUNTIFS(Таблица2[Date],B292,Таблица2[K],"K")+SUMIFS(Таблица2[R],#REF!,B292,Таблица2[K],"K"))/E292*100,"-")=0,"-",IFERROR((COUNTIFS(Таблица2[Date],B292,Таблица2[K],"K")+SUMIFS(Таблица2[R],Таблица2[Date],B292,Таблица2[K],"K"))/E292*100,"-"))</f>
        <v>-</v>
      </c>
      <c r="L292" s="76" t="str">
        <f>IF(IFERROR((COUNTIFS(Таблица2[Date],B292,Таблица2[T],"t")+SUMIFS(Таблица2[R],Таблица2[Date],B292,Таблица2[T],"t"))/E292*100,"-")=0,"-",IFERROR((COUNTIFS(Таблица2[Date],B292,Таблица2[T],"t")+SUMIFS(Таблица2[R],Таблица2[Date],B292,Таблица2[T],"t"))/E292*100,"-"))</f>
        <v>-</v>
      </c>
      <c r="M292" s="76" t="str">
        <f>IF(SUMIFS(Таблица2[KO$],Таблица2[Date],B292)=0,"-",SUMIFS(Таблица2[KO$],Таблица2[Date],B292))</f>
        <v>-</v>
      </c>
      <c r="N292" s="76" t="str">
        <f>IF(SUMIFS(Таблица2[WIN$],Таблица2[Date],B292)=0,"-",SUMIFS(Таблица2[WIN$],Таблица2[Date],B292))</f>
        <v>-</v>
      </c>
      <c r="O292" s="78" t="str">
        <f t="shared" si="18"/>
        <v>-</v>
      </c>
    </row>
    <row r="293" spans="1:15" ht="11.1" customHeight="1" x14ac:dyDescent="0.25">
      <c r="A293" s="93">
        <f t="shared" si="19"/>
        <v>207</v>
      </c>
      <c r="B293" s="48"/>
      <c r="C293"/>
      <c r="D293" s="117">
        <f t="shared" si="15"/>
        <v>1900</v>
      </c>
      <c r="E293" s="117" t="str">
        <f>IF(COUNTIFS(Таблица2[Date],B293)+SUMIFS(Таблица2[R],Таблица2[Date],B293)=0,"",COUNTIFS(Таблица2[Date],B293)+SUMIFS(Таблица2[R],Таблица2[Date],B293))</f>
        <v/>
      </c>
      <c r="F293" s="76" t="str">
        <f>IF(SUMIFS(Таблица2[B$],Таблица2[Date],B293)=0,"-",SUMIFS(Таблица2[B$],Таблица2[Date],B293))</f>
        <v>-</v>
      </c>
      <c r="G293" s="77" t="str">
        <f t="shared" si="16"/>
        <v>-</v>
      </c>
      <c r="H293" s="77" t="str">
        <f>IFERROR(AVERAGEIFS(Таблица2[AFS],Таблица2[Date],B293)+(AVERAGEIFS(Таблица2[AFS],Таблица2[Date],B293)*0.2),"-")</f>
        <v>-</v>
      </c>
      <c r="I293" s="77" t="str">
        <f t="shared" si="17"/>
        <v>-</v>
      </c>
      <c r="J293" s="77" t="str">
        <f>IFERROR(COUNTIFS(Таблица2[Date],B293,Таблица2[WIN$],"&gt;0")/E293*100,"-")</f>
        <v>-</v>
      </c>
      <c r="K293" s="77" t="str">
        <f>IF(IFERROR((COUNTIFS(Таблица2[Date],B293,Таблица2[K],"K")+SUMIFS(Таблица2[R],#REF!,B293,Таблица2[K],"K"))/E293*100,"-")=0,"-",IFERROR((COUNTIFS(Таблица2[Date],B293,Таблица2[K],"K")+SUMIFS(Таблица2[R],Таблица2[Date],B293,Таблица2[K],"K"))/E293*100,"-"))</f>
        <v>-</v>
      </c>
      <c r="L293" s="76" t="str">
        <f>IF(IFERROR((COUNTIFS(Таблица2[Date],B293,Таблица2[T],"t")+SUMIFS(Таблица2[R],Таблица2[Date],B293,Таблица2[T],"t"))/E293*100,"-")=0,"-",IFERROR((COUNTIFS(Таблица2[Date],B293,Таблица2[T],"t")+SUMIFS(Таблица2[R],Таблица2[Date],B293,Таблица2[T],"t"))/E293*100,"-"))</f>
        <v>-</v>
      </c>
      <c r="M293" s="76" t="str">
        <f>IF(SUMIFS(Таблица2[KO$],Таблица2[Date],B293)=0,"-",SUMIFS(Таблица2[KO$],Таблица2[Date],B293))</f>
        <v>-</v>
      </c>
      <c r="N293" s="76" t="str">
        <f>IF(SUMIFS(Таблица2[WIN$],Таблица2[Date],B293)=0,"-",SUMIFS(Таблица2[WIN$],Таблица2[Date],B293))</f>
        <v>-</v>
      </c>
      <c r="O293" s="78" t="str">
        <f t="shared" si="18"/>
        <v>-</v>
      </c>
    </row>
    <row r="294" spans="1:15" ht="11.1" customHeight="1" x14ac:dyDescent="0.25">
      <c r="A294" s="93">
        <f t="shared" si="19"/>
        <v>208</v>
      </c>
      <c r="B294" s="48"/>
      <c r="C294"/>
      <c r="D294" s="117">
        <f t="shared" si="15"/>
        <v>1900</v>
      </c>
      <c r="E294" s="117" t="str">
        <f>IF(COUNTIFS(Таблица2[Date],B294)+SUMIFS(Таблица2[R],Таблица2[Date],B294)=0,"",COUNTIFS(Таблица2[Date],B294)+SUMIFS(Таблица2[R],Таблица2[Date],B294))</f>
        <v/>
      </c>
      <c r="F294" s="76" t="str">
        <f>IF(SUMIFS(Таблица2[B$],Таблица2[Date],B294)=0,"-",SUMIFS(Таблица2[B$],Таблица2[Date],B294))</f>
        <v>-</v>
      </c>
      <c r="G294" s="77" t="str">
        <f t="shared" si="16"/>
        <v>-</v>
      </c>
      <c r="H294" s="77" t="str">
        <f>IFERROR(AVERAGEIFS(Таблица2[AFS],Таблица2[Date],B294)+(AVERAGEIFS(Таблица2[AFS],Таблица2[Date],B294)*0.2),"-")</f>
        <v>-</v>
      </c>
      <c r="I294" s="77" t="str">
        <f t="shared" si="17"/>
        <v>-</v>
      </c>
      <c r="J294" s="77" t="str">
        <f>IFERROR(COUNTIFS(Таблица2[Date],B294,Таблица2[WIN$],"&gt;0")/E294*100,"-")</f>
        <v>-</v>
      </c>
      <c r="K294" s="77" t="str">
        <f>IF(IFERROR((COUNTIFS(Таблица2[Date],B294,Таблица2[K],"K")+SUMIFS(Таблица2[R],#REF!,B294,Таблица2[K],"K"))/E294*100,"-")=0,"-",IFERROR((COUNTIFS(Таблица2[Date],B294,Таблица2[K],"K")+SUMIFS(Таблица2[R],Таблица2[Date],B294,Таблица2[K],"K"))/E294*100,"-"))</f>
        <v>-</v>
      </c>
      <c r="L294" s="76" t="str">
        <f>IF(IFERROR((COUNTIFS(Таблица2[Date],B294,Таблица2[T],"t")+SUMIFS(Таблица2[R],Таблица2[Date],B294,Таблица2[T],"t"))/E294*100,"-")=0,"-",IFERROR((COUNTIFS(Таблица2[Date],B294,Таблица2[T],"t")+SUMIFS(Таблица2[R],Таблица2[Date],B294,Таблица2[T],"t"))/E294*100,"-"))</f>
        <v>-</v>
      </c>
      <c r="M294" s="76" t="str">
        <f>IF(SUMIFS(Таблица2[KO$],Таблица2[Date],B294)=0,"-",SUMIFS(Таблица2[KO$],Таблица2[Date],B294))</f>
        <v>-</v>
      </c>
      <c r="N294" s="76" t="str">
        <f>IF(SUMIFS(Таблица2[WIN$],Таблица2[Date],B294)=0,"-",SUMIFS(Таблица2[WIN$],Таблица2[Date],B294))</f>
        <v>-</v>
      </c>
      <c r="O294" s="78" t="str">
        <f t="shared" si="18"/>
        <v>-</v>
      </c>
    </row>
    <row r="295" spans="1:15" ht="11.1" customHeight="1" x14ac:dyDescent="0.25">
      <c r="A295" s="93">
        <f t="shared" si="19"/>
        <v>209</v>
      </c>
      <c r="B295" s="48"/>
      <c r="C295"/>
      <c r="D295" s="117">
        <f t="shared" si="15"/>
        <v>1900</v>
      </c>
      <c r="E295" s="117" t="str">
        <f>IF(COUNTIFS(Таблица2[Date],B295)+SUMIFS(Таблица2[R],Таблица2[Date],B295)=0,"",COUNTIFS(Таблица2[Date],B295)+SUMIFS(Таблица2[R],Таблица2[Date],B295))</f>
        <v/>
      </c>
      <c r="F295" s="76" t="str">
        <f>IF(SUMIFS(Таблица2[B$],Таблица2[Date],B295)=0,"-",SUMIFS(Таблица2[B$],Таблица2[Date],B295))</f>
        <v>-</v>
      </c>
      <c r="G295" s="77" t="str">
        <f t="shared" si="16"/>
        <v>-</v>
      </c>
      <c r="H295" s="77" t="str">
        <f>IFERROR(AVERAGEIFS(Таблица2[AFS],Таблица2[Date],B295)+(AVERAGEIFS(Таблица2[AFS],Таблица2[Date],B295)*0.2),"-")</f>
        <v>-</v>
      </c>
      <c r="I295" s="77" t="str">
        <f t="shared" si="17"/>
        <v>-</v>
      </c>
      <c r="J295" s="77" t="str">
        <f>IFERROR(COUNTIFS(Таблица2[Date],B295,Таблица2[WIN$],"&gt;0")/E295*100,"-")</f>
        <v>-</v>
      </c>
      <c r="K295" s="77" t="str">
        <f>IF(IFERROR((COUNTIFS(Таблица2[Date],B295,Таблица2[K],"K")+SUMIFS(Таблица2[R],#REF!,B295,Таблица2[K],"K"))/E295*100,"-")=0,"-",IFERROR((COUNTIFS(Таблица2[Date],B295,Таблица2[K],"K")+SUMIFS(Таблица2[R],Таблица2[Date],B295,Таблица2[K],"K"))/E295*100,"-"))</f>
        <v>-</v>
      </c>
      <c r="L295" s="76" t="str">
        <f>IF(IFERROR((COUNTIFS(Таблица2[Date],B295,Таблица2[T],"t")+SUMIFS(Таблица2[R],Таблица2[Date],B295,Таблица2[T],"t"))/E295*100,"-")=0,"-",IFERROR((COUNTIFS(Таблица2[Date],B295,Таблица2[T],"t")+SUMIFS(Таблица2[R],Таблица2[Date],B295,Таблица2[T],"t"))/E295*100,"-"))</f>
        <v>-</v>
      </c>
      <c r="M295" s="76" t="str">
        <f>IF(SUMIFS(Таблица2[KO$],Таблица2[Date],B295)=0,"-",SUMIFS(Таблица2[KO$],Таблица2[Date],B295))</f>
        <v>-</v>
      </c>
      <c r="N295" s="76" t="str">
        <f>IF(SUMIFS(Таблица2[WIN$],Таблица2[Date],B295)=0,"-",SUMIFS(Таблица2[WIN$],Таблица2[Date],B295))</f>
        <v>-</v>
      </c>
      <c r="O295" s="78" t="str">
        <f t="shared" si="18"/>
        <v>-</v>
      </c>
    </row>
    <row r="296" spans="1:15" ht="11.1" customHeight="1" x14ac:dyDescent="0.25">
      <c r="A296" s="93">
        <f t="shared" si="19"/>
        <v>210</v>
      </c>
      <c r="B296" s="48"/>
      <c r="C296"/>
      <c r="D296" s="117">
        <f t="shared" si="15"/>
        <v>1900</v>
      </c>
      <c r="E296" s="117" t="str">
        <f>IF(COUNTIFS(Таблица2[Date],B296)+SUMIFS(Таблица2[R],Таблица2[Date],B296)=0,"",COUNTIFS(Таблица2[Date],B296)+SUMIFS(Таблица2[R],Таблица2[Date],B296))</f>
        <v/>
      </c>
      <c r="F296" s="76" t="str">
        <f>IF(SUMIFS(Таблица2[B$],Таблица2[Date],B296)=0,"-",SUMIFS(Таблица2[B$],Таблица2[Date],B296))</f>
        <v>-</v>
      </c>
      <c r="G296" s="77" t="str">
        <f t="shared" si="16"/>
        <v>-</v>
      </c>
      <c r="H296" s="77" t="str">
        <f>IFERROR(AVERAGEIFS(Таблица2[AFS],Таблица2[Date],B296)+(AVERAGEIFS(Таблица2[AFS],Таблица2[Date],B296)*0.2),"-")</f>
        <v>-</v>
      </c>
      <c r="I296" s="77" t="str">
        <f t="shared" si="17"/>
        <v>-</v>
      </c>
      <c r="J296" s="77" t="str">
        <f>IFERROR(COUNTIFS(Таблица2[Date],B296,Таблица2[WIN$],"&gt;0")/E296*100,"-")</f>
        <v>-</v>
      </c>
      <c r="K296" s="77" t="str">
        <f>IF(IFERROR((COUNTIFS(Таблица2[Date],B296,Таблица2[K],"K")+SUMIFS(Таблица2[R],#REF!,B296,Таблица2[K],"K"))/E296*100,"-")=0,"-",IFERROR((COUNTIFS(Таблица2[Date],B296,Таблица2[K],"K")+SUMIFS(Таблица2[R],Таблица2[Date],B296,Таблица2[K],"K"))/E296*100,"-"))</f>
        <v>-</v>
      </c>
      <c r="L296" s="76" t="str">
        <f>IF(IFERROR((COUNTIFS(Таблица2[Date],B296,Таблица2[T],"t")+SUMIFS(Таблица2[R],Таблица2[Date],B296,Таблица2[T],"t"))/E296*100,"-")=0,"-",IFERROR((COUNTIFS(Таблица2[Date],B296,Таблица2[T],"t")+SUMIFS(Таблица2[R],Таблица2[Date],B296,Таблица2[T],"t"))/E296*100,"-"))</f>
        <v>-</v>
      </c>
      <c r="M296" s="76" t="str">
        <f>IF(SUMIFS(Таблица2[KO$],Таблица2[Date],B296)=0,"-",SUMIFS(Таблица2[KO$],Таблица2[Date],B296))</f>
        <v>-</v>
      </c>
      <c r="N296" s="76" t="str">
        <f>IF(SUMIFS(Таблица2[WIN$],Таблица2[Date],B296)=0,"-",SUMIFS(Таблица2[WIN$],Таблица2[Date],B296))</f>
        <v>-</v>
      </c>
      <c r="O296" s="78" t="str">
        <f t="shared" si="18"/>
        <v>-</v>
      </c>
    </row>
    <row r="297" spans="1:15" ht="11.1" customHeight="1" x14ac:dyDescent="0.25">
      <c r="A297" s="93">
        <f t="shared" si="19"/>
        <v>211</v>
      </c>
      <c r="B297" s="48"/>
      <c r="C297"/>
      <c r="D297" s="117">
        <f t="shared" si="15"/>
        <v>1900</v>
      </c>
      <c r="E297" s="117" t="str">
        <f>IF(COUNTIFS(Таблица2[Date],B297)+SUMIFS(Таблица2[R],Таблица2[Date],B297)=0,"",COUNTIFS(Таблица2[Date],B297)+SUMIFS(Таблица2[R],Таблица2[Date],B297))</f>
        <v/>
      </c>
      <c r="F297" s="76" t="str">
        <f>IF(SUMIFS(Таблица2[B$],Таблица2[Date],B297)=0,"-",SUMIFS(Таблица2[B$],Таблица2[Date],B297))</f>
        <v>-</v>
      </c>
      <c r="G297" s="77" t="str">
        <f t="shared" si="16"/>
        <v>-</v>
      </c>
      <c r="H297" s="77" t="str">
        <f>IFERROR(AVERAGEIFS(Таблица2[AFS],Таблица2[Date],B297)+(AVERAGEIFS(Таблица2[AFS],Таблица2[Date],B297)*0.2),"-")</f>
        <v>-</v>
      </c>
      <c r="I297" s="77" t="str">
        <f t="shared" si="17"/>
        <v>-</v>
      </c>
      <c r="J297" s="77" t="str">
        <f>IFERROR(COUNTIFS(Таблица2[Date],B297,Таблица2[WIN$],"&gt;0")/E297*100,"-")</f>
        <v>-</v>
      </c>
      <c r="K297" s="77" t="str">
        <f>IF(IFERROR((COUNTIFS(Таблица2[Date],B297,Таблица2[K],"K")+SUMIFS(Таблица2[R],#REF!,B297,Таблица2[K],"K"))/E297*100,"-")=0,"-",IFERROR((COUNTIFS(Таблица2[Date],B297,Таблица2[K],"K")+SUMIFS(Таблица2[R],Таблица2[Date],B297,Таблица2[K],"K"))/E297*100,"-"))</f>
        <v>-</v>
      </c>
      <c r="L297" s="76" t="str">
        <f>IF(IFERROR((COUNTIFS(Таблица2[Date],B297,Таблица2[T],"t")+SUMIFS(Таблица2[R],Таблица2[Date],B297,Таблица2[T],"t"))/E297*100,"-")=0,"-",IFERROR((COUNTIFS(Таблица2[Date],B297,Таблица2[T],"t")+SUMIFS(Таблица2[R],Таблица2[Date],B297,Таблица2[T],"t"))/E297*100,"-"))</f>
        <v>-</v>
      </c>
      <c r="M297" s="76" t="str">
        <f>IF(SUMIFS(Таблица2[KO$],Таблица2[Date],B297)=0,"-",SUMIFS(Таблица2[KO$],Таблица2[Date],B297))</f>
        <v>-</v>
      </c>
      <c r="N297" s="76" t="str">
        <f>IF(SUMIFS(Таблица2[WIN$],Таблица2[Date],B297)=0,"-",SUMIFS(Таблица2[WIN$],Таблица2[Date],B297))</f>
        <v>-</v>
      </c>
      <c r="O297" s="78" t="str">
        <f t="shared" si="18"/>
        <v>-</v>
      </c>
    </row>
    <row r="298" spans="1:15" ht="11.1" customHeight="1" x14ac:dyDescent="0.25">
      <c r="A298" s="93">
        <f t="shared" si="19"/>
        <v>212</v>
      </c>
      <c r="B298" s="48"/>
      <c r="C298"/>
      <c r="D298" s="117">
        <f t="shared" si="15"/>
        <v>1900</v>
      </c>
      <c r="E298" s="117" t="str">
        <f>IF(COUNTIFS(Таблица2[Date],B298)+SUMIFS(Таблица2[R],Таблица2[Date],B298)=0,"",COUNTIFS(Таблица2[Date],B298)+SUMIFS(Таблица2[R],Таблица2[Date],B298))</f>
        <v/>
      </c>
      <c r="F298" s="76" t="str">
        <f>IF(SUMIFS(Таблица2[B$],Таблица2[Date],B298)=0,"-",SUMIFS(Таблица2[B$],Таблица2[Date],B298))</f>
        <v>-</v>
      </c>
      <c r="G298" s="77" t="str">
        <f t="shared" si="16"/>
        <v>-</v>
      </c>
      <c r="H298" s="77" t="str">
        <f>IFERROR(AVERAGEIFS(Таблица2[AFS],Таблица2[Date],B298)+(AVERAGEIFS(Таблица2[AFS],Таблица2[Date],B298)*0.2),"-")</f>
        <v>-</v>
      </c>
      <c r="I298" s="77" t="str">
        <f t="shared" si="17"/>
        <v>-</v>
      </c>
      <c r="J298" s="77" t="str">
        <f>IFERROR(COUNTIFS(Таблица2[Date],B298,Таблица2[WIN$],"&gt;0")/E298*100,"-")</f>
        <v>-</v>
      </c>
      <c r="K298" s="77" t="str">
        <f>IF(IFERROR((COUNTIFS(Таблица2[Date],B298,Таблица2[K],"K")+SUMIFS(Таблица2[R],#REF!,B298,Таблица2[K],"K"))/E298*100,"-")=0,"-",IFERROR((COUNTIFS(Таблица2[Date],B298,Таблица2[K],"K")+SUMIFS(Таблица2[R],Таблица2[Date],B298,Таблица2[K],"K"))/E298*100,"-"))</f>
        <v>-</v>
      </c>
      <c r="L298" s="76" t="str">
        <f>IF(IFERROR((COUNTIFS(Таблица2[Date],B298,Таблица2[T],"t")+SUMIFS(Таблица2[R],Таблица2[Date],B298,Таблица2[T],"t"))/E298*100,"-")=0,"-",IFERROR((COUNTIFS(Таблица2[Date],B298,Таблица2[T],"t")+SUMIFS(Таблица2[R],Таблица2[Date],B298,Таблица2[T],"t"))/E298*100,"-"))</f>
        <v>-</v>
      </c>
      <c r="M298" s="76" t="str">
        <f>IF(SUMIFS(Таблица2[KO$],Таблица2[Date],B298)=0,"-",SUMIFS(Таблица2[KO$],Таблица2[Date],B298))</f>
        <v>-</v>
      </c>
      <c r="N298" s="76" t="str">
        <f>IF(SUMIFS(Таблица2[WIN$],Таблица2[Date],B298)=0,"-",SUMIFS(Таблица2[WIN$],Таблица2[Date],B298))</f>
        <v>-</v>
      </c>
      <c r="O298" s="78" t="str">
        <f t="shared" si="18"/>
        <v>-</v>
      </c>
    </row>
    <row r="299" spans="1:15" ht="11.1" customHeight="1" x14ac:dyDescent="0.25">
      <c r="A299" s="93">
        <f t="shared" si="19"/>
        <v>213</v>
      </c>
      <c r="B299" s="48"/>
      <c r="C299"/>
      <c r="D299" s="117">
        <f t="shared" si="15"/>
        <v>1900</v>
      </c>
      <c r="E299" s="117" t="str">
        <f>IF(COUNTIFS(Таблица2[Date],B299)+SUMIFS(Таблица2[R],Таблица2[Date],B299)=0,"",COUNTIFS(Таблица2[Date],B299)+SUMIFS(Таблица2[R],Таблица2[Date],B299))</f>
        <v/>
      </c>
      <c r="F299" s="76" t="str">
        <f>IF(SUMIFS(Таблица2[B$],Таблица2[Date],B299)=0,"-",SUMIFS(Таблица2[B$],Таблица2[Date],B299))</f>
        <v>-</v>
      </c>
      <c r="G299" s="77" t="str">
        <f t="shared" si="16"/>
        <v>-</v>
      </c>
      <c r="H299" s="77" t="str">
        <f>IFERROR(AVERAGEIFS(Таблица2[AFS],Таблица2[Date],B299)+(AVERAGEIFS(Таблица2[AFS],Таблица2[Date],B299)*0.2),"-")</f>
        <v>-</v>
      </c>
      <c r="I299" s="77" t="str">
        <f t="shared" si="17"/>
        <v>-</v>
      </c>
      <c r="J299" s="77" t="str">
        <f>IFERROR(COUNTIFS(Таблица2[Date],B299,Таблица2[WIN$],"&gt;0")/E299*100,"-")</f>
        <v>-</v>
      </c>
      <c r="K299" s="77" t="str">
        <f>IF(IFERROR((COUNTIFS(Таблица2[Date],B299,Таблица2[K],"K")+SUMIFS(Таблица2[R],#REF!,B299,Таблица2[K],"K"))/E299*100,"-")=0,"-",IFERROR((COUNTIFS(Таблица2[Date],B299,Таблица2[K],"K")+SUMIFS(Таблица2[R],Таблица2[Date],B299,Таблица2[K],"K"))/E299*100,"-"))</f>
        <v>-</v>
      </c>
      <c r="L299" s="76" t="str">
        <f>IF(IFERROR((COUNTIFS(Таблица2[Date],B299,Таблица2[T],"t")+SUMIFS(Таблица2[R],Таблица2[Date],B299,Таблица2[T],"t"))/E299*100,"-")=0,"-",IFERROR((COUNTIFS(Таблица2[Date],B299,Таблица2[T],"t")+SUMIFS(Таблица2[R],Таблица2[Date],B299,Таблица2[T],"t"))/E299*100,"-"))</f>
        <v>-</v>
      </c>
      <c r="M299" s="76" t="str">
        <f>IF(SUMIFS(Таблица2[KO$],Таблица2[Date],B299)=0,"-",SUMIFS(Таблица2[KO$],Таблица2[Date],B299))</f>
        <v>-</v>
      </c>
      <c r="N299" s="76" t="str">
        <f>IF(SUMIFS(Таблица2[WIN$],Таблица2[Date],B299)=0,"-",SUMIFS(Таблица2[WIN$],Таблица2[Date],B299))</f>
        <v>-</v>
      </c>
      <c r="O299" s="78" t="str">
        <f t="shared" si="18"/>
        <v>-</v>
      </c>
    </row>
    <row r="300" spans="1:15" ht="11.1" customHeight="1" x14ac:dyDescent="0.25">
      <c r="A300" s="93">
        <f t="shared" si="19"/>
        <v>214</v>
      </c>
      <c r="B300" s="48"/>
      <c r="C300"/>
      <c r="D300" s="117">
        <f t="shared" si="15"/>
        <v>1900</v>
      </c>
      <c r="E300" s="117" t="str">
        <f>IF(COUNTIFS(Таблица2[Date],B300)+SUMIFS(Таблица2[R],Таблица2[Date],B300)=0,"",COUNTIFS(Таблица2[Date],B300)+SUMIFS(Таблица2[R],Таблица2[Date],B300))</f>
        <v/>
      </c>
      <c r="F300" s="76" t="str">
        <f>IF(SUMIFS(Таблица2[B$],Таблица2[Date],B300)=0,"-",SUMIFS(Таблица2[B$],Таблица2[Date],B300))</f>
        <v>-</v>
      </c>
      <c r="G300" s="77" t="str">
        <f t="shared" si="16"/>
        <v>-</v>
      </c>
      <c r="H300" s="77" t="str">
        <f>IFERROR(AVERAGEIFS(Таблица2[AFS],Таблица2[Date],B300)+(AVERAGEIFS(Таблица2[AFS],Таблица2[Date],B300)*0.2),"-")</f>
        <v>-</v>
      </c>
      <c r="I300" s="77" t="str">
        <f t="shared" si="17"/>
        <v>-</v>
      </c>
      <c r="J300" s="77" t="str">
        <f>IFERROR(COUNTIFS(Таблица2[Date],B300,Таблица2[WIN$],"&gt;0")/E300*100,"-")</f>
        <v>-</v>
      </c>
      <c r="K300" s="77" t="str">
        <f>IF(IFERROR((COUNTIFS(Таблица2[Date],B300,Таблица2[K],"K")+SUMIFS(Таблица2[R],#REF!,B300,Таблица2[K],"K"))/E300*100,"-")=0,"-",IFERROR((COUNTIFS(Таблица2[Date],B300,Таблица2[K],"K")+SUMIFS(Таблица2[R],Таблица2[Date],B300,Таблица2[K],"K"))/E300*100,"-"))</f>
        <v>-</v>
      </c>
      <c r="L300" s="76" t="str">
        <f>IF(IFERROR((COUNTIFS(Таблица2[Date],B300,Таблица2[T],"t")+SUMIFS(Таблица2[R],Таблица2[Date],B300,Таблица2[T],"t"))/E300*100,"-")=0,"-",IFERROR((COUNTIFS(Таблица2[Date],B300,Таблица2[T],"t")+SUMIFS(Таблица2[R],Таблица2[Date],B300,Таблица2[T],"t"))/E300*100,"-"))</f>
        <v>-</v>
      </c>
      <c r="M300" s="76" t="str">
        <f>IF(SUMIFS(Таблица2[KO$],Таблица2[Date],B300)=0,"-",SUMIFS(Таблица2[KO$],Таблица2[Date],B300))</f>
        <v>-</v>
      </c>
      <c r="N300" s="76" t="str">
        <f>IF(SUMIFS(Таблица2[WIN$],Таблица2[Date],B300)=0,"-",SUMIFS(Таблица2[WIN$],Таблица2[Date],B300))</f>
        <v>-</v>
      </c>
      <c r="O300" s="78" t="str">
        <f t="shared" si="18"/>
        <v>-</v>
      </c>
    </row>
    <row r="301" spans="1:15" ht="11.1" customHeight="1" x14ac:dyDescent="0.25">
      <c r="A301" s="93">
        <f t="shared" si="19"/>
        <v>215</v>
      </c>
      <c r="B301" s="48"/>
      <c r="C301"/>
      <c r="D301" s="117">
        <f t="shared" si="15"/>
        <v>1900</v>
      </c>
      <c r="E301" s="117" t="str">
        <f>IF(COUNTIFS(Таблица2[Date],B301)+SUMIFS(Таблица2[R],Таблица2[Date],B301)=0,"",COUNTIFS(Таблица2[Date],B301)+SUMIFS(Таблица2[R],Таблица2[Date],B301))</f>
        <v/>
      </c>
      <c r="F301" s="76" t="str">
        <f>IF(SUMIFS(Таблица2[B$],Таблица2[Date],B301)=0,"-",SUMIFS(Таблица2[B$],Таблица2[Date],B301))</f>
        <v>-</v>
      </c>
      <c r="G301" s="77" t="str">
        <f t="shared" si="16"/>
        <v>-</v>
      </c>
      <c r="H301" s="77" t="str">
        <f>IFERROR(AVERAGEIFS(Таблица2[AFS],Таблица2[Date],B301)+(AVERAGEIFS(Таблица2[AFS],Таблица2[Date],B301)*0.2),"-")</f>
        <v>-</v>
      </c>
      <c r="I301" s="77" t="str">
        <f t="shared" si="17"/>
        <v>-</v>
      </c>
      <c r="J301" s="77" t="str">
        <f>IFERROR(COUNTIFS(Таблица2[Date],B301,Таблица2[WIN$],"&gt;0")/E301*100,"-")</f>
        <v>-</v>
      </c>
      <c r="K301" s="77" t="str">
        <f>IF(IFERROR((COUNTIFS(Таблица2[Date],B301,Таблица2[K],"K")+SUMIFS(Таблица2[R],#REF!,B301,Таблица2[K],"K"))/E301*100,"-")=0,"-",IFERROR((COUNTIFS(Таблица2[Date],B301,Таблица2[K],"K")+SUMIFS(Таблица2[R],Таблица2[Date],B301,Таблица2[K],"K"))/E301*100,"-"))</f>
        <v>-</v>
      </c>
      <c r="L301" s="76" t="str">
        <f>IF(IFERROR((COUNTIFS(Таблица2[Date],B301,Таблица2[T],"t")+SUMIFS(Таблица2[R],Таблица2[Date],B301,Таблица2[T],"t"))/E301*100,"-")=0,"-",IFERROR((COUNTIFS(Таблица2[Date],B301,Таблица2[T],"t")+SUMIFS(Таблица2[R],Таблица2[Date],B301,Таблица2[T],"t"))/E301*100,"-"))</f>
        <v>-</v>
      </c>
      <c r="M301" s="76" t="str">
        <f>IF(SUMIFS(Таблица2[KO$],Таблица2[Date],B301)=0,"-",SUMIFS(Таблица2[KO$],Таблица2[Date],B301))</f>
        <v>-</v>
      </c>
      <c r="N301" s="76" t="str">
        <f>IF(SUMIFS(Таблица2[WIN$],Таблица2[Date],B301)=0,"-",SUMIFS(Таблица2[WIN$],Таблица2[Date],B301))</f>
        <v>-</v>
      </c>
      <c r="O301" s="78" t="str">
        <f t="shared" si="18"/>
        <v>-</v>
      </c>
    </row>
    <row r="302" spans="1:15" ht="11.1" customHeight="1" x14ac:dyDescent="0.25">
      <c r="A302" s="93">
        <f t="shared" si="19"/>
        <v>216</v>
      </c>
      <c r="B302" s="48"/>
      <c r="C302"/>
      <c r="D302" s="117">
        <f t="shared" si="15"/>
        <v>1900</v>
      </c>
      <c r="E302" s="117" t="str">
        <f>IF(COUNTIFS(Таблица2[Date],B302)+SUMIFS(Таблица2[R],Таблица2[Date],B302)=0,"",COUNTIFS(Таблица2[Date],B302)+SUMIFS(Таблица2[R],Таблица2[Date],B302))</f>
        <v/>
      </c>
      <c r="F302" s="76" t="str">
        <f>IF(SUMIFS(Таблица2[B$],Таблица2[Date],B302)=0,"-",SUMIFS(Таблица2[B$],Таблица2[Date],B302))</f>
        <v>-</v>
      </c>
      <c r="G302" s="77" t="str">
        <f t="shared" si="16"/>
        <v>-</v>
      </c>
      <c r="H302" s="77" t="str">
        <f>IFERROR(AVERAGEIFS(Таблица2[AFS],Таблица2[Date],B302)+(AVERAGEIFS(Таблица2[AFS],Таблица2[Date],B302)*0.2),"-")</f>
        <v>-</v>
      </c>
      <c r="I302" s="77" t="str">
        <f t="shared" si="17"/>
        <v>-</v>
      </c>
      <c r="J302" s="77" t="str">
        <f>IFERROR(COUNTIFS(Таблица2[Date],B302,Таблица2[WIN$],"&gt;0")/E302*100,"-")</f>
        <v>-</v>
      </c>
      <c r="K302" s="77" t="str">
        <f>IF(IFERROR((COUNTIFS(Таблица2[Date],B302,Таблица2[K],"K")+SUMIFS(Таблица2[R],#REF!,B302,Таблица2[K],"K"))/E302*100,"-")=0,"-",IFERROR((COUNTIFS(Таблица2[Date],B302,Таблица2[K],"K")+SUMIFS(Таблица2[R],Таблица2[Date],B302,Таблица2[K],"K"))/E302*100,"-"))</f>
        <v>-</v>
      </c>
      <c r="L302" s="76" t="str">
        <f>IF(IFERROR((COUNTIFS(Таблица2[Date],B302,Таблица2[T],"t")+SUMIFS(Таблица2[R],Таблица2[Date],B302,Таблица2[T],"t"))/E302*100,"-")=0,"-",IFERROR((COUNTIFS(Таблица2[Date],B302,Таблица2[T],"t")+SUMIFS(Таблица2[R],Таблица2[Date],B302,Таблица2[T],"t"))/E302*100,"-"))</f>
        <v>-</v>
      </c>
      <c r="M302" s="76" t="str">
        <f>IF(SUMIFS(Таблица2[KO$],Таблица2[Date],B302)=0,"-",SUMIFS(Таблица2[KO$],Таблица2[Date],B302))</f>
        <v>-</v>
      </c>
      <c r="N302" s="76" t="str">
        <f>IF(SUMIFS(Таблица2[WIN$],Таблица2[Date],B302)=0,"-",SUMIFS(Таблица2[WIN$],Таблица2[Date],B302))</f>
        <v>-</v>
      </c>
      <c r="O302" s="78" t="str">
        <f t="shared" si="18"/>
        <v>-</v>
      </c>
    </row>
    <row r="303" spans="1:15" ht="11.1" customHeight="1" x14ac:dyDescent="0.25">
      <c r="A303" s="93">
        <f t="shared" si="19"/>
        <v>217</v>
      </c>
      <c r="B303" s="48"/>
      <c r="C303"/>
      <c r="D303" s="117">
        <f t="shared" si="15"/>
        <v>1900</v>
      </c>
      <c r="E303" s="117" t="str">
        <f>IF(COUNTIFS(Таблица2[Date],B303)+SUMIFS(Таблица2[R],Таблица2[Date],B303)=0,"",COUNTIFS(Таблица2[Date],B303)+SUMIFS(Таблица2[R],Таблица2[Date],B303))</f>
        <v/>
      </c>
      <c r="F303" s="76" t="str">
        <f>IF(SUMIFS(Таблица2[B$],Таблица2[Date],B303)=0,"-",SUMIFS(Таблица2[B$],Таблица2[Date],B303))</f>
        <v>-</v>
      </c>
      <c r="G303" s="77" t="str">
        <f t="shared" si="16"/>
        <v>-</v>
      </c>
      <c r="H303" s="77" t="str">
        <f>IFERROR(AVERAGEIFS(Таблица2[AFS],Таблица2[Date],B303)+(AVERAGEIFS(Таблица2[AFS],Таблица2[Date],B303)*0.2),"-")</f>
        <v>-</v>
      </c>
      <c r="I303" s="77" t="str">
        <f t="shared" si="17"/>
        <v>-</v>
      </c>
      <c r="J303" s="77" t="str">
        <f>IFERROR(COUNTIFS(Таблица2[Date],B303,Таблица2[WIN$],"&gt;0")/E303*100,"-")</f>
        <v>-</v>
      </c>
      <c r="K303" s="77" t="str">
        <f>IF(IFERROR((COUNTIFS(Таблица2[Date],B303,Таблица2[K],"K")+SUMIFS(Таблица2[R],#REF!,B303,Таблица2[K],"K"))/E303*100,"-")=0,"-",IFERROR((COUNTIFS(Таблица2[Date],B303,Таблица2[K],"K")+SUMIFS(Таблица2[R],Таблица2[Date],B303,Таблица2[K],"K"))/E303*100,"-"))</f>
        <v>-</v>
      </c>
      <c r="L303" s="76" t="str">
        <f>IF(IFERROR((COUNTIFS(Таблица2[Date],B303,Таблица2[T],"t")+SUMIFS(Таблица2[R],Таблица2[Date],B303,Таблица2[T],"t"))/E303*100,"-")=0,"-",IFERROR((COUNTIFS(Таблица2[Date],B303,Таблица2[T],"t")+SUMIFS(Таблица2[R],Таблица2[Date],B303,Таблица2[T],"t"))/E303*100,"-"))</f>
        <v>-</v>
      </c>
      <c r="M303" s="76" t="str">
        <f>IF(SUMIFS(Таблица2[KO$],Таблица2[Date],B303)=0,"-",SUMIFS(Таблица2[KO$],Таблица2[Date],B303))</f>
        <v>-</v>
      </c>
      <c r="N303" s="76" t="str">
        <f>IF(SUMIFS(Таблица2[WIN$],Таблица2[Date],B303)=0,"-",SUMIFS(Таблица2[WIN$],Таблица2[Date],B303))</f>
        <v>-</v>
      </c>
      <c r="O303" s="78" t="str">
        <f t="shared" si="18"/>
        <v>-</v>
      </c>
    </row>
    <row r="304" spans="1:15" ht="11.1" customHeight="1" x14ac:dyDescent="0.25">
      <c r="A304" s="93">
        <f t="shared" si="19"/>
        <v>218</v>
      </c>
      <c r="B304" s="48"/>
      <c r="C304"/>
      <c r="D304" s="117">
        <f t="shared" si="15"/>
        <v>1900</v>
      </c>
      <c r="E304" s="117" t="str">
        <f>IF(COUNTIFS(Таблица2[Date],B304)+SUMIFS(Таблица2[R],Таблица2[Date],B304)=0,"",COUNTIFS(Таблица2[Date],B304)+SUMIFS(Таблица2[R],Таблица2[Date],B304))</f>
        <v/>
      </c>
      <c r="F304" s="76" t="str">
        <f>IF(SUMIFS(Таблица2[B$],Таблица2[Date],B304)=0,"-",SUMIFS(Таблица2[B$],Таблица2[Date],B304))</f>
        <v>-</v>
      </c>
      <c r="G304" s="77" t="str">
        <f t="shared" si="16"/>
        <v>-</v>
      </c>
      <c r="H304" s="77" t="str">
        <f>IFERROR(AVERAGEIFS(Таблица2[AFS],Таблица2[Date],B304)+(AVERAGEIFS(Таблица2[AFS],Таблица2[Date],B304)*0.2),"-")</f>
        <v>-</v>
      </c>
      <c r="I304" s="77" t="str">
        <f t="shared" si="17"/>
        <v>-</v>
      </c>
      <c r="J304" s="77" t="str">
        <f>IFERROR(COUNTIFS(Таблица2[Date],B304,Таблица2[WIN$],"&gt;0")/E304*100,"-")</f>
        <v>-</v>
      </c>
      <c r="K304" s="77" t="str">
        <f>IF(IFERROR((COUNTIFS(Таблица2[Date],B304,Таблица2[K],"K")+SUMIFS(Таблица2[R],#REF!,B304,Таблица2[K],"K"))/E304*100,"-")=0,"-",IFERROR((COUNTIFS(Таблица2[Date],B304,Таблица2[K],"K")+SUMIFS(Таблица2[R],Таблица2[Date],B304,Таблица2[K],"K"))/E304*100,"-"))</f>
        <v>-</v>
      </c>
      <c r="L304" s="76" t="str">
        <f>IF(IFERROR((COUNTIFS(Таблица2[Date],B304,Таблица2[T],"t")+SUMIFS(Таблица2[R],Таблица2[Date],B304,Таблица2[T],"t"))/E304*100,"-")=0,"-",IFERROR((COUNTIFS(Таблица2[Date],B304,Таблица2[T],"t")+SUMIFS(Таблица2[R],Таблица2[Date],B304,Таблица2[T],"t"))/E304*100,"-"))</f>
        <v>-</v>
      </c>
      <c r="M304" s="76" t="str">
        <f>IF(SUMIFS(Таблица2[KO$],Таблица2[Date],B304)=0,"-",SUMIFS(Таблица2[KO$],Таблица2[Date],B304))</f>
        <v>-</v>
      </c>
      <c r="N304" s="76" t="str">
        <f>IF(SUMIFS(Таблица2[WIN$],Таблица2[Date],B304)=0,"-",SUMIFS(Таблица2[WIN$],Таблица2[Date],B304))</f>
        <v>-</v>
      </c>
      <c r="O304" s="78" t="str">
        <f t="shared" si="18"/>
        <v>-</v>
      </c>
    </row>
    <row r="305" spans="1:15" ht="11.1" customHeight="1" x14ac:dyDescent="0.25">
      <c r="A305" s="93">
        <f t="shared" si="19"/>
        <v>219</v>
      </c>
      <c r="B305" s="48"/>
      <c r="C305"/>
      <c r="D305" s="117">
        <f t="shared" si="15"/>
        <v>1900</v>
      </c>
      <c r="E305" s="117" t="str">
        <f>IF(COUNTIFS(Таблица2[Date],B305)+SUMIFS(Таблица2[R],Таблица2[Date],B305)=0,"",COUNTIFS(Таблица2[Date],B305)+SUMIFS(Таблица2[R],Таблица2[Date],B305))</f>
        <v/>
      </c>
      <c r="F305" s="76" t="str">
        <f>IF(SUMIFS(Таблица2[B$],Таблица2[Date],B305)=0,"-",SUMIFS(Таблица2[B$],Таблица2[Date],B305))</f>
        <v>-</v>
      </c>
      <c r="G305" s="77" t="str">
        <f t="shared" si="16"/>
        <v>-</v>
      </c>
      <c r="H305" s="77" t="str">
        <f>IFERROR(AVERAGEIFS(Таблица2[AFS],Таблица2[Date],B305)+(AVERAGEIFS(Таблица2[AFS],Таблица2[Date],B305)*0.2),"-")</f>
        <v>-</v>
      </c>
      <c r="I305" s="77" t="str">
        <f t="shared" si="17"/>
        <v>-</v>
      </c>
      <c r="J305" s="77" t="str">
        <f>IFERROR(COUNTIFS(Таблица2[Date],B305,Таблица2[WIN$],"&gt;0")/E305*100,"-")</f>
        <v>-</v>
      </c>
      <c r="K305" s="77" t="str">
        <f>IF(IFERROR((COUNTIFS(Таблица2[Date],B305,Таблица2[K],"K")+SUMIFS(Таблица2[R],#REF!,B305,Таблица2[K],"K"))/E305*100,"-")=0,"-",IFERROR((COUNTIFS(Таблица2[Date],B305,Таблица2[K],"K")+SUMIFS(Таблица2[R],Таблица2[Date],B305,Таблица2[K],"K"))/E305*100,"-"))</f>
        <v>-</v>
      </c>
      <c r="L305" s="76" t="str">
        <f>IF(IFERROR((COUNTIFS(Таблица2[Date],B305,Таблица2[T],"t")+SUMIFS(Таблица2[R],Таблица2[Date],B305,Таблица2[T],"t"))/E305*100,"-")=0,"-",IFERROR((COUNTIFS(Таблица2[Date],B305,Таблица2[T],"t")+SUMIFS(Таблица2[R],Таблица2[Date],B305,Таблица2[T],"t"))/E305*100,"-"))</f>
        <v>-</v>
      </c>
      <c r="M305" s="76" t="str">
        <f>IF(SUMIFS(Таблица2[KO$],Таблица2[Date],B305)=0,"-",SUMIFS(Таблица2[KO$],Таблица2[Date],B305))</f>
        <v>-</v>
      </c>
      <c r="N305" s="76" t="str">
        <f>IF(SUMIFS(Таблица2[WIN$],Таблица2[Date],B305)=0,"-",SUMIFS(Таблица2[WIN$],Таблица2[Date],B305))</f>
        <v>-</v>
      </c>
      <c r="O305" s="78" t="str">
        <f t="shared" si="18"/>
        <v>-</v>
      </c>
    </row>
    <row r="306" spans="1:15" ht="11.1" customHeight="1" x14ac:dyDescent="0.25">
      <c r="A306" s="93">
        <f t="shared" si="19"/>
        <v>220</v>
      </c>
      <c r="B306" s="48"/>
      <c r="C306"/>
      <c r="D306" s="117">
        <f t="shared" si="15"/>
        <v>1900</v>
      </c>
      <c r="E306" s="117" t="str">
        <f>IF(COUNTIFS(Таблица2[Date],B306)+SUMIFS(Таблица2[R],Таблица2[Date],B306)=0,"",COUNTIFS(Таблица2[Date],B306)+SUMIFS(Таблица2[R],Таблица2[Date],B306))</f>
        <v/>
      </c>
      <c r="F306" s="76" t="str">
        <f>IF(SUMIFS(Таблица2[B$],Таблица2[Date],B306)=0,"-",SUMIFS(Таблица2[B$],Таблица2[Date],B306))</f>
        <v>-</v>
      </c>
      <c r="G306" s="77" t="str">
        <f t="shared" si="16"/>
        <v>-</v>
      </c>
      <c r="H306" s="77" t="str">
        <f>IFERROR(AVERAGEIFS(Таблица2[AFS],Таблица2[Date],B306)+(AVERAGEIFS(Таблица2[AFS],Таблица2[Date],B306)*0.2),"-")</f>
        <v>-</v>
      </c>
      <c r="I306" s="77" t="str">
        <f t="shared" si="17"/>
        <v>-</v>
      </c>
      <c r="J306" s="77" t="str">
        <f>IFERROR(COUNTIFS(Таблица2[Date],B306,Таблица2[WIN$],"&gt;0")/E306*100,"-")</f>
        <v>-</v>
      </c>
      <c r="K306" s="77" t="str">
        <f>IF(IFERROR((COUNTIFS(Таблица2[Date],B306,Таблица2[K],"K")+SUMIFS(Таблица2[R],#REF!,B306,Таблица2[K],"K"))/E306*100,"-")=0,"-",IFERROR((COUNTIFS(Таблица2[Date],B306,Таблица2[K],"K")+SUMIFS(Таблица2[R],Таблица2[Date],B306,Таблица2[K],"K"))/E306*100,"-"))</f>
        <v>-</v>
      </c>
      <c r="L306" s="76" t="str">
        <f>IF(IFERROR((COUNTIFS(Таблица2[Date],B306,Таблица2[T],"t")+SUMIFS(Таблица2[R],Таблица2[Date],B306,Таблица2[T],"t"))/E306*100,"-")=0,"-",IFERROR((COUNTIFS(Таблица2[Date],B306,Таблица2[T],"t")+SUMIFS(Таблица2[R],Таблица2[Date],B306,Таблица2[T],"t"))/E306*100,"-"))</f>
        <v>-</v>
      </c>
      <c r="M306" s="76" t="str">
        <f>IF(SUMIFS(Таблица2[KO$],Таблица2[Date],B306)=0,"-",SUMIFS(Таблица2[KO$],Таблица2[Date],B306))</f>
        <v>-</v>
      </c>
      <c r="N306" s="76" t="str">
        <f>IF(SUMIFS(Таблица2[WIN$],Таблица2[Date],B306)=0,"-",SUMIFS(Таблица2[WIN$],Таблица2[Date],B306))</f>
        <v>-</v>
      </c>
      <c r="O306" s="78" t="str">
        <f t="shared" si="18"/>
        <v>-</v>
      </c>
    </row>
    <row r="307" spans="1:15" ht="11.1" customHeight="1" x14ac:dyDescent="0.25">
      <c r="A307" s="93">
        <f t="shared" si="19"/>
        <v>221</v>
      </c>
      <c r="B307" s="48"/>
      <c r="C307"/>
      <c r="D307" s="117">
        <f t="shared" si="15"/>
        <v>1900</v>
      </c>
      <c r="E307" s="117" t="str">
        <f>IF(COUNTIFS(Таблица2[Date],B307)+SUMIFS(Таблица2[R],Таблица2[Date],B307)=0,"",COUNTIFS(Таблица2[Date],B307)+SUMIFS(Таблица2[R],Таблица2[Date],B307))</f>
        <v/>
      </c>
      <c r="F307" s="76" t="str">
        <f>IF(SUMIFS(Таблица2[B$],Таблица2[Date],B307)=0,"-",SUMIFS(Таблица2[B$],Таблица2[Date],B307))</f>
        <v>-</v>
      </c>
      <c r="G307" s="77" t="str">
        <f t="shared" si="16"/>
        <v>-</v>
      </c>
      <c r="H307" s="77" t="str">
        <f>IFERROR(AVERAGEIFS(Таблица2[AFS],Таблица2[Date],B307)+(AVERAGEIFS(Таблица2[AFS],Таблица2[Date],B307)*0.2),"-")</f>
        <v>-</v>
      </c>
      <c r="I307" s="77" t="str">
        <f t="shared" si="17"/>
        <v>-</v>
      </c>
      <c r="J307" s="77" t="str">
        <f>IFERROR(COUNTIFS(Таблица2[Date],B307,Таблица2[WIN$],"&gt;0")/E307*100,"-")</f>
        <v>-</v>
      </c>
      <c r="K307" s="77" t="str">
        <f>IF(IFERROR((COUNTIFS(Таблица2[Date],B307,Таблица2[K],"K")+SUMIFS(Таблица2[R],#REF!,B307,Таблица2[K],"K"))/E307*100,"-")=0,"-",IFERROR((COUNTIFS(Таблица2[Date],B307,Таблица2[K],"K")+SUMIFS(Таблица2[R],Таблица2[Date],B307,Таблица2[K],"K"))/E307*100,"-"))</f>
        <v>-</v>
      </c>
      <c r="L307" s="76" t="str">
        <f>IF(IFERROR((COUNTIFS(Таблица2[Date],B307,Таблица2[T],"t")+SUMIFS(Таблица2[R],Таблица2[Date],B307,Таблица2[T],"t"))/E307*100,"-")=0,"-",IFERROR((COUNTIFS(Таблица2[Date],B307,Таблица2[T],"t")+SUMIFS(Таблица2[R],Таблица2[Date],B307,Таблица2[T],"t"))/E307*100,"-"))</f>
        <v>-</v>
      </c>
      <c r="M307" s="76" t="str">
        <f>IF(SUMIFS(Таблица2[KO$],Таблица2[Date],B307)=0,"-",SUMIFS(Таблица2[KO$],Таблица2[Date],B307))</f>
        <v>-</v>
      </c>
      <c r="N307" s="76" t="str">
        <f>IF(SUMIFS(Таблица2[WIN$],Таблица2[Date],B307)=0,"-",SUMIFS(Таблица2[WIN$],Таблица2[Date],B307))</f>
        <v>-</v>
      </c>
      <c r="O307" s="78" t="str">
        <f t="shared" si="18"/>
        <v>-</v>
      </c>
    </row>
    <row r="308" spans="1:15" ht="11.1" customHeight="1" x14ac:dyDescent="0.25">
      <c r="A308" s="93">
        <f t="shared" si="19"/>
        <v>222</v>
      </c>
      <c r="B308" s="48"/>
      <c r="C308"/>
      <c r="D308" s="117">
        <f t="shared" si="15"/>
        <v>1900</v>
      </c>
      <c r="E308" s="117" t="str">
        <f>IF(COUNTIFS(Таблица2[Date],B308)+SUMIFS(Таблица2[R],Таблица2[Date],B308)=0,"",COUNTIFS(Таблица2[Date],B308)+SUMIFS(Таблица2[R],Таблица2[Date],B308))</f>
        <v/>
      </c>
      <c r="F308" s="76" t="str">
        <f>IF(SUMIFS(Таблица2[B$],Таблица2[Date],B308)=0,"-",SUMIFS(Таблица2[B$],Таблица2[Date],B308))</f>
        <v>-</v>
      </c>
      <c r="G308" s="77" t="str">
        <f t="shared" si="16"/>
        <v>-</v>
      </c>
      <c r="H308" s="77" t="str">
        <f>IFERROR(AVERAGEIFS(Таблица2[AFS],Таблица2[Date],B308)+(AVERAGEIFS(Таблица2[AFS],Таблица2[Date],B308)*0.2),"-")</f>
        <v>-</v>
      </c>
      <c r="I308" s="77" t="str">
        <f t="shared" si="17"/>
        <v>-</v>
      </c>
      <c r="J308" s="77" t="str">
        <f>IFERROR(COUNTIFS(Таблица2[Date],B308,Таблица2[WIN$],"&gt;0")/E308*100,"-")</f>
        <v>-</v>
      </c>
      <c r="K308" s="77" t="str">
        <f>IF(IFERROR((COUNTIFS(Таблица2[Date],B308,Таблица2[K],"K")+SUMIFS(Таблица2[R],#REF!,B308,Таблица2[K],"K"))/E308*100,"-")=0,"-",IFERROR((COUNTIFS(Таблица2[Date],B308,Таблица2[K],"K")+SUMIFS(Таблица2[R],Таблица2[Date],B308,Таблица2[K],"K"))/E308*100,"-"))</f>
        <v>-</v>
      </c>
      <c r="L308" s="76" t="str">
        <f>IF(IFERROR((COUNTIFS(Таблица2[Date],B308,Таблица2[T],"t")+SUMIFS(Таблица2[R],Таблица2[Date],B308,Таблица2[T],"t"))/E308*100,"-")=0,"-",IFERROR((COUNTIFS(Таблица2[Date],B308,Таблица2[T],"t")+SUMIFS(Таблица2[R],Таблица2[Date],B308,Таблица2[T],"t"))/E308*100,"-"))</f>
        <v>-</v>
      </c>
      <c r="M308" s="76" t="str">
        <f>IF(SUMIFS(Таблица2[KO$],Таблица2[Date],B308)=0,"-",SUMIFS(Таблица2[KO$],Таблица2[Date],B308))</f>
        <v>-</v>
      </c>
      <c r="N308" s="76" t="str">
        <f>IF(SUMIFS(Таблица2[WIN$],Таблица2[Date],B308)=0,"-",SUMIFS(Таблица2[WIN$],Таблица2[Date],B308))</f>
        <v>-</v>
      </c>
      <c r="O308" s="78" t="str">
        <f t="shared" si="18"/>
        <v>-</v>
      </c>
    </row>
    <row r="309" spans="1:15" ht="11.1" customHeight="1" x14ac:dyDescent="0.25">
      <c r="A309" s="93">
        <f t="shared" si="19"/>
        <v>223</v>
      </c>
      <c r="B309" s="48"/>
      <c r="C309"/>
      <c r="D309" s="117">
        <f t="shared" si="15"/>
        <v>1900</v>
      </c>
      <c r="E309" s="117" t="str">
        <f>IF(COUNTIFS(Таблица2[Date],B309)+SUMIFS(Таблица2[R],Таблица2[Date],B309)=0,"",COUNTIFS(Таблица2[Date],B309)+SUMIFS(Таблица2[R],Таблица2[Date],B309))</f>
        <v/>
      </c>
      <c r="F309" s="76" t="str">
        <f>IF(SUMIFS(Таблица2[B$],Таблица2[Date],B309)=0,"-",SUMIFS(Таблица2[B$],Таблица2[Date],B309))</f>
        <v>-</v>
      </c>
      <c r="G309" s="77" t="str">
        <f t="shared" si="16"/>
        <v>-</v>
      </c>
      <c r="H309" s="77" t="str">
        <f>IFERROR(AVERAGEIFS(Таблица2[AFS],Таблица2[Date],B309)+(AVERAGEIFS(Таблица2[AFS],Таблица2[Date],B309)*0.2),"-")</f>
        <v>-</v>
      </c>
      <c r="I309" s="77" t="str">
        <f t="shared" si="17"/>
        <v>-</v>
      </c>
      <c r="J309" s="77" t="str">
        <f>IFERROR(COUNTIFS(Таблица2[Date],B309,Таблица2[WIN$],"&gt;0")/E309*100,"-")</f>
        <v>-</v>
      </c>
      <c r="K309" s="77" t="str">
        <f>IF(IFERROR((COUNTIFS(Таблица2[Date],B309,Таблица2[K],"K")+SUMIFS(Таблица2[R],#REF!,B309,Таблица2[K],"K"))/E309*100,"-")=0,"-",IFERROR((COUNTIFS(Таблица2[Date],B309,Таблица2[K],"K")+SUMIFS(Таблица2[R],Таблица2[Date],B309,Таблица2[K],"K"))/E309*100,"-"))</f>
        <v>-</v>
      </c>
      <c r="L309" s="76" t="str">
        <f>IF(IFERROR((COUNTIFS(Таблица2[Date],B309,Таблица2[T],"t")+SUMIFS(Таблица2[R],Таблица2[Date],B309,Таблица2[T],"t"))/E309*100,"-")=0,"-",IFERROR((COUNTIFS(Таблица2[Date],B309,Таблица2[T],"t")+SUMIFS(Таблица2[R],Таблица2[Date],B309,Таблица2[T],"t"))/E309*100,"-"))</f>
        <v>-</v>
      </c>
      <c r="M309" s="76" t="str">
        <f>IF(SUMIFS(Таблица2[KO$],Таблица2[Date],B309)=0,"-",SUMIFS(Таблица2[KO$],Таблица2[Date],B309))</f>
        <v>-</v>
      </c>
      <c r="N309" s="76" t="str">
        <f>IF(SUMIFS(Таблица2[WIN$],Таблица2[Date],B309)=0,"-",SUMIFS(Таблица2[WIN$],Таблица2[Date],B309))</f>
        <v>-</v>
      </c>
      <c r="O309" s="78" t="str">
        <f t="shared" si="18"/>
        <v>-</v>
      </c>
    </row>
    <row r="310" spans="1:15" ht="11.1" customHeight="1" x14ac:dyDescent="0.25">
      <c r="A310" s="93">
        <f t="shared" si="19"/>
        <v>224</v>
      </c>
      <c r="B310" s="48"/>
      <c r="C310"/>
      <c r="D310" s="117">
        <f t="shared" si="15"/>
        <v>1900</v>
      </c>
      <c r="E310" s="117" t="str">
        <f>IF(COUNTIFS(Таблица2[Date],B310)+SUMIFS(Таблица2[R],Таблица2[Date],B310)=0,"",COUNTIFS(Таблица2[Date],B310)+SUMIFS(Таблица2[R],Таблица2[Date],B310))</f>
        <v/>
      </c>
      <c r="F310" s="76" t="str">
        <f>IF(SUMIFS(Таблица2[B$],Таблица2[Date],B310)=0,"-",SUMIFS(Таблица2[B$],Таблица2[Date],B310))</f>
        <v>-</v>
      </c>
      <c r="G310" s="77" t="str">
        <f t="shared" si="16"/>
        <v>-</v>
      </c>
      <c r="H310" s="77" t="str">
        <f>IFERROR(AVERAGEIFS(Таблица2[AFS],Таблица2[Date],B310)+(AVERAGEIFS(Таблица2[AFS],Таблица2[Date],B310)*0.2),"-")</f>
        <v>-</v>
      </c>
      <c r="I310" s="77" t="str">
        <f t="shared" si="17"/>
        <v>-</v>
      </c>
      <c r="J310" s="77" t="str">
        <f>IFERROR(COUNTIFS(Таблица2[Date],B310,Таблица2[WIN$],"&gt;0")/E310*100,"-")</f>
        <v>-</v>
      </c>
      <c r="K310" s="77" t="str">
        <f>IF(IFERROR((COUNTIFS(Таблица2[Date],B310,Таблица2[K],"K")+SUMIFS(Таблица2[R],#REF!,B310,Таблица2[K],"K"))/E310*100,"-")=0,"-",IFERROR((COUNTIFS(Таблица2[Date],B310,Таблица2[K],"K")+SUMIFS(Таблица2[R],Таблица2[Date],B310,Таблица2[K],"K"))/E310*100,"-"))</f>
        <v>-</v>
      </c>
      <c r="L310" s="76" t="str">
        <f>IF(IFERROR((COUNTIFS(Таблица2[Date],B310,Таблица2[T],"t")+SUMIFS(Таблица2[R],Таблица2[Date],B310,Таблица2[T],"t"))/E310*100,"-")=0,"-",IFERROR((COUNTIFS(Таблица2[Date],B310,Таблица2[T],"t")+SUMIFS(Таблица2[R],Таблица2[Date],B310,Таблица2[T],"t"))/E310*100,"-"))</f>
        <v>-</v>
      </c>
      <c r="M310" s="76" t="str">
        <f>IF(SUMIFS(Таблица2[KO$],Таблица2[Date],B310)=0,"-",SUMIFS(Таблица2[KO$],Таблица2[Date],B310))</f>
        <v>-</v>
      </c>
      <c r="N310" s="76" t="str">
        <f>IF(SUMIFS(Таблица2[WIN$],Таблица2[Date],B310)=0,"-",SUMIFS(Таблица2[WIN$],Таблица2[Date],B310))</f>
        <v>-</v>
      </c>
      <c r="O310" s="78" t="str">
        <f t="shared" si="18"/>
        <v>-</v>
      </c>
    </row>
    <row r="311" spans="1:15" ht="11.1" customHeight="1" x14ac:dyDescent="0.25">
      <c r="A311" s="93">
        <f t="shared" si="19"/>
        <v>225</v>
      </c>
      <c r="B311" s="48"/>
      <c r="C311"/>
      <c r="D311" s="117">
        <f t="shared" si="15"/>
        <v>1900</v>
      </c>
      <c r="E311" s="117" t="str">
        <f>IF(COUNTIFS(Таблица2[Date],B311)+SUMIFS(Таблица2[R],Таблица2[Date],B311)=0,"",COUNTIFS(Таблица2[Date],B311)+SUMIFS(Таблица2[R],Таблица2[Date],B311))</f>
        <v/>
      </c>
      <c r="F311" s="76" t="str">
        <f>IF(SUMIFS(Таблица2[B$],Таблица2[Date],B311)=0,"-",SUMIFS(Таблица2[B$],Таблица2[Date],B311))</f>
        <v>-</v>
      </c>
      <c r="G311" s="77" t="str">
        <f t="shared" si="16"/>
        <v>-</v>
      </c>
      <c r="H311" s="77" t="str">
        <f>IFERROR(AVERAGEIFS(Таблица2[AFS],Таблица2[Date],B311)+(AVERAGEIFS(Таблица2[AFS],Таблица2[Date],B311)*0.2),"-")</f>
        <v>-</v>
      </c>
      <c r="I311" s="77" t="str">
        <f t="shared" si="17"/>
        <v>-</v>
      </c>
      <c r="J311" s="77" t="str">
        <f>IFERROR(COUNTIFS(Таблица2[Date],B311,Таблица2[WIN$],"&gt;0")/E311*100,"-")</f>
        <v>-</v>
      </c>
      <c r="K311" s="77" t="str">
        <f>IF(IFERROR((COUNTIFS(Таблица2[Date],B311,Таблица2[K],"K")+SUMIFS(Таблица2[R],#REF!,B311,Таблица2[K],"K"))/E311*100,"-")=0,"-",IFERROR((COUNTIFS(Таблица2[Date],B311,Таблица2[K],"K")+SUMIFS(Таблица2[R],Таблица2[Date],B311,Таблица2[K],"K"))/E311*100,"-"))</f>
        <v>-</v>
      </c>
      <c r="L311" s="76" t="str">
        <f>IF(IFERROR((COUNTIFS(Таблица2[Date],B311,Таблица2[T],"t")+SUMIFS(Таблица2[R],Таблица2[Date],B311,Таблица2[T],"t"))/E311*100,"-")=0,"-",IFERROR((COUNTIFS(Таблица2[Date],B311,Таблица2[T],"t")+SUMIFS(Таблица2[R],Таблица2[Date],B311,Таблица2[T],"t"))/E311*100,"-"))</f>
        <v>-</v>
      </c>
      <c r="M311" s="76" t="str">
        <f>IF(SUMIFS(Таблица2[KO$],Таблица2[Date],B311)=0,"-",SUMIFS(Таблица2[KO$],Таблица2[Date],B311))</f>
        <v>-</v>
      </c>
      <c r="N311" s="76" t="str">
        <f>IF(SUMIFS(Таблица2[WIN$],Таблица2[Date],B311)=0,"-",SUMIFS(Таблица2[WIN$],Таблица2[Date],B311))</f>
        <v>-</v>
      </c>
      <c r="O311" s="78" t="str">
        <f t="shared" si="18"/>
        <v>-</v>
      </c>
    </row>
    <row r="312" spans="1:15" ht="11.1" customHeight="1" x14ac:dyDescent="0.25">
      <c r="A312" s="93">
        <f t="shared" si="19"/>
        <v>226</v>
      </c>
      <c r="B312" s="48"/>
      <c r="C312"/>
      <c r="D312" s="117">
        <f t="shared" si="15"/>
        <v>1900</v>
      </c>
      <c r="E312" s="117" t="str">
        <f>IF(COUNTIFS(Таблица2[Date],B312)+SUMIFS(Таблица2[R],Таблица2[Date],B312)=0,"",COUNTIFS(Таблица2[Date],B312)+SUMIFS(Таблица2[R],Таблица2[Date],B312))</f>
        <v/>
      </c>
      <c r="F312" s="76" t="str">
        <f>IF(SUMIFS(Таблица2[B$],Таблица2[Date],B312)=0,"-",SUMIFS(Таблица2[B$],Таблица2[Date],B312))</f>
        <v>-</v>
      </c>
      <c r="G312" s="77" t="str">
        <f t="shared" si="16"/>
        <v>-</v>
      </c>
      <c r="H312" s="77" t="str">
        <f>IFERROR(AVERAGEIFS(Таблица2[AFS],Таблица2[Date],B312)+(AVERAGEIFS(Таблица2[AFS],Таблица2[Date],B312)*0.2),"-")</f>
        <v>-</v>
      </c>
      <c r="I312" s="77" t="str">
        <f t="shared" si="17"/>
        <v>-</v>
      </c>
      <c r="J312" s="77" t="str">
        <f>IFERROR(COUNTIFS(Таблица2[Date],B312,Таблица2[WIN$],"&gt;0")/E312*100,"-")</f>
        <v>-</v>
      </c>
      <c r="K312" s="77" t="str">
        <f>IF(IFERROR((COUNTIFS(Таблица2[Date],B312,Таблица2[K],"K")+SUMIFS(Таблица2[R],#REF!,B312,Таблица2[K],"K"))/E312*100,"-")=0,"-",IFERROR((COUNTIFS(Таблица2[Date],B312,Таблица2[K],"K")+SUMIFS(Таблица2[R],Таблица2[Date],B312,Таблица2[K],"K"))/E312*100,"-"))</f>
        <v>-</v>
      </c>
      <c r="L312" s="76" t="str">
        <f>IF(IFERROR((COUNTIFS(Таблица2[Date],B312,Таблица2[T],"t")+SUMIFS(Таблица2[R],Таблица2[Date],B312,Таблица2[T],"t"))/E312*100,"-")=0,"-",IFERROR((COUNTIFS(Таблица2[Date],B312,Таблица2[T],"t")+SUMIFS(Таблица2[R],Таблица2[Date],B312,Таблица2[T],"t"))/E312*100,"-"))</f>
        <v>-</v>
      </c>
      <c r="M312" s="76" t="str">
        <f>IF(SUMIFS(Таблица2[KO$],Таблица2[Date],B312)=0,"-",SUMIFS(Таблица2[KO$],Таблица2[Date],B312))</f>
        <v>-</v>
      </c>
      <c r="N312" s="76" t="str">
        <f>IF(SUMIFS(Таблица2[WIN$],Таблица2[Date],B312)=0,"-",SUMIFS(Таблица2[WIN$],Таблица2[Date],B312))</f>
        <v>-</v>
      </c>
      <c r="O312" s="78" t="str">
        <f t="shared" si="18"/>
        <v>-</v>
      </c>
    </row>
    <row r="313" spans="1:15" ht="11.1" customHeight="1" x14ac:dyDescent="0.25">
      <c r="A313" s="93">
        <f t="shared" si="19"/>
        <v>227</v>
      </c>
      <c r="B313" s="48"/>
      <c r="C313"/>
      <c r="D313" s="117">
        <f t="shared" si="15"/>
        <v>1900</v>
      </c>
      <c r="E313" s="117" t="str">
        <f>IF(COUNTIFS(Таблица2[Date],B313)+SUMIFS(Таблица2[R],Таблица2[Date],B313)=0,"",COUNTIFS(Таблица2[Date],B313)+SUMIFS(Таблица2[R],Таблица2[Date],B313))</f>
        <v/>
      </c>
      <c r="F313" s="76" t="str">
        <f>IF(SUMIFS(Таблица2[B$],Таблица2[Date],B313)=0,"-",SUMIFS(Таблица2[B$],Таблица2[Date],B313))</f>
        <v>-</v>
      </c>
      <c r="G313" s="77" t="str">
        <f t="shared" si="16"/>
        <v>-</v>
      </c>
      <c r="H313" s="77" t="str">
        <f>IFERROR(AVERAGEIFS(Таблица2[AFS],Таблица2[Date],B313)+(AVERAGEIFS(Таблица2[AFS],Таблица2[Date],B313)*0.2),"-")</f>
        <v>-</v>
      </c>
      <c r="I313" s="77" t="str">
        <f t="shared" si="17"/>
        <v>-</v>
      </c>
      <c r="J313" s="77" t="str">
        <f>IFERROR(COUNTIFS(Таблица2[Date],B313,Таблица2[WIN$],"&gt;0")/E313*100,"-")</f>
        <v>-</v>
      </c>
      <c r="K313" s="77" t="str">
        <f>IF(IFERROR((COUNTIFS(Таблица2[Date],B313,Таблица2[K],"K")+SUMIFS(Таблица2[R],#REF!,B313,Таблица2[K],"K"))/E313*100,"-")=0,"-",IFERROR((COUNTIFS(Таблица2[Date],B313,Таблица2[K],"K")+SUMIFS(Таблица2[R],Таблица2[Date],B313,Таблица2[K],"K"))/E313*100,"-"))</f>
        <v>-</v>
      </c>
      <c r="L313" s="76" t="str">
        <f>IF(IFERROR((COUNTIFS(Таблица2[Date],B313,Таблица2[T],"t")+SUMIFS(Таблица2[R],Таблица2[Date],B313,Таблица2[T],"t"))/E313*100,"-")=0,"-",IFERROR((COUNTIFS(Таблица2[Date],B313,Таблица2[T],"t")+SUMIFS(Таблица2[R],Таблица2[Date],B313,Таблица2[T],"t"))/E313*100,"-"))</f>
        <v>-</v>
      </c>
      <c r="M313" s="76" t="str">
        <f>IF(SUMIFS(Таблица2[KO$],Таблица2[Date],B313)=0,"-",SUMIFS(Таблица2[KO$],Таблица2[Date],B313))</f>
        <v>-</v>
      </c>
      <c r="N313" s="76" t="str">
        <f>IF(SUMIFS(Таблица2[WIN$],Таблица2[Date],B313)=0,"-",SUMIFS(Таблица2[WIN$],Таблица2[Date],B313))</f>
        <v>-</v>
      </c>
      <c r="O313" s="78" t="str">
        <f t="shared" si="18"/>
        <v>-</v>
      </c>
    </row>
    <row r="314" spans="1:15" ht="11.1" customHeight="1" x14ac:dyDescent="0.25">
      <c r="A314" s="93">
        <f t="shared" si="19"/>
        <v>228</v>
      </c>
      <c r="B314" s="48"/>
      <c r="C314"/>
      <c r="D314" s="117">
        <f t="shared" si="15"/>
        <v>1900</v>
      </c>
      <c r="E314" s="117" t="str">
        <f>IF(COUNTIFS(Таблица2[Date],B314)+SUMIFS(Таблица2[R],Таблица2[Date],B314)=0,"",COUNTIFS(Таблица2[Date],B314)+SUMIFS(Таблица2[R],Таблица2[Date],B314))</f>
        <v/>
      </c>
      <c r="F314" s="76" t="str">
        <f>IF(SUMIFS(Таблица2[B$],Таблица2[Date],B314)=0,"-",SUMIFS(Таблица2[B$],Таблица2[Date],B314))</f>
        <v>-</v>
      </c>
      <c r="G314" s="77" t="str">
        <f t="shared" si="16"/>
        <v>-</v>
      </c>
      <c r="H314" s="77" t="str">
        <f>IFERROR(AVERAGEIFS(Таблица2[AFS],Таблица2[Date],B314)+(AVERAGEIFS(Таблица2[AFS],Таблица2[Date],B314)*0.2),"-")</f>
        <v>-</v>
      </c>
      <c r="I314" s="77" t="str">
        <f t="shared" si="17"/>
        <v>-</v>
      </c>
      <c r="J314" s="77" t="str">
        <f>IFERROR(COUNTIFS(Таблица2[Date],B314,Таблица2[WIN$],"&gt;0")/E314*100,"-")</f>
        <v>-</v>
      </c>
      <c r="K314" s="77" t="str">
        <f>IF(IFERROR((COUNTIFS(Таблица2[Date],B314,Таблица2[K],"K")+SUMIFS(Таблица2[R],#REF!,B314,Таблица2[K],"K"))/E314*100,"-")=0,"-",IFERROR((COUNTIFS(Таблица2[Date],B314,Таблица2[K],"K")+SUMIFS(Таблица2[R],Таблица2[Date],B314,Таблица2[K],"K"))/E314*100,"-"))</f>
        <v>-</v>
      </c>
      <c r="L314" s="76" t="str">
        <f>IF(IFERROR((COUNTIFS(Таблица2[Date],B314,Таблица2[T],"t")+SUMIFS(Таблица2[R],Таблица2[Date],B314,Таблица2[T],"t"))/E314*100,"-")=0,"-",IFERROR((COUNTIFS(Таблица2[Date],B314,Таблица2[T],"t")+SUMIFS(Таблица2[R],Таблица2[Date],B314,Таблица2[T],"t"))/E314*100,"-"))</f>
        <v>-</v>
      </c>
      <c r="M314" s="76" t="str">
        <f>IF(SUMIFS(Таблица2[KO$],Таблица2[Date],B314)=0,"-",SUMIFS(Таблица2[KO$],Таблица2[Date],B314))</f>
        <v>-</v>
      </c>
      <c r="N314" s="76" t="str">
        <f>IF(SUMIFS(Таблица2[WIN$],Таблица2[Date],B314)=0,"-",SUMIFS(Таблица2[WIN$],Таблица2[Date],B314))</f>
        <v>-</v>
      </c>
      <c r="O314" s="78" t="str">
        <f t="shared" si="18"/>
        <v>-</v>
      </c>
    </row>
    <row r="315" spans="1:15" ht="11.1" customHeight="1" x14ac:dyDescent="0.25">
      <c r="A315" s="93">
        <f t="shared" si="19"/>
        <v>229</v>
      </c>
      <c r="B315" s="48"/>
      <c r="C315"/>
      <c r="D315" s="117">
        <f t="shared" si="15"/>
        <v>1900</v>
      </c>
      <c r="E315" s="117" t="str">
        <f>IF(COUNTIFS(Таблица2[Date],B315)+SUMIFS(Таблица2[R],Таблица2[Date],B315)=0,"",COUNTIFS(Таблица2[Date],B315)+SUMIFS(Таблица2[R],Таблица2[Date],B315))</f>
        <v/>
      </c>
      <c r="F315" s="76" t="str">
        <f>IF(SUMIFS(Таблица2[B$],Таблица2[Date],B315)=0,"-",SUMIFS(Таблица2[B$],Таблица2[Date],B315))</f>
        <v>-</v>
      </c>
      <c r="G315" s="77" t="str">
        <f t="shared" si="16"/>
        <v>-</v>
      </c>
      <c r="H315" s="77" t="str">
        <f>IFERROR(AVERAGEIFS(Таблица2[AFS],Таблица2[Date],B315)+(AVERAGEIFS(Таблица2[AFS],Таблица2[Date],B315)*0.2),"-")</f>
        <v>-</v>
      </c>
      <c r="I315" s="77" t="str">
        <f t="shared" si="17"/>
        <v>-</v>
      </c>
      <c r="J315" s="77" t="str">
        <f>IFERROR(COUNTIFS(Таблица2[Date],B315,Таблица2[WIN$],"&gt;0")/E315*100,"-")</f>
        <v>-</v>
      </c>
      <c r="K315" s="77" t="str">
        <f>IF(IFERROR((COUNTIFS(Таблица2[Date],B315,Таблица2[K],"K")+SUMIFS(Таблица2[R],#REF!,B315,Таблица2[K],"K"))/E315*100,"-")=0,"-",IFERROR((COUNTIFS(Таблица2[Date],B315,Таблица2[K],"K")+SUMIFS(Таблица2[R],Таблица2[Date],B315,Таблица2[K],"K"))/E315*100,"-"))</f>
        <v>-</v>
      </c>
      <c r="L315" s="76" t="str">
        <f>IF(IFERROR((COUNTIFS(Таблица2[Date],B315,Таблица2[T],"t")+SUMIFS(Таблица2[R],Таблица2[Date],B315,Таблица2[T],"t"))/E315*100,"-")=0,"-",IFERROR((COUNTIFS(Таблица2[Date],B315,Таблица2[T],"t")+SUMIFS(Таблица2[R],Таблица2[Date],B315,Таблица2[T],"t"))/E315*100,"-"))</f>
        <v>-</v>
      </c>
      <c r="M315" s="76" t="str">
        <f>IF(SUMIFS(Таблица2[KO$],Таблица2[Date],B315)=0,"-",SUMIFS(Таблица2[KO$],Таблица2[Date],B315))</f>
        <v>-</v>
      </c>
      <c r="N315" s="76" t="str">
        <f>IF(SUMIFS(Таблица2[WIN$],Таблица2[Date],B315)=0,"-",SUMIFS(Таблица2[WIN$],Таблица2[Date],B315))</f>
        <v>-</v>
      </c>
      <c r="O315" s="78" t="str">
        <f t="shared" si="18"/>
        <v>-</v>
      </c>
    </row>
    <row r="316" spans="1:15" ht="11.1" customHeight="1" x14ac:dyDescent="0.25">
      <c r="A316" s="93">
        <f t="shared" si="19"/>
        <v>230</v>
      </c>
      <c r="B316" s="48"/>
      <c r="C316"/>
      <c r="D316" s="117">
        <f t="shared" si="15"/>
        <v>1900</v>
      </c>
      <c r="E316" s="117" t="str">
        <f>IF(COUNTIFS(Таблица2[Date],B316)+SUMIFS(Таблица2[R],Таблица2[Date],B316)=0,"",COUNTIFS(Таблица2[Date],B316)+SUMIFS(Таблица2[R],Таблица2[Date],B316))</f>
        <v/>
      </c>
      <c r="F316" s="76" t="str">
        <f>IF(SUMIFS(Таблица2[B$],Таблица2[Date],B316)=0,"-",SUMIFS(Таблица2[B$],Таблица2[Date],B316))</f>
        <v>-</v>
      </c>
      <c r="G316" s="77" t="str">
        <f t="shared" si="16"/>
        <v>-</v>
      </c>
      <c r="H316" s="77" t="str">
        <f>IFERROR(AVERAGEIFS(Таблица2[AFS],Таблица2[Date],B316)+(AVERAGEIFS(Таблица2[AFS],Таблица2[Date],B316)*0.2),"-")</f>
        <v>-</v>
      </c>
      <c r="I316" s="77" t="str">
        <f t="shared" si="17"/>
        <v>-</v>
      </c>
      <c r="J316" s="77" t="str">
        <f>IFERROR(COUNTIFS(Таблица2[Date],B316,Таблица2[WIN$],"&gt;0")/E316*100,"-")</f>
        <v>-</v>
      </c>
      <c r="K316" s="77" t="str">
        <f>IF(IFERROR((COUNTIFS(Таблица2[Date],B316,Таблица2[K],"K")+SUMIFS(Таблица2[R],#REF!,B316,Таблица2[K],"K"))/E316*100,"-")=0,"-",IFERROR((COUNTIFS(Таблица2[Date],B316,Таблица2[K],"K")+SUMIFS(Таблица2[R],Таблица2[Date],B316,Таблица2[K],"K"))/E316*100,"-"))</f>
        <v>-</v>
      </c>
      <c r="L316" s="76" t="str">
        <f>IF(IFERROR((COUNTIFS(Таблица2[Date],B316,Таблица2[T],"t")+SUMIFS(Таблица2[R],Таблица2[Date],B316,Таблица2[T],"t"))/E316*100,"-")=0,"-",IFERROR((COUNTIFS(Таблица2[Date],B316,Таблица2[T],"t")+SUMIFS(Таблица2[R],Таблица2[Date],B316,Таблица2[T],"t"))/E316*100,"-"))</f>
        <v>-</v>
      </c>
      <c r="M316" s="76" t="str">
        <f>IF(SUMIFS(Таблица2[KO$],Таблица2[Date],B316)=0,"-",SUMIFS(Таблица2[KO$],Таблица2[Date],B316))</f>
        <v>-</v>
      </c>
      <c r="N316" s="76" t="str">
        <f>IF(SUMIFS(Таблица2[WIN$],Таблица2[Date],B316)=0,"-",SUMIFS(Таблица2[WIN$],Таблица2[Date],B316))</f>
        <v>-</v>
      </c>
      <c r="O316" s="78" t="str">
        <f t="shared" si="18"/>
        <v>-</v>
      </c>
    </row>
    <row r="317" spans="1:15" ht="11.1" customHeight="1" x14ac:dyDescent="0.25">
      <c r="A317" s="93">
        <f t="shared" si="19"/>
        <v>231</v>
      </c>
      <c r="B317" s="48"/>
      <c r="C317"/>
      <c r="D317" s="117">
        <f t="shared" si="15"/>
        <v>1900</v>
      </c>
      <c r="E317" s="117" t="str">
        <f>IF(COUNTIFS(Таблица2[Date],B317)+SUMIFS(Таблица2[R],Таблица2[Date],B317)=0,"",COUNTIFS(Таблица2[Date],B317)+SUMIFS(Таблица2[R],Таблица2[Date],B317))</f>
        <v/>
      </c>
      <c r="F317" s="76" t="str">
        <f>IF(SUMIFS(Таблица2[B$],Таблица2[Date],B317)=0,"-",SUMIFS(Таблица2[B$],Таблица2[Date],B317))</f>
        <v>-</v>
      </c>
      <c r="G317" s="77" t="str">
        <f t="shared" si="16"/>
        <v>-</v>
      </c>
      <c r="H317" s="77" t="str">
        <f>IFERROR(AVERAGEIFS(Таблица2[AFS],Таблица2[Date],B317)+(AVERAGEIFS(Таблица2[AFS],Таблица2[Date],B317)*0.2),"-")</f>
        <v>-</v>
      </c>
      <c r="I317" s="77" t="str">
        <f t="shared" si="17"/>
        <v>-</v>
      </c>
      <c r="J317" s="77" t="str">
        <f>IFERROR(COUNTIFS(Таблица2[Date],B317,Таблица2[WIN$],"&gt;0")/E317*100,"-")</f>
        <v>-</v>
      </c>
      <c r="K317" s="77" t="str">
        <f>IF(IFERROR((COUNTIFS(Таблица2[Date],B317,Таблица2[K],"K")+SUMIFS(Таблица2[R],#REF!,B317,Таблица2[K],"K"))/E317*100,"-")=0,"-",IFERROR((COUNTIFS(Таблица2[Date],B317,Таблица2[K],"K")+SUMIFS(Таблица2[R],Таблица2[Date],B317,Таблица2[K],"K"))/E317*100,"-"))</f>
        <v>-</v>
      </c>
      <c r="L317" s="76" t="str">
        <f>IF(IFERROR((COUNTIFS(Таблица2[Date],B317,Таблица2[T],"t")+SUMIFS(Таблица2[R],Таблица2[Date],B317,Таблица2[T],"t"))/E317*100,"-")=0,"-",IFERROR((COUNTIFS(Таблица2[Date],B317,Таблица2[T],"t")+SUMIFS(Таблица2[R],Таблица2[Date],B317,Таблица2[T],"t"))/E317*100,"-"))</f>
        <v>-</v>
      </c>
      <c r="M317" s="76" t="str">
        <f>IF(SUMIFS(Таблица2[KO$],Таблица2[Date],B317)=0,"-",SUMIFS(Таблица2[KO$],Таблица2[Date],B317))</f>
        <v>-</v>
      </c>
      <c r="N317" s="76" t="str">
        <f>IF(SUMIFS(Таблица2[WIN$],Таблица2[Date],B317)=0,"-",SUMIFS(Таблица2[WIN$],Таблица2[Date],B317))</f>
        <v>-</v>
      </c>
      <c r="O317" s="78" t="str">
        <f t="shared" si="18"/>
        <v>-</v>
      </c>
    </row>
    <row r="318" spans="1:15" ht="11.1" customHeight="1" x14ac:dyDescent="0.25">
      <c r="A318" s="93">
        <f t="shared" si="19"/>
        <v>232</v>
      </c>
      <c r="B318" s="48"/>
      <c r="C318"/>
      <c r="D318" s="117">
        <f t="shared" si="15"/>
        <v>1900</v>
      </c>
      <c r="E318" s="117" t="str">
        <f>IF(COUNTIFS(Таблица2[Date],B318)+SUMIFS(Таблица2[R],Таблица2[Date],B318)=0,"",COUNTIFS(Таблица2[Date],B318)+SUMIFS(Таблица2[R],Таблица2[Date],B318))</f>
        <v/>
      </c>
      <c r="F318" s="76" t="str">
        <f>IF(SUMIFS(Таблица2[B$],Таблица2[Date],B318)=0,"-",SUMIFS(Таблица2[B$],Таблица2[Date],B318))</f>
        <v>-</v>
      </c>
      <c r="G318" s="77" t="str">
        <f t="shared" si="16"/>
        <v>-</v>
      </c>
      <c r="H318" s="77" t="str">
        <f>IFERROR(AVERAGEIFS(Таблица2[AFS],Таблица2[Date],B318)+(AVERAGEIFS(Таблица2[AFS],Таблица2[Date],B318)*0.2),"-")</f>
        <v>-</v>
      </c>
      <c r="I318" s="77" t="str">
        <f t="shared" si="17"/>
        <v>-</v>
      </c>
      <c r="J318" s="77" t="str">
        <f>IFERROR(COUNTIFS(Таблица2[Date],B318,Таблица2[WIN$],"&gt;0")/E318*100,"-")</f>
        <v>-</v>
      </c>
      <c r="K318" s="77" t="str">
        <f>IF(IFERROR((COUNTIFS(Таблица2[Date],B318,Таблица2[K],"K")+SUMIFS(Таблица2[R],#REF!,B318,Таблица2[K],"K"))/E318*100,"-")=0,"-",IFERROR((COUNTIFS(Таблица2[Date],B318,Таблица2[K],"K")+SUMIFS(Таблица2[R],Таблица2[Date],B318,Таблица2[K],"K"))/E318*100,"-"))</f>
        <v>-</v>
      </c>
      <c r="L318" s="76" t="str">
        <f>IF(IFERROR((COUNTIFS(Таблица2[Date],B318,Таблица2[T],"t")+SUMIFS(Таблица2[R],Таблица2[Date],B318,Таблица2[T],"t"))/E318*100,"-")=0,"-",IFERROR((COUNTIFS(Таблица2[Date],B318,Таблица2[T],"t")+SUMIFS(Таблица2[R],Таблица2[Date],B318,Таблица2[T],"t"))/E318*100,"-"))</f>
        <v>-</v>
      </c>
      <c r="M318" s="76" t="str">
        <f>IF(SUMIFS(Таблица2[KO$],Таблица2[Date],B318)=0,"-",SUMIFS(Таблица2[KO$],Таблица2[Date],B318))</f>
        <v>-</v>
      </c>
      <c r="N318" s="76" t="str">
        <f>IF(SUMIFS(Таблица2[WIN$],Таблица2[Date],B318)=0,"-",SUMIFS(Таблица2[WIN$],Таблица2[Date],B318))</f>
        <v>-</v>
      </c>
      <c r="O318" s="78" t="str">
        <f t="shared" si="18"/>
        <v>-</v>
      </c>
    </row>
    <row r="319" spans="1:15" ht="11.1" customHeight="1" x14ac:dyDescent="0.25">
      <c r="A319" s="93">
        <f t="shared" si="19"/>
        <v>233</v>
      </c>
      <c r="B319" s="48"/>
      <c r="C319"/>
      <c r="D319" s="117">
        <f t="shared" si="15"/>
        <v>1900</v>
      </c>
      <c r="E319" s="117" t="str">
        <f>IF(COUNTIFS(Таблица2[Date],B319)+SUMIFS(Таблица2[R],Таблица2[Date],B319)=0,"",COUNTIFS(Таблица2[Date],B319)+SUMIFS(Таблица2[R],Таблица2[Date],B319))</f>
        <v/>
      </c>
      <c r="F319" s="76" t="str">
        <f>IF(SUMIFS(Таблица2[B$],Таблица2[Date],B319)=0,"-",SUMIFS(Таблица2[B$],Таблица2[Date],B319))</f>
        <v>-</v>
      </c>
      <c r="G319" s="77" t="str">
        <f t="shared" si="16"/>
        <v>-</v>
      </c>
      <c r="H319" s="77" t="str">
        <f>IFERROR(AVERAGEIFS(Таблица2[AFS],Таблица2[Date],B319)+(AVERAGEIFS(Таблица2[AFS],Таблица2[Date],B319)*0.2),"-")</f>
        <v>-</v>
      </c>
      <c r="I319" s="77" t="str">
        <f t="shared" si="17"/>
        <v>-</v>
      </c>
      <c r="J319" s="77" t="str">
        <f>IFERROR(COUNTIFS(Таблица2[Date],B319,Таблица2[WIN$],"&gt;0")/E319*100,"-")</f>
        <v>-</v>
      </c>
      <c r="K319" s="77" t="str">
        <f>IF(IFERROR((COUNTIFS(Таблица2[Date],B319,Таблица2[K],"K")+SUMIFS(Таблица2[R],#REF!,B319,Таблица2[K],"K"))/E319*100,"-")=0,"-",IFERROR((COUNTIFS(Таблица2[Date],B319,Таблица2[K],"K")+SUMIFS(Таблица2[R],Таблица2[Date],B319,Таблица2[K],"K"))/E319*100,"-"))</f>
        <v>-</v>
      </c>
      <c r="L319" s="76" t="str">
        <f>IF(IFERROR((COUNTIFS(Таблица2[Date],B319,Таблица2[T],"t")+SUMIFS(Таблица2[R],Таблица2[Date],B319,Таблица2[T],"t"))/E319*100,"-")=0,"-",IFERROR((COUNTIFS(Таблица2[Date],B319,Таблица2[T],"t")+SUMIFS(Таблица2[R],Таблица2[Date],B319,Таблица2[T],"t"))/E319*100,"-"))</f>
        <v>-</v>
      </c>
      <c r="M319" s="76" t="str">
        <f>IF(SUMIFS(Таблица2[KO$],Таблица2[Date],B319)=0,"-",SUMIFS(Таблица2[KO$],Таблица2[Date],B319))</f>
        <v>-</v>
      </c>
      <c r="N319" s="76" t="str">
        <f>IF(SUMIFS(Таблица2[WIN$],Таблица2[Date],B319)=0,"-",SUMIFS(Таблица2[WIN$],Таблица2[Date],B319))</f>
        <v>-</v>
      </c>
      <c r="O319" s="78" t="str">
        <f t="shared" si="18"/>
        <v>-</v>
      </c>
    </row>
    <row r="320" spans="1:15" ht="11.1" customHeight="1" x14ac:dyDescent="0.25">
      <c r="A320" s="93">
        <f t="shared" si="19"/>
        <v>234</v>
      </c>
      <c r="B320" s="48"/>
      <c r="C320"/>
      <c r="D320" s="117">
        <f t="shared" si="15"/>
        <v>1900</v>
      </c>
      <c r="E320" s="117" t="str">
        <f>IF(COUNTIFS(Таблица2[Date],B320)+SUMIFS(Таблица2[R],Таблица2[Date],B320)=0,"",COUNTIFS(Таблица2[Date],B320)+SUMIFS(Таблица2[R],Таблица2[Date],B320))</f>
        <v/>
      </c>
      <c r="F320" s="76" t="str">
        <f>IF(SUMIFS(Таблица2[B$],Таблица2[Date],B320)=0,"-",SUMIFS(Таблица2[B$],Таблица2[Date],B320))</f>
        <v>-</v>
      </c>
      <c r="G320" s="77" t="str">
        <f t="shared" si="16"/>
        <v>-</v>
      </c>
      <c r="H320" s="77" t="str">
        <f>IFERROR(AVERAGEIFS(Таблица2[AFS],Таблица2[Date],B320)+(AVERAGEIFS(Таблица2[AFS],Таблица2[Date],B320)*0.2),"-")</f>
        <v>-</v>
      </c>
      <c r="I320" s="77" t="str">
        <f t="shared" si="17"/>
        <v>-</v>
      </c>
      <c r="J320" s="77" t="str">
        <f>IFERROR(COUNTIFS(Таблица2[Date],B320,Таблица2[WIN$],"&gt;0")/E320*100,"-")</f>
        <v>-</v>
      </c>
      <c r="K320" s="77" t="str">
        <f>IF(IFERROR((COUNTIFS(Таблица2[Date],B320,Таблица2[K],"K")+SUMIFS(Таблица2[R],#REF!,B320,Таблица2[K],"K"))/E320*100,"-")=0,"-",IFERROR((COUNTIFS(Таблица2[Date],B320,Таблица2[K],"K")+SUMIFS(Таблица2[R],Таблица2[Date],B320,Таблица2[K],"K"))/E320*100,"-"))</f>
        <v>-</v>
      </c>
      <c r="L320" s="76" t="str">
        <f>IF(IFERROR((COUNTIFS(Таблица2[Date],B320,Таблица2[T],"t")+SUMIFS(Таблица2[R],Таблица2[Date],B320,Таблица2[T],"t"))/E320*100,"-")=0,"-",IFERROR((COUNTIFS(Таблица2[Date],B320,Таблица2[T],"t")+SUMIFS(Таблица2[R],Таблица2[Date],B320,Таблица2[T],"t"))/E320*100,"-"))</f>
        <v>-</v>
      </c>
      <c r="M320" s="76" t="str">
        <f>IF(SUMIFS(Таблица2[KO$],Таблица2[Date],B320)=0,"-",SUMIFS(Таблица2[KO$],Таблица2[Date],B320))</f>
        <v>-</v>
      </c>
      <c r="N320" s="76" t="str">
        <f>IF(SUMIFS(Таблица2[WIN$],Таблица2[Date],B320)=0,"-",SUMIFS(Таблица2[WIN$],Таблица2[Date],B320))</f>
        <v>-</v>
      </c>
      <c r="O320" s="78" t="str">
        <f t="shared" si="18"/>
        <v>-</v>
      </c>
    </row>
    <row r="321" spans="1:15" ht="11.1" customHeight="1" x14ac:dyDescent="0.25">
      <c r="A321" s="93">
        <f t="shared" si="19"/>
        <v>235</v>
      </c>
      <c r="B321" s="48"/>
      <c r="C321"/>
      <c r="D321" s="117">
        <f t="shared" si="15"/>
        <v>1900</v>
      </c>
      <c r="E321" s="117" t="str">
        <f>IF(COUNTIFS(Таблица2[Date],B321)+SUMIFS(Таблица2[R],Таблица2[Date],B321)=0,"",COUNTIFS(Таблица2[Date],B321)+SUMIFS(Таблица2[R],Таблица2[Date],B321))</f>
        <v/>
      </c>
      <c r="F321" s="76" t="str">
        <f>IF(SUMIFS(Таблица2[B$],Таблица2[Date],B321)=0,"-",SUMIFS(Таблица2[B$],Таблица2[Date],B321))</f>
        <v>-</v>
      </c>
      <c r="G321" s="77" t="str">
        <f t="shared" si="16"/>
        <v>-</v>
      </c>
      <c r="H321" s="77" t="str">
        <f>IFERROR(AVERAGEIFS(Таблица2[AFS],Таблица2[Date],B321)+(AVERAGEIFS(Таблица2[AFS],Таблица2[Date],B321)*0.2),"-")</f>
        <v>-</v>
      </c>
      <c r="I321" s="77" t="str">
        <f t="shared" si="17"/>
        <v>-</v>
      </c>
      <c r="J321" s="77" t="str">
        <f>IFERROR(COUNTIFS(Таблица2[Date],B321,Таблица2[WIN$],"&gt;0")/E321*100,"-")</f>
        <v>-</v>
      </c>
      <c r="K321" s="77" t="str">
        <f>IF(IFERROR((COUNTIFS(Таблица2[Date],B321,Таблица2[K],"K")+SUMIFS(Таблица2[R],#REF!,B321,Таблица2[K],"K"))/E321*100,"-")=0,"-",IFERROR((COUNTIFS(Таблица2[Date],B321,Таблица2[K],"K")+SUMIFS(Таблица2[R],Таблица2[Date],B321,Таблица2[K],"K"))/E321*100,"-"))</f>
        <v>-</v>
      </c>
      <c r="L321" s="76" t="str">
        <f>IF(IFERROR((COUNTIFS(Таблица2[Date],B321,Таблица2[T],"t")+SUMIFS(Таблица2[R],Таблица2[Date],B321,Таблица2[T],"t"))/E321*100,"-")=0,"-",IFERROR((COUNTIFS(Таблица2[Date],B321,Таблица2[T],"t")+SUMIFS(Таблица2[R],Таблица2[Date],B321,Таблица2[T],"t"))/E321*100,"-"))</f>
        <v>-</v>
      </c>
      <c r="M321" s="76" t="str">
        <f>IF(SUMIFS(Таблица2[KO$],Таблица2[Date],B321)=0,"-",SUMIFS(Таблица2[KO$],Таблица2[Date],B321))</f>
        <v>-</v>
      </c>
      <c r="N321" s="76" t="str">
        <f>IF(SUMIFS(Таблица2[WIN$],Таблица2[Date],B321)=0,"-",SUMIFS(Таблица2[WIN$],Таблица2[Date],B321))</f>
        <v>-</v>
      </c>
      <c r="O321" s="78" t="str">
        <f t="shared" si="18"/>
        <v>-</v>
      </c>
    </row>
    <row r="322" spans="1:15" ht="11.1" customHeight="1" x14ac:dyDescent="0.25">
      <c r="A322" s="93">
        <f t="shared" si="19"/>
        <v>236</v>
      </c>
      <c r="B322" s="48"/>
      <c r="C322"/>
      <c r="D322" s="117">
        <f t="shared" si="15"/>
        <v>1900</v>
      </c>
      <c r="E322" s="117" t="str">
        <f>IF(COUNTIFS(Таблица2[Date],B322)+SUMIFS(Таблица2[R],Таблица2[Date],B322)=0,"",COUNTIFS(Таблица2[Date],B322)+SUMIFS(Таблица2[R],Таблица2[Date],B322))</f>
        <v/>
      </c>
      <c r="F322" s="76" t="str">
        <f>IF(SUMIFS(Таблица2[B$],Таблица2[Date],B322)=0,"-",SUMIFS(Таблица2[B$],Таблица2[Date],B322))</f>
        <v>-</v>
      </c>
      <c r="G322" s="77" t="str">
        <f t="shared" si="16"/>
        <v>-</v>
      </c>
      <c r="H322" s="77" t="str">
        <f>IFERROR(AVERAGEIFS(Таблица2[AFS],Таблица2[Date],B322)+(AVERAGEIFS(Таблица2[AFS],Таблица2[Date],B322)*0.2),"-")</f>
        <v>-</v>
      </c>
      <c r="I322" s="77" t="str">
        <f t="shared" si="17"/>
        <v>-</v>
      </c>
      <c r="J322" s="77" t="str">
        <f>IFERROR(COUNTIFS(Таблица2[Date],B322,Таблица2[WIN$],"&gt;0")/E322*100,"-")</f>
        <v>-</v>
      </c>
      <c r="K322" s="77" t="str">
        <f>IF(IFERROR((COUNTIFS(Таблица2[Date],B322,Таблица2[K],"K")+SUMIFS(Таблица2[R],#REF!,B322,Таблица2[K],"K"))/E322*100,"-")=0,"-",IFERROR((COUNTIFS(Таблица2[Date],B322,Таблица2[K],"K")+SUMIFS(Таблица2[R],Таблица2[Date],B322,Таблица2[K],"K"))/E322*100,"-"))</f>
        <v>-</v>
      </c>
      <c r="L322" s="76" t="str">
        <f>IF(IFERROR((COUNTIFS(Таблица2[Date],B322,Таблица2[T],"t")+SUMIFS(Таблица2[R],Таблица2[Date],B322,Таблица2[T],"t"))/E322*100,"-")=0,"-",IFERROR((COUNTIFS(Таблица2[Date],B322,Таблица2[T],"t")+SUMIFS(Таблица2[R],Таблица2[Date],B322,Таблица2[T],"t"))/E322*100,"-"))</f>
        <v>-</v>
      </c>
      <c r="M322" s="76" t="str">
        <f>IF(SUMIFS(Таблица2[KO$],Таблица2[Date],B322)=0,"-",SUMIFS(Таблица2[KO$],Таблица2[Date],B322))</f>
        <v>-</v>
      </c>
      <c r="N322" s="76" t="str">
        <f>IF(SUMIFS(Таблица2[WIN$],Таблица2[Date],B322)=0,"-",SUMIFS(Таблица2[WIN$],Таблица2[Date],B322))</f>
        <v>-</v>
      </c>
      <c r="O322" s="78" t="str">
        <f t="shared" si="18"/>
        <v>-</v>
      </c>
    </row>
    <row r="323" spans="1:15" ht="11.1" customHeight="1" x14ac:dyDescent="0.25">
      <c r="A323" s="93">
        <f t="shared" si="19"/>
        <v>237</v>
      </c>
      <c r="B323" s="48"/>
      <c r="C323"/>
      <c r="D323" s="117">
        <f t="shared" si="15"/>
        <v>1900</v>
      </c>
      <c r="E323" s="117" t="str">
        <f>IF(COUNTIFS(Таблица2[Date],B323)+SUMIFS(Таблица2[R],Таблица2[Date],B323)=0,"",COUNTIFS(Таблица2[Date],B323)+SUMIFS(Таблица2[R],Таблица2[Date],B323))</f>
        <v/>
      </c>
      <c r="F323" s="76" t="str">
        <f>IF(SUMIFS(Таблица2[B$],Таблица2[Date],B323)=0,"-",SUMIFS(Таблица2[B$],Таблица2[Date],B323))</f>
        <v>-</v>
      </c>
      <c r="G323" s="77" t="str">
        <f t="shared" si="16"/>
        <v>-</v>
      </c>
      <c r="H323" s="77" t="str">
        <f>IFERROR(AVERAGEIFS(Таблица2[AFS],Таблица2[Date],B323)+(AVERAGEIFS(Таблица2[AFS],Таблица2[Date],B323)*0.2),"-")</f>
        <v>-</v>
      </c>
      <c r="I323" s="77" t="str">
        <f t="shared" si="17"/>
        <v>-</v>
      </c>
      <c r="J323" s="77" t="str">
        <f>IFERROR(COUNTIFS(Таблица2[Date],B323,Таблица2[WIN$],"&gt;0")/E323*100,"-")</f>
        <v>-</v>
      </c>
      <c r="K323" s="77" t="str">
        <f>IF(IFERROR((COUNTIFS(Таблица2[Date],B323,Таблица2[K],"K")+SUMIFS(Таблица2[R],#REF!,B323,Таблица2[K],"K"))/E323*100,"-")=0,"-",IFERROR((COUNTIFS(Таблица2[Date],B323,Таблица2[K],"K")+SUMIFS(Таблица2[R],Таблица2[Date],B323,Таблица2[K],"K"))/E323*100,"-"))</f>
        <v>-</v>
      </c>
      <c r="L323" s="76" t="str">
        <f>IF(IFERROR((COUNTIFS(Таблица2[Date],B323,Таблица2[T],"t")+SUMIFS(Таблица2[R],Таблица2[Date],B323,Таблица2[T],"t"))/E323*100,"-")=0,"-",IFERROR((COUNTIFS(Таблица2[Date],B323,Таблица2[T],"t")+SUMIFS(Таблица2[R],Таблица2[Date],B323,Таблица2[T],"t"))/E323*100,"-"))</f>
        <v>-</v>
      </c>
      <c r="M323" s="76" t="str">
        <f>IF(SUMIFS(Таблица2[KO$],Таблица2[Date],B323)=0,"-",SUMIFS(Таблица2[KO$],Таблица2[Date],B323))</f>
        <v>-</v>
      </c>
      <c r="N323" s="76" t="str">
        <f>IF(SUMIFS(Таблица2[WIN$],Таблица2[Date],B323)=0,"-",SUMIFS(Таблица2[WIN$],Таблица2[Date],B323))</f>
        <v>-</v>
      </c>
      <c r="O323" s="78" t="str">
        <f t="shared" si="18"/>
        <v>-</v>
      </c>
    </row>
    <row r="324" spans="1:15" ht="11.1" customHeight="1" x14ac:dyDescent="0.25">
      <c r="A324" s="93">
        <f t="shared" si="19"/>
        <v>238</v>
      </c>
      <c r="B324" s="48"/>
      <c r="C324"/>
      <c r="D324" s="117">
        <f t="shared" si="15"/>
        <v>1900</v>
      </c>
      <c r="E324" s="117" t="str">
        <f>IF(COUNTIFS(Таблица2[Date],B324)+SUMIFS(Таблица2[R],Таблица2[Date],B324)=0,"",COUNTIFS(Таблица2[Date],B324)+SUMIFS(Таблица2[R],Таблица2[Date],B324))</f>
        <v/>
      </c>
      <c r="F324" s="76" t="str">
        <f>IF(SUMIFS(Таблица2[B$],Таблица2[Date],B324)=0,"-",SUMIFS(Таблица2[B$],Таблица2[Date],B324))</f>
        <v>-</v>
      </c>
      <c r="G324" s="77" t="str">
        <f t="shared" si="16"/>
        <v>-</v>
      </c>
      <c r="H324" s="77" t="str">
        <f>IFERROR(AVERAGEIFS(Таблица2[AFS],Таблица2[Date],B324)+(AVERAGEIFS(Таблица2[AFS],Таблица2[Date],B324)*0.2),"-")</f>
        <v>-</v>
      </c>
      <c r="I324" s="77" t="str">
        <f t="shared" si="17"/>
        <v>-</v>
      </c>
      <c r="J324" s="77" t="str">
        <f>IFERROR(COUNTIFS(Таблица2[Date],B324,Таблица2[WIN$],"&gt;0")/E324*100,"-")</f>
        <v>-</v>
      </c>
      <c r="K324" s="77" t="str">
        <f>IF(IFERROR((COUNTIFS(Таблица2[Date],B324,Таблица2[K],"K")+SUMIFS(Таблица2[R],#REF!,B324,Таблица2[K],"K"))/E324*100,"-")=0,"-",IFERROR((COUNTIFS(Таблица2[Date],B324,Таблица2[K],"K")+SUMIFS(Таблица2[R],Таблица2[Date],B324,Таблица2[K],"K"))/E324*100,"-"))</f>
        <v>-</v>
      </c>
      <c r="L324" s="76" t="str">
        <f>IF(IFERROR((COUNTIFS(Таблица2[Date],B324,Таблица2[T],"t")+SUMIFS(Таблица2[R],Таблица2[Date],B324,Таблица2[T],"t"))/E324*100,"-")=0,"-",IFERROR((COUNTIFS(Таблица2[Date],B324,Таблица2[T],"t")+SUMIFS(Таблица2[R],Таблица2[Date],B324,Таблица2[T],"t"))/E324*100,"-"))</f>
        <v>-</v>
      </c>
      <c r="M324" s="76" t="str">
        <f>IF(SUMIFS(Таблица2[KO$],Таблица2[Date],B324)=0,"-",SUMIFS(Таблица2[KO$],Таблица2[Date],B324))</f>
        <v>-</v>
      </c>
      <c r="N324" s="76" t="str">
        <f>IF(SUMIFS(Таблица2[WIN$],Таблица2[Date],B324)=0,"-",SUMIFS(Таблица2[WIN$],Таблица2[Date],B324))</f>
        <v>-</v>
      </c>
      <c r="O324" s="78" t="str">
        <f t="shared" si="18"/>
        <v>-</v>
      </c>
    </row>
    <row r="325" spans="1:15" ht="11.1" customHeight="1" x14ac:dyDescent="0.25">
      <c r="A325" s="93">
        <f t="shared" si="19"/>
        <v>239</v>
      </c>
      <c r="B325" s="48"/>
      <c r="C325"/>
      <c r="D325" s="117">
        <f t="shared" si="15"/>
        <v>1900</v>
      </c>
      <c r="E325" s="117" t="str">
        <f>IF(COUNTIFS(Таблица2[Date],B325)+SUMIFS(Таблица2[R],Таблица2[Date],B325)=0,"",COUNTIFS(Таблица2[Date],B325)+SUMIFS(Таблица2[R],Таблица2[Date],B325))</f>
        <v/>
      </c>
      <c r="F325" s="76" t="str">
        <f>IF(SUMIFS(Таблица2[B$],Таблица2[Date],B325)=0,"-",SUMIFS(Таблица2[B$],Таблица2[Date],B325))</f>
        <v>-</v>
      </c>
      <c r="G325" s="77" t="str">
        <f t="shared" si="16"/>
        <v>-</v>
      </c>
      <c r="H325" s="77" t="str">
        <f>IFERROR(AVERAGEIFS(Таблица2[AFS],Таблица2[Date],B325)+(AVERAGEIFS(Таблица2[AFS],Таблица2[Date],B325)*0.2),"-")</f>
        <v>-</v>
      </c>
      <c r="I325" s="77" t="str">
        <f t="shared" si="17"/>
        <v>-</v>
      </c>
      <c r="J325" s="77" t="str">
        <f>IFERROR(COUNTIFS(Таблица2[Date],B325,Таблица2[WIN$],"&gt;0")/E325*100,"-")</f>
        <v>-</v>
      </c>
      <c r="K325" s="77" t="str">
        <f>IF(IFERROR((COUNTIFS(Таблица2[Date],B325,Таблица2[K],"K")+SUMIFS(Таблица2[R],#REF!,B325,Таблица2[K],"K"))/E325*100,"-")=0,"-",IFERROR((COUNTIFS(Таблица2[Date],B325,Таблица2[K],"K")+SUMIFS(Таблица2[R],Таблица2[Date],B325,Таблица2[K],"K"))/E325*100,"-"))</f>
        <v>-</v>
      </c>
      <c r="L325" s="76" t="str">
        <f>IF(IFERROR((COUNTIFS(Таблица2[Date],B325,Таблица2[T],"t")+SUMIFS(Таблица2[R],Таблица2[Date],B325,Таблица2[T],"t"))/E325*100,"-")=0,"-",IFERROR((COUNTIFS(Таблица2[Date],B325,Таблица2[T],"t")+SUMIFS(Таблица2[R],Таблица2[Date],B325,Таблица2[T],"t"))/E325*100,"-"))</f>
        <v>-</v>
      </c>
      <c r="M325" s="76" t="str">
        <f>IF(SUMIFS(Таблица2[KO$],Таблица2[Date],B325)=0,"-",SUMIFS(Таблица2[KO$],Таблица2[Date],B325))</f>
        <v>-</v>
      </c>
      <c r="N325" s="76" t="str">
        <f>IF(SUMIFS(Таблица2[WIN$],Таблица2[Date],B325)=0,"-",SUMIFS(Таблица2[WIN$],Таблица2[Date],B325))</f>
        <v>-</v>
      </c>
      <c r="O325" s="78" t="str">
        <f t="shared" si="18"/>
        <v>-</v>
      </c>
    </row>
    <row r="326" spans="1:15" ht="11.1" customHeight="1" x14ac:dyDescent="0.25">
      <c r="A326" s="93">
        <f t="shared" si="19"/>
        <v>240</v>
      </c>
      <c r="B326" s="48"/>
      <c r="C326"/>
      <c r="D326" s="117">
        <f t="shared" si="15"/>
        <v>1900</v>
      </c>
      <c r="E326" s="117" t="str">
        <f>IF(COUNTIFS(Таблица2[Date],B326)+SUMIFS(Таблица2[R],Таблица2[Date],B326)=0,"",COUNTIFS(Таблица2[Date],B326)+SUMIFS(Таблица2[R],Таблица2[Date],B326))</f>
        <v/>
      </c>
      <c r="F326" s="76" t="str">
        <f>IF(SUMIFS(Таблица2[B$],Таблица2[Date],B326)=0,"-",SUMIFS(Таблица2[B$],Таблица2[Date],B326))</f>
        <v>-</v>
      </c>
      <c r="G326" s="77" t="str">
        <f t="shared" si="16"/>
        <v>-</v>
      </c>
      <c r="H326" s="77" t="str">
        <f>IFERROR(AVERAGEIFS(Таблица2[AFS],Таблица2[Date],B326)+(AVERAGEIFS(Таблица2[AFS],Таблица2[Date],B326)*0.2),"-")</f>
        <v>-</v>
      </c>
      <c r="I326" s="77" t="str">
        <f t="shared" si="17"/>
        <v>-</v>
      </c>
      <c r="J326" s="77" t="str">
        <f>IFERROR(COUNTIFS(Таблица2[Date],B326,Таблица2[WIN$],"&gt;0")/E326*100,"-")</f>
        <v>-</v>
      </c>
      <c r="K326" s="77" t="str">
        <f>IF(IFERROR((COUNTIFS(Таблица2[Date],B326,Таблица2[K],"K")+SUMIFS(Таблица2[R],#REF!,B326,Таблица2[K],"K"))/E326*100,"-")=0,"-",IFERROR((COUNTIFS(Таблица2[Date],B326,Таблица2[K],"K")+SUMIFS(Таблица2[R],Таблица2[Date],B326,Таблица2[K],"K"))/E326*100,"-"))</f>
        <v>-</v>
      </c>
      <c r="L326" s="76" t="str">
        <f>IF(IFERROR((COUNTIFS(Таблица2[Date],B326,Таблица2[T],"t")+SUMIFS(Таблица2[R],Таблица2[Date],B326,Таблица2[T],"t"))/E326*100,"-")=0,"-",IFERROR((COUNTIFS(Таблица2[Date],B326,Таблица2[T],"t")+SUMIFS(Таблица2[R],Таблица2[Date],B326,Таблица2[T],"t"))/E326*100,"-"))</f>
        <v>-</v>
      </c>
      <c r="M326" s="76" t="str">
        <f>IF(SUMIFS(Таблица2[KO$],Таблица2[Date],B326)=0,"-",SUMIFS(Таблица2[KO$],Таблица2[Date],B326))</f>
        <v>-</v>
      </c>
      <c r="N326" s="76" t="str">
        <f>IF(SUMIFS(Таблица2[WIN$],Таблица2[Date],B326)=0,"-",SUMIFS(Таблица2[WIN$],Таблица2[Date],B326))</f>
        <v>-</v>
      </c>
      <c r="O326" s="78" t="str">
        <f t="shared" si="18"/>
        <v>-</v>
      </c>
    </row>
    <row r="327" spans="1:15" ht="11.1" customHeight="1" x14ac:dyDescent="0.25">
      <c r="A327" s="93">
        <f t="shared" si="19"/>
        <v>241</v>
      </c>
      <c r="B327" s="48"/>
      <c r="C327"/>
      <c r="D327" s="117">
        <f t="shared" si="15"/>
        <v>1900</v>
      </c>
      <c r="E327" s="117" t="str">
        <f>IF(COUNTIFS(Таблица2[Date],B327)+SUMIFS(Таблица2[R],Таблица2[Date],B327)=0,"",COUNTIFS(Таблица2[Date],B327)+SUMIFS(Таблица2[R],Таблица2[Date],B327))</f>
        <v/>
      </c>
      <c r="F327" s="76" t="str">
        <f>IF(SUMIFS(Таблица2[B$],Таблица2[Date],B327)=0,"-",SUMIFS(Таблица2[B$],Таблица2[Date],B327))</f>
        <v>-</v>
      </c>
      <c r="G327" s="77" t="str">
        <f t="shared" si="16"/>
        <v>-</v>
      </c>
      <c r="H327" s="77" t="str">
        <f>IFERROR(AVERAGEIFS(Таблица2[AFS],Таблица2[Date],B327)+(AVERAGEIFS(Таблица2[AFS],Таблица2[Date],B327)*0.2),"-")</f>
        <v>-</v>
      </c>
      <c r="I327" s="77" t="str">
        <f t="shared" si="17"/>
        <v>-</v>
      </c>
      <c r="J327" s="77" t="str">
        <f>IFERROR(COUNTIFS(Таблица2[Date],B327,Таблица2[WIN$],"&gt;0")/E327*100,"-")</f>
        <v>-</v>
      </c>
      <c r="K327" s="77" t="str">
        <f>IF(IFERROR((COUNTIFS(Таблица2[Date],B327,Таблица2[K],"K")+SUMIFS(Таблица2[R],#REF!,B327,Таблица2[K],"K"))/E327*100,"-")=0,"-",IFERROR((COUNTIFS(Таблица2[Date],B327,Таблица2[K],"K")+SUMIFS(Таблица2[R],Таблица2[Date],B327,Таблица2[K],"K"))/E327*100,"-"))</f>
        <v>-</v>
      </c>
      <c r="L327" s="76" t="str">
        <f>IF(IFERROR((COUNTIFS(Таблица2[Date],B327,Таблица2[T],"t")+SUMIFS(Таблица2[R],Таблица2[Date],B327,Таблица2[T],"t"))/E327*100,"-")=0,"-",IFERROR((COUNTIFS(Таблица2[Date],B327,Таблица2[T],"t")+SUMIFS(Таблица2[R],Таблица2[Date],B327,Таблица2[T],"t"))/E327*100,"-"))</f>
        <v>-</v>
      </c>
      <c r="M327" s="76" t="str">
        <f>IF(SUMIFS(Таблица2[KO$],Таблица2[Date],B327)=0,"-",SUMIFS(Таблица2[KO$],Таблица2[Date],B327))</f>
        <v>-</v>
      </c>
      <c r="N327" s="76" t="str">
        <f>IF(SUMIFS(Таблица2[WIN$],Таблица2[Date],B327)=0,"-",SUMIFS(Таблица2[WIN$],Таблица2[Date],B327))</f>
        <v>-</v>
      </c>
      <c r="O327" s="78" t="str">
        <f t="shared" si="18"/>
        <v>-</v>
      </c>
    </row>
    <row r="328" spans="1:15" ht="11.1" customHeight="1" x14ac:dyDescent="0.25">
      <c r="A328" s="93">
        <f t="shared" si="19"/>
        <v>242</v>
      </c>
      <c r="B328" s="48"/>
      <c r="C328"/>
      <c r="D328" s="117">
        <f t="shared" si="15"/>
        <v>1900</v>
      </c>
      <c r="E328" s="117" t="str">
        <f>IF(COUNTIFS(Таблица2[Date],B328)+SUMIFS(Таблица2[R],Таблица2[Date],B328)=0,"",COUNTIFS(Таблица2[Date],B328)+SUMIFS(Таблица2[R],Таблица2[Date],B328))</f>
        <v/>
      </c>
      <c r="F328" s="76" t="str">
        <f>IF(SUMIFS(Таблица2[B$],Таблица2[Date],B328)=0,"-",SUMIFS(Таблица2[B$],Таблица2[Date],B328))</f>
        <v>-</v>
      </c>
      <c r="G328" s="77" t="str">
        <f t="shared" si="16"/>
        <v>-</v>
      </c>
      <c r="H328" s="77" t="str">
        <f>IFERROR(AVERAGEIFS(Таблица2[AFS],Таблица2[Date],B328)+(AVERAGEIFS(Таблица2[AFS],Таблица2[Date],B328)*0.2),"-")</f>
        <v>-</v>
      </c>
      <c r="I328" s="77" t="str">
        <f t="shared" si="17"/>
        <v>-</v>
      </c>
      <c r="J328" s="77" t="str">
        <f>IFERROR(COUNTIFS(Таблица2[Date],B328,Таблица2[WIN$],"&gt;0")/E328*100,"-")</f>
        <v>-</v>
      </c>
      <c r="K328" s="77" t="str">
        <f>IF(IFERROR((COUNTIFS(Таблица2[Date],B328,Таблица2[K],"K")+SUMIFS(Таблица2[R],#REF!,B328,Таблица2[K],"K"))/E328*100,"-")=0,"-",IFERROR((COUNTIFS(Таблица2[Date],B328,Таблица2[K],"K")+SUMIFS(Таблица2[R],Таблица2[Date],B328,Таблица2[K],"K"))/E328*100,"-"))</f>
        <v>-</v>
      </c>
      <c r="L328" s="76" t="str">
        <f>IF(IFERROR((COUNTIFS(Таблица2[Date],B328,Таблица2[T],"t")+SUMIFS(Таблица2[R],Таблица2[Date],B328,Таблица2[T],"t"))/E328*100,"-")=0,"-",IFERROR((COUNTIFS(Таблица2[Date],B328,Таблица2[T],"t")+SUMIFS(Таблица2[R],Таблица2[Date],B328,Таблица2[T],"t"))/E328*100,"-"))</f>
        <v>-</v>
      </c>
      <c r="M328" s="76" t="str">
        <f>IF(SUMIFS(Таблица2[KO$],Таблица2[Date],B328)=0,"-",SUMIFS(Таблица2[KO$],Таблица2[Date],B328))</f>
        <v>-</v>
      </c>
      <c r="N328" s="76" t="str">
        <f>IF(SUMIFS(Таблица2[WIN$],Таблица2[Date],B328)=0,"-",SUMIFS(Таблица2[WIN$],Таблица2[Date],B328))</f>
        <v>-</v>
      </c>
      <c r="O328" s="78" t="str">
        <f t="shared" si="18"/>
        <v>-</v>
      </c>
    </row>
    <row r="329" spans="1:15" ht="11.1" customHeight="1" x14ac:dyDescent="0.25">
      <c r="A329" s="93">
        <f t="shared" si="19"/>
        <v>243</v>
      </c>
      <c r="B329" s="48"/>
      <c r="C329"/>
      <c r="D329" s="117">
        <f t="shared" si="15"/>
        <v>1900</v>
      </c>
      <c r="E329" s="117" t="str">
        <f>IF(COUNTIFS(Таблица2[Date],B329)+SUMIFS(Таблица2[R],Таблица2[Date],B329)=0,"",COUNTIFS(Таблица2[Date],B329)+SUMIFS(Таблица2[R],Таблица2[Date],B329))</f>
        <v/>
      </c>
      <c r="F329" s="76" t="str">
        <f>IF(SUMIFS(Таблица2[B$],Таблица2[Date],B329)=0,"-",SUMIFS(Таблица2[B$],Таблица2[Date],B329))</f>
        <v>-</v>
      </c>
      <c r="G329" s="77" t="str">
        <f t="shared" si="16"/>
        <v>-</v>
      </c>
      <c r="H329" s="77" t="str">
        <f>IFERROR(AVERAGEIFS(Таблица2[AFS],Таблица2[Date],B329)+(AVERAGEIFS(Таблица2[AFS],Таблица2[Date],B329)*0.2),"-")</f>
        <v>-</v>
      </c>
      <c r="I329" s="77" t="str">
        <f t="shared" si="17"/>
        <v>-</v>
      </c>
      <c r="J329" s="77" t="str">
        <f>IFERROR(COUNTIFS(Таблица2[Date],B329,Таблица2[WIN$],"&gt;0")/E329*100,"-")</f>
        <v>-</v>
      </c>
      <c r="K329" s="77" t="str">
        <f>IF(IFERROR((COUNTIFS(Таблица2[Date],B329,Таблица2[K],"K")+SUMIFS(Таблица2[R],#REF!,B329,Таблица2[K],"K"))/E329*100,"-")=0,"-",IFERROR((COUNTIFS(Таблица2[Date],B329,Таблица2[K],"K")+SUMIFS(Таблица2[R],Таблица2[Date],B329,Таблица2[K],"K"))/E329*100,"-"))</f>
        <v>-</v>
      </c>
      <c r="L329" s="76" t="str">
        <f>IF(IFERROR((COUNTIFS(Таблица2[Date],B329,Таблица2[T],"t")+SUMIFS(Таблица2[R],Таблица2[Date],B329,Таблица2[T],"t"))/E329*100,"-")=0,"-",IFERROR((COUNTIFS(Таблица2[Date],B329,Таблица2[T],"t")+SUMIFS(Таблица2[R],Таблица2[Date],B329,Таблица2[T],"t"))/E329*100,"-"))</f>
        <v>-</v>
      </c>
      <c r="M329" s="76" t="str">
        <f>IF(SUMIFS(Таблица2[KO$],Таблица2[Date],B329)=0,"-",SUMIFS(Таблица2[KO$],Таблица2[Date],B329))</f>
        <v>-</v>
      </c>
      <c r="N329" s="76" t="str">
        <f>IF(SUMIFS(Таблица2[WIN$],Таблица2[Date],B329)=0,"-",SUMIFS(Таблица2[WIN$],Таблица2[Date],B329))</f>
        <v>-</v>
      </c>
      <c r="O329" s="78" t="str">
        <f t="shared" si="18"/>
        <v>-</v>
      </c>
    </row>
    <row r="330" spans="1:15" ht="11.1" customHeight="1" x14ac:dyDescent="0.25">
      <c r="A330" s="93">
        <f t="shared" si="19"/>
        <v>244</v>
      </c>
      <c r="B330" s="48"/>
      <c r="C330"/>
      <c r="D330" s="117">
        <f t="shared" si="15"/>
        <v>1900</v>
      </c>
      <c r="E330" s="117" t="str">
        <f>IF(COUNTIFS(Таблица2[Date],B330)+SUMIFS(Таблица2[R],Таблица2[Date],B330)=0,"",COUNTIFS(Таблица2[Date],B330)+SUMIFS(Таблица2[R],Таблица2[Date],B330))</f>
        <v/>
      </c>
      <c r="F330" s="76" t="str">
        <f>IF(SUMIFS(Таблица2[B$],Таблица2[Date],B330)=0,"-",SUMIFS(Таблица2[B$],Таблица2[Date],B330))</f>
        <v>-</v>
      </c>
      <c r="G330" s="77" t="str">
        <f t="shared" si="16"/>
        <v>-</v>
      </c>
      <c r="H330" s="77" t="str">
        <f>IFERROR(AVERAGEIFS(Таблица2[AFS],Таблица2[Date],B330)+(AVERAGEIFS(Таблица2[AFS],Таблица2[Date],B330)*0.2),"-")</f>
        <v>-</v>
      </c>
      <c r="I330" s="77" t="str">
        <f t="shared" si="17"/>
        <v>-</v>
      </c>
      <c r="J330" s="77" t="str">
        <f>IFERROR(COUNTIFS(Таблица2[Date],B330,Таблица2[WIN$],"&gt;0")/E330*100,"-")</f>
        <v>-</v>
      </c>
      <c r="K330" s="77" t="str">
        <f>IF(IFERROR((COUNTIFS(Таблица2[Date],B330,Таблица2[K],"K")+SUMIFS(Таблица2[R],#REF!,B330,Таблица2[K],"K"))/E330*100,"-")=0,"-",IFERROR((COUNTIFS(Таблица2[Date],B330,Таблица2[K],"K")+SUMIFS(Таблица2[R],Таблица2[Date],B330,Таблица2[K],"K"))/E330*100,"-"))</f>
        <v>-</v>
      </c>
      <c r="L330" s="76" t="str">
        <f>IF(IFERROR((COUNTIFS(Таблица2[Date],B330,Таблица2[T],"t")+SUMIFS(Таблица2[R],Таблица2[Date],B330,Таблица2[T],"t"))/E330*100,"-")=0,"-",IFERROR((COUNTIFS(Таблица2[Date],B330,Таблица2[T],"t")+SUMIFS(Таблица2[R],Таблица2[Date],B330,Таблица2[T],"t"))/E330*100,"-"))</f>
        <v>-</v>
      </c>
      <c r="M330" s="76" t="str">
        <f>IF(SUMIFS(Таблица2[KO$],Таблица2[Date],B330)=0,"-",SUMIFS(Таблица2[KO$],Таблица2[Date],B330))</f>
        <v>-</v>
      </c>
      <c r="N330" s="76" t="str">
        <f>IF(SUMIFS(Таблица2[WIN$],Таблица2[Date],B330)=0,"-",SUMIFS(Таблица2[WIN$],Таблица2[Date],B330))</f>
        <v>-</v>
      </c>
      <c r="O330" s="78" t="str">
        <f t="shared" si="18"/>
        <v>-</v>
      </c>
    </row>
    <row r="331" spans="1:15" ht="11.1" customHeight="1" x14ac:dyDescent="0.25">
      <c r="A331" s="93">
        <f t="shared" si="19"/>
        <v>245</v>
      </c>
      <c r="B331" s="48"/>
      <c r="C331"/>
      <c r="D331" s="117">
        <f t="shared" si="15"/>
        <v>1900</v>
      </c>
      <c r="E331" s="117" t="str">
        <f>IF(COUNTIFS(Таблица2[Date],B331)+SUMIFS(Таблица2[R],Таблица2[Date],B331)=0,"",COUNTIFS(Таблица2[Date],B331)+SUMIFS(Таблица2[R],Таблица2[Date],B331))</f>
        <v/>
      </c>
      <c r="F331" s="76" t="str">
        <f>IF(SUMIFS(Таблица2[B$],Таблица2[Date],B331)=0,"-",SUMIFS(Таблица2[B$],Таблица2[Date],B331))</f>
        <v>-</v>
      </c>
      <c r="G331" s="77" t="str">
        <f t="shared" si="16"/>
        <v>-</v>
      </c>
      <c r="H331" s="77" t="str">
        <f>IFERROR(AVERAGEIFS(Таблица2[AFS],Таблица2[Date],B331)+(AVERAGEIFS(Таблица2[AFS],Таблица2[Date],B331)*0.2),"-")</f>
        <v>-</v>
      </c>
      <c r="I331" s="77" t="str">
        <f t="shared" si="17"/>
        <v>-</v>
      </c>
      <c r="J331" s="77" t="str">
        <f>IFERROR(COUNTIFS(Таблица2[Date],B331,Таблица2[WIN$],"&gt;0")/E331*100,"-")</f>
        <v>-</v>
      </c>
      <c r="K331" s="77" t="str">
        <f>IF(IFERROR((COUNTIFS(Таблица2[Date],B331,Таблица2[K],"K")+SUMIFS(Таблица2[R],#REF!,B331,Таблица2[K],"K"))/E331*100,"-")=0,"-",IFERROR((COUNTIFS(Таблица2[Date],B331,Таблица2[K],"K")+SUMIFS(Таблица2[R],Таблица2[Date],B331,Таблица2[K],"K"))/E331*100,"-"))</f>
        <v>-</v>
      </c>
      <c r="L331" s="76" t="str">
        <f>IF(IFERROR((COUNTIFS(Таблица2[Date],B331,Таблица2[T],"t")+SUMIFS(Таблица2[R],Таблица2[Date],B331,Таблица2[T],"t"))/E331*100,"-")=0,"-",IFERROR((COUNTIFS(Таблица2[Date],B331,Таблица2[T],"t")+SUMIFS(Таблица2[R],Таблица2[Date],B331,Таблица2[T],"t"))/E331*100,"-"))</f>
        <v>-</v>
      </c>
      <c r="M331" s="76" t="str">
        <f>IF(SUMIFS(Таблица2[KO$],Таблица2[Date],B331)=0,"-",SUMIFS(Таблица2[KO$],Таблица2[Date],B331))</f>
        <v>-</v>
      </c>
      <c r="N331" s="76" t="str">
        <f>IF(SUMIFS(Таблица2[WIN$],Таблица2[Date],B331)=0,"-",SUMIFS(Таблица2[WIN$],Таблица2[Date],B331))</f>
        <v>-</v>
      </c>
      <c r="O331" s="78" t="str">
        <f t="shared" si="18"/>
        <v>-</v>
      </c>
    </row>
    <row r="332" spans="1:15" ht="11.1" customHeight="1" x14ac:dyDescent="0.25">
      <c r="A332" s="93">
        <f t="shared" si="19"/>
        <v>246</v>
      </c>
      <c r="B332" s="48"/>
      <c r="C332"/>
      <c r="D332" s="117">
        <f t="shared" si="15"/>
        <v>1900</v>
      </c>
      <c r="E332" s="117" t="str">
        <f>IF(COUNTIFS(Таблица2[Date],B332)+SUMIFS(Таблица2[R],Таблица2[Date],B332)=0,"",COUNTIFS(Таблица2[Date],B332)+SUMIFS(Таблица2[R],Таблица2[Date],B332))</f>
        <v/>
      </c>
      <c r="F332" s="76" t="str">
        <f>IF(SUMIFS(Таблица2[B$],Таблица2[Date],B332)=0,"-",SUMIFS(Таблица2[B$],Таблица2[Date],B332))</f>
        <v>-</v>
      </c>
      <c r="G332" s="77" t="str">
        <f t="shared" si="16"/>
        <v>-</v>
      </c>
      <c r="H332" s="77" t="str">
        <f>IFERROR(AVERAGEIFS(Таблица2[AFS],Таблица2[Date],B332)+(AVERAGEIFS(Таблица2[AFS],Таблица2[Date],B332)*0.2),"-")</f>
        <v>-</v>
      </c>
      <c r="I332" s="77" t="str">
        <f t="shared" si="17"/>
        <v>-</v>
      </c>
      <c r="J332" s="77" t="str">
        <f>IFERROR(COUNTIFS(Таблица2[Date],B332,Таблица2[WIN$],"&gt;0")/E332*100,"-")</f>
        <v>-</v>
      </c>
      <c r="K332" s="77" t="str">
        <f>IF(IFERROR((COUNTIFS(Таблица2[Date],B332,Таблица2[K],"K")+SUMIFS(Таблица2[R],#REF!,B332,Таблица2[K],"K"))/E332*100,"-")=0,"-",IFERROR((COUNTIFS(Таблица2[Date],B332,Таблица2[K],"K")+SUMIFS(Таблица2[R],Таблица2[Date],B332,Таблица2[K],"K"))/E332*100,"-"))</f>
        <v>-</v>
      </c>
      <c r="L332" s="76" t="str">
        <f>IF(IFERROR((COUNTIFS(Таблица2[Date],B332,Таблица2[T],"t")+SUMIFS(Таблица2[R],Таблица2[Date],B332,Таблица2[T],"t"))/E332*100,"-")=0,"-",IFERROR((COUNTIFS(Таблица2[Date],B332,Таблица2[T],"t")+SUMIFS(Таблица2[R],Таблица2[Date],B332,Таблица2[T],"t"))/E332*100,"-"))</f>
        <v>-</v>
      </c>
      <c r="M332" s="76" t="str">
        <f>IF(SUMIFS(Таблица2[KO$],Таблица2[Date],B332)=0,"-",SUMIFS(Таблица2[KO$],Таблица2[Date],B332))</f>
        <v>-</v>
      </c>
      <c r="N332" s="76" t="str">
        <f>IF(SUMIFS(Таблица2[WIN$],Таблица2[Date],B332)=0,"-",SUMIFS(Таблица2[WIN$],Таблица2[Date],B332))</f>
        <v>-</v>
      </c>
      <c r="O332" s="78" t="str">
        <f t="shared" si="18"/>
        <v>-</v>
      </c>
    </row>
    <row r="333" spans="1:15" ht="11.1" customHeight="1" x14ac:dyDescent="0.25">
      <c r="A333" s="93">
        <f t="shared" si="19"/>
        <v>247</v>
      </c>
      <c r="B333" s="48"/>
      <c r="C333"/>
      <c r="D333" s="117">
        <f t="shared" si="15"/>
        <v>1900</v>
      </c>
      <c r="E333" s="117" t="str">
        <f>IF(COUNTIFS(Таблица2[Date],B333)+SUMIFS(Таблица2[R],Таблица2[Date],B333)=0,"",COUNTIFS(Таблица2[Date],B333)+SUMIFS(Таблица2[R],Таблица2[Date],B333))</f>
        <v/>
      </c>
      <c r="F333" s="76" t="str">
        <f>IF(SUMIFS(Таблица2[B$],Таблица2[Date],B333)=0,"-",SUMIFS(Таблица2[B$],Таблица2[Date],B333))</f>
        <v>-</v>
      </c>
      <c r="G333" s="77" t="str">
        <f t="shared" si="16"/>
        <v>-</v>
      </c>
      <c r="H333" s="77" t="str">
        <f>IFERROR(AVERAGEIFS(Таблица2[AFS],Таблица2[Date],B333)+(AVERAGEIFS(Таблица2[AFS],Таблица2[Date],B333)*0.2),"-")</f>
        <v>-</v>
      </c>
      <c r="I333" s="77" t="str">
        <f t="shared" si="17"/>
        <v>-</v>
      </c>
      <c r="J333" s="77" t="str">
        <f>IFERROR(COUNTIFS(Таблица2[Date],B333,Таблица2[WIN$],"&gt;0")/E333*100,"-")</f>
        <v>-</v>
      </c>
      <c r="K333" s="77" t="str">
        <f>IF(IFERROR((COUNTIFS(Таблица2[Date],B333,Таблица2[K],"K")+SUMIFS(Таблица2[R],#REF!,B333,Таблица2[K],"K"))/E333*100,"-")=0,"-",IFERROR((COUNTIFS(Таблица2[Date],B333,Таблица2[K],"K")+SUMIFS(Таблица2[R],Таблица2[Date],B333,Таблица2[K],"K"))/E333*100,"-"))</f>
        <v>-</v>
      </c>
      <c r="L333" s="76" t="str">
        <f>IF(IFERROR((COUNTIFS(Таблица2[Date],B333,Таблица2[T],"t")+SUMIFS(Таблица2[R],Таблица2[Date],B333,Таблица2[T],"t"))/E333*100,"-")=0,"-",IFERROR((COUNTIFS(Таблица2[Date],B333,Таблица2[T],"t")+SUMIFS(Таблица2[R],Таблица2[Date],B333,Таблица2[T],"t"))/E333*100,"-"))</f>
        <v>-</v>
      </c>
      <c r="M333" s="76" t="str">
        <f>IF(SUMIFS(Таблица2[KO$],Таблица2[Date],B333)=0,"-",SUMIFS(Таблица2[KO$],Таблица2[Date],B333))</f>
        <v>-</v>
      </c>
      <c r="N333" s="76" t="str">
        <f>IF(SUMIFS(Таблица2[WIN$],Таблица2[Date],B333)=0,"-",SUMIFS(Таблица2[WIN$],Таблица2[Date],B333))</f>
        <v>-</v>
      </c>
      <c r="O333" s="78" t="str">
        <f t="shared" si="18"/>
        <v>-</v>
      </c>
    </row>
    <row r="334" spans="1:15" ht="11.1" customHeight="1" x14ac:dyDescent="0.25">
      <c r="A334" s="93">
        <f t="shared" si="19"/>
        <v>248</v>
      </c>
      <c r="B334" s="48"/>
      <c r="C334"/>
      <c r="D334" s="117">
        <f t="shared" si="15"/>
        <v>1900</v>
      </c>
      <c r="E334" s="117" t="str">
        <f>IF(COUNTIFS(Таблица2[Date],B334)+SUMIFS(Таблица2[R],Таблица2[Date],B334)=0,"",COUNTIFS(Таблица2[Date],B334)+SUMIFS(Таблица2[R],Таблица2[Date],B334))</f>
        <v/>
      </c>
      <c r="F334" s="76" t="str">
        <f>IF(SUMIFS(Таблица2[B$],Таблица2[Date],B334)=0,"-",SUMIFS(Таблица2[B$],Таблица2[Date],B334))</f>
        <v>-</v>
      </c>
      <c r="G334" s="77" t="str">
        <f t="shared" si="16"/>
        <v>-</v>
      </c>
      <c r="H334" s="77" t="str">
        <f>IFERROR(AVERAGEIFS(Таблица2[AFS],Таблица2[Date],B334)+(AVERAGEIFS(Таблица2[AFS],Таблица2[Date],B334)*0.2),"-")</f>
        <v>-</v>
      </c>
      <c r="I334" s="77" t="str">
        <f t="shared" si="17"/>
        <v>-</v>
      </c>
      <c r="J334" s="77" t="str">
        <f>IFERROR(COUNTIFS(Таблица2[Date],B334,Таблица2[WIN$],"&gt;0")/E334*100,"-")</f>
        <v>-</v>
      </c>
      <c r="K334" s="77" t="str">
        <f>IF(IFERROR((COUNTIFS(Таблица2[Date],B334,Таблица2[K],"K")+SUMIFS(Таблица2[R],#REF!,B334,Таблица2[K],"K"))/E334*100,"-")=0,"-",IFERROR((COUNTIFS(Таблица2[Date],B334,Таблица2[K],"K")+SUMIFS(Таблица2[R],Таблица2[Date],B334,Таблица2[K],"K"))/E334*100,"-"))</f>
        <v>-</v>
      </c>
      <c r="L334" s="76" t="str">
        <f>IF(IFERROR((COUNTIFS(Таблица2[Date],B334,Таблица2[T],"t")+SUMIFS(Таблица2[R],Таблица2[Date],B334,Таблица2[T],"t"))/E334*100,"-")=0,"-",IFERROR((COUNTIFS(Таблица2[Date],B334,Таблица2[T],"t")+SUMIFS(Таблица2[R],Таблица2[Date],B334,Таблица2[T],"t"))/E334*100,"-"))</f>
        <v>-</v>
      </c>
      <c r="M334" s="76" t="str">
        <f>IF(SUMIFS(Таблица2[KO$],Таблица2[Date],B334)=0,"-",SUMIFS(Таблица2[KO$],Таблица2[Date],B334))</f>
        <v>-</v>
      </c>
      <c r="N334" s="76" t="str">
        <f>IF(SUMIFS(Таблица2[WIN$],Таблица2[Date],B334)=0,"-",SUMIFS(Таблица2[WIN$],Таблица2[Date],B334))</f>
        <v>-</v>
      </c>
      <c r="O334" s="78" t="str">
        <f t="shared" si="18"/>
        <v>-</v>
      </c>
    </row>
    <row r="335" spans="1:15" ht="11.1" customHeight="1" x14ac:dyDescent="0.25">
      <c r="A335" s="93">
        <f t="shared" si="19"/>
        <v>249</v>
      </c>
      <c r="B335" s="48"/>
      <c r="C335"/>
      <c r="D335" s="117">
        <f t="shared" si="15"/>
        <v>1900</v>
      </c>
      <c r="E335" s="117" t="str">
        <f>IF(COUNTIFS(Таблица2[Date],B335)+SUMIFS(Таблица2[R],Таблица2[Date],B335)=0,"",COUNTIFS(Таблица2[Date],B335)+SUMIFS(Таблица2[R],Таблица2[Date],B335))</f>
        <v/>
      </c>
      <c r="F335" s="76" t="str">
        <f>IF(SUMIFS(Таблица2[B$],Таблица2[Date],B335)=0,"-",SUMIFS(Таблица2[B$],Таблица2[Date],B335))</f>
        <v>-</v>
      </c>
      <c r="G335" s="77" t="str">
        <f t="shared" si="16"/>
        <v>-</v>
      </c>
      <c r="H335" s="77" t="str">
        <f>IFERROR(AVERAGEIFS(Таблица2[AFS],Таблица2[Date],B335)+(AVERAGEIFS(Таблица2[AFS],Таблица2[Date],B335)*0.2),"-")</f>
        <v>-</v>
      </c>
      <c r="I335" s="77" t="str">
        <f t="shared" si="17"/>
        <v>-</v>
      </c>
      <c r="J335" s="77" t="str">
        <f>IFERROR(COUNTIFS(Таблица2[Date],B335,Таблица2[WIN$],"&gt;0")/E335*100,"-")</f>
        <v>-</v>
      </c>
      <c r="K335" s="77" t="str">
        <f>IF(IFERROR((COUNTIFS(Таблица2[Date],B335,Таблица2[K],"K")+SUMIFS(Таблица2[R],#REF!,B335,Таблица2[K],"K"))/E335*100,"-")=0,"-",IFERROR((COUNTIFS(Таблица2[Date],B335,Таблица2[K],"K")+SUMIFS(Таблица2[R],Таблица2[Date],B335,Таблица2[K],"K"))/E335*100,"-"))</f>
        <v>-</v>
      </c>
      <c r="L335" s="76" t="str">
        <f>IF(IFERROR((COUNTIFS(Таблица2[Date],B335,Таблица2[T],"t")+SUMIFS(Таблица2[R],Таблица2[Date],B335,Таблица2[T],"t"))/E335*100,"-")=0,"-",IFERROR((COUNTIFS(Таблица2[Date],B335,Таблица2[T],"t")+SUMIFS(Таблица2[R],Таблица2[Date],B335,Таблица2[T],"t"))/E335*100,"-"))</f>
        <v>-</v>
      </c>
      <c r="M335" s="76" t="str">
        <f>IF(SUMIFS(Таблица2[KO$],Таблица2[Date],B335)=0,"-",SUMIFS(Таблица2[KO$],Таблица2[Date],B335))</f>
        <v>-</v>
      </c>
      <c r="N335" s="76" t="str">
        <f>IF(SUMIFS(Таблица2[WIN$],Таблица2[Date],B335)=0,"-",SUMIFS(Таблица2[WIN$],Таблица2[Date],B335))</f>
        <v>-</v>
      </c>
      <c r="O335" s="78" t="str">
        <f t="shared" si="18"/>
        <v>-</v>
      </c>
    </row>
    <row r="336" spans="1:15" ht="11.1" customHeight="1" x14ac:dyDescent="0.25">
      <c r="A336" s="93">
        <f t="shared" si="19"/>
        <v>250</v>
      </c>
      <c r="B336" s="48"/>
      <c r="C336"/>
      <c r="D336" s="117">
        <f t="shared" si="15"/>
        <v>1900</v>
      </c>
      <c r="E336" s="117" t="str">
        <f>IF(COUNTIFS(Таблица2[Date],B336)+SUMIFS(Таблица2[R],Таблица2[Date],B336)=0,"",COUNTIFS(Таблица2[Date],B336)+SUMIFS(Таблица2[R],Таблица2[Date],B336))</f>
        <v/>
      </c>
      <c r="F336" s="76" t="str">
        <f>IF(SUMIFS(Таблица2[B$],Таблица2[Date],B336)=0,"-",SUMIFS(Таблица2[B$],Таблица2[Date],B336))</f>
        <v>-</v>
      </c>
      <c r="G336" s="77" t="str">
        <f t="shared" si="16"/>
        <v>-</v>
      </c>
      <c r="H336" s="77" t="str">
        <f>IFERROR(AVERAGEIFS(Таблица2[AFS],Таблица2[Date],B336)+(AVERAGEIFS(Таблица2[AFS],Таблица2[Date],B336)*0.2),"-")</f>
        <v>-</v>
      </c>
      <c r="I336" s="77" t="str">
        <f t="shared" si="17"/>
        <v>-</v>
      </c>
      <c r="J336" s="77" t="str">
        <f>IFERROR(COUNTIFS(Таблица2[Date],B336,Таблица2[WIN$],"&gt;0")/E336*100,"-")</f>
        <v>-</v>
      </c>
      <c r="K336" s="77" t="str">
        <f>IF(IFERROR((COUNTIFS(Таблица2[Date],B336,Таблица2[K],"K")+SUMIFS(Таблица2[R],#REF!,B336,Таблица2[K],"K"))/E336*100,"-")=0,"-",IFERROR((COUNTIFS(Таблица2[Date],B336,Таблица2[K],"K")+SUMIFS(Таблица2[R],Таблица2[Date],B336,Таблица2[K],"K"))/E336*100,"-"))</f>
        <v>-</v>
      </c>
      <c r="L336" s="76" t="str">
        <f>IF(IFERROR((COUNTIFS(Таблица2[Date],B336,Таблица2[T],"t")+SUMIFS(Таблица2[R],Таблица2[Date],B336,Таблица2[T],"t"))/E336*100,"-")=0,"-",IFERROR((COUNTIFS(Таблица2[Date],B336,Таблица2[T],"t")+SUMIFS(Таблица2[R],Таблица2[Date],B336,Таблица2[T],"t"))/E336*100,"-"))</f>
        <v>-</v>
      </c>
      <c r="M336" s="76" t="str">
        <f>IF(SUMIFS(Таблица2[KO$],Таблица2[Date],B336)=0,"-",SUMIFS(Таблица2[KO$],Таблица2[Date],B336))</f>
        <v>-</v>
      </c>
      <c r="N336" s="76" t="str">
        <f>IF(SUMIFS(Таблица2[WIN$],Таблица2[Date],B336)=0,"-",SUMIFS(Таблица2[WIN$],Таблица2[Date],B336))</f>
        <v>-</v>
      </c>
      <c r="O336" s="78" t="str">
        <f t="shared" si="18"/>
        <v>-</v>
      </c>
    </row>
    <row r="337" spans="1:15" ht="11.1" customHeight="1" x14ac:dyDescent="0.25">
      <c r="A337" s="93">
        <f t="shared" si="19"/>
        <v>251</v>
      </c>
      <c r="B337" s="48"/>
      <c r="C337"/>
      <c r="D337" s="117">
        <f t="shared" si="15"/>
        <v>1900</v>
      </c>
      <c r="E337" s="117" t="str">
        <f>IF(COUNTIFS(Таблица2[Date],B337)+SUMIFS(Таблица2[R],Таблица2[Date],B337)=0,"",COUNTIFS(Таблица2[Date],B337)+SUMIFS(Таблица2[R],Таблица2[Date],B337))</f>
        <v/>
      </c>
      <c r="F337" s="76" t="str">
        <f>IF(SUMIFS(Таблица2[B$],Таблица2[Date],B337)=0,"-",SUMIFS(Таблица2[B$],Таблица2[Date],B337))</f>
        <v>-</v>
      </c>
      <c r="G337" s="77" t="str">
        <f t="shared" si="16"/>
        <v>-</v>
      </c>
      <c r="H337" s="77" t="str">
        <f>IFERROR(AVERAGEIFS(Таблица2[AFS],Таблица2[Date],B337)+(AVERAGEIFS(Таблица2[AFS],Таблица2[Date],B337)*0.2),"-")</f>
        <v>-</v>
      </c>
      <c r="I337" s="77" t="str">
        <f t="shared" si="17"/>
        <v>-</v>
      </c>
      <c r="J337" s="77" t="str">
        <f>IFERROR(COUNTIFS(Таблица2[Date],B337,Таблица2[WIN$],"&gt;0")/E337*100,"-")</f>
        <v>-</v>
      </c>
      <c r="K337" s="77" t="str">
        <f>IF(IFERROR((COUNTIFS(Таблица2[Date],B337,Таблица2[K],"K")+SUMIFS(Таблица2[R],#REF!,B337,Таблица2[K],"K"))/E337*100,"-")=0,"-",IFERROR((COUNTIFS(Таблица2[Date],B337,Таблица2[K],"K")+SUMIFS(Таблица2[R],Таблица2[Date],B337,Таблица2[K],"K"))/E337*100,"-"))</f>
        <v>-</v>
      </c>
      <c r="L337" s="76" t="str">
        <f>IF(IFERROR((COUNTIFS(Таблица2[Date],B337,Таблица2[T],"t")+SUMIFS(Таблица2[R],Таблица2[Date],B337,Таблица2[T],"t"))/E337*100,"-")=0,"-",IFERROR((COUNTIFS(Таблица2[Date],B337,Таблица2[T],"t")+SUMIFS(Таблица2[R],Таблица2[Date],B337,Таблица2[T],"t"))/E337*100,"-"))</f>
        <v>-</v>
      </c>
      <c r="M337" s="76" t="str">
        <f>IF(SUMIFS(Таблица2[KO$],Таблица2[Date],B337)=0,"-",SUMIFS(Таблица2[KO$],Таблица2[Date],B337))</f>
        <v>-</v>
      </c>
      <c r="N337" s="76" t="str">
        <f>IF(SUMIFS(Таблица2[WIN$],Таблица2[Date],B337)=0,"-",SUMIFS(Таблица2[WIN$],Таблица2[Date],B337))</f>
        <v>-</v>
      </c>
      <c r="O337" s="78" t="str">
        <f t="shared" si="18"/>
        <v>-</v>
      </c>
    </row>
    <row r="338" spans="1:15" ht="11.1" customHeight="1" x14ac:dyDescent="0.25">
      <c r="A338" s="93">
        <f t="shared" si="19"/>
        <v>252</v>
      </c>
      <c r="B338" s="48"/>
      <c r="C338"/>
      <c r="D338" s="117">
        <f t="shared" si="15"/>
        <v>1900</v>
      </c>
      <c r="E338" s="117" t="str">
        <f>IF(COUNTIFS(Таблица2[Date],B338)+SUMIFS(Таблица2[R],Таблица2[Date],B338)=0,"",COUNTIFS(Таблица2[Date],B338)+SUMIFS(Таблица2[R],Таблица2[Date],B338))</f>
        <v/>
      </c>
      <c r="F338" s="76" t="str">
        <f>IF(SUMIFS(Таблица2[B$],Таблица2[Date],B338)=0,"-",SUMIFS(Таблица2[B$],Таблица2[Date],B338))</f>
        <v>-</v>
      </c>
      <c r="G338" s="77" t="str">
        <f t="shared" si="16"/>
        <v>-</v>
      </c>
      <c r="H338" s="77" t="str">
        <f>IFERROR(AVERAGEIFS(Таблица2[AFS],Таблица2[Date],B338)+(AVERAGEIFS(Таблица2[AFS],Таблица2[Date],B338)*0.2),"-")</f>
        <v>-</v>
      </c>
      <c r="I338" s="77" t="str">
        <f t="shared" si="17"/>
        <v>-</v>
      </c>
      <c r="J338" s="77" t="str">
        <f>IFERROR(COUNTIFS(Таблица2[Date],B338,Таблица2[WIN$],"&gt;0")/E338*100,"-")</f>
        <v>-</v>
      </c>
      <c r="K338" s="77" t="str">
        <f>IF(IFERROR((COUNTIFS(Таблица2[Date],B338,Таблица2[K],"K")+SUMIFS(Таблица2[R],#REF!,B338,Таблица2[K],"K"))/E338*100,"-")=0,"-",IFERROR((COUNTIFS(Таблица2[Date],B338,Таблица2[K],"K")+SUMIFS(Таблица2[R],Таблица2[Date],B338,Таблица2[K],"K"))/E338*100,"-"))</f>
        <v>-</v>
      </c>
      <c r="L338" s="76" t="str">
        <f>IF(IFERROR((COUNTIFS(Таблица2[Date],B338,Таблица2[T],"t")+SUMIFS(Таблица2[R],Таблица2[Date],B338,Таблица2[T],"t"))/E338*100,"-")=0,"-",IFERROR((COUNTIFS(Таблица2[Date],B338,Таблица2[T],"t")+SUMIFS(Таблица2[R],Таблица2[Date],B338,Таблица2[T],"t"))/E338*100,"-"))</f>
        <v>-</v>
      </c>
      <c r="M338" s="76" t="str">
        <f>IF(SUMIFS(Таблица2[KO$],Таблица2[Date],B338)=0,"-",SUMIFS(Таблица2[KO$],Таблица2[Date],B338))</f>
        <v>-</v>
      </c>
      <c r="N338" s="76" t="str">
        <f>IF(SUMIFS(Таблица2[WIN$],Таблица2[Date],B338)=0,"-",SUMIFS(Таблица2[WIN$],Таблица2[Date],B338))</f>
        <v>-</v>
      </c>
      <c r="O338" s="78" t="str">
        <f t="shared" si="18"/>
        <v>-</v>
      </c>
    </row>
    <row r="339" spans="1:15" ht="11.1" customHeight="1" x14ac:dyDescent="0.25">
      <c r="A339" s="93">
        <f t="shared" si="19"/>
        <v>253</v>
      </c>
      <c r="B339" s="48"/>
      <c r="C339"/>
      <c r="D339" s="117">
        <f t="shared" si="15"/>
        <v>1900</v>
      </c>
      <c r="E339" s="117" t="str">
        <f>IF(COUNTIFS(Таблица2[Date],B339)+SUMIFS(Таблица2[R],Таблица2[Date],B339)=0,"",COUNTIFS(Таблица2[Date],B339)+SUMIFS(Таблица2[R],Таблица2[Date],B339))</f>
        <v/>
      </c>
      <c r="F339" s="76" t="str">
        <f>IF(SUMIFS(Таблица2[B$],Таблица2[Date],B339)=0,"-",SUMIFS(Таблица2[B$],Таблица2[Date],B339))</f>
        <v>-</v>
      </c>
      <c r="G339" s="77" t="str">
        <f t="shared" si="16"/>
        <v>-</v>
      </c>
      <c r="H339" s="77" t="str">
        <f>IFERROR(AVERAGEIFS(Таблица2[AFS],Таблица2[Date],B339)+(AVERAGEIFS(Таблица2[AFS],Таблица2[Date],B339)*0.2),"-")</f>
        <v>-</v>
      </c>
      <c r="I339" s="77" t="str">
        <f t="shared" si="17"/>
        <v>-</v>
      </c>
      <c r="J339" s="77" t="str">
        <f>IFERROR(COUNTIFS(Таблица2[Date],B339,Таблица2[WIN$],"&gt;0")/E339*100,"-")</f>
        <v>-</v>
      </c>
      <c r="K339" s="77" t="str">
        <f>IF(IFERROR((COUNTIFS(Таблица2[Date],B339,Таблица2[K],"K")+SUMIFS(Таблица2[R],#REF!,B339,Таблица2[K],"K"))/E339*100,"-")=0,"-",IFERROR((COUNTIFS(Таблица2[Date],B339,Таблица2[K],"K")+SUMIFS(Таблица2[R],Таблица2[Date],B339,Таблица2[K],"K"))/E339*100,"-"))</f>
        <v>-</v>
      </c>
      <c r="L339" s="76" t="str">
        <f>IF(IFERROR((COUNTIFS(Таблица2[Date],B339,Таблица2[T],"t")+SUMIFS(Таблица2[R],Таблица2[Date],B339,Таблица2[T],"t"))/E339*100,"-")=0,"-",IFERROR((COUNTIFS(Таблица2[Date],B339,Таблица2[T],"t")+SUMIFS(Таблица2[R],Таблица2[Date],B339,Таблица2[T],"t"))/E339*100,"-"))</f>
        <v>-</v>
      </c>
      <c r="M339" s="76" t="str">
        <f>IF(SUMIFS(Таблица2[KO$],Таблица2[Date],B339)=0,"-",SUMIFS(Таблица2[KO$],Таблица2[Date],B339))</f>
        <v>-</v>
      </c>
      <c r="N339" s="76" t="str">
        <f>IF(SUMIFS(Таблица2[WIN$],Таблица2[Date],B339)=0,"-",SUMIFS(Таблица2[WIN$],Таблица2[Date],B339))</f>
        <v>-</v>
      </c>
      <c r="O339" s="78" t="str">
        <f t="shared" si="18"/>
        <v>-</v>
      </c>
    </row>
    <row r="340" spans="1:15" ht="11.1" customHeight="1" x14ac:dyDescent="0.25">
      <c r="A340" s="93">
        <f t="shared" si="19"/>
        <v>254</v>
      </c>
      <c r="B340" s="48"/>
      <c r="C340"/>
      <c r="D340" s="117">
        <f t="shared" si="15"/>
        <v>1900</v>
      </c>
      <c r="E340" s="117" t="str">
        <f>IF(COUNTIFS(Таблица2[Date],B340)+SUMIFS(Таблица2[R],Таблица2[Date],B340)=0,"",COUNTIFS(Таблица2[Date],B340)+SUMIFS(Таблица2[R],Таблица2[Date],B340))</f>
        <v/>
      </c>
      <c r="F340" s="76" t="str">
        <f>IF(SUMIFS(Таблица2[B$],Таблица2[Date],B340)=0,"-",SUMIFS(Таблица2[B$],Таблица2[Date],B340))</f>
        <v>-</v>
      </c>
      <c r="G340" s="77" t="str">
        <f t="shared" si="16"/>
        <v>-</v>
      </c>
      <c r="H340" s="77" t="str">
        <f>IFERROR(AVERAGEIFS(Таблица2[AFS],Таблица2[Date],B340)+(AVERAGEIFS(Таблица2[AFS],Таблица2[Date],B340)*0.2),"-")</f>
        <v>-</v>
      </c>
      <c r="I340" s="77" t="str">
        <f t="shared" si="17"/>
        <v>-</v>
      </c>
      <c r="J340" s="77" t="str">
        <f>IFERROR(COUNTIFS(Таблица2[Date],B340,Таблица2[WIN$],"&gt;0")/E340*100,"-")</f>
        <v>-</v>
      </c>
      <c r="K340" s="77" t="str">
        <f>IF(IFERROR((COUNTIFS(Таблица2[Date],B340,Таблица2[K],"K")+SUMIFS(Таблица2[R],#REF!,B340,Таблица2[K],"K"))/E340*100,"-")=0,"-",IFERROR((COUNTIFS(Таблица2[Date],B340,Таблица2[K],"K")+SUMIFS(Таблица2[R],Таблица2[Date],B340,Таблица2[K],"K"))/E340*100,"-"))</f>
        <v>-</v>
      </c>
      <c r="L340" s="76" t="str">
        <f>IF(IFERROR((COUNTIFS(Таблица2[Date],B340,Таблица2[T],"t")+SUMIFS(Таблица2[R],Таблица2[Date],B340,Таблица2[T],"t"))/E340*100,"-")=0,"-",IFERROR((COUNTIFS(Таблица2[Date],B340,Таблица2[T],"t")+SUMIFS(Таблица2[R],Таблица2[Date],B340,Таблица2[T],"t"))/E340*100,"-"))</f>
        <v>-</v>
      </c>
      <c r="M340" s="76" t="str">
        <f>IF(SUMIFS(Таблица2[KO$],Таблица2[Date],B340)=0,"-",SUMIFS(Таблица2[KO$],Таблица2[Date],B340))</f>
        <v>-</v>
      </c>
      <c r="N340" s="76" t="str">
        <f>IF(SUMIFS(Таблица2[WIN$],Таблица2[Date],B340)=0,"-",SUMIFS(Таблица2[WIN$],Таблица2[Date],B340))</f>
        <v>-</v>
      </c>
      <c r="O340" s="78" t="str">
        <f t="shared" si="18"/>
        <v>-</v>
      </c>
    </row>
    <row r="341" spans="1:15" ht="11.1" customHeight="1" x14ac:dyDescent="0.25">
      <c r="A341" s="93">
        <f t="shared" si="19"/>
        <v>255</v>
      </c>
      <c r="B341" s="48"/>
      <c r="C341"/>
      <c r="D341" s="117">
        <f t="shared" si="15"/>
        <v>1900</v>
      </c>
      <c r="E341" s="117" t="str">
        <f>IF(COUNTIFS(Таблица2[Date],B341)+SUMIFS(Таблица2[R],Таблица2[Date],B341)=0,"",COUNTIFS(Таблица2[Date],B341)+SUMIFS(Таблица2[R],Таблица2[Date],B341))</f>
        <v/>
      </c>
      <c r="F341" s="76" t="str">
        <f>IF(SUMIFS(Таблица2[B$],Таблица2[Date],B341)=0,"-",SUMIFS(Таблица2[B$],Таблица2[Date],B341))</f>
        <v>-</v>
      </c>
      <c r="G341" s="77" t="str">
        <f t="shared" si="16"/>
        <v>-</v>
      </c>
      <c r="H341" s="77" t="str">
        <f>IFERROR(AVERAGEIFS(Таблица2[AFS],Таблица2[Date],B341)+(AVERAGEIFS(Таблица2[AFS],Таблица2[Date],B341)*0.2),"-")</f>
        <v>-</v>
      </c>
      <c r="I341" s="77" t="str">
        <f t="shared" si="17"/>
        <v>-</v>
      </c>
      <c r="J341" s="77" t="str">
        <f>IFERROR(COUNTIFS(Таблица2[Date],B341,Таблица2[WIN$],"&gt;0")/E341*100,"-")</f>
        <v>-</v>
      </c>
      <c r="K341" s="77" t="str">
        <f>IF(IFERROR((COUNTIFS(Таблица2[Date],B341,Таблица2[K],"K")+SUMIFS(Таблица2[R],#REF!,B341,Таблица2[K],"K"))/E341*100,"-")=0,"-",IFERROR((COUNTIFS(Таблица2[Date],B341,Таблица2[K],"K")+SUMIFS(Таблица2[R],Таблица2[Date],B341,Таблица2[K],"K"))/E341*100,"-"))</f>
        <v>-</v>
      </c>
      <c r="L341" s="76" t="str">
        <f>IF(IFERROR((COUNTIFS(Таблица2[Date],B341,Таблица2[T],"t")+SUMIFS(Таблица2[R],Таблица2[Date],B341,Таблица2[T],"t"))/E341*100,"-")=0,"-",IFERROR((COUNTIFS(Таблица2[Date],B341,Таблица2[T],"t")+SUMIFS(Таблица2[R],Таблица2[Date],B341,Таблица2[T],"t"))/E341*100,"-"))</f>
        <v>-</v>
      </c>
      <c r="M341" s="76" t="str">
        <f>IF(SUMIFS(Таблица2[KO$],Таблица2[Date],B341)=0,"-",SUMIFS(Таблица2[KO$],Таблица2[Date],B341))</f>
        <v>-</v>
      </c>
      <c r="N341" s="76" t="str">
        <f>IF(SUMIFS(Таблица2[WIN$],Таблица2[Date],B341)=0,"-",SUMIFS(Таблица2[WIN$],Таблица2[Date],B341))</f>
        <v>-</v>
      </c>
      <c r="O341" s="78" t="str">
        <f t="shared" si="18"/>
        <v>-</v>
      </c>
    </row>
    <row r="342" spans="1:15" ht="11.1" customHeight="1" x14ac:dyDescent="0.25">
      <c r="A342" s="93">
        <f t="shared" si="19"/>
        <v>256</v>
      </c>
      <c r="B342" s="48"/>
      <c r="C342"/>
      <c r="D342" s="117">
        <f t="shared" si="15"/>
        <v>1900</v>
      </c>
      <c r="E342" s="117" t="str">
        <f>IF(COUNTIFS(Таблица2[Date],B342)+SUMIFS(Таблица2[R],Таблица2[Date],B342)=0,"",COUNTIFS(Таблица2[Date],B342)+SUMIFS(Таблица2[R],Таблица2[Date],B342))</f>
        <v/>
      </c>
      <c r="F342" s="76" t="str">
        <f>IF(SUMIFS(Таблица2[B$],Таблица2[Date],B342)=0,"-",SUMIFS(Таблица2[B$],Таблица2[Date],B342))</f>
        <v>-</v>
      </c>
      <c r="G342" s="77" t="str">
        <f t="shared" si="16"/>
        <v>-</v>
      </c>
      <c r="H342" s="77" t="str">
        <f>IFERROR(AVERAGEIFS(Таблица2[AFS],Таблица2[Date],B342)+(AVERAGEIFS(Таблица2[AFS],Таблица2[Date],B342)*0.2),"-")</f>
        <v>-</v>
      </c>
      <c r="I342" s="77" t="str">
        <f t="shared" si="17"/>
        <v>-</v>
      </c>
      <c r="J342" s="77" t="str">
        <f>IFERROR(COUNTIFS(Таблица2[Date],B342,Таблица2[WIN$],"&gt;0")/E342*100,"-")</f>
        <v>-</v>
      </c>
      <c r="K342" s="77" t="str">
        <f>IF(IFERROR((COUNTIFS(Таблица2[Date],B342,Таблица2[K],"K")+SUMIFS(Таблица2[R],#REF!,B342,Таблица2[K],"K"))/E342*100,"-")=0,"-",IFERROR((COUNTIFS(Таблица2[Date],B342,Таблица2[K],"K")+SUMIFS(Таблица2[R],Таблица2[Date],B342,Таблица2[K],"K"))/E342*100,"-"))</f>
        <v>-</v>
      </c>
      <c r="L342" s="76" t="str">
        <f>IF(IFERROR((COUNTIFS(Таблица2[Date],B342,Таблица2[T],"t")+SUMIFS(Таблица2[R],Таблица2[Date],B342,Таблица2[T],"t"))/E342*100,"-")=0,"-",IFERROR((COUNTIFS(Таблица2[Date],B342,Таблица2[T],"t")+SUMIFS(Таблица2[R],Таблица2[Date],B342,Таблица2[T],"t"))/E342*100,"-"))</f>
        <v>-</v>
      </c>
      <c r="M342" s="76" t="str">
        <f>IF(SUMIFS(Таблица2[KO$],Таблица2[Date],B342)=0,"-",SUMIFS(Таблица2[KO$],Таблица2[Date],B342))</f>
        <v>-</v>
      </c>
      <c r="N342" s="76" t="str">
        <f>IF(SUMIFS(Таблица2[WIN$],Таблица2[Date],B342)=0,"-",SUMIFS(Таблица2[WIN$],Таблица2[Date],B342))</f>
        <v>-</v>
      </c>
      <c r="O342" s="78" t="str">
        <f t="shared" si="18"/>
        <v>-</v>
      </c>
    </row>
    <row r="343" spans="1:15" ht="11.1" customHeight="1" x14ac:dyDescent="0.25">
      <c r="A343" s="93">
        <f t="shared" si="19"/>
        <v>257</v>
      </c>
      <c r="B343" s="48"/>
      <c r="C343"/>
      <c r="D343" s="117">
        <f t="shared" ref="D343:D380" si="20">YEAR(B343)</f>
        <v>1900</v>
      </c>
      <c r="E343" s="117" t="str">
        <f>IF(COUNTIFS(Таблица2[Date],B343)+SUMIFS(Таблица2[R],Таблица2[Date],B343)=0,"",COUNTIFS(Таблица2[Date],B343)+SUMIFS(Таблица2[R],Таблица2[Date],B343))</f>
        <v/>
      </c>
      <c r="F343" s="76" t="str">
        <f>IF(SUMIFS(Таблица2[B$],Таблица2[Date],B343)=0,"-",SUMIFS(Таблица2[B$],Таблица2[Date],B343))</f>
        <v>-</v>
      </c>
      <c r="G343" s="77" t="str">
        <f t="shared" ref="G343:G380" si="21">IFERROR(F343/E343,"-")</f>
        <v>-</v>
      </c>
      <c r="H343" s="77" t="str">
        <f>IFERROR(AVERAGEIFS(Таблица2[AFS],Таблица2[Date],B343)+(AVERAGEIFS(Таблица2[AFS],Таблица2[Date],B343)*0.2),"-")</f>
        <v>-</v>
      </c>
      <c r="I343" s="77" t="str">
        <f t="shared" ref="I343:I380" si="22">IFERROR(O343/F343*100,"-")</f>
        <v>-</v>
      </c>
      <c r="J343" s="77" t="str">
        <f>IFERROR(COUNTIFS(Таблица2[Date],B343,Таблица2[WIN$],"&gt;0")/E343*100,"-")</f>
        <v>-</v>
      </c>
      <c r="K343" s="77" t="str">
        <f>IF(IFERROR((COUNTIFS(Таблица2[Date],B343,Таблица2[K],"K")+SUMIFS(Таблица2[R],#REF!,B343,Таблица2[K],"K"))/E343*100,"-")=0,"-",IFERROR((COUNTIFS(Таблица2[Date],B343,Таблица2[K],"K")+SUMIFS(Таблица2[R],Таблица2[Date],B343,Таблица2[K],"K"))/E343*100,"-"))</f>
        <v>-</v>
      </c>
      <c r="L343" s="76" t="str">
        <f>IF(IFERROR((COUNTIFS(Таблица2[Date],B343,Таблица2[T],"t")+SUMIFS(Таблица2[R],Таблица2[Date],B343,Таблица2[T],"t"))/E343*100,"-")=0,"-",IFERROR((COUNTIFS(Таблица2[Date],B343,Таблица2[T],"t")+SUMIFS(Таблица2[R],Таблица2[Date],B343,Таблица2[T],"t"))/E343*100,"-"))</f>
        <v>-</v>
      </c>
      <c r="M343" s="76" t="str">
        <f>IF(SUMIFS(Таблица2[KO$],Таблица2[Date],B343)=0,"-",SUMIFS(Таблица2[KO$],Таблица2[Date],B343))</f>
        <v>-</v>
      </c>
      <c r="N343" s="76" t="str">
        <f>IF(SUMIFS(Таблица2[WIN$],Таблица2[Date],B343)=0,"-",SUMIFS(Таблица2[WIN$],Таблица2[Date],B343))</f>
        <v>-</v>
      </c>
      <c r="O343" s="78" t="str">
        <f t="shared" ref="O343:O380" si="23">IFERROR(IF(N343="-",0,N343)+IF(M343="-",0,M343)-F343,"-")</f>
        <v>-</v>
      </c>
    </row>
    <row r="344" spans="1:15" ht="11.1" customHeight="1" x14ac:dyDescent="0.25">
      <c r="A344" s="93">
        <f t="shared" ref="A344:A384" si="24">A343+1</f>
        <v>258</v>
      </c>
      <c r="B344" s="48"/>
      <c r="C344"/>
      <c r="D344" s="117">
        <f t="shared" si="20"/>
        <v>1900</v>
      </c>
      <c r="E344" s="117" t="str">
        <f>IF(COUNTIFS(Таблица2[Date],B344)+SUMIFS(Таблица2[R],Таблица2[Date],B344)=0,"",COUNTIFS(Таблица2[Date],B344)+SUMIFS(Таблица2[R],Таблица2[Date],B344))</f>
        <v/>
      </c>
      <c r="F344" s="76" t="str">
        <f>IF(SUMIFS(Таблица2[B$],Таблица2[Date],B344)=0,"-",SUMIFS(Таблица2[B$],Таблица2[Date],B344))</f>
        <v>-</v>
      </c>
      <c r="G344" s="77" t="str">
        <f t="shared" si="21"/>
        <v>-</v>
      </c>
      <c r="H344" s="77" t="str">
        <f>IFERROR(AVERAGEIFS(Таблица2[AFS],Таблица2[Date],B344)+(AVERAGEIFS(Таблица2[AFS],Таблица2[Date],B344)*0.2),"-")</f>
        <v>-</v>
      </c>
      <c r="I344" s="77" t="str">
        <f t="shared" si="22"/>
        <v>-</v>
      </c>
      <c r="J344" s="77" t="str">
        <f>IFERROR(COUNTIFS(Таблица2[Date],B344,Таблица2[WIN$],"&gt;0")/E344*100,"-")</f>
        <v>-</v>
      </c>
      <c r="K344" s="77" t="str">
        <f>IF(IFERROR((COUNTIFS(Таблица2[Date],B344,Таблица2[K],"K")+SUMIFS(Таблица2[R],#REF!,B344,Таблица2[K],"K"))/E344*100,"-")=0,"-",IFERROR((COUNTIFS(Таблица2[Date],B344,Таблица2[K],"K")+SUMIFS(Таблица2[R],Таблица2[Date],B344,Таблица2[K],"K"))/E344*100,"-"))</f>
        <v>-</v>
      </c>
      <c r="L344" s="76" t="str">
        <f>IF(IFERROR((COUNTIFS(Таблица2[Date],B344,Таблица2[T],"t")+SUMIFS(Таблица2[R],Таблица2[Date],B344,Таблица2[T],"t"))/E344*100,"-")=0,"-",IFERROR((COUNTIFS(Таблица2[Date],B344,Таблица2[T],"t")+SUMIFS(Таблица2[R],Таблица2[Date],B344,Таблица2[T],"t"))/E344*100,"-"))</f>
        <v>-</v>
      </c>
      <c r="M344" s="76" t="str">
        <f>IF(SUMIFS(Таблица2[KO$],Таблица2[Date],B344)=0,"-",SUMIFS(Таблица2[KO$],Таблица2[Date],B344))</f>
        <v>-</v>
      </c>
      <c r="N344" s="76" t="str">
        <f>IF(SUMIFS(Таблица2[WIN$],Таблица2[Date],B344)=0,"-",SUMIFS(Таблица2[WIN$],Таблица2[Date],B344))</f>
        <v>-</v>
      </c>
      <c r="O344" s="78" t="str">
        <f t="shared" si="23"/>
        <v>-</v>
      </c>
    </row>
    <row r="345" spans="1:15" ht="11.1" customHeight="1" x14ac:dyDescent="0.25">
      <c r="A345" s="93">
        <f t="shared" si="24"/>
        <v>259</v>
      </c>
      <c r="B345" s="48"/>
      <c r="C345"/>
      <c r="D345" s="117">
        <f t="shared" si="20"/>
        <v>1900</v>
      </c>
      <c r="E345" s="117" t="str">
        <f>IF(COUNTIFS(Таблица2[Date],B345)+SUMIFS(Таблица2[R],Таблица2[Date],B345)=0,"",COUNTIFS(Таблица2[Date],B345)+SUMIFS(Таблица2[R],Таблица2[Date],B345))</f>
        <v/>
      </c>
      <c r="F345" s="76" t="str">
        <f>IF(SUMIFS(Таблица2[B$],Таблица2[Date],B345)=0,"-",SUMIFS(Таблица2[B$],Таблица2[Date],B345))</f>
        <v>-</v>
      </c>
      <c r="G345" s="77" t="str">
        <f t="shared" si="21"/>
        <v>-</v>
      </c>
      <c r="H345" s="77" t="str">
        <f>IFERROR(AVERAGEIFS(Таблица2[AFS],Таблица2[Date],B345)+(AVERAGEIFS(Таблица2[AFS],Таблица2[Date],B345)*0.2),"-")</f>
        <v>-</v>
      </c>
      <c r="I345" s="77" t="str">
        <f t="shared" si="22"/>
        <v>-</v>
      </c>
      <c r="J345" s="77" t="str">
        <f>IFERROR(COUNTIFS(Таблица2[Date],B345,Таблица2[WIN$],"&gt;0")/E345*100,"-")</f>
        <v>-</v>
      </c>
      <c r="K345" s="77" t="str">
        <f>IF(IFERROR((COUNTIFS(Таблица2[Date],B345,Таблица2[K],"K")+SUMIFS(Таблица2[R],#REF!,B345,Таблица2[K],"K"))/E345*100,"-")=0,"-",IFERROR((COUNTIFS(Таблица2[Date],B345,Таблица2[K],"K")+SUMIFS(Таблица2[R],Таблица2[Date],B345,Таблица2[K],"K"))/E345*100,"-"))</f>
        <v>-</v>
      </c>
      <c r="L345" s="76" t="str">
        <f>IF(IFERROR((COUNTIFS(Таблица2[Date],B345,Таблица2[T],"t")+SUMIFS(Таблица2[R],Таблица2[Date],B345,Таблица2[T],"t"))/E345*100,"-")=0,"-",IFERROR((COUNTIFS(Таблица2[Date],B345,Таблица2[T],"t")+SUMIFS(Таблица2[R],Таблица2[Date],B345,Таблица2[T],"t"))/E345*100,"-"))</f>
        <v>-</v>
      </c>
      <c r="M345" s="76" t="str">
        <f>IF(SUMIFS(Таблица2[KO$],Таблица2[Date],B345)=0,"-",SUMIFS(Таблица2[KO$],Таблица2[Date],B345))</f>
        <v>-</v>
      </c>
      <c r="N345" s="76" t="str">
        <f>IF(SUMIFS(Таблица2[WIN$],Таблица2[Date],B345)=0,"-",SUMIFS(Таблица2[WIN$],Таблица2[Date],B345))</f>
        <v>-</v>
      </c>
      <c r="O345" s="78" t="str">
        <f t="shared" si="23"/>
        <v>-</v>
      </c>
    </row>
    <row r="346" spans="1:15" ht="11.1" customHeight="1" x14ac:dyDescent="0.25">
      <c r="A346" s="93">
        <f t="shared" si="24"/>
        <v>260</v>
      </c>
      <c r="B346" s="48"/>
      <c r="C346"/>
      <c r="D346" s="117">
        <f t="shared" si="20"/>
        <v>1900</v>
      </c>
      <c r="E346" s="117" t="str">
        <f>IF(COUNTIFS(Таблица2[Date],B346)+SUMIFS(Таблица2[R],Таблица2[Date],B346)=0,"",COUNTIFS(Таблица2[Date],B346)+SUMIFS(Таблица2[R],Таблица2[Date],B346))</f>
        <v/>
      </c>
      <c r="F346" s="76" t="str">
        <f>IF(SUMIFS(Таблица2[B$],Таблица2[Date],B346)=0,"-",SUMIFS(Таблица2[B$],Таблица2[Date],B346))</f>
        <v>-</v>
      </c>
      <c r="G346" s="77" t="str">
        <f t="shared" si="21"/>
        <v>-</v>
      </c>
      <c r="H346" s="77" t="str">
        <f>IFERROR(AVERAGEIFS(Таблица2[AFS],Таблица2[Date],B346)+(AVERAGEIFS(Таблица2[AFS],Таблица2[Date],B346)*0.2),"-")</f>
        <v>-</v>
      </c>
      <c r="I346" s="77" t="str">
        <f t="shared" si="22"/>
        <v>-</v>
      </c>
      <c r="J346" s="77" t="str">
        <f>IFERROR(COUNTIFS(Таблица2[Date],B346,Таблица2[WIN$],"&gt;0")/E346*100,"-")</f>
        <v>-</v>
      </c>
      <c r="K346" s="77" t="str">
        <f>IF(IFERROR((COUNTIFS(Таблица2[Date],B346,Таблица2[K],"K")+SUMIFS(Таблица2[R],#REF!,B346,Таблица2[K],"K"))/E346*100,"-")=0,"-",IFERROR((COUNTIFS(Таблица2[Date],B346,Таблица2[K],"K")+SUMIFS(Таблица2[R],Таблица2[Date],B346,Таблица2[K],"K"))/E346*100,"-"))</f>
        <v>-</v>
      </c>
      <c r="L346" s="76" t="str">
        <f>IF(IFERROR((COUNTIFS(Таблица2[Date],B346,Таблица2[T],"t")+SUMIFS(Таблица2[R],Таблица2[Date],B346,Таблица2[T],"t"))/E346*100,"-")=0,"-",IFERROR((COUNTIFS(Таблица2[Date],B346,Таблица2[T],"t")+SUMIFS(Таблица2[R],Таблица2[Date],B346,Таблица2[T],"t"))/E346*100,"-"))</f>
        <v>-</v>
      </c>
      <c r="M346" s="76" t="str">
        <f>IF(SUMIFS(Таблица2[KO$],Таблица2[Date],B346)=0,"-",SUMIFS(Таблица2[KO$],Таблица2[Date],B346))</f>
        <v>-</v>
      </c>
      <c r="N346" s="76" t="str">
        <f>IF(SUMIFS(Таблица2[WIN$],Таблица2[Date],B346)=0,"-",SUMIFS(Таблица2[WIN$],Таблица2[Date],B346))</f>
        <v>-</v>
      </c>
      <c r="O346" s="78" t="str">
        <f t="shared" si="23"/>
        <v>-</v>
      </c>
    </row>
    <row r="347" spans="1:15" ht="11.1" customHeight="1" x14ac:dyDescent="0.25">
      <c r="A347" s="93">
        <f t="shared" si="24"/>
        <v>261</v>
      </c>
      <c r="B347" s="48"/>
      <c r="C347"/>
      <c r="D347" s="117">
        <f t="shared" si="20"/>
        <v>1900</v>
      </c>
      <c r="E347" s="117" t="str">
        <f>IF(COUNTIFS(Таблица2[Date],B347)+SUMIFS(Таблица2[R],Таблица2[Date],B347)=0,"",COUNTIFS(Таблица2[Date],B347)+SUMIFS(Таблица2[R],Таблица2[Date],B347))</f>
        <v/>
      </c>
      <c r="F347" s="76" t="str">
        <f>IF(SUMIFS(Таблица2[B$],Таблица2[Date],B347)=0,"-",SUMIFS(Таблица2[B$],Таблица2[Date],B347))</f>
        <v>-</v>
      </c>
      <c r="G347" s="77" t="str">
        <f t="shared" si="21"/>
        <v>-</v>
      </c>
      <c r="H347" s="77" t="str">
        <f>IFERROR(AVERAGEIFS(Таблица2[AFS],Таблица2[Date],B347)+(AVERAGEIFS(Таблица2[AFS],Таблица2[Date],B347)*0.2),"-")</f>
        <v>-</v>
      </c>
      <c r="I347" s="77" t="str">
        <f t="shared" si="22"/>
        <v>-</v>
      </c>
      <c r="J347" s="77" t="str">
        <f>IFERROR(COUNTIFS(Таблица2[Date],B347,Таблица2[WIN$],"&gt;0")/E347*100,"-")</f>
        <v>-</v>
      </c>
      <c r="K347" s="77" t="str">
        <f>IF(IFERROR((COUNTIFS(Таблица2[Date],B347,Таблица2[K],"K")+SUMIFS(Таблица2[R],#REF!,B347,Таблица2[K],"K"))/E347*100,"-")=0,"-",IFERROR((COUNTIFS(Таблица2[Date],B347,Таблица2[K],"K")+SUMIFS(Таблица2[R],Таблица2[Date],B347,Таблица2[K],"K"))/E347*100,"-"))</f>
        <v>-</v>
      </c>
      <c r="L347" s="76" t="str">
        <f>IF(IFERROR((COUNTIFS(Таблица2[Date],B347,Таблица2[T],"t")+SUMIFS(Таблица2[R],Таблица2[Date],B347,Таблица2[T],"t"))/E347*100,"-")=0,"-",IFERROR((COUNTIFS(Таблица2[Date],B347,Таблица2[T],"t")+SUMIFS(Таблица2[R],Таблица2[Date],B347,Таблица2[T],"t"))/E347*100,"-"))</f>
        <v>-</v>
      </c>
      <c r="M347" s="76" t="str">
        <f>IF(SUMIFS(Таблица2[KO$],Таблица2[Date],B347)=0,"-",SUMIFS(Таблица2[KO$],Таблица2[Date],B347))</f>
        <v>-</v>
      </c>
      <c r="N347" s="76" t="str">
        <f>IF(SUMIFS(Таблица2[WIN$],Таблица2[Date],B347)=0,"-",SUMIFS(Таблица2[WIN$],Таблица2[Date],B347))</f>
        <v>-</v>
      </c>
      <c r="O347" s="78" t="str">
        <f t="shared" si="23"/>
        <v>-</v>
      </c>
    </row>
    <row r="348" spans="1:15" ht="11.1" customHeight="1" x14ac:dyDescent="0.25">
      <c r="A348" s="93">
        <f t="shared" si="24"/>
        <v>262</v>
      </c>
      <c r="B348" s="48"/>
      <c r="C348"/>
      <c r="D348" s="117">
        <f t="shared" si="20"/>
        <v>1900</v>
      </c>
      <c r="E348" s="117" t="str">
        <f>IF(COUNTIFS(Таблица2[Date],B348)+SUMIFS(Таблица2[R],Таблица2[Date],B348)=0,"",COUNTIFS(Таблица2[Date],B348)+SUMIFS(Таблица2[R],Таблица2[Date],B348))</f>
        <v/>
      </c>
      <c r="F348" s="76" t="str">
        <f>IF(SUMIFS(Таблица2[B$],Таблица2[Date],B348)=0,"-",SUMIFS(Таблица2[B$],Таблица2[Date],B348))</f>
        <v>-</v>
      </c>
      <c r="G348" s="77" t="str">
        <f t="shared" si="21"/>
        <v>-</v>
      </c>
      <c r="H348" s="77" t="str">
        <f>IFERROR(AVERAGEIFS(Таблица2[AFS],Таблица2[Date],B348)+(AVERAGEIFS(Таблица2[AFS],Таблица2[Date],B348)*0.2),"-")</f>
        <v>-</v>
      </c>
      <c r="I348" s="77" t="str">
        <f t="shared" si="22"/>
        <v>-</v>
      </c>
      <c r="J348" s="77" t="str">
        <f>IFERROR(COUNTIFS(Таблица2[Date],B348,Таблица2[WIN$],"&gt;0")/E348*100,"-")</f>
        <v>-</v>
      </c>
      <c r="K348" s="77" t="str">
        <f>IF(IFERROR((COUNTIFS(Таблица2[Date],B348,Таблица2[K],"K")+SUMIFS(Таблица2[R],#REF!,B348,Таблица2[K],"K"))/E348*100,"-")=0,"-",IFERROR((COUNTIFS(Таблица2[Date],B348,Таблица2[K],"K")+SUMIFS(Таблица2[R],Таблица2[Date],B348,Таблица2[K],"K"))/E348*100,"-"))</f>
        <v>-</v>
      </c>
      <c r="L348" s="76" t="str">
        <f>IF(IFERROR((COUNTIFS(Таблица2[Date],B348,Таблица2[T],"t")+SUMIFS(Таблица2[R],Таблица2[Date],B348,Таблица2[T],"t"))/E348*100,"-")=0,"-",IFERROR((COUNTIFS(Таблица2[Date],B348,Таблица2[T],"t")+SUMIFS(Таблица2[R],Таблица2[Date],B348,Таблица2[T],"t"))/E348*100,"-"))</f>
        <v>-</v>
      </c>
      <c r="M348" s="76" t="str">
        <f>IF(SUMIFS(Таблица2[KO$],Таблица2[Date],B348)=0,"-",SUMIFS(Таблица2[KO$],Таблица2[Date],B348))</f>
        <v>-</v>
      </c>
      <c r="N348" s="76" t="str">
        <f>IF(SUMIFS(Таблица2[WIN$],Таблица2[Date],B348)=0,"-",SUMIFS(Таблица2[WIN$],Таблица2[Date],B348))</f>
        <v>-</v>
      </c>
      <c r="O348" s="78" t="str">
        <f t="shared" si="23"/>
        <v>-</v>
      </c>
    </row>
    <row r="349" spans="1:15" ht="11.1" customHeight="1" x14ac:dyDescent="0.25">
      <c r="A349" s="93">
        <f t="shared" si="24"/>
        <v>263</v>
      </c>
      <c r="B349" s="48"/>
      <c r="C349"/>
      <c r="D349" s="117">
        <f t="shared" si="20"/>
        <v>1900</v>
      </c>
      <c r="E349" s="117" t="str">
        <f>IF(COUNTIFS(Таблица2[Date],B349)+SUMIFS(Таблица2[R],Таблица2[Date],B349)=0,"",COUNTIFS(Таблица2[Date],B349)+SUMIFS(Таблица2[R],Таблица2[Date],B349))</f>
        <v/>
      </c>
      <c r="F349" s="76" t="str">
        <f>IF(SUMIFS(Таблица2[B$],Таблица2[Date],B349)=0,"-",SUMIFS(Таблица2[B$],Таблица2[Date],B349))</f>
        <v>-</v>
      </c>
      <c r="G349" s="77" t="str">
        <f t="shared" si="21"/>
        <v>-</v>
      </c>
      <c r="H349" s="77" t="str">
        <f>IFERROR(AVERAGEIFS(Таблица2[AFS],Таблица2[Date],B349)+(AVERAGEIFS(Таблица2[AFS],Таблица2[Date],B349)*0.2),"-")</f>
        <v>-</v>
      </c>
      <c r="I349" s="77" t="str">
        <f t="shared" si="22"/>
        <v>-</v>
      </c>
      <c r="J349" s="77" t="str">
        <f>IFERROR(COUNTIFS(Таблица2[Date],B349,Таблица2[WIN$],"&gt;0")/E349*100,"-")</f>
        <v>-</v>
      </c>
      <c r="K349" s="77" t="str">
        <f>IF(IFERROR((COUNTIFS(Таблица2[Date],B349,Таблица2[K],"K")+SUMIFS(Таблица2[R],#REF!,B349,Таблица2[K],"K"))/E349*100,"-")=0,"-",IFERROR((COUNTIFS(Таблица2[Date],B349,Таблица2[K],"K")+SUMIFS(Таблица2[R],Таблица2[Date],B349,Таблица2[K],"K"))/E349*100,"-"))</f>
        <v>-</v>
      </c>
      <c r="L349" s="76" t="str">
        <f>IF(IFERROR((COUNTIFS(Таблица2[Date],B349,Таблица2[T],"t")+SUMIFS(Таблица2[R],Таблица2[Date],B349,Таблица2[T],"t"))/E349*100,"-")=0,"-",IFERROR((COUNTIFS(Таблица2[Date],B349,Таблица2[T],"t")+SUMIFS(Таблица2[R],Таблица2[Date],B349,Таблица2[T],"t"))/E349*100,"-"))</f>
        <v>-</v>
      </c>
      <c r="M349" s="76" t="str">
        <f>IF(SUMIFS(Таблица2[KO$],Таблица2[Date],B349)=0,"-",SUMIFS(Таблица2[KO$],Таблица2[Date],B349))</f>
        <v>-</v>
      </c>
      <c r="N349" s="76" t="str">
        <f>IF(SUMIFS(Таблица2[WIN$],Таблица2[Date],B349)=0,"-",SUMIFS(Таблица2[WIN$],Таблица2[Date],B349))</f>
        <v>-</v>
      </c>
      <c r="O349" s="78" t="str">
        <f t="shared" si="23"/>
        <v>-</v>
      </c>
    </row>
    <row r="350" spans="1:15" ht="11.1" customHeight="1" x14ac:dyDescent="0.25">
      <c r="A350" s="93">
        <f t="shared" si="24"/>
        <v>264</v>
      </c>
      <c r="B350" s="48"/>
      <c r="C350"/>
      <c r="D350" s="117">
        <f t="shared" si="20"/>
        <v>1900</v>
      </c>
      <c r="E350" s="117" t="str">
        <f>IF(COUNTIFS(Таблица2[Date],B350)+SUMIFS(Таблица2[R],Таблица2[Date],B350)=0,"",COUNTIFS(Таблица2[Date],B350)+SUMIFS(Таблица2[R],Таблица2[Date],B350))</f>
        <v/>
      </c>
      <c r="F350" s="76" t="str">
        <f>IF(SUMIFS(Таблица2[B$],Таблица2[Date],B350)=0,"-",SUMIFS(Таблица2[B$],Таблица2[Date],B350))</f>
        <v>-</v>
      </c>
      <c r="G350" s="77" t="str">
        <f t="shared" si="21"/>
        <v>-</v>
      </c>
      <c r="H350" s="77" t="str">
        <f>IFERROR(AVERAGEIFS(Таблица2[AFS],Таблица2[Date],B350)+(AVERAGEIFS(Таблица2[AFS],Таблица2[Date],B350)*0.2),"-")</f>
        <v>-</v>
      </c>
      <c r="I350" s="77" t="str">
        <f t="shared" si="22"/>
        <v>-</v>
      </c>
      <c r="J350" s="77" t="str">
        <f>IFERROR(COUNTIFS(Таблица2[Date],B350,Таблица2[WIN$],"&gt;0")/E350*100,"-")</f>
        <v>-</v>
      </c>
      <c r="K350" s="77" t="str">
        <f>IF(IFERROR((COUNTIFS(Таблица2[Date],B350,Таблица2[K],"K")+SUMIFS(Таблица2[R],#REF!,B350,Таблица2[K],"K"))/E350*100,"-")=0,"-",IFERROR((COUNTIFS(Таблица2[Date],B350,Таблица2[K],"K")+SUMIFS(Таблица2[R],Таблица2[Date],B350,Таблица2[K],"K"))/E350*100,"-"))</f>
        <v>-</v>
      </c>
      <c r="L350" s="76" t="str">
        <f>IF(IFERROR((COUNTIFS(Таблица2[Date],B350,Таблица2[T],"t")+SUMIFS(Таблица2[R],Таблица2[Date],B350,Таблица2[T],"t"))/E350*100,"-")=0,"-",IFERROR((COUNTIFS(Таблица2[Date],B350,Таблица2[T],"t")+SUMIFS(Таблица2[R],Таблица2[Date],B350,Таблица2[T],"t"))/E350*100,"-"))</f>
        <v>-</v>
      </c>
      <c r="M350" s="76" t="str">
        <f>IF(SUMIFS(Таблица2[KO$],Таблица2[Date],B350)=0,"-",SUMIFS(Таблица2[KO$],Таблица2[Date],B350))</f>
        <v>-</v>
      </c>
      <c r="N350" s="76" t="str">
        <f>IF(SUMIFS(Таблица2[WIN$],Таблица2[Date],B350)=0,"-",SUMIFS(Таблица2[WIN$],Таблица2[Date],B350))</f>
        <v>-</v>
      </c>
      <c r="O350" s="78" t="str">
        <f t="shared" si="23"/>
        <v>-</v>
      </c>
    </row>
    <row r="351" spans="1:15" ht="11.1" customHeight="1" x14ac:dyDescent="0.25">
      <c r="A351" s="93">
        <f t="shared" si="24"/>
        <v>265</v>
      </c>
      <c r="B351" s="48"/>
      <c r="C351"/>
      <c r="D351" s="117">
        <f t="shared" si="20"/>
        <v>1900</v>
      </c>
      <c r="E351" s="117" t="str">
        <f>IF(COUNTIFS(Таблица2[Date],B351)+SUMIFS(Таблица2[R],Таблица2[Date],B351)=0,"",COUNTIFS(Таблица2[Date],B351)+SUMIFS(Таблица2[R],Таблица2[Date],B351))</f>
        <v/>
      </c>
      <c r="F351" s="76" t="str">
        <f>IF(SUMIFS(Таблица2[B$],Таблица2[Date],B351)=0,"-",SUMIFS(Таблица2[B$],Таблица2[Date],B351))</f>
        <v>-</v>
      </c>
      <c r="G351" s="77" t="str">
        <f t="shared" si="21"/>
        <v>-</v>
      </c>
      <c r="H351" s="77" t="str">
        <f>IFERROR(AVERAGEIFS(Таблица2[AFS],Таблица2[Date],B351)+(AVERAGEIFS(Таблица2[AFS],Таблица2[Date],B351)*0.2),"-")</f>
        <v>-</v>
      </c>
      <c r="I351" s="77" t="str">
        <f t="shared" si="22"/>
        <v>-</v>
      </c>
      <c r="J351" s="77" t="str">
        <f>IFERROR(COUNTIFS(Таблица2[Date],B351,Таблица2[WIN$],"&gt;0")/E351*100,"-")</f>
        <v>-</v>
      </c>
      <c r="K351" s="77" t="str">
        <f>IF(IFERROR((COUNTIFS(Таблица2[Date],B351,Таблица2[K],"K")+SUMIFS(Таблица2[R],#REF!,B351,Таблица2[K],"K"))/E351*100,"-")=0,"-",IFERROR((COUNTIFS(Таблица2[Date],B351,Таблица2[K],"K")+SUMIFS(Таблица2[R],Таблица2[Date],B351,Таблица2[K],"K"))/E351*100,"-"))</f>
        <v>-</v>
      </c>
      <c r="L351" s="76" t="str">
        <f>IF(IFERROR((COUNTIFS(Таблица2[Date],B351,Таблица2[T],"t")+SUMIFS(Таблица2[R],Таблица2[Date],B351,Таблица2[T],"t"))/E351*100,"-")=0,"-",IFERROR((COUNTIFS(Таблица2[Date],B351,Таблица2[T],"t")+SUMIFS(Таблица2[R],Таблица2[Date],B351,Таблица2[T],"t"))/E351*100,"-"))</f>
        <v>-</v>
      </c>
      <c r="M351" s="76" t="str">
        <f>IF(SUMIFS(Таблица2[KO$],Таблица2[Date],B351)=0,"-",SUMIFS(Таблица2[KO$],Таблица2[Date],B351))</f>
        <v>-</v>
      </c>
      <c r="N351" s="76" t="str">
        <f>IF(SUMIFS(Таблица2[WIN$],Таблица2[Date],B351)=0,"-",SUMIFS(Таблица2[WIN$],Таблица2[Date],B351))</f>
        <v>-</v>
      </c>
      <c r="O351" s="78" t="str">
        <f t="shared" si="23"/>
        <v>-</v>
      </c>
    </row>
    <row r="352" spans="1:15" ht="11.1" customHeight="1" x14ac:dyDescent="0.25">
      <c r="A352" s="93">
        <f t="shared" si="24"/>
        <v>266</v>
      </c>
      <c r="B352" s="48"/>
      <c r="C352"/>
      <c r="D352" s="117">
        <f t="shared" si="20"/>
        <v>1900</v>
      </c>
      <c r="E352" s="117" t="str">
        <f>IF(COUNTIFS(Таблица2[Date],B352)+SUMIFS(Таблица2[R],Таблица2[Date],B352)=0,"",COUNTIFS(Таблица2[Date],B352)+SUMIFS(Таблица2[R],Таблица2[Date],B352))</f>
        <v/>
      </c>
      <c r="F352" s="76" t="str">
        <f>IF(SUMIFS(Таблица2[B$],Таблица2[Date],B352)=0,"-",SUMIFS(Таблица2[B$],Таблица2[Date],B352))</f>
        <v>-</v>
      </c>
      <c r="G352" s="77" t="str">
        <f t="shared" si="21"/>
        <v>-</v>
      </c>
      <c r="H352" s="77" t="str">
        <f>IFERROR(AVERAGEIFS(Таблица2[AFS],Таблица2[Date],B352)+(AVERAGEIFS(Таблица2[AFS],Таблица2[Date],B352)*0.2),"-")</f>
        <v>-</v>
      </c>
      <c r="I352" s="77" t="str">
        <f t="shared" si="22"/>
        <v>-</v>
      </c>
      <c r="J352" s="77" t="str">
        <f>IFERROR(COUNTIFS(Таблица2[Date],B352,Таблица2[WIN$],"&gt;0")/E352*100,"-")</f>
        <v>-</v>
      </c>
      <c r="K352" s="77" t="str">
        <f>IF(IFERROR((COUNTIFS(Таблица2[Date],B352,Таблица2[K],"K")+SUMIFS(Таблица2[R],#REF!,B352,Таблица2[K],"K"))/E352*100,"-")=0,"-",IFERROR((COUNTIFS(Таблица2[Date],B352,Таблица2[K],"K")+SUMIFS(Таблица2[R],Таблица2[Date],B352,Таблица2[K],"K"))/E352*100,"-"))</f>
        <v>-</v>
      </c>
      <c r="L352" s="76" t="str">
        <f>IF(IFERROR((COUNTIFS(Таблица2[Date],B352,Таблица2[T],"t")+SUMIFS(Таблица2[R],Таблица2[Date],B352,Таблица2[T],"t"))/E352*100,"-")=0,"-",IFERROR((COUNTIFS(Таблица2[Date],B352,Таблица2[T],"t")+SUMIFS(Таблица2[R],Таблица2[Date],B352,Таблица2[T],"t"))/E352*100,"-"))</f>
        <v>-</v>
      </c>
      <c r="M352" s="76" t="str">
        <f>IF(SUMIFS(Таблица2[KO$],Таблица2[Date],B352)=0,"-",SUMIFS(Таблица2[KO$],Таблица2[Date],B352))</f>
        <v>-</v>
      </c>
      <c r="N352" s="76" t="str">
        <f>IF(SUMIFS(Таблица2[WIN$],Таблица2[Date],B352)=0,"-",SUMIFS(Таблица2[WIN$],Таблица2[Date],B352))</f>
        <v>-</v>
      </c>
      <c r="O352" s="78" t="str">
        <f t="shared" si="23"/>
        <v>-</v>
      </c>
    </row>
    <row r="353" spans="1:15" ht="11.1" customHeight="1" x14ac:dyDescent="0.25">
      <c r="A353" s="93">
        <f t="shared" si="24"/>
        <v>267</v>
      </c>
      <c r="B353" s="48"/>
      <c r="C353"/>
      <c r="D353" s="117">
        <f t="shared" si="20"/>
        <v>1900</v>
      </c>
      <c r="E353" s="117" t="str">
        <f>IF(COUNTIFS(Таблица2[Date],B353)+SUMIFS(Таблица2[R],Таблица2[Date],B353)=0,"",COUNTIFS(Таблица2[Date],B353)+SUMIFS(Таблица2[R],Таблица2[Date],B353))</f>
        <v/>
      </c>
      <c r="F353" s="76" t="str">
        <f>IF(SUMIFS(Таблица2[B$],Таблица2[Date],B353)=0,"-",SUMIFS(Таблица2[B$],Таблица2[Date],B353))</f>
        <v>-</v>
      </c>
      <c r="G353" s="77" t="str">
        <f t="shared" si="21"/>
        <v>-</v>
      </c>
      <c r="H353" s="77" t="str">
        <f>IFERROR(AVERAGEIFS(Таблица2[AFS],Таблица2[Date],B353)+(AVERAGEIFS(Таблица2[AFS],Таблица2[Date],B353)*0.2),"-")</f>
        <v>-</v>
      </c>
      <c r="I353" s="77" t="str">
        <f t="shared" si="22"/>
        <v>-</v>
      </c>
      <c r="J353" s="77" t="str">
        <f>IFERROR(COUNTIFS(Таблица2[Date],B353,Таблица2[WIN$],"&gt;0")/E353*100,"-")</f>
        <v>-</v>
      </c>
      <c r="K353" s="77" t="str">
        <f>IF(IFERROR((COUNTIFS(Таблица2[Date],B353,Таблица2[K],"K")+SUMIFS(Таблица2[R],#REF!,B353,Таблица2[K],"K"))/E353*100,"-")=0,"-",IFERROR((COUNTIFS(Таблица2[Date],B353,Таблица2[K],"K")+SUMIFS(Таблица2[R],Таблица2[Date],B353,Таблица2[K],"K"))/E353*100,"-"))</f>
        <v>-</v>
      </c>
      <c r="L353" s="76" t="str">
        <f>IF(IFERROR((COUNTIFS(Таблица2[Date],B353,Таблица2[T],"t")+SUMIFS(Таблица2[R],Таблица2[Date],B353,Таблица2[T],"t"))/E353*100,"-")=0,"-",IFERROR((COUNTIFS(Таблица2[Date],B353,Таблица2[T],"t")+SUMIFS(Таблица2[R],Таблица2[Date],B353,Таблица2[T],"t"))/E353*100,"-"))</f>
        <v>-</v>
      </c>
      <c r="M353" s="76" t="str">
        <f>IF(SUMIFS(Таблица2[KO$],Таблица2[Date],B353)=0,"-",SUMIFS(Таблица2[KO$],Таблица2[Date],B353))</f>
        <v>-</v>
      </c>
      <c r="N353" s="76" t="str">
        <f>IF(SUMIFS(Таблица2[WIN$],Таблица2[Date],B353)=0,"-",SUMIFS(Таблица2[WIN$],Таблица2[Date],B353))</f>
        <v>-</v>
      </c>
      <c r="O353" s="78" t="str">
        <f t="shared" si="23"/>
        <v>-</v>
      </c>
    </row>
    <row r="354" spans="1:15" ht="11.1" customHeight="1" x14ac:dyDescent="0.25">
      <c r="A354" s="93">
        <f t="shared" si="24"/>
        <v>268</v>
      </c>
      <c r="B354" s="48"/>
      <c r="C354"/>
      <c r="D354" s="117">
        <f t="shared" si="20"/>
        <v>1900</v>
      </c>
      <c r="E354" s="117" t="str">
        <f>IF(COUNTIFS(Таблица2[Date],B354)+SUMIFS(Таблица2[R],Таблица2[Date],B354)=0,"",COUNTIFS(Таблица2[Date],B354)+SUMIFS(Таблица2[R],Таблица2[Date],B354))</f>
        <v/>
      </c>
      <c r="F354" s="76" t="str">
        <f>IF(SUMIFS(Таблица2[B$],Таблица2[Date],B354)=0,"-",SUMIFS(Таблица2[B$],Таблица2[Date],B354))</f>
        <v>-</v>
      </c>
      <c r="G354" s="77" t="str">
        <f t="shared" si="21"/>
        <v>-</v>
      </c>
      <c r="H354" s="77" t="str">
        <f>IFERROR(AVERAGEIFS(Таблица2[AFS],Таблица2[Date],B354)+(AVERAGEIFS(Таблица2[AFS],Таблица2[Date],B354)*0.2),"-")</f>
        <v>-</v>
      </c>
      <c r="I354" s="77" t="str">
        <f t="shared" si="22"/>
        <v>-</v>
      </c>
      <c r="J354" s="77" t="str">
        <f>IFERROR(COUNTIFS(Таблица2[Date],B354,Таблица2[WIN$],"&gt;0")/E354*100,"-")</f>
        <v>-</v>
      </c>
      <c r="K354" s="77" t="str">
        <f>IF(IFERROR((COUNTIFS(Таблица2[Date],B354,Таблица2[K],"K")+SUMIFS(Таблица2[R],#REF!,B354,Таблица2[K],"K"))/E354*100,"-")=0,"-",IFERROR((COUNTIFS(Таблица2[Date],B354,Таблица2[K],"K")+SUMIFS(Таблица2[R],Таблица2[Date],B354,Таблица2[K],"K"))/E354*100,"-"))</f>
        <v>-</v>
      </c>
      <c r="L354" s="76" t="str">
        <f>IF(IFERROR((COUNTIFS(Таблица2[Date],B354,Таблица2[T],"t")+SUMIFS(Таблица2[R],Таблица2[Date],B354,Таблица2[T],"t"))/E354*100,"-")=0,"-",IFERROR((COUNTIFS(Таблица2[Date],B354,Таблица2[T],"t")+SUMIFS(Таблица2[R],Таблица2[Date],B354,Таблица2[T],"t"))/E354*100,"-"))</f>
        <v>-</v>
      </c>
      <c r="M354" s="76" t="str">
        <f>IF(SUMIFS(Таблица2[KO$],Таблица2[Date],B354)=0,"-",SUMIFS(Таблица2[KO$],Таблица2[Date],B354))</f>
        <v>-</v>
      </c>
      <c r="N354" s="76" t="str">
        <f>IF(SUMIFS(Таблица2[WIN$],Таблица2[Date],B354)=0,"-",SUMIFS(Таблица2[WIN$],Таблица2[Date],B354))</f>
        <v>-</v>
      </c>
      <c r="O354" s="78" t="str">
        <f t="shared" si="23"/>
        <v>-</v>
      </c>
    </row>
    <row r="355" spans="1:15" ht="11.1" customHeight="1" x14ac:dyDescent="0.25">
      <c r="A355" s="93">
        <f t="shared" si="24"/>
        <v>269</v>
      </c>
      <c r="B355" s="48"/>
      <c r="C355"/>
      <c r="D355" s="117">
        <f t="shared" si="20"/>
        <v>1900</v>
      </c>
      <c r="E355" s="117" t="str">
        <f>IF(COUNTIFS(Таблица2[Date],B355)+SUMIFS(Таблица2[R],Таблица2[Date],B355)=0,"",COUNTIFS(Таблица2[Date],B355)+SUMIFS(Таблица2[R],Таблица2[Date],B355))</f>
        <v/>
      </c>
      <c r="F355" s="76" t="str">
        <f>IF(SUMIFS(Таблица2[B$],Таблица2[Date],B355)=0,"-",SUMIFS(Таблица2[B$],Таблица2[Date],B355))</f>
        <v>-</v>
      </c>
      <c r="G355" s="77" t="str">
        <f t="shared" si="21"/>
        <v>-</v>
      </c>
      <c r="H355" s="77" t="str">
        <f>IFERROR(AVERAGEIFS(Таблица2[AFS],Таблица2[Date],B355)+(AVERAGEIFS(Таблица2[AFS],Таблица2[Date],B355)*0.2),"-")</f>
        <v>-</v>
      </c>
      <c r="I355" s="77" t="str">
        <f t="shared" si="22"/>
        <v>-</v>
      </c>
      <c r="J355" s="77" t="str">
        <f>IFERROR(COUNTIFS(Таблица2[Date],B355,Таблица2[WIN$],"&gt;0")/E355*100,"-")</f>
        <v>-</v>
      </c>
      <c r="K355" s="77" t="str">
        <f>IF(IFERROR((COUNTIFS(Таблица2[Date],B355,Таблица2[K],"K")+SUMIFS(Таблица2[R],#REF!,B355,Таблица2[K],"K"))/E355*100,"-")=0,"-",IFERROR((COUNTIFS(Таблица2[Date],B355,Таблица2[K],"K")+SUMIFS(Таблица2[R],Таблица2[Date],B355,Таблица2[K],"K"))/E355*100,"-"))</f>
        <v>-</v>
      </c>
      <c r="L355" s="76" t="str">
        <f>IF(IFERROR((COUNTIFS(Таблица2[Date],B355,Таблица2[T],"t")+SUMIFS(Таблица2[R],Таблица2[Date],B355,Таблица2[T],"t"))/E355*100,"-")=0,"-",IFERROR((COUNTIFS(Таблица2[Date],B355,Таблица2[T],"t")+SUMIFS(Таблица2[R],Таблица2[Date],B355,Таблица2[T],"t"))/E355*100,"-"))</f>
        <v>-</v>
      </c>
      <c r="M355" s="76" t="str">
        <f>IF(SUMIFS(Таблица2[KO$],Таблица2[Date],B355)=0,"-",SUMIFS(Таблица2[KO$],Таблица2[Date],B355))</f>
        <v>-</v>
      </c>
      <c r="N355" s="76" t="str">
        <f>IF(SUMIFS(Таблица2[WIN$],Таблица2[Date],B355)=0,"-",SUMIFS(Таблица2[WIN$],Таблица2[Date],B355))</f>
        <v>-</v>
      </c>
      <c r="O355" s="78" t="str">
        <f t="shared" si="23"/>
        <v>-</v>
      </c>
    </row>
    <row r="356" spans="1:15" ht="11.1" customHeight="1" x14ac:dyDescent="0.25">
      <c r="A356" s="93">
        <f t="shared" si="24"/>
        <v>270</v>
      </c>
      <c r="B356" s="48"/>
      <c r="C356"/>
      <c r="D356" s="117">
        <f t="shared" si="20"/>
        <v>1900</v>
      </c>
      <c r="E356" s="117" t="str">
        <f>IF(COUNTIFS(Таблица2[Date],B356)+SUMIFS(Таблица2[R],Таблица2[Date],B356)=0,"",COUNTIFS(Таблица2[Date],B356)+SUMIFS(Таблица2[R],Таблица2[Date],B356))</f>
        <v/>
      </c>
      <c r="F356" s="76" t="str">
        <f>IF(SUMIFS(Таблица2[B$],Таблица2[Date],B356)=0,"-",SUMIFS(Таблица2[B$],Таблица2[Date],B356))</f>
        <v>-</v>
      </c>
      <c r="G356" s="77" t="str">
        <f t="shared" si="21"/>
        <v>-</v>
      </c>
      <c r="H356" s="77" t="str">
        <f>IFERROR(AVERAGEIFS(Таблица2[AFS],Таблица2[Date],B356)+(AVERAGEIFS(Таблица2[AFS],Таблица2[Date],B356)*0.2),"-")</f>
        <v>-</v>
      </c>
      <c r="I356" s="77" t="str">
        <f t="shared" si="22"/>
        <v>-</v>
      </c>
      <c r="J356" s="77" t="str">
        <f>IFERROR(COUNTIFS(Таблица2[Date],B356,Таблица2[WIN$],"&gt;0")/E356*100,"-")</f>
        <v>-</v>
      </c>
      <c r="K356" s="77" t="str">
        <f>IF(IFERROR((COUNTIFS(Таблица2[Date],B356,Таблица2[K],"K")+SUMIFS(Таблица2[R],#REF!,B356,Таблица2[K],"K"))/E356*100,"-")=0,"-",IFERROR((COUNTIFS(Таблица2[Date],B356,Таблица2[K],"K")+SUMIFS(Таблица2[R],Таблица2[Date],B356,Таблица2[K],"K"))/E356*100,"-"))</f>
        <v>-</v>
      </c>
      <c r="L356" s="76" t="str">
        <f>IF(IFERROR((COUNTIFS(Таблица2[Date],B356,Таблица2[T],"t")+SUMIFS(Таблица2[R],Таблица2[Date],B356,Таблица2[T],"t"))/E356*100,"-")=0,"-",IFERROR((COUNTIFS(Таблица2[Date],B356,Таблица2[T],"t")+SUMIFS(Таблица2[R],Таблица2[Date],B356,Таблица2[T],"t"))/E356*100,"-"))</f>
        <v>-</v>
      </c>
      <c r="M356" s="76" t="str">
        <f>IF(SUMIFS(Таблица2[KO$],Таблица2[Date],B356)=0,"-",SUMIFS(Таблица2[KO$],Таблица2[Date],B356))</f>
        <v>-</v>
      </c>
      <c r="N356" s="76" t="str">
        <f>IF(SUMIFS(Таблица2[WIN$],Таблица2[Date],B356)=0,"-",SUMIFS(Таблица2[WIN$],Таблица2[Date],B356))</f>
        <v>-</v>
      </c>
      <c r="O356" s="78" t="str">
        <f t="shared" si="23"/>
        <v>-</v>
      </c>
    </row>
    <row r="357" spans="1:15" ht="11.1" customHeight="1" x14ac:dyDescent="0.25">
      <c r="A357" s="93">
        <f t="shared" si="24"/>
        <v>271</v>
      </c>
      <c r="B357" s="48"/>
      <c r="C357"/>
      <c r="D357" s="117">
        <f t="shared" si="20"/>
        <v>1900</v>
      </c>
      <c r="E357" s="117" t="str">
        <f>IF(COUNTIFS(Таблица2[Date],B357)+SUMIFS(Таблица2[R],Таблица2[Date],B357)=0,"",COUNTIFS(Таблица2[Date],B357)+SUMIFS(Таблица2[R],Таблица2[Date],B357))</f>
        <v/>
      </c>
      <c r="F357" s="76" t="str">
        <f>IF(SUMIFS(Таблица2[B$],Таблица2[Date],B357)=0,"-",SUMIFS(Таблица2[B$],Таблица2[Date],B357))</f>
        <v>-</v>
      </c>
      <c r="G357" s="77" t="str">
        <f t="shared" si="21"/>
        <v>-</v>
      </c>
      <c r="H357" s="77" t="str">
        <f>IFERROR(AVERAGEIFS(Таблица2[AFS],Таблица2[Date],B357)+(AVERAGEIFS(Таблица2[AFS],Таблица2[Date],B357)*0.2),"-")</f>
        <v>-</v>
      </c>
      <c r="I357" s="77" t="str">
        <f t="shared" si="22"/>
        <v>-</v>
      </c>
      <c r="J357" s="77" t="str">
        <f>IFERROR(COUNTIFS(Таблица2[Date],B357,Таблица2[WIN$],"&gt;0")/E357*100,"-")</f>
        <v>-</v>
      </c>
      <c r="K357" s="77" t="str">
        <f>IF(IFERROR((COUNTIFS(Таблица2[Date],B357,Таблица2[K],"K")+SUMIFS(Таблица2[R],#REF!,B357,Таблица2[K],"K"))/E357*100,"-")=0,"-",IFERROR((COUNTIFS(Таблица2[Date],B357,Таблица2[K],"K")+SUMIFS(Таблица2[R],Таблица2[Date],B357,Таблица2[K],"K"))/E357*100,"-"))</f>
        <v>-</v>
      </c>
      <c r="L357" s="76" t="str">
        <f>IF(IFERROR((COUNTIFS(Таблица2[Date],B357,Таблица2[T],"t")+SUMIFS(Таблица2[R],Таблица2[Date],B357,Таблица2[T],"t"))/E357*100,"-")=0,"-",IFERROR((COUNTIFS(Таблица2[Date],B357,Таблица2[T],"t")+SUMIFS(Таблица2[R],Таблица2[Date],B357,Таблица2[T],"t"))/E357*100,"-"))</f>
        <v>-</v>
      </c>
      <c r="M357" s="76" t="str">
        <f>IF(SUMIFS(Таблица2[KO$],Таблица2[Date],B357)=0,"-",SUMIFS(Таблица2[KO$],Таблица2[Date],B357))</f>
        <v>-</v>
      </c>
      <c r="N357" s="76" t="str">
        <f>IF(SUMIFS(Таблица2[WIN$],Таблица2[Date],B357)=0,"-",SUMIFS(Таблица2[WIN$],Таблица2[Date],B357))</f>
        <v>-</v>
      </c>
      <c r="O357" s="78" t="str">
        <f t="shared" si="23"/>
        <v>-</v>
      </c>
    </row>
    <row r="358" spans="1:15" ht="11.1" customHeight="1" x14ac:dyDescent="0.25">
      <c r="A358" s="93">
        <f t="shared" si="24"/>
        <v>272</v>
      </c>
      <c r="B358" s="48"/>
      <c r="C358"/>
      <c r="D358" s="117">
        <f t="shared" si="20"/>
        <v>1900</v>
      </c>
      <c r="E358" s="117" t="str">
        <f>IF(COUNTIFS(Таблица2[Date],B358)+SUMIFS(Таблица2[R],Таблица2[Date],B358)=0,"",COUNTIFS(Таблица2[Date],B358)+SUMIFS(Таблица2[R],Таблица2[Date],B358))</f>
        <v/>
      </c>
      <c r="F358" s="76" t="str">
        <f>IF(SUMIFS(Таблица2[B$],Таблица2[Date],B358)=0,"-",SUMIFS(Таблица2[B$],Таблица2[Date],B358))</f>
        <v>-</v>
      </c>
      <c r="G358" s="77" t="str">
        <f t="shared" si="21"/>
        <v>-</v>
      </c>
      <c r="H358" s="77" t="str">
        <f>IFERROR(AVERAGEIFS(Таблица2[AFS],Таблица2[Date],B358)+(AVERAGEIFS(Таблица2[AFS],Таблица2[Date],B358)*0.2),"-")</f>
        <v>-</v>
      </c>
      <c r="I358" s="77" t="str">
        <f t="shared" si="22"/>
        <v>-</v>
      </c>
      <c r="J358" s="77" t="str">
        <f>IFERROR(COUNTIFS(Таблица2[Date],B358,Таблица2[WIN$],"&gt;0")/E358*100,"-")</f>
        <v>-</v>
      </c>
      <c r="K358" s="77" t="str">
        <f>IF(IFERROR((COUNTIFS(Таблица2[Date],B358,Таблица2[K],"K")+SUMIFS(Таблица2[R],#REF!,B358,Таблица2[K],"K"))/E358*100,"-")=0,"-",IFERROR((COUNTIFS(Таблица2[Date],B358,Таблица2[K],"K")+SUMIFS(Таблица2[R],Таблица2[Date],B358,Таблица2[K],"K"))/E358*100,"-"))</f>
        <v>-</v>
      </c>
      <c r="L358" s="76" t="str">
        <f>IF(IFERROR((COUNTIFS(Таблица2[Date],B358,Таблица2[T],"t")+SUMIFS(Таблица2[R],Таблица2[Date],B358,Таблица2[T],"t"))/E358*100,"-")=0,"-",IFERROR((COUNTIFS(Таблица2[Date],B358,Таблица2[T],"t")+SUMIFS(Таблица2[R],Таблица2[Date],B358,Таблица2[T],"t"))/E358*100,"-"))</f>
        <v>-</v>
      </c>
      <c r="M358" s="76" t="str">
        <f>IF(SUMIFS(Таблица2[KO$],Таблица2[Date],B358)=0,"-",SUMIFS(Таблица2[KO$],Таблица2[Date],B358))</f>
        <v>-</v>
      </c>
      <c r="N358" s="76" t="str">
        <f>IF(SUMIFS(Таблица2[WIN$],Таблица2[Date],B358)=0,"-",SUMIFS(Таблица2[WIN$],Таблица2[Date],B358))</f>
        <v>-</v>
      </c>
      <c r="O358" s="78" t="str">
        <f t="shared" si="23"/>
        <v>-</v>
      </c>
    </row>
    <row r="359" spans="1:15" ht="11.1" customHeight="1" x14ac:dyDescent="0.25">
      <c r="A359" s="93">
        <f t="shared" si="24"/>
        <v>273</v>
      </c>
      <c r="B359" s="48"/>
      <c r="C359"/>
      <c r="D359" s="117">
        <f t="shared" si="20"/>
        <v>1900</v>
      </c>
      <c r="E359" s="117" t="str">
        <f>IF(COUNTIFS(Таблица2[Date],B359)+SUMIFS(Таблица2[R],Таблица2[Date],B359)=0,"",COUNTIFS(Таблица2[Date],B359)+SUMIFS(Таблица2[R],Таблица2[Date],B359))</f>
        <v/>
      </c>
      <c r="F359" s="76" t="str">
        <f>IF(SUMIFS(Таблица2[B$],Таблица2[Date],B359)=0,"-",SUMIFS(Таблица2[B$],Таблица2[Date],B359))</f>
        <v>-</v>
      </c>
      <c r="G359" s="77" t="str">
        <f t="shared" si="21"/>
        <v>-</v>
      </c>
      <c r="H359" s="77" t="str">
        <f>IFERROR(AVERAGEIFS(Таблица2[AFS],Таблица2[Date],B359)+(AVERAGEIFS(Таблица2[AFS],Таблица2[Date],B359)*0.2),"-")</f>
        <v>-</v>
      </c>
      <c r="I359" s="77" t="str">
        <f t="shared" si="22"/>
        <v>-</v>
      </c>
      <c r="J359" s="77" t="str">
        <f>IFERROR(COUNTIFS(Таблица2[Date],B359,Таблица2[WIN$],"&gt;0")/E359*100,"-")</f>
        <v>-</v>
      </c>
      <c r="K359" s="77" t="str">
        <f>IF(IFERROR((COUNTIFS(Таблица2[Date],B359,Таблица2[K],"K")+SUMIFS(Таблица2[R],#REF!,B359,Таблица2[K],"K"))/E359*100,"-")=0,"-",IFERROR((COUNTIFS(Таблица2[Date],B359,Таблица2[K],"K")+SUMIFS(Таблица2[R],Таблица2[Date],B359,Таблица2[K],"K"))/E359*100,"-"))</f>
        <v>-</v>
      </c>
      <c r="L359" s="76" t="str">
        <f>IF(IFERROR((COUNTIFS(Таблица2[Date],B359,Таблица2[T],"t")+SUMIFS(Таблица2[R],Таблица2[Date],B359,Таблица2[T],"t"))/E359*100,"-")=0,"-",IFERROR((COUNTIFS(Таблица2[Date],B359,Таблица2[T],"t")+SUMIFS(Таблица2[R],Таблица2[Date],B359,Таблица2[T],"t"))/E359*100,"-"))</f>
        <v>-</v>
      </c>
      <c r="M359" s="76" t="str">
        <f>IF(SUMIFS(Таблица2[KO$],Таблица2[Date],B359)=0,"-",SUMIFS(Таблица2[KO$],Таблица2[Date],B359))</f>
        <v>-</v>
      </c>
      <c r="N359" s="76" t="str">
        <f>IF(SUMIFS(Таблица2[WIN$],Таблица2[Date],B359)=0,"-",SUMIFS(Таблица2[WIN$],Таблица2[Date],B359))</f>
        <v>-</v>
      </c>
      <c r="O359" s="78" t="str">
        <f t="shared" si="23"/>
        <v>-</v>
      </c>
    </row>
    <row r="360" spans="1:15" ht="11.1" customHeight="1" x14ac:dyDescent="0.25">
      <c r="A360" s="93">
        <f t="shared" si="24"/>
        <v>274</v>
      </c>
      <c r="B360" s="48"/>
      <c r="C360"/>
      <c r="D360" s="117">
        <f t="shared" si="20"/>
        <v>1900</v>
      </c>
      <c r="E360" s="117" t="str">
        <f>IF(COUNTIFS(Таблица2[Date],B360)+SUMIFS(Таблица2[R],Таблица2[Date],B360)=0,"",COUNTIFS(Таблица2[Date],B360)+SUMIFS(Таблица2[R],Таблица2[Date],B360))</f>
        <v/>
      </c>
      <c r="F360" s="76" t="str">
        <f>IF(SUMIFS(Таблица2[B$],Таблица2[Date],B360)=0,"-",SUMIFS(Таблица2[B$],Таблица2[Date],B360))</f>
        <v>-</v>
      </c>
      <c r="G360" s="77" t="str">
        <f t="shared" si="21"/>
        <v>-</v>
      </c>
      <c r="H360" s="77" t="str">
        <f>IFERROR(AVERAGEIFS(Таблица2[AFS],Таблица2[Date],B360)+(AVERAGEIFS(Таблица2[AFS],Таблица2[Date],B360)*0.2),"-")</f>
        <v>-</v>
      </c>
      <c r="I360" s="77" t="str">
        <f t="shared" si="22"/>
        <v>-</v>
      </c>
      <c r="J360" s="77" t="str">
        <f>IFERROR(COUNTIFS(Таблица2[Date],B360,Таблица2[WIN$],"&gt;0")/E360*100,"-")</f>
        <v>-</v>
      </c>
      <c r="K360" s="77" t="str">
        <f>IF(IFERROR((COUNTIFS(Таблица2[Date],B360,Таблица2[K],"K")+SUMIFS(Таблица2[R],#REF!,B360,Таблица2[K],"K"))/E360*100,"-")=0,"-",IFERROR((COUNTIFS(Таблица2[Date],B360,Таблица2[K],"K")+SUMIFS(Таблица2[R],Таблица2[Date],B360,Таблица2[K],"K"))/E360*100,"-"))</f>
        <v>-</v>
      </c>
      <c r="L360" s="76" t="str">
        <f>IF(IFERROR((COUNTIFS(Таблица2[Date],B360,Таблица2[T],"t")+SUMIFS(Таблица2[R],Таблица2[Date],B360,Таблица2[T],"t"))/E360*100,"-")=0,"-",IFERROR((COUNTIFS(Таблица2[Date],B360,Таблица2[T],"t")+SUMIFS(Таблица2[R],Таблица2[Date],B360,Таблица2[T],"t"))/E360*100,"-"))</f>
        <v>-</v>
      </c>
      <c r="M360" s="76" t="str">
        <f>IF(SUMIFS(Таблица2[KO$],Таблица2[Date],B360)=0,"-",SUMIFS(Таблица2[KO$],Таблица2[Date],B360))</f>
        <v>-</v>
      </c>
      <c r="N360" s="76" t="str">
        <f>IF(SUMIFS(Таблица2[WIN$],Таблица2[Date],B360)=0,"-",SUMIFS(Таблица2[WIN$],Таблица2[Date],B360))</f>
        <v>-</v>
      </c>
      <c r="O360" s="78" t="str">
        <f t="shared" si="23"/>
        <v>-</v>
      </c>
    </row>
    <row r="361" spans="1:15" ht="11.1" customHeight="1" x14ac:dyDescent="0.25">
      <c r="A361" s="93">
        <f t="shared" si="24"/>
        <v>275</v>
      </c>
      <c r="B361" s="48"/>
      <c r="C361"/>
      <c r="D361" s="117">
        <f t="shared" si="20"/>
        <v>1900</v>
      </c>
      <c r="E361" s="117" t="str">
        <f>IF(COUNTIFS(Таблица2[Date],B361)+SUMIFS(Таблица2[R],Таблица2[Date],B361)=0,"",COUNTIFS(Таблица2[Date],B361)+SUMIFS(Таблица2[R],Таблица2[Date],B361))</f>
        <v/>
      </c>
      <c r="F361" s="76" t="str">
        <f>IF(SUMIFS(Таблица2[B$],Таблица2[Date],B361)=0,"-",SUMIFS(Таблица2[B$],Таблица2[Date],B361))</f>
        <v>-</v>
      </c>
      <c r="G361" s="77" t="str">
        <f t="shared" si="21"/>
        <v>-</v>
      </c>
      <c r="H361" s="77" t="str">
        <f>IFERROR(AVERAGEIFS(Таблица2[AFS],Таблица2[Date],B361)+(AVERAGEIFS(Таблица2[AFS],Таблица2[Date],B361)*0.2),"-")</f>
        <v>-</v>
      </c>
      <c r="I361" s="77" t="str">
        <f t="shared" si="22"/>
        <v>-</v>
      </c>
      <c r="J361" s="77" t="str">
        <f>IFERROR(COUNTIFS(Таблица2[Date],B361,Таблица2[WIN$],"&gt;0")/E361*100,"-")</f>
        <v>-</v>
      </c>
      <c r="K361" s="77" t="str">
        <f>IF(IFERROR((COUNTIFS(Таблица2[Date],B361,Таблица2[K],"K")+SUMIFS(Таблица2[R],#REF!,B361,Таблица2[K],"K"))/E361*100,"-")=0,"-",IFERROR((COUNTIFS(Таблица2[Date],B361,Таблица2[K],"K")+SUMIFS(Таблица2[R],Таблица2[Date],B361,Таблица2[K],"K"))/E361*100,"-"))</f>
        <v>-</v>
      </c>
      <c r="L361" s="76" t="str">
        <f>IF(IFERROR((COUNTIFS(Таблица2[Date],B361,Таблица2[T],"t")+SUMIFS(Таблица2[R],Таблица2[Date],B361,Таблица2[T],"t"))/E361*100,"-")=0,"-",IFERROR((COUNTIFS(Таблица2[Date],B361,Таблица2[T],"t")+SUMIFS(Таблица2[R],Таблица2[Date],B361,Таблица2[T],"t"))/E361*100,"-"))</f>
        <v>-</v>
      </c>
      <c r="M361" s="76" t="str">
        <f>IF(SUMIFS(Таблица2[KO$],Таблица2[Date],B361)=0,"-",SUMIFS(Таблица2[KO$],Таблица2[Date],B361))</f>
        <v>-</v>
      </c>
      <c r="N361" s="76" t="str">
        <f>IF(SUMIFS(Таблица2[WIN$],Таблица2[Date],B361)=0,"-",SUMIFS(Таблица2[WIN$],Таблица2[Date],B361))</f>
        <v>-</v>
      </c>
      <c r="O361" s="78" t="str">
        <f t="shared" si="23"/>
        <v>-</v>
      </c>
    </row>
    <row r="362" spans="1:15" ht="11.1" customHeight="1" x14ac:dyDescent="0.25">
      <c r="A362" s="93">
        <f t="shared" si="24"/>
        <v>276</v>
      </c>
      <c r="B362" s="48"/>
      <c r="C362"/>
      <c r="D362" s="117">
        <f t="shared" si="20"/>
        <v>1900</v>
      </c>
      <c r="E362" s="117" t="str">
        <f>IF(COUNTIFS(Таблица2[Date],B362)+SUMIFS(Таблица2[R],Таблица2[Date],B362)=0,"",COUNTIFS(Таблица2[Date],B362)+SUMIFS(Таблица2[R],Таблица2[Date],B362))</f>
        <v/>
      </c>
      <c r="F362" s="76" t="str">
        <f>IF(SUMIFS(Таблица2[B$],Таблица2[Date],B362)=0,"-",SUMIFS(Таблица2[B$],Таблица2[Date],B362))</f>
        <v>-</v>
      </c>
      <c r="G362" s="77" t="str">
        <f t="shared" si="21"/>
        <v>-</v>
      </c>
      <c r="H362" s="77" t="str">
        <f>IFERROR(AVERAGEIFS(Таблица2[AFS],Таблица2[Date],B362)+(AVERAGEIFS(Таблица2[AFS],Таблица2[Date],B362)*0.2),"-")</f>
        <v>-</v>
      </c>
      <c r="I362" s="77" t="str">
        <f t="shared" si="22"/>
        <v>-</v>
      </c>
      <c r="J362" s="77" t="str">
        <f>IFERROR(COUNTIFS(Таблица2[Date],B362,Таблица2[WIN$],"&gt;0")/E362*100,"-")</f>
        <v>-</v>
      </c>
      <c r="K362" s="77" t="str">
        <f>IF(IFERROR((COUNTIFS(Таблица2[Date],B362,Таблица2[K],"K")+SUMIFS(Таблица2[R],#REF!,B362,Таблица2[K],"K"))/E362*100,"-")=0,"-",IFERROR((COUNTIFS(Таблица2[Date],B362,Таблица2[K],"K")+SUMIFS(Таблица2[R],Таблица2[Date],B362,Таблица2[K],"K"))/E362*100,"-"))</f>
        <v>-</v>
      </c>
      <c r="L362" s="76" t="str">
        <f>IF(IFERROR((COUNTIFS(Таблица2[Date],B362,Таблица2[T],"t")+SUMIFS(Таблица2[R],Таблица2[Date],B362,Таблица2[T],"t"))/E362*100,"-")=0,"-",IFERROR((COUNTIFS(Таблица2[Date],B362,Таблица2[T],"t")+SUMIFS(Таблица2[R],Таблица2[Date],B362,Таблица2[T],"t"))/E362*100,"-"))</f>
        <v>-</v>
      </c>
      <c r="M362" s="76" t="str">
        <f>IF(SUMIFS(Таблица2[KO$],Таблица2[Date],B362)=0,"-",SUMIFS(Таблица2[KO$],Таблица2[Date],B362))</f>
        <v>-</v>
      </c>
      <c r="N362" s="76" t="str">
        <f>IF(SUMIFS(Таблица2[WIN$],Таблица2[Date],B362)=0,"-",SUMIFS(Таблица2[WIN$],Таблица2[Date],B362))</f>
        <v>-</v>
      </c>
      <c r="O362" s="78" t="str">
        <f t="shared" si="23"/>
        <v>-</v>
      </c>
    </row>
    <row r="363" spans="1:15" ht="11.1" customHeight="1" x14ac:dyDescent="0.25">
      <c r="A363" s="93">
        <f t="shared" si="24"/>
        <v>277</v>
      </c>
      <c r="B363" s="48"/>
      <c r="C363"/>
      <c r="D363" s="117">
        <f t="shared" si="20"/>
        <v>1900</v>
      </c>
      <c r="E363" s="117" t="str">
        <f>IF(COUNTIFS(Таблица2[Date],B363)+SUMIFS(Таблица2[R],Таблица2[Date],B363)=0,"",COUNTIFS(Таблица2[Date],B363)+SUMIFS(Таблица2[R],Таблица2[Date],B363))</f>
        <v/>
      </c>
      <c r="F363" s="76" t="str">
        <f>IF(SUMIFS(Таблица2[B$],Таблица2[Date],B363)=0,"-",SUMIFS(Таблица2[B$],Таблица2[Date],B363))</f>
        <v>-</v>
      </c>
      <c r="G363" s="77" t="str">
        <f t="shared" si="21"/>
        <v>-</v>
      </c>
      <c r="H363" s="77" t="str">
        <f>IFERROR(AVERAGEIFS(Таблица2[AFS],Таблица2[Date],B363)+(AVERAGEIFS(Таблица2[AFS],Таблица2[Date],B363)*0.2),"-")</f>
        <v>-</v>
      </c>
      <c r="I363" s="77" t="str">
        <f t="shared" si="22"/>
        <v>-</v>
      </c>
      <c r="J363" s="77" t="str">
        <f>IFERROR(COUNTIFS(Таблица2[Date],B363,Таблица2[WIN$],"&gt;0")/E363*100,"-")</f>
        <v>-</v>
      </c>
      <c r="K363" s="77" t="str">
        <f>IF(IFERROR((COUNTIFS(Таблица2[Date],B363,Таблица2[K],"K")+SUMIFS(Таблица2[R],#REF!,B363,Таблица2[K],"K"))/E363*100,"-")=0,"-",IFERROR((COUNTIFS(Таблица2[Date],B363,Таблица2[K],"K")+SUMIFS(Таблица2[R],Таблица2[Date],B363,Таблица2[K],"K"))/E363*100,"-"))</f>
        <v>-</v>
      </c>
      <c r="L363" s="76" t="str">
        <f>IF(IFERROR((COUNTIFS(Таблица2[Date],B363,Таблица2[T],"t")+SUMIFS(Таблица2[R],Таблица2[Date],B363,Таблица2[T],"t"))/E363*100,"-")=0,"-",IFERROR((COUNTIFS(Таблица2[Date],B363,Таблица2[T],"t")+SUMIFS(Таблица2[R],Таблица2[Date],B363,Таблица2[T],"t"))/E363*100,"-"))</f>
        <v>-</v>
      </c>
      <c r="M363" s="76" t="str">
        <f>IF(SUMIFS(Таблица2[KO$],Таблица2[Date],B363)=0,"-",SUMIFS(Таблица2[KO$],Таблица2[Date],B363))</f>
        <v>-</v>
      </c>
      <c r="N363" s="76" t="str">
        <f>IF(SUMIFS(Таблица2[WIN$],Таблица2[Date],B363)=0,"-",SUMIFS(Таблица2[WIN$],Таблица2[Date],B363))</f>
        <v>-</v>
      </c>
      <c r="O363" s="78" t="str">
        <f t="shared" si="23"/>
        <v>-</v>
      </c>
    </row>
    <row r="364" spans="1:15" ht="11.1" customHeight="1" x14ac:dyDescent="0.25">
      <c r="A364" s="93">
        <f t="shared" si="24"/>
        <v>278</v>
      </c>
      <c r="B364" s="48"/>
      <c r="C364"/>
      <c r="D364" s="117">
        <f t="shared" si="20"/>
        <v>1900</v>
      </c>
      <c r="E364" s="117" t="str">
        <f>IF(COUNTIFS(Таблица2[Date],B364)+SUMIFS(Таблица2[R],Таблица2[Date],B364)=0,"",COUNTIFS(Таблица2[Date],B364)+SUMIFS(Таблица2[R],Таблица2[Date],B364))</f>
        <v/>
      </c>
      <c r="F364" s="76" t="str">
        <f>IF(SUMIFS(Таблица2[B$],Таблица2[Date],B364)=0,"-",SUMIFS(Таблица2[B$],Таблица2[Date],B364))</f>
        <v>-</v>
      </c>
      <c r="G364" s="77" t="str">
        <f t="shared" si="21"/>
        <v>-</v>
      </c>
      <c r="H364" s="77" t="str">
        <f>IFERROR(AVERAGEIFS(Таблица2[AFS],Таблица2[Date],B364)+(AVERAGEIFS(Таблица2[AFS],Таблица2[Date],B364)*0.2),"-")</f>
        <v>-</v>
      </c>
      <c r="I364" s="77" t="str">
        <f t="shared" si="22"/>
        <v>-</v>
      </c>
      <c r="J364" s="77" t="str">
        <f>IFERROR(COUNTIFS(Таблица2[Date],B364,Таблица2[WIN$],"&gt;0")/E364*100,"-")</f>
        <v>-</v>
      </c>
      <c r="K364" s="77" t="str">
        <f>IF(IFERROR((COUNTIFS(Таблица2[Date],B364,Таблица2[K],"K")+SUMIFS(Таблица2[R],#REF!,B364,Таблица2[K],"K"))/E364*100,"-")=0,"-",IFERROR((COUNTIFS(Таблица2[Date],B364,Таблица2[K],"K")+SUMIFS(Таблица2[R],Таблица2[Date],B364,Таблица2[K],"K"))/E364*100,"-"))</f>
        <v>-</v>
      </c>
      <c r="L364" s="76" t="str">
        <f>IF(IFERROR((COUNTIFS(Таблица2[Date],B364,Таблица2[T],"t")+SUMIFS(Таблица2[R],Таблица2[Date],B364,Таблица2[T],"t"))/E364*100,"-")=0,"-",IFERROR((COUNTIFS(Таблица2[Date],B364,Таблица2[T],"t")+SUMIFS(Таблица2[R],Таблица2[Date],B364,Таблица2[T],"t"))/E364*100,"-"))</f>
        <v>-</v>
      </c>
      <c r="M364" s="76" t="str">
        <f>IF(SUMIFS(Таблица2[KO$],Таблица2[Date],B364)=0,"-",SUMIFS(Таблица2[KO$],Таблица2[Date],B364))</f>
        <v>-</v>
      </c>
      <c r="N364" s="76" t="str">
        <f>IF(SUMIFS(Таблица2[WIN$],Таблица2[Date],B364)=0,"-",SUMIFS(Таблица2[WIN$],Таблица2[Date],B364))</f>
        <v>-</v>
      </c>
      <c r="O364" s="78" t="str">
        <f t="shared" si="23"/>
        <v>-</v>
      </c>
    </row>
    <row r="365" spans="1:15" ht="11.1" customHeight="1" x14ac:dyDescent="0.25">
      <c r="A365" s="93">
        <f t="shared" si="24"/>
        <v>279</v>
      </c>
      <c r="B365" s="48"/>
      <c r="C365"/>
      <c r="D365" s="117">
        <f t="shared" si="20"/>
        <v>1900</v>
      </c>
      <c r="E365" s="117" t="str">
        <f>IF(COUNTIFS(Таблица2[Date],B365)+SUMIFS(Таблица2[R],Таблица2[Date],B365)=0,"",COUNTIFS(Таблица2[Date],B365)+SUMIFS(Таблица2[R],Таблица2[Date],B365))</f>
        <v/>
      </c>
      <c r="F365" s="76" t="str">
        <f>IF(SUMIFS(Таблица2[B$],Таблица2[Date],B365)=0,"-",SUMIFS(Таблица2[B$],Таблица2[Date],B365))</f>
        <v>-</v>
      </c>
      <c r="G365" s="77" t="str">
        <f t="shared" si="21"/>
        <v>-</v>
      </c>
      <c r="H365" s="77" t="str">
        <f>IFERROR(AVERAGEIFS(Таблица2[AFS],Таблица2[Date],B365)+(AVERAGEIFS(Таблица2[AFS],Таблица2[Date],B365)*0.2),"-")</f>
        <v>-</v>
      </c>
      <c r="I365" s="77" t="str">
        <f t="shared" si="22"/>
        <v>-</v>
      </c>
      <c r="J365" s="77" t="str">
        <f>IFERROR(COUNTIFS(Таблица2[Date],B365,Таблица2[WIN$],"&gt;0")/E365*100,"-")</f>
        <v>-</v>
      </c>
      <c r="K365" s="77" t="str">
        <f>IF(IFERROR((COUNTIFS(Таблица2[Date],B365,Таблица2[K],"K")+SUMIFS(Таблица2[R],#REF!,B365,Таблица2[K],"K"))/E365*100,"-")=0,"-",IFERROR((COUNTIFS(Таблица2[Date],B365,Таблица2[K],"K")+SUMIFS(Таблица2[R],Таблица2[Date],B365,Таблица2[K],"K"))/E365*100,"-"))</f>
        <v>-</v>
      </c>
      <c r="L365" s="76" t="str">
        <f>IF(IFERROR((COUNTIFS(Таблица2[Date],B365,Таблица2[T],"t")+SUMIFS(Таблица2[R],Таблица2[Date],B365,Таблица2[T],"t"))/E365*100,"-")=0,"-",IFERROR((COUNTIFS(Таблица2[Date],B365,Таблица2[T],"t")+SUMIFS(Таблица2[R],Таблица2[Date],B365,Таблица2[T],"t"))/E365*100,"-"))</f>
        <v>-</v>
      </c>
      <c r="M365" s="76" t="str">
        <f>IF(SUMIFS(Таблица2[KO$],Таблица2[Date],B365)=0,"-",SUMIFS(Таблица2[KO$],Таблица2[Date],B365))</f>
        <v>-</v>
      </c>
      <c r="N365" s="76" t="str">
        <f>IF(SUMIFS(Таблица2[WIN$],Таблица2[Date],B365)=0,"-",SUMIFS(Таблица2[WIN$],Таблица2[Date],B365))</f>
        <v>-</v>
      </c>
      <c r="O365" s="78" t="str">
        <f t="shared" si="23"/>
        <v>-</v>
      </c>
    </row>
    <row r="366" spans="1:15" ht="11.1" customHeight="1" x14ac:dyDescent="0.25">
      <c r="A366" s="93">
        <f t="shared" si="24"/>
        <v>280</v>
      </c>
      <c r="B366" s="48"/>
      <c r="C366"/>
      <c r="D366" s="117">
        <f t="shared" si="20"/>
        <v>1900</v>
      </c>
      <c r="E366" s="117" t="str">
        <f>IF(COUNTIFS(Таблица2[Date],B366)+SUMIFS(Таблица2[R],Таблица2[Date],B366)=0,"",COUNTIFS(Таблица2[Date],B366)+SUMIFS(Таблица2[R],Таблица2[Date],B366))</f>
        <v/>
      </c>
      <c r="F366" s="76" t="str">
        <f>IF(SUMIFS(Таблица2[B$],Таблица2[Date],B366)=0,"-",SUMIFS(Таблица2[B$],Таблица2[Date],B366))</f>
        <v>-</v>
      </c>
      <c r="G366" s="77" t="str">
        <f t="shared" si="21"/>
        <v>-</v>
      </c>
      <c r="H366" s="77" t="str">
        <f>IFERROR(AVERAGEIFS(Таблица2[AFS],Таблица2[Date],B366)+(AVERAGEIFS(Таблица2[AFS],Таблица2[Date],B366)*0.2),"-")</f>
        <v>-</v>
      </c>
      <c r="I366" s="77" t="str">
        <f t="shared" si="22"/>
        <v>-</v>
      </c>
      <c r="J366" s="77" t="str">
        <f>IFERROR(COUNTIFS(Таблица2[Date],B366,Таблица2[WIN$],"&gt;0")/E366*100,"-")</f>
        <v>-</v>
      </c>
      <c r="K366" s="77" t="str">
        <f>IF(IFERROR((COUNTIFS(Таблица2[Date],B366,Таблица2[K],"K")+SUMIFS(Таблица2[R],#REF!,B366,Таблица2[K],"K"))/E366*100,"-")=0,"-",IFERROR((COUNTIFS(Таблица2[Date],B366,Таблица2[K],"K")+SUMIFS(Таблица2[R],Таблица2[Date],B366,Таблица2[K],"K"))/E366*100,"-"))</f>
        <v>-</v>
      </c>
      <c r="L366" s="76" t="str">
        <f>IF(IFERROR((COUNTIFS(Таблица2[Date],B366,Таблица2[T],"t")+SUMIFS(Таблица2[R],Таблица2[Date],B366,Таблица2[T],"t"))/E366*100,"-")=0,"-",IFERROR((COUNTIFS(Таблица2[Date],B366,Таблица2[T],"t")+SUMIFS(Таблица2[R],Таблица2[Date],B366,Таблица2[T],"t"))/E366*100,"-"))</f>
        <v>-</v>
      </c>
      <c r="M366" s="76" t="str">
        <f>IF(SUMIFS(Таблица2[KO$],Таблица2[Date],B366)=0,"-",SUMIFS(Таблица2[KO$],Таблица2[Date],B366))</f>
        <v>-</v>
      </c>
      <c r="N366" s="76" t="str">
        <f>IF(SUMIFS(Таблица2[WIN$],Таблица2[Date],B366)=0,"-",SUMIFS(Таблица2[WIN$],Таблица2[Date],B366))</f>
        <v>-</v>
      </c>
      <c r="O366" s="78" t="str">
        <f t="shared" si="23"/>
        <v>-</v>
      </c>
    </row>
    <row r="367" spans="1:15" ht="11.1" customHeight="1" x14ac:dyDescent="0.25">
      <c r="A367" s="93">
        <f t="shared" si="24"/>
        <v>281</v>
      </c>
      <c r="B367" s="48"/>
      <c r="C367"/>
      <c r="D367" s="117">
        <f t="shared" si="20"/>
        <v>1900</v>
      </c>
      <c r="E367" s="117" t="str">
        <f>IF(COUNTIFS(Таблица2[Date],B367)+SUMIFS(Таблица2[R],Таблица2[Date],B367)=0,"",COUNTIFS(Таблица2[Date],B367)+SUMIFS(Таблица2[R],Таблица2[Date],B367))</f>
        <v/>
      </c>
      <c r="F367" s="76" t="str">
        <f>IF(SUMIFS(Таблица2[B$],Таблица2[Date],B367)=0,"-",SUMIFS(Таблица2[B$],Таблица2[Date],B367))</f>
        <v>-</v>
      </c>
      <c r="G367" s="77" t="str">
        <f t="shared" si="21"/>
        <v>-</v>
      </c>
      <c r="H367" s="77" t="str">
        <f>IFERROR(AVERAGEIFS(Таблица2[AFS],Таблица2[Date],B367)+(AVERAGEIFS(Таблица2[AFS],Таблица2[Date],B367)*0.2),"-")</f>
        <v>-</v>
      </c>
      <c r="I367" s="77" t="str">
        <f t="shared" si="22"/>
        <v>-</v>
      </c>
      <c r="J367" s="77" t="str">
        <f>IFERROR(COUNTIFS(Таблица2[Date],B367,Таблица2[WIN$],"&gt;0")/E367*100,"-")</f>
        <v>-</v>
      </c>
      <c r="K367" s="77" t="str">
        <f>IF(IFERROR((COUNTIFS(Таблица2[Date],B367,Таблица2[K],"K")+SUMIFS(Таблица2[R],#REF!,B367,Таблица2[K],"K"))/E367*100,"-")=0,"-",IFERROR((COUNTIFS(Таблица2[Date],B367,Таблица2[K],"K")+SUMIFS(Таблица2[R],Таблица2[Date],B367,Таблица2[K],"K"))/E367*100,"-"))</f>
        <v>-</v>
      </c>
      <c r="L367" s="76" t="str">
        <f>IF(IFERROR((COUNTIFS(Таблица2[Date],B367,Таблица2[T],"t")+SUMIFS(Таблица2[R],Таблица2[Date],B367,Таблица2[T],"t"))/E367*100,"-")=0,"-",IFERROR((COUNTIFS(Таблица2[Date],B367,Таблица2[T],"t")+SUMIFS(Таблица2[R],Таблица2[Date],B367,Таблица2[T],"t"))/E367*100,"-"))</f>
        <v>-</v>
      </c>
      <c r="M367" s="76" t="str">
        <f>IF(SUMIFS(Таблица2[KO$],Таблица2[Date],B367)=0,"-",SUMIFS(Таблица2[KO$],Таблица2[Date],B367))</f>
        <v>-</v>
      </c>
      <c r="N367" s="76" t="str">
        <f>IF(SUMIFS(Таблица2[WIN$],Таблица2[Date],B367)=0,"-",SUMIFS(Таблица2[WIN$],Таблица2[Date],B367))</f>
        <v>-</v>
      </c>
      <c r="O367" s="78" t="str">
        <f t="shared" si="23"/>
        <v>-</v>
      </c>
    </row>
    <row r="368" spans="1:15" ht="11.1" customHeight="1" x14ac:dyDescent="0.25">
      <c r="A368" s="93">
        <f t="shared" si="24"/>
        <v>282</v>
      </c>
      <c r="B368" s="48"/>
      <c r="C368"/>
      <c r="D368" s="117">
        <f t="shared" si="20"/>
        <v>1900</v>
      </c>
      <c r="E368" s="117" t="str">
        <f>IF(COUNTIFS(Таблица2[Date],B368)+SUMIFS(Таблица2[R],Таблица2[Date],B368)=0,"",COUNTIFS(Таблица2[Date],B368)+SUMIFS(Таблица2[R],Таблица2[Date],B368))</f>
        <v/>
      </c>
      <c r="F368" s="76" t="str">
        <f>IF(SUMIFS(Таблица2[B$],Таблица2[Date],B368)=0,"-",SUMIFS(Таблица2[B$],Таблица2[Date],B368))</f>
        <v>-</v>
      </c>
      <c r="G368" s="77" t="str">
        <f t="shared" si="21"/>
        <v>-</v>
      </c>
      <c r="H368" s="77" t="str">
        <f>IFERROR(AVERAGEIFS(Таблица2[AFS],Таблица2[Date],B368)+(AVERAGEIFS(Таблица2[AFS],Таблица2[Date],B368)*0.2),"-")</f>
        <v>-</v>
      </c>
      <c r="I368" s="77" t="str">
        <f t="shared" si="22"/>
        <v>-</v>
      </c>
      <c r="J368" s="77" t="str">
        <f>IFERROR(COUNTIFS(Таблица2[Date],B368,Таблица2[WIN$],"&gt;0")/E368*100,"-")</f>
        <v>-</v>
      </c>
      <c r="K368" s="77" t="str">
        <f>IF(IFERROR((COUNTIFS(Таблица2[Date],B368,Таблица2[K],"K")+SUMIFS(Таблица2[R],#REF!,B368,Таблица2[K],"K"))/E368*100,"-")=0,"-",IFERROR((COUNTIFS(Таблица2[Date],B368,Таблица2[K],"K")+SUMIFS(Таблица2[R],Таблица2[Date],B368,Таблица2[K],"K"))/E368*100,"-"))</f>
        <v>-</v>
      </c>
      <c r="L368" s="76" t="str">
        <f>IF(IFERROR((COUNTIFS(Таблица2[Date],B368,Таблица2[T],"t")+SUMIFS(Таблица2[R],Таблица2[Date],B368,Таблица2[T],"t"))/E368*100,"-")=0,"-",IFERROR((COUNTIFS(Таблица2[Date],B368,Таблица2[T],"t")+SUMIFS(Таблица2[R],Таблица2[Date],B368,Таблица2[T],"t"))/E368*100,"-"))</f>
        <v>-</v>
      </c>
      <c r="M368" s="76" t="str">
        <f>IF(SUMIFS(Таблица2[KO$],Таблица2[Date],B368)=0,"-",SUMIFS(Таблица2[KO$],Таблица2[Date],B368))</f>
        <v>-</v>
      </c>
      <c r="N368" s="76" t="str">
        <f>IF(SUMIFS(Таблица2[WIN$],Таблица2[Date],B368)=0,"-",SUMIFS(Таблица2[WIN$],Таблица2[Date],B368))</f>
        <v>-</v>
      </c>
      <c r="O368" s="78" t="str">
        <f t="shared" si="23"/>
        <v>-</v>
      </c>
    </row>
    <row r="369" spans="1:15" ht="11.1" customHeight="1" x14ac:dyDescent="0.25">
      <c r="A369" s="93">
        <f t="shared" si="24"/>
        <v>283</v>
      </c>
      <c r="B369" s="48"/>
      <c r="C369"/>
      <c r="D369" s="117">
        <f t="shared" si="20"/>
        <v>1900</v>
      </c>
      <c r="E369" s="117" t="str">
        <f>IF(COUNTIFS(Таблица2[Date],B369)+SUMIFS(Таблица2[R],Таблица2[Date],B369)=0,"",COUNTIFS(Таблица2[Date],B369)+SUMIFS(Таблица2[R],Таблица2[Date],B369))</f>
        <v/>
      </c>
      <c r="F369" s="76" t="str">
        <f>IF(SUMIFS(Таблица2[B$],Таблица2[Date],B369)=0,"-",SUMIFS(Таблица2[B$],Таблица2[Date],B369))</f>
        <v>-</v>
      </c>
      <c r="G369" s="77" t="str">
        <f t="shared" si="21"/>
        <v>-</v>
      </c>
      <c r="H369" s="77" t="str">
        <f>IFERROR(AVERAGEIFS(Таблица2[AFS],Таблица2[Date],B369)+(AVERAGEIFS(Таблица2[AFS],Таблица2[Date],B369)*0.2),"-")</f>
        <v>-</v>
      </c>
      <c r="I369" s="77" t="str">
        <f t="shared" si="22"/>
        <v>-</v>
      </c>
      <c r="J369" s="77" t="str">
        <f>IFERROR(COUNTIFS(Таблица2[Date],B369,Таблица2[WIN$],"&gt;0")/E369*100,"-")</f>
        <v>-</v>
      </c>
      <c r="K369" s="77" t="str">
        <f>IF(IFERROR((COUNTIFS(Таблица2[Date],B369,Таблица2[K],"K")+SUMIFS(Таблица2[R],#REF!,B369,Таблица2[K],"K"))/E369*100,"-")=0,"-",IFERROR((COUNTIFS(Таблица2[Date],B369,Таблица2[K],"K")+SUMIFS(Таблица2[R],Таблица2[Date],B369,Таблица2[K],"K"))/E369*100,"-"))</f>
        <v>-</v>
      </c>
      <c r="L369" s="76" t="str">
        <f>IF(IFERROR((COUNTIFS(Таблица2[Date],B369,Таблица2[T],"t")+SUMIFS(Таблица2[R],Таблица2[Date],B369,Таблица2[T],"t"))/E369*100,"-")=0,"-",IFERROR((COUNTIFS(Таблица2[Date],B369,Таблица2[T],"t")+SUMIFS(Таблица2[R],Таблица2[Date],B369,Таблица2[T],"t"))/E369*100,"-"))</f>
        <v>-</v>
      </c>
      <c r="M369" s="76" t="str">
        <f>IF(SUMIFS(Таблица2[KO$],Таблица2[Date],B369)=0,"-",SUMIFS(Таблица2[KO$],Таблица2[Date],B369))</f>
        <v>-</v>
      </c>
      <c r="N369" s="76" t="str">
        <f>IF(SUMIFS(Таблица2[WIN$],Таблица2[Date],B369)=0,"-",SUMIFS(Таблица2[WIN$],Таблица2[Date],B369))</f>
        <v>-</v>
      </c>
      <c r="O369" s="78" t="str">
        <f t="shared" si="23"/>
        <v>-</v>
      </c>
    </row>
    <row r="370" spans="1:15" ht="11.1" customHeight="1" x14ac:dyDescent="0.25">
      <c r="A370" s="93">
        <f t="shared" si="24"/>
        <v>284</v>
      </c>
      <c r="B370" s="48"/>
      <c r="C370"/>
      <c r="D370" s="117">
        <f t="shared" si="20"/>
        <v>1900</v>
      </c>
      <c r="E370" s="117" t="str">
        <f>IF(COUNTIFS(Таблица2[Date],B370)+SUMIFS(Таблица2[R],Таблица2[Date],B370)=0,"",COUNTIFS(Таблица2[Date],B370)+SUMIFS(Таблица2[R],Таблица2[Date],B370))</f>
        <v/>
      </c>
      <c r="F370" s="76" t="str">
        <f>IF(SUMIFS(Таблица2[B$],Таблица2[Date],B370)=0,"-",SUMIFS(Таблица2[B$],Таблица2[Date],B370))</f>
        <v>-</v>
      </c>
      <c r="G370" s="77" t="str">
        <f t="shared" si="21"/>
        <v>-</v>
      </c>
      <c r="H370" s="77" t="str">
        <f>IFERROR(AVERAGEIFS(Таблица2[AFS],Таблица2[Date],B370)+(AVERAGEIFS(Таблица2[AFS],Таблица2[Date],B370)*0.2),"-")</f>
        <v>-</v>
      </c>
      <c r="I370" s="77" t="str">
        <f t="shared" si="22"/>
        <v>-</v>
      </c>
      <c r="J370" s="77" t="str">
        <f>IFERROR(COUNTIFS(Таблица2[Date],B370,Таблица2[WIN$],"&gt;0")/E370*100,"-")</f>
        <v>-</v>
      </c>
      <c r="K370" s="77" t="str">
        <f>IF(IFERROR((COUNTIFS(Таблица2[Date],B370,Таблица2[K],"K")+SUMIFS(Таблица2[R],#REF!,B370,Таблица2[K],"K"))/E370*100,"-")=0,"-",IFERROR((COUNTIFS(Таблица2[Date],B370,Таблица2[K],"K")+SUMIFS(Таблица2[R],Таблица2[Date],B370,Таблица2[K],"K"))/E370*100,"-"))</f>
        <v>-</v>
      </c>
      <c r="L370" s="76" t="str">
        <f>IF(IFERROR((COUNTIFS(Таблица2[Date],B370,Таблица2[T],"t")+SUMIFS(Таблица2[R],Таблица2[Date],B370,Таблица2[T],"t"))/E370*100,"-")=0,"-",IFERROR((COUNTIFS(Таблица2[Date],B370,Таблица2[T],"t")+SUMIFS(Таблица2[R],Таблица2[Date],B370,Таблица2[T],"t"))/E370*100,"-"))</f>
        <v>-</v>
      </c>
      <c r="M370" s="76" t="str">
        <f>IF(SUMIFS(Таблица2[KO$],Таблица2[Date],B370)=0,"-",SUMIFS(Таблица2[KO$],Таблица2[Date],B370))</f>
        <v>-</v>
      </c>
      <c r="N370" s="76" t="str">
        <f>IF(SUMIFS(Таблица2[WIN$],Таблица2[Date],B370)=0,"-",SUMIFS(Таблица2[WIN$],Таблица2[Date],B370))</f>
        <v>-</v>
      </c>
      <c r="O370" s="78" t="str">
        <f t="shared" si="23"/>
        <v>-</v>
      </c>
    </row>
    <row r="371" spans="1:15" ht="11.1" customHeight="1" x14ac:dyDescent="0.25">
      <c r="A371" s="93">
        <f t="shared" si="24"/>
        <v>285</v>
      </c>
      <c r="B371" s="48"/>
      <c r="C371"/>
      <c r="D371" s="117">
        <f t="shared" si="20"/>
        <v>1900</v>
      </c>
      <c r="E371" s="117" t="str">
        <f>IF(COUNTIFS(Таблица2[Date],B371)+SUMIFS(Таблица2[R],Таблица2[Date],B371)=0,"",COUNTIFS(Таблица2[Date],B371)+SUMIFS(Таблица2[R],Таблица2[Date],B371))</f>
        <v/>
      </c>
      <c r="F371" s="76" t="str">
        <f>IF(SUMIFS(Таблица2[B$],Таблица2[Date],B371)=0,"-",SUMIFS(Таблица2[B$],Таблица2[Date],B371))</f>
        <v>-</v>
      </c>
      <c r="G371" s="77" t="str">
        <f t="shared" si="21"/>
        <v>-</v>
      </c>
      <c r="H371" s="77" t="str">
        <f>IFERROR(AVERAGEIFS(Таблица2[AFS],Таблица2[Date],B371)+(AVERAGEIFS(Таблица2[AFS],Таблица2[Date],B371)*0.2),"-")</f>
        <v>-</v>
      </c>
      <c r="I371" s="77" t="str">
        <f t="shared" si="22"/>
        <v>-</v>
      </c>
      <c r="J371" s="77" t="str">
        <f>IFERROR(COUNTIFS(Таблица2[Date],B371,Таблица2[WIN$],"&gt;0")/E371*100,"-")</f>
        <v>-</v>
      </c>
      <c r="K371" s="77" t="str">
        <f>IF(IFERROR((COUNTIFS(Таблица2[Date],B371,Таблица2[K],"K")+SUMIFS(Таблица2[R],#REF!,B371,Таблица2[K],"K"))/E371*100,"-")=0,"-",IFERROR((COUNTIFS(Таблица2[Date],B371,Таблица2[K],"K")+SUMIFS(Таблица2[R],Таблица2[Date],B371,Таблица2[K],"K"))/E371*100,"-"))</f>
        <v>-</v>
      </c>
      <c r="L371" s="76" t="str">
        <f>IF(IFERROR((COUNTIFS(Таблица2[Date],B371,Таблица2[T],"t")+SUMIFS(Таблица2[R],Таблица2[Date],B371,Таблица2[T],"t"))/E371*100,"-")=0,"-",IFERROR((COUNTIFS(Таблица2[Date],B371,Таблица2[T],"t")+SUMIFS(Таблица2[R],Таблица2[Date],B371,Таблица2[T],"t"))/E371*100,"-"))</f>
        <v>-</v>
      </c>
      <c r="M371" s="76" t="str">
        <f>IF(SUMIFS(Таблица2[KO$],Таблица2[Date],B371)=0,"-",SUMIFS(Таблица2[KO$],Таблица2[Date],B371))</f>
        <v>-</v>
      </c>
      <c r="N371" s="76" t="str">
        <f>IF(SUMIFS(Таблица2[WIN$],Таблица2[Date],B371)=0,"-",SUMIFS(Таблица2[WIN$],Таблица2[Date],B371))</f>
        <v>-</v>
      </c>
      <c r="O371" s="78" t="str">
        <f t="shared" si="23"/>
        <v>-</v>
      </c>
    </row>
    <row r="372" spans="1:15" ht="11.1" customHeight="1" x14ac:dyDescent="0.25">
      <c r="A372" s="93">
        <f t="shared" si="24"/>
        <v>286</v>
      </c>
      <c r="B372" s="48"/>
      <c r="C372"/>
      <c r="D372" s="117">
        <f t="shared" si="20"/>
        <v>1900</v>
      </c>
      <c r="E372" s="117" t="str">
        <f>IF(COUNTIFS(Таблица2[Date],B372)+SUMIFS(Таблица2[R],Таблица2[Date],B372)=0,"",COUNTIFS(Таблица2[Date],B372)+SUMIFS(Таблица2[R],Таблица2[Date],B372))</f>
        <v/>
      </c>
      <c r="F372" s="76" t="str">
        <f>IF(SUMIFS(Таблица2[B$],Таблица2[Date],B372)=0,"-",SUMIFS(Таблица2[B$],Таблица2[Date],B372))</f>
        <v>-</v>
      </c>
      <c r="G372" s="77" t="str">
        <f t="shared" si="21"/>
        <v>-</v>
      </c>
      <c r="H372" s="77" t="str">
        <f>IFERROR(AVERAGEIFS(Таблица2[AFS],Таблица2[Date],B372)+(AVERAGEIFS(Таблица2[AFS],Таблица2[Date],B372)*0.2),"-")</f>
        <v>-</v>
      </c>
      <c r="I372" s="77" t="str">
        <f t="shared" si="22"/>
        <v>-</v>
      </c>
      <c r="J372" s="77" t="str">
        <f>IFERROR(COUNTIFS(Таблица2[Date],B372,Таблица2[WIN$],"&gt;0")/E372*100,"-")</f>
        <v>-</v>
      </c>
      <c r="K372" s="77" t="str">
        <f>IF(IFERROR((COUNTIFS(Таблица2[Date],B372,Таблица2[K],"K")+SUMIFS(Таблица2[R],#REF!,B372,Таблица2[K],"K"))/E372*100,"-")=0,"-",IFERROR((COUNTIFS(Таблица2[Date],B372,Таблица2[K],"K")+SUMIFS(Таблица2[R],Таблица2[Date],B372,Таблица2[K],"K"))/E372*100,"-"))</f>
        <v>-</v>
      </c>
      <c r="L372" s="76" t="str">
        <f>IF(IFERROR((COUNTIFS(Таблица2[Date],B372,Таблица2[T],"t")+SUMIFS(Таблица2[R],Таблица2[Date],B372,Таблица2[T],"t"))/E372*100,"-")=0,"-",IFERROR((COUNTIFS(Таблица2[Date],B372,Таблица2[T],"t")+SUMIFS(Таблица2[R],Таблица2[Date],B372,Таблица2[T],"t"))/E372*100,"-"))</f>
        <v>-</v>
      </c>
      <c r="M372" s="76" t="str">
        <f>IF(SUMIFS(Таблица2[KO$],Таблица2[Date],B372)=0,"-",SUMIFS(Таблица2[KO$],Таблица2[Date],B372))</f>
        <v>-</v>
      </c>
      <c r="N372" s="76" t="str">
        <f>IF(SUMIFS(Таблица2[WIN$],Таблица2[Date],B372)=0,"-",SUMIFS(Таблица2[WIN$],Таблица2[Date],B372))</f>
        <v>-</v>
      </c>
      <c r="O372" s="78" t="str">
        <f t="shared" si="23"/>
        <v>-</v>
      </c>
    </row>
    <row r="373" spans="1:15" ht="11.1" customHeight="1" x14ac:dyDescent="0.25">
      <c r="A373" s="93">
        <f t="shared" si="24"/>
        <v>287</v>
      </c>
      <c r="B373" s="48"/>
      <c r="C373"/>
      <c r="D373" s="117">
        <f t="shared" si="20"/>
        <v>1900</v>
      </c>
      <c r="E373" s="117" t="str">
        <f>IF(COUNTIFS(Таблица2[Date],B373)+SUMIFS(Таблица2[R],Таблица2[Date],B373)=0,"",COUNTIFS(Таблица2[Date],B373)+SUMIFS(Таблица2[R],Таблица2[Date],B373))</f>
        <v/>
      </c>
      <c r="F373" s="76" t="str">
        <f>IF(SUMIFS(Таблица2[B$],Таблица2[Date],B373)=0,"-",SUMIFS(Таблица2[B$],Таблица2[Date],B373))</f>
        <v>-</v>
      </c>
      <c r="G373" s="77" t="str">
        <f t="shared" si="21"/>
        <v>-</v>
      </c>
      <c r="H373" s="77" t="str">
        <f>IFERROR(AVERAGEIFS(Таблица2[AFS],Таблица2[Date],B373)+(AVERAGEIFS(Таблица2[AFS],Таблица2[Date],B373)*0.2),"-")</f>
        <v>-</v>
      </c>
      <c r="I373" s="77" t="str">
        <f t="shared" si="22"/>
        <v>-</v>
      </c>
      <c r="J373" s="77" t="str">
        <f>IFERROR(COUNTIFS(Таблица2[Date],B373,Таблица2[WIN$],"&gt;0")/E373*100,"-")</f>
        <v>-</v>
      </c>
      <c r="K373" s="77" t="str">
        <f>IF(IFERROR((COUNTIFS(Таблица2[Date],B373,Таблица2[K],"K")+SUMIFS(Таблица2[R],#REF!,B373,Таблица2[K],"K"))/E373*100,"-")=0,"-",IFERROR((COUNTIFS(Таблица2[Date],B373,Таблица2[K],"K")+SUMIFS(Таблица2[R],Таблица2[Date],B373,Таблица2[K],"K"))/E373*100,"-"))</f>
        <v>-</v>
      </c>
      <c r="L373" s="76" t="str">
        <f>IF(IFERROR((COUNTIFS(Таблица2[Date],B373,Таблица2[T],"t")+SUMIFS(Таблица2[R],Таблица2[Date],B373,Таблица2[T],"t"))/E373*100,"-")=0,"-",IFERROR((COUNTIFS(Таблица2[Date],B373,Таблица2[T],"t")+SUMIFS(Таблица2[R],Таблица2[Date],B373,Таблица2[T],"t"))/E373*100,"-"))</f>
        <v>-</v>
      </c>
      <c r="M373" s="76" t="str">
        <f>IF(SUMIFS(Таблица2[KO$],Таблица2[Date],B373)=0,"-",SUMIFS(Таблица2[KO$],Таблица2[Date],B373))</f>
        <v>-</v>
      </c>
      <c r="N373" s="76" t="str">
        <f>IF(SUMIFS(Таблица2[WIN$],Таблица2[Date],B373)=0,"-",SUMIFS(Таблица2[WIN$],Таблица2[Date],B373))</f>
        <v>-</v>
      </c>
      <c r="O373" s="78" t="str">
        <f t="shared" si="23"/>
        <v>-</v>
      </c>
    </row>
    <row r="374" spans="1:15" ht="11.1" customHeight="1" x14ac:dyDescent="0.25">
      <c r="A374" s="93">
        <f t="shared" si="24"/>
        <v>288</v>
      </c>
      <c r="B374" s="48"/>
      <c r="C374"/>
      <c r="D374" s="117">
        <f t="shared" si="20"/>
        <v>1900</v>
      </c>
      <c r="E374" s="117" t="str">
        <f>IF(COUNTIFS(Таблица2[Date],B374)+SUMIFS(Таблица2[R],Таблица2[Date],B374)=0,"",COUNTIFS(Таблица2[Date],B374)+SUMIFS(Таблица2[R],Таблица2[Date],B374))</f>
        <v/>
      </c>
      <c r="F374" s="76" t="str">
        <f>IF(SUMIFS(Таблица2[B$],Таблица2[Date],B374)=0,"-",SUMIFS(Таблица2[B$],Таблица2[Date],B374))</f>
        <v>-</v>
      </c>
      <c r="G374" s="77" t="str">
        <f t="shared" si="21"/>
        <v>-</v>
      </c>
      <c r="H374" s="77" t="str">
        <f>IFERROR(AVERAGEIFS(Таблица2[AFS],Таблица2[Date],B374)+(AVERAGEIFS(Таблица2[AFS],Таблица2[Date],B374)*0.2),"-")</f>
        <v>-</v>
      </c>
      <c r="I374" s="77" t="str">
        <f t="shared" si="22"/>
        <v>-</v>
      </c>
      <c r="J374" s="77" t="str">
        <f>IFERROR(COUNTIFS(Таблица2[Date],B374,Таблица2[WIN$],"&gt;0")/E374*100,"-")</f>
        <v>-</v>
      </c>
      <c r="K374" s="77" t="str">
        <f>IF(IFERROR((COUNTIFS(Таблица2[Date],B374,Таблица2[K],"K")+SUMIFS(Таблица2[R],#REF!,B374,Таблица2[K],"K"))/E374*100,"-")=0,"-",IFERROR((COUNTIFS(Таблица2[Date],B374,Таблица2[K],"K")+SUMIFS(Таблица2[R],Таблица2[Date],B374,Таблица2[K],"K"))/E374*100,"-"))</f>
        <v>-</v>
      </c>
      <c r="L374" s="76" t="str">
        <f>IF(IFERROR((COUNTIFS(Таблица2[Date],B374,Таблица2[T],"t")+SUMIFS(Таблица2[R],Таблица2[Date],B374,Таблица2[T],"t"))/E374*100,"-")=0,"-",IFERROR((COUNTIFS(Таблица2[Date],B374,Таблица2[T],"t")+SUMIFS(Таблица2[R],Таблица2[Date],B374,Таблица2[T],"t"))/E374*100,"-"))</f>
        <v>-</v>
      </c>
      <c r="M374" s="76" t="str">
        <f>IF(SUMIFS(Таблица2[KO$],Таблица2[Date],B374)=0,"-",SUMIFS(Таблица2[KO$],Таблица2[Date],B374))</f>
        <v>-</v>
      </c>
      <c r="N374" s="76" t="str">
        <f>IF(SUMIFS(Таблица2[WIN$],Таблица2[Date],B374)=0,"-",SUMIFS(Таблица2[WIN$],Таблица2[Date],B374))</f>
        <v>-</v>
      </c>
      <c r="O374" s="78" t="str">
        <f t="shared" si="23"/>
        <v>-</v>
      </c>
    </row>
    <row r="375" spans="1:15" ht="11.1" customHeight="1" x14ac:dyDescent="0.25">
      <c r="A375" s="93">
        <f t="shared" si="24"/>
        <v>289</v>
      </c>
      <c r="B375" s="48"/>
      <c r="C375"/>
      <c r="D375" s="117">
        <f t="shared" si="20"/>
        <v>1900</v>
      </c>
      <c r="E375" s="117" t="str">
        <f>IF(COUNTIFS(Таблица2[Date],B375)+SUMIFS(Таблица2[R],Таблица2[Date],B375)=0,"",COUNTIFS(Таблица2[Date],B375)+SUMIFS(Таблица2[R],Таблица2[Date],B375))</f>
        <v/>
      </c>
      <c r="F375" s="76" t="str">
        <f>IF(SUMIFS(Таблица2[B$],Таблица2[Date],B375)=0,"-",SUMIFS(Таблица2[B$],Таблица2[Date],B375))</f>
        <v>-</v>
      </c>
      <c r="G375" s="77" t="str">
        <f t="shared" si="21"/>
        <v>-</v>
      </c>
      <c r="H375" s="77" t="str">
        <f>IFERROR(AVERAGEIFS(Таблица2[AFS],Таблица2[Date],B375)+(AVERAGEIFS(Таблица2[AFS],Таблица2[Date],B375)*0.2),"-")</f>
        <v>-</v>
      </c>
      <c r="I375" s="77" t="str">
        <f t="shared" si="22"/>
        <v>-</v>
      </c>
      <c r="J375" s="77" t="str">
        <f>IFERROR(COUNTIFS(Таблица2[Date],B375,Таблица2[WIN$],"&gt;0")/E375*100,"-")</f>
        <v>-</v>
      </c>
      <c r="K375" s="77" t="str">
        <f>IF(IFERROR((COUNTIFS(Таблица2[Date],B375,Таблица2[K],"K")+SUMIFS(Таблица2[R],#REF!,B375,Таблица2[K],"K"))/E375*100,"-")=0,"-",IFERROR((COUNTIFS(Таблица2[Date],B375,Таблица2[K],"K")+SUMIFS(Таблица2[R],Таблица2[Date],B375,Таблица2[K],"K"))/E375*100,"-"))</f>
        <v>-</v>
      </c>
      <c r="L375" s="76" t="str">
        <f>IF(IFERROR((COUNTIFS(Таблица2[Date],B375,Таблица2[T],"t")+SUMIFS(Таблица2[R],Таблица2[Date],B375,Таблица2[T],"t"))/E375*100,"-")=0,"-",IFERROR((COUNTIFS(Таблица2[Date],B375,Таблица2[T],"t")+SUMIFS(Таблица2[R],Таблица2[Date],B375,Таблица2[T],"t"))/E375*100,"-"))</f>
        <v>-</v>
      </c>
      <c r="M375" s="76" t="str">
        <f>IF(SUMIFS(Таблица2[KO$],Таблица2[Date],B375)=0,"-",SUMIFS(Таблица2[KO$],Таблица2[Date],B375))</f>
        <v>-</v>
      </c>
      <c r="N375" s="76" t="str">
        <f>IF(SUMIFS(Таблица2[WIN$],Таблица2[Date],B375)=0,"-",SUMIFS(Таблица2[WIN$],Таблица2[Date],B375))</f>
        <v>-</v>
      </c>
      <c r="O375" s="78" t="str">
        <f t="shared" si="23"/>
        <v>-</v>
      </c>
    </row>
    <row r="376" spans="1:15" ht="11.1" customHeight="1" x14ac:dyDescent="0.25">
      <c r="A376" s="93">
        <f t="shared" si="24"/>
        <v>290</v>
      </c>
      <c r="B376" s="48"/>
      <c r="C376"/>
      <c r="D376" s="117">
        <f t="shared" si="20"/>
        <v>1900</v>
      </c>
      <c r="E376" s="117" t="str">
        <f>IF(COUNTIFS(Таблица2[Date],B376)+SUMIFS(Таблица2[R],Таблица2[Date],B376)=0,"",COUNTIFS(Таблица2[Date],B376)+SUMIFS(Таблица2[R],Таблица2[Date],B376))</f>
        <v/>
      </c>
      <c r="F376" s="76" t="str">
        <f>IF(SUMIFS(Таблица2[B$],Таблица2[Date],B376)=0,"-",SUMIFS(Таблица2[B$],Таблица2[Date],B376))</f>
        <v>-</v>
      </c>
      <c r="G376" s="77" t="str">
        <f t="shared" si="21"/>
        <v>-</v>
      </c>
      <c r="H376" s="77" t="str">
        <f>IFERROR(AVERAGEIFS(Таблица2[AFS],Таблица2[Date],B376)+(AVERAGEIFS(Таблица2[AFS],Таблица2[Date],B376)*0.2),"-")</f>
        <v>-</v>
      </c>
      <c r="I376" s="77" t="str">
        <f t="shared" si="22"/>
        <v>-</v>
      </c>
      <c r="J376" s="77" t="str">
        <f>IFERROR(COUNTIFS(Таблица2[Date],B376,Таблица2[WIN$],"&gt;0")/E376*100,"-")</f>
        <v>-</v>
      </c>
      <c r="K376" s="77" t="str">
        <f>IF(IFERROR((COUNTIFS(Таблица2[Date],B376,Таблица2[K],"K")+SUMIFS(Таблица2[R],#REF!,B376,Таблица2[K],"K"))/E376*100,"-")=0,"-",IFERROR((COUNTIFS(Таблица2[Date],B376,Таблица2[K],"K")+SUMIFS(Таблица2[R],Таблица2[Date],B376,Таблица2[K],"K"))/E376*100,"-"))</f>
        <v>-</v>
      </c>
      <c r="L376" s="76" t="str">
        <f>IF(IFERROR((COUNTIFS(Таблица2[Date],B376,Таблица2[T],"t")+SUMIFS(Таблица2[R],Таблица2[Date],B376,Таблица2[T],"t"))/E376*100,"-")=0,"-",IFERROR((COUNTIFS(Таблица2[Date],B376,Таблица2[T],"t")+SUMIFS(Таблица2[R],Таблица2[Date],B376,Таблица2[T],"t"))/E376*100,"-"))</f>
        <v>-</v>
      </c>
      <c r="M376" s="76" t="str">
        <f>IF(SUMIFS(Таблица2[KO$],Таблица2[Date],B376)=0,"-",SUMIFS(Таблица2[KO$],Таблица2[Date],B376))</f>
        <v>-</v>
      </c>
      <c r="N376" s="76" t="str">
        <f>IF(SUMIFS(Таблица2[WIN$],Таблица2[Date],B376)=0,"-",SUMIFS(Таблица2[WIN$],Таблица2[Date],B376))</f>
        <v>-</v>
      </c>
      <c r="O376" s="78" t="str">
        <f t="shared" si="23"/>
        <v>-</v>
      </c>
    </row>
    <row r="377" spans="1:15" ht="11.1" customHeight="1" x14ac:dyDescent="0.25">
      <c r="A377" s="93">
        <f t="shared" si="24"/>
        <v>291</v>
      </c>
      <c r="B377" s="48"/>
      <c r="C377"/>
      <c r="D377" s="117">
        <f t="shared" si="20"/>
        <v>1900</v>
      </c>
      <c r="E377" s="117" t="str">
        <f>IF(COUNTIFS(Таблица2[Date],B377)+SUMIFS(Таблица2[R],Таблица2[Date],B377)=0,"",COUNTIFS(Таблица2[Date],B377)+SUMIFS(Таблица2[R],Таблица2[Date],B377))</f>
        <v/>
      </c>
      <c r="F377" s="76" t="str">
        <f>IF(SUMIFS(Таблица2[B$],Таблица2[Date],B377)=0,"-",SUMIFS(Таблица2[B$],Таблица2[Date],B377))</f>
        <v>-</v>
      </c>
      <c r="G377" s="77" t="str">
        <f t="shared" si="21"/>
        <v>-</v>
      </c>
      <c r="H377" s="77" t="str">
        <f>IFERROR(AVERAGEIFS(Таблица2[AFS],Таблица2[Date],B377)+(AVERAGEIFS(Таблица2[AFS],Таблица2[Date],B377)*0.2),"-")</f>
        <v>-</v>
      </c>
      <c r="I377" s="77" t="str">
        <f t="shared" si="22"/>
        <v>-</v>
      </c>
      <c r="J377" s="77" t="str">
        <f>IFERROR(COUNTIFS(Таблица2[Date],B377,Таблица2[WIN$],"&gt;0")/E377*100,"-")</f>
        <v>-</v>
      </c>
      <c r="K377" s="77" t="str">
        <f>IF(IFERROR((COUNTIFS(Таблица2[Date],B377,Таблица2[K],"K")+SUMIFS(Таблица2[R],#REF!,B377,Таблица2[K],"K"))/E377*100,"-")=0,"-",IFERROR((COUNTIFS(Таблица2[Date],B377,Таблица2[K],"K")+SUMIFS(Таблица2[R],Таблица2[Date],B377,Таблица2[K],"K"))/E377*100,"-"))</f>
        <v>-</v>
      </c>
      <c r="L377" s="76" t="str">
        <f>IF(IFERROR((COUNTIFS(Таблица2[Date],B377,Таблица2[T],"t")+SUMIFS(Таблица2[R],Таблица2[Date],B377,Таблица2[T],"t"))/E377*100,"-")=0,"-",IFERROR((COUNTIFS(Таблица2[Date],B377,Таблица2[T],"t")+SUMIFS(Таблица2[R],Таблица2[Date],B377,Таблица2[T],"t"))/E377*100,"-"))</f>
        <v>-</v>
      </c>
      <c r="M377" s="76" t="str">
        <f>IF(SUMIFS(Таблица2[KO$],Таблица2[Date],B377)=0,"-",SUMIFS(Таблица2[KO$],Таблица2[Date],B377))</f>
        <v>-</v>
      </c>
      <c r="N377" s="76" t="str">
        <f>IF(SUMIFS(Таблица2[WIN$],Таблица2[Date],B377)=0,"-",SUMIFS(Таблица2[WIN$],Таблица2[Date],B377))</f>
        <v>-</v>
      </c>
      <c r="O377" s="78" t="str">
        <f t="shared" si="23"/>
        <v>-</v>
      </c>
    </row>
    <row r="378" spans="1:15" ht="11.1" customHeight="1" x14ac:dyDescent="0.25">
      <c r="A378" s="93">
        <f t="shared" si="24"/>
        <v>292</v>
      </c>
      <c r="B378" s="48"/>
      <c r="C378"/>
      <c r="D378" s="117">
        <f t="shared" si="20"/>
        <v>1900</v>
      </c>
      <c r="E378" s="117" t="str">
        <f>IF(COUNTIFS(Таблица2[Date],B378)+SUMIFS(Таблица2[R],Таблица2[Date],B378)=0,"",COUNTIFS(Таблица2[Date],B378)+SUMIFS(Таблица2[R],Таблица2[Date],B378))</f>
        <v/>
      </c>
      <c r="F378" s="76" t="str">
        <f>IF(SUMIFS(Таблица2[B$],Таблица2[Date],B378)=0,"-",SUMIFS(Таблица2[B$],Таблица2[Date],B378))</f>
        <v>-</v>
      </c>
      <c r="G378" s="77" t="str">
        <f t="shared" si="21"/>
        <v>-</v>
      </c>
      <c r="H378" s="77" t="str">
        <f>IFERROR(AVERAGEIFS(Таблица2[AFS],Таблица2[Date],B378)+(AVERAGEIFS(Таблица2[AFS],Таблица2[Date],B378)*0.2),"-")</f>
        <v>-</v>
      </c>
      <c r="I378" s="77" t="str">
        <f t="shared" si="22"/>
        <v>-</v>
      </c>
      <c r="J378" s="77" t="str">
        <f>IFERROR(COUNTIFS(Таблица2[Date],B378,Таблица2[WIN$],"&gt;0")/E378*100,"-")</f>
        <v>-</v>
      </c>
      <c r="K378" s="77" t="str">
        <f>IF(IFERROR((COUNTIFS(Таблица2[Date],B378,Таблица2[K],"K")+SUMIFS(Таблица2[R],#REF!,B378,Таблица2[K],"K"))/E378*100,"-")=0,"-",IFERROR((COUNTIFS(Таблица2[Date],B378,Таблица2[K],"K")+SUMIFS(Таблица2[R],Таблица2[Date],B378,Таблица2[K],"K"))/E378*100,"-"))</f>
        <v>-</v>
      </c>
      <c r="L378" s="76" t="str">
        <f>IF(IFERROR((COUNTIFS(Таблица2[Date],B378,Таблица2[T],"t")+SUMIFS(Таблица2[R],Таблица2[Date],B378,Таблица2[T],"t"))/E378*100,"-")=0,"-",IFERROR((COUNTIFS(Таблица2[Date],B378,Таблица2[T],"t")+SUMIFS(Таблица2[R],Таблица2[Date],B378,Таблица2[T],"t"))/E378*100,"-"))</f>
        <v>-</v>
      </c>
      <c r="M378" s="76" t="str">
        <f>IF(SUMIFS(Таблица2[KO$],Таблица2[Date],B378)=0,"-",SUMIFS(Таблица2[KO$],Таблица2[Date],B378))</f>
        <v>-</v>
      </c>
      <c r="N378" s="76" t="str">
        <f>IF(SUMIFS(Таблица2[WIN$],Таблица2[Date],B378)=0,"-",SUMIFS(Таблица2[WIN$],Таблица2[Date],B378))</f>
        <v>-</v>
      </c>
      <c r="O378" s="78" t="str">
        <f t="shared" si="23"/>
        <v>-</v>
      </c>
    </row>
    <row r="379" spans="1:15" ht="11.1" customHeight="1" x14ac:dyDescent="0.25">
      <c r="A379" s="93">
        <f t="shared" si="24"/>
        <v>293</v>
      </c>
      <c r="B379" s="48"/>
      <c r="C379"/>
      <c r="D379" s="117">
        <f t="shared" si="20"/>
        <v>1900</v>
      </c>
      <c r="E379" s="117" t="str">
        <f>IF(COUNTIFS(Таблица2[Date],B379)+SUMIFS(Таблица2[R],Таблица2[Date],B379)=0,"",COUNTIFS(Таблица2[Date],B379)+SUMIFS(Таблица2[R],Таблица2[Date],B379))</f>
        <v/>
      </c>
      <c r="F379" s="76" t="str">
        <f>IF(SUMIFS(Таблица2[B$],Таблица2[Date],B379)=0,"-",SUMIFS(Таблица2[B$],Таблица2[Date],B379))</f>
        <v>-</v>
      </c>
      <c r="G379" s="77" t="str">
        <f t="shared" si="21"/>
        <v>-</v>
      </c>
      <c r="H379" s="77" t="str">
        <f>IFERROR(AVERAGEIFS(Таблица2[AFS],Таблица2[Date],B379)+(AVERAGEIFS(Таблица2[AFS],Таблица2[Date],B379)*0.2),"-")</f>
        <v>-</v>
      </c>
      <c r="I379" s="77" t="str">
        <f t="shared" si="22"/>
        <v>-</v>
      </c>
      <c r="J379" s="77" t="str">
        <f>IFERROR(COUNTIFS(Таблица2[Date],B379,Таблица2[WIN$],"&gt;0")/E379*100,"-")</f>
        <v>-</v>
      </c>
      <c r="K379" s="77" t="str">
        <f>IF(IFERROR((COUNTIFS(Таблица2[Date],B379,Таблица2[K],"K")+SUMIFS(Таблица2[R],#REF!,B379,Таблица2[K],"K"))/E379*100,"-")=0,"-",IFERROR((COUNTIFS(Таблица2[Date],B379,Таблица2[K],"K")+SUMIFS(Таблица2[R],Таблица2[Date],B379,Таблица2[K],"K"))/E379*100,"-"))</f>
        <v>-</v>
      </c>
      <c r="L379" s="76" t="str">
        <f>IF(IFERROR((COUNTIFS(Таблица2[Date],B379,Таблица2[T],"t")+SUMIFS(Таблица2[R],Таблица2[Date],B379,Таблица2[T],"t"))/E379*100,"-")=0,"-",IFERROR((COUNTIFS(Таблица2[Date],B379,Таблица2[T],"t")+SUMIFS(Таблица2[R],Таблица2[Date],B379,Таблица2[T],"t"))/E379*100,"-"))</f>
        <v>-</v>
      </c>
      <c r="M379" s="76" t="str">
        <f>IF(SUMIFS(Таблица2[KO$],Таблица2[Date],B379)=0,"-",SUMIFS(Таблица2[KO$],Таблица2[Date],B379))</f>
        <v>-</v>
      </c>
      <c r="N379" s="76" t="str">
        <f>IF(SUMIFS(Таблица2[WIN$],Таблица2[Date],B379)=0,"-",SUMIFS(Таблица2[WIN$],Таблица2[Date],B379))</f>
        <v>-</v>
      </c>
      <c r="O379" s="78" t="str">
        <f t="shared" si="23"/>
        <v>-</v>
      </c>
    </row>
    <row r="380" spans="1:15" ht="11.1" customHeight="1" x14ac:dyDescent="0.25">
      <c r="A380" s="93">
        <f t="shared" si="24"/>
        <v>294</v>
      </c>
      <c r="B380" s="48"/>
      <c r="C380"/>
      <c r="D380" s="118">
        <f t="shared" si="20"/>
        <v>1900</v>
      </c>
      <c r="E380" s="118" t="str">
        <f>IF(COUNTIFS(Таблица2[Date],B380)+SUMIFS(Таблица2[R],Таблица2[Date],B380)=0,"",COUNTIFS(Таблица2[Date],B380)+SUMIFS(Таблица2[R],Таблица2[Date],B380))</f>
        <v/>
      </c>
      <c r="F380" s="54" t="str">
        <f>IF(SUMIFS(Таблица2[B$],Таблица2[Date],B380)=0,"-",SUMIFS(Таблица2[B$],Таблица2[Date],B380))</f>
        <v>-</v>
      </c>
      <c r="G380" s="55" t="str">
        <f t="shared" si="21"/>
        <v>-</v>
      </c>
      <c r="H380" s="55" t="str">
        <f>IFERROR(AVERAGEIFS(Таблица2[AFS],Таблица2[Date],B380)+(AVERAGEIFS(Таблица2[AFS],Таблица2[Date],B380)*0.2),"-")</f>
        <v>-</v>
      </c>
      <c r="I380" s="55" t="str">
        <f t="shared" si="22"/>
        <v>-</v>
      </c>
      <c r="J380" s="55" t="str">
        <f>IFERROR(COUNTIFS(Таблица2[Date],B380,Таблица2[WIN$],"&gt;0")/E380*100,"-")</f>
        <v>-</v>
      </c>
      <c r="K380" s="55" t="str">
        <f>IF(IFERROR((COUNTIFS(Таблица2[Date],B380,Таблица2[K],"K")+SUMIFS(Таблица2[R],#REF!,B380,Таблица2[K],"K"))/E380*100,"-")=0,"-",IFERROR((COUNTIFS(Таблица2[Date],B380,Таблица2[K],"K")+SUMIFS(Таблица2[R],Таблица2[Date],B380,Таблица2[K],"K"))/E380*100,"-"))</f>
        <v>-</v>
      </c>
      <c r="L380" s="54" t="str">
        <f>IF(IFERROR((COUNTIFS(Таблица2[Date],B380,Таблица2[T],"t")+SUMIFS(Таблица2[R],Таблица2[Date],B380,Таблица2[T],"t"))/E380*100,"-")=0,"-",IFERROR((COUNTIFS(Таблица2[Date],B380,Таблица2[T],"t")+SUMIFS(Таблица2[R],Таблица2[Date],B380,Таблица2[T],"t"))/E380*100,"-"))</f>
        <v>-</v>
      </c>
      <c r="M380" s="54" t="str">
        <f>IF(SUMIFS(Таблица2[KO$],Таблица2[Date],B380)=0,"-",SUMIFS(Таблица2[KO$],Таблица2[Date],B380))</f>
        <v>-</v>
      </c>
      <c r="N380" s="54" t="str">
        <f>IF(SUMIFS(Таблица2[WIN$],Таблица2[Date],B380)=0,"-",SUMIFS(Таблица2[WIN$],Таблица2[Date],B380))</f>
        <v>-</v>
      </c>
      <c r="O380" s="79" t="str">
        <f t="shared" si="23"/>
        <v>-</v>
      </c>
    </row>
    <row r="381" spans="1:15" ht="11.1" customHeight="1" x14ac:dyDescent="0.25">
      <c r="A381" s="93">
        <f t="shared" si="24"/>
        <v>295</v>
      </c>
      <c r="B381" s="48"/>
      <c r="C381"/>
    </row>
    <row r="382" spans="1:15" ht="11.1" customHeight="1" x14ac:dyDescent="0.25">
      <c r="A382" s="93">
        <f t="shared" si="24"/>
        <v>296</v>
      </c>
      <c r="B382" s="48"/>
      <c r="C382"/>
    </row>
    <row r="383" spans="1:15" ht="11.1" customHeight="1" x14ac:dyDescent="0.25">
      <c r="A383" s="93">
        <f t="shared" si="24"/>
        <v>297</v>
      </c>
      <c r="B383" s="48"/>
      <c r="C383"/>
    </row>
    <row r="384" spans="1:15" ht="11.1" customHeight="1" x14ac:dyDescent="0.25">
      <c r="A384" s="93">
        <f t="shared" si="24"/>
        <v>298</v>
      </c>
      <c r="B384" s="48"/>
      <c r="C384"/>
    </row>
    <row r="385" spans="2:3" ht="11.1" customHeight="1" x14ac:dyDescent="0.25">
      <c r="B385" s="48"/>
      <c r="C385"/>
    </row>
    <row r="386" spans="2:3" ht="11.1" customHeight="1" x14ac:dyDescent="0.25">
      <c r="B386" s="48"/>
      <c r="C386"/>
    </row>
    <row r="387" spans="2:3" ht="11.1" customHeight="1" x14ac:dyDescent="0.25">
      <c r="B387" s="48"/>
      <c r="C387"/>
    </row>
    <row r="388" spans="2:3" ht="11.1" customHeight="1" x14ac:dyDescent="0.25">
      <c r="B388" s="48"/>
      <c r="C388"/>
    </row>
    <row r="389" spans="2:3" ht="11.1" customHeight="1" x14ac:dyDescent="0.25">
      <c r="B389" s="48"/>
      <c r="C389"/>
    </row>
    <row r="390" spans="2:3" ht="11.1" customHeight="1" x14ac:dyDescent="0.25">
      <c r="B390" s="48"/>
      <c r="C390"/>
    </row>
    <row r="391" spans="2:3" ht="11.1" customHeight="1" x14ac:dyDescent="0.25">
      <c r="B391" s="48"/>
      <c r="C391"/>
    </row>
    <row r="392" spans="2:3" ht="11.1" customHeight="1" x14ac:dyDescent="0.25">
      <c r="B392" s="48"/>
      <c r="C392"/>
    </row>
    <row r="393" spans="2:3" ht="11.1" customHeight="1" x14ac:dyDescent="0.25">
      <c r="B393" s="48"/>
      <c r="C393"/>
    </row>
    <row r="394" spans="2:3" ht="11.1" customHeight="1" x14ac:dyDescent="0.25">
      <c r="B394" s="48"/>
      <c r="C394"/>
    </row>
    <row r="395" spans="2:3" ht="11.1" customHeight="1" x14ac:dyDescent="0.25">
      <c r="B395" s="48"/>
      <c r="C395"/>
    </row>
    <row r="396" spans="2:3" ht="11.1" customHeight="1" x14ac:dyDescent="0.25">
      <c r="B396" s="48"/>
      <c r="C396"/>
    </row>
    <row r="397" spans="2:3" ht="11.1" customHeight="1" x14ac:dyDescent="0.25">
      <c r="B397" s="48"/>
      <c r="C397"/>
    </row>
    <row r="398" spans="2:3" ht="11.1" customHeight="1" x14ac:dyDescent="0.25">
      <c r="B398" s="48"/>
      <c r="C398"/>
    </row>
    <row r="399" spans="2:3" ht="11.1" customHeight="1" x14ac:dyDescent="0.25">
      <c r="B399" s="48"/>
      <c r="C399"/>
    </row>
    <row r="400" spans="2:3" ht="11.1" customHeight="1" x14ac:dyDescent="0.25">
      <c r="B400" s="48"/>
      <c r="C400"/>
    </row>
    <row r="401" spans="2:3" ht="11.1" customHeight="1" x14ac:dyDescent="0.25">
      <c r="B401" s="48"/>
      <c r="C401"/>
    </row>
    <row r="402" spans="2:3" ht="11.1" customHeight="1" x14ac:dyDescent="0.25">
      <c r="B402" s="48"/>
      <c r="C402"/>
    </row>
    <row r="403" spans="2:3" ht="11.1" customHeight="1" x14ac:dyDescent="0.25">
      <c r="B403" s="48"/>
      <c r="C403"/>
    </row>
    <row r="404" spans="2:3" ht="11.1" customHeight="1" x14ac:dyDescent="0.25">
      <c r="B404" s="48"/>
      <c r="C404"/>
    </row>
    <row r="405" spans="2:3" ht="11.1" customHeight="1" x14ac:dyDescent="0.25">
      <c r="B405" s="48"/>
      <c r="C405"/>
    </row>
    <row r="406" spans="2:3" ht="11.1" customHeight="1" x14ac:dyDescent="0.25">
      <c r="B406" s="48"/>
      <c r="C406"/>
    </row>
    <row r="407" spans="2:3" ht="11.1" customHeight="1" x14ac:dyDescent="0.25">
      <c r="B407" s="48"/>
      <c r="C407"/>
    </row>
    <row r="408" spans="2:3" ht="11.1" customHeight="1" x14ac:dyDescent="0.25">
      <c r="B408" s="48"/>
      <c r="C408"/>
    </row>
    <row r="409" spans="2:3" ht="11.1" customHeight="1" x14ac:dyDescent="0.25">
      <c r="B409" s="48"/>
      <c r="C409"/>
    </row>
    <row r="410" spans="2:3" ht="11.1" customHeight="1" x14ac:dyDescent="0.25">
      <c r="B410" s="48"/>
      <c r="C410"/>
    </row>
    <row r="411" spans="2:3" ht="11.1" customHeight="1" x14ac:dyDescent="0.25">
      <c r="B411" s="48"/>
      <c r="C411"/>
    </row>
    <row r="412" spans="2:3" ht="11.1" customHeight="1" x14ac:dyDescent="0.25">
      <c r="B412" s="48"/>
      <c r="C412"/>
    </row>
    <row r="413" spans="2:3" ht="11.1" customHeight="1" x14ac:dyDescent="0.25">
      <c r="B413" s="48"/>
      <c r="C413"/>
    </row>
    <row r="414" spans="2:3" ht="11.1" customHeight="1" x14ac:dyDescent="0.25">
      <c r="B414" s="48"/>
      <c r="C414"/>
    </row>
    <row r="415" spans="2:3" ht="11.1" customHeight="1" x14ac:dyDescent="0.25">
      <c r="B415" s="48"/>
      <c r="C415"/>
    </row>
    <row r="416" spans="2:3" ht="11.1" customHeight="1" x14ac:dyDescent="0.25">
      <c r="B416" s="48"/>
      <c r="C416"/>
    </row>
    <row r="417" spans="2:3" ht="11.1" customHeight="1" x14ac:dyDescent="0.25">
      <c r="B417" s="48"/>
      <c r="C417"/>
    </row>
    <row r="418" spans="2:3" ht="11.1" customHeight="1" x14ac:dyDescent="0.25">
      <c r="B418" s="48"/>
      <c r="C418"/>
    </row>
    <row r="419" spans="2:3" ht="11.1" customHeight="1" x14ac:dyDescent="0.25">
      <c r="B419" s="48"/>
      <c r="C419"/>
    </row>
    <row r="420" spans="2:3" ht="11.1" customHeight="1" x14ac:dyDescent="0.25">
      <c r="B420" s="48"/>
      <c r="C420"/>
    </row>
    <row r="421" spans="2:3" ht="11.1" customHeight="1" x14ac:dyDescent="0.25">
      <c r="B421" s="48"/>
      <c r="C421"/>
    </row>
    <row r="422" spans="2:3" ht="11.1" customHeight="1" x14ac:dyDescent="0.25">
      <c r="B422" s="48"/>
      <c r="C422"/>
    </row>
    <row r="423" spans="2:3" ht="11.1" customHeight="1" x14ac:dyDescent="0.25">
      <c r="B423" s="48"/>
      <c r="C423"/>
    </row>
    <row r="424" spans="2:3" ht="11.1" customHeight="1" x14ac:dyDescent="0.25">
      <c r="B424" s="48"/>
      <c r="C424"/>
    </row>
    <row r="425" spans="2:3" ht="11.1" customHeight="1" x14ac:dyDescent="0.25">
      <c r="B425" s="48"/>
      <c r="C425"/>
    </row>
    <row r="426" spans="2:3" ht="11.1" customHeight="1" x14ac:dyDescent="0.25">
      <c r="B426" s="48"/>
      <c r="C426"/>
    </row>
    <row r="427" spans="2:3" ht="11.1" customHeight="1" x14ac:dyDescent="0.25">
      <c r="B427" s="48"/>
      <c r="C427"/>
    </row>
    <row r="428" spans="2:3" ht="11.1" customHeight="1" x14ac:dyDescent="0.25">
      <c r="B428" s="48"/>
      <c r="C428"/>
    </row>
    <row r="429" spans="2:3" ht="11.1" customHeight="1" x14ac:dyDescent="0.25">
      <c r="B429" s="48"/>
      <c r="C429"/>
    </row>
    <row r="430" spans="2:3" ht="11.1" customHeight="1" x14ac:dyDescent="0.25">
      <c r="B430" s="48"/>
      <c r="C430"/>
    </row>
    <row r="431" spans="2:3" ht="11.1" customHeight="1" x14ac:dyDescent="0.25">
      <c r="B431" s="48"/>
      <c r="C431"/>
    </row>
    <row r="432" spans="2:3" ht="11.1" customHeight="1" x14ac:dyDescent="0.25">
      <c r="B432" s="48"/>
      <c r="C432"/>
    </row>
    <row r="433" spans="2:3" ht="11.1" customHeight="1" x14ac:dyDescent="0.25">
      <c r="B433" s="48"/>
      <c r="C433"/>
    </row>
    <row r="434" spans="2:3" ht="11.1" customHeight="1" x14ac:dyDescent="0.25">
      <c r="B434" s="48"/>
      <c r="C434"/>
    </row>
    <row r="435" spans="2:3" ht="11.1" customHeight="1" x14ac:dyDescent="0.25">
      <c r="B435" s="48"/>
      <c r="C435"/>
    </row>
    <row r="436" spans="2:3" ht="11.1" customHeight="1" x14ac:dyDescent="0.25">
      <c r="B436" s="48"/>
      <c r="C436"/>
    </row>
    <row r="437" spans="2:3" ht="11.1" customHeight="1" x14ac:dyDescent="0.25">
      <c r="B437" s="48"/>
      <c r="C437"/>
    </row>
    <row r="438" spans="2:3" ht="11.1" customHeight="1" x14ac:dyDescent="0.25">
      <c r="B438" s="48"/>
      <c r="C438"/>
    </row>
    <row r="439" spans="2:3" ht="11.1" customHeight="1" x14ac:dyDescent="0.25">
      <c r="B439" s="48"/>
      <c r="C439"/>
    </row>
    <row r="440" spans="2:3" ht="11.1" customHeight="1" x14ac:dyDescent="0.25">
      <c r="B440" s="48"/>
      <c r="C440"/>
    </row>
    <row r="441" spans="2:3" ht="11.1" customHeight="1" x14ac:dyDescent="0.25">
      <c r="B441" s="48"/>
      <c r="C441"/>
    </row>
    <row r="442" spans="2:3" ht="11.1" customHeight="1" x14ac:dyDescent="0.25">
      <c r="B442" s="48"/>
      <c r="C442"/>
    </row>
    <row r="443" spans="2:3" ht="11.1" customHeight="1" x14ac:dyDescent="0.25">
      <c r="B443" s="48"/>
      <c r="C443"/>
    </row>
    <row r="444" spans="2:3" ht="11.1" customHeight="1" x14ac:dyDescent="0.25">
      <c r="B444" s="48"/>
      <c r="C444"/>
    </row>
    <row r="445" spans="2:3" ht="11.1" customHeight="1" x14ac:dyDescent="0.25">
      <c r="B445" s="48"/>
      <c r="C445"/>
    </row>
    <row r="446" spans="2:3" ht="11.1" customHeight="1" x14ac:dyDescent="0.25">
      <c r="B446" s="48"/>
      <c r="C446"/>
    </row>
    <row r="447" spans="2:3" ht="11.1" customHeight="1" x14ac:dyDescent="0.25">
      <c r="B447" s="48"/>
      <c r="C447"/>
    </row>
    <row r="448" spans="2:3" ht="11.1" customHeight="1" x14ac:dyDescent="0.25">
      <c r="B448" s="48"/>
      <c r="C448"/>
    </row>
    <row r="449" spans="2:3" ht="11.1" customHeight="1" x14ac:dyDescent="0.25">
      <c r="B449" s="48"/>
      <c r="C449"/>
    </row>
    <row r="450" spans="2:3" ht="11.1" customHeight="1" x14ac:dyDescent="0.25">
      <c r="B450" s="48"/>
      <c r="C450"/>
    </row>
    <row r="451" spans="2:3" ht="11.1" customHeight="1" x14ac:dyDescent="0.25">
      <c r="B451" s="48"/>
      <c r="C451"/>
    </row>
    <row r="452" spans="2:3" ht="11.1" customHeight="1" x14ac:dyDescent="0.25">
      <c r="B452" s="48"/>
      <c r="C452"/>
    </row>
    <row r="453" spans="2:3" ht="11.1" customHeight="1" x14ac:dyDescent="0.25">
      <c r="B453" s="48"/>
      <c r="C453"/>
    </row>
    <row r="454" spans="2:3" ht="11.1" customHeight="1" x14ac:dyDescent="0.25">
      <c r="B454" s="48"/>
      <c r="C454"/>
    </row>
    <row r="455" spans="2:3" ht="11.1" customHeight="1" x14ac:dyDescent="0.25">
      <c r="B455" s="48"/>
      <c r="C455"/>
    </row>
    <row r="456" spans="2:3" ht="11.1" customHeight="1" x14ac:dyDescent="0.25">
      <c r="B456" s="48"/>
      <c r="C456"/>
    </row>
    <row r="457" spans="2:3" ht="11.1" customHeight="1" x14ac:dyDescent="0.25">
      <c r="B457" s="48"/>
      <c r="C457"/>
    </row>
    <row r="458" spans="2:3" ht="11.1" customHeight="1" x14ac:dyDescent="0.25">
      <c r="B458" s="48"/>
      <c r="C458"/>
    </row>
    <row r="459" spans="2:3" ht="11.1" customHeight="1" x14ac:dyDescent="0.25">
      <c r="B459" s="48"/>
      <c r="C459"/>
    </row>
    <row r="460" spans="2:3" ht="11.1" customHeight="1" x14ac:dyDescent="0.25">
      <c r="B460" s="48"/>
      <c r="C460"/>
    </row>
    <row r="461" spans="2:3" ht="11.1" customHeight="1" x14ac:dyDescent="0.25">
      <c r="B461" s="48"/>
      <c r="C461"/>
    </row>
    <row r="462" spans="2:3" ht="11.1" customHeight="1" x14ac:dyDescent="0.25">
      <c r="B462" s="48"/>
      <c r="C462"/>
    </row>
    <row r="463" spans="2:3" ht="11.1" customHeight="1" x14ac:dyDescent="0.25">
      <c r="B463" s="48"/>
      <c r="C463"/>
    </row>
    <row r="464" spans="2:3" ht="11.1" customHeight="1" x14ac:dyDescent="0.25">
      <c r="B464" s="48"/>
      <c r="C464"/>
    </row>
    <row r="465" spans="2:3" ht="11.1" customHeight="1" x14ac:dyDescent="0.25">
      <c r="B465" s="48"/>
      <c r="C465"/>
    </row>
    <row r="466" spans="2:3" ht="11.1" customHeight="1" x14ac:dyDescent="0.25">
      <c r="B466" s="48"/>
      <c r="C466"/>
    </row>
    <row r="467" spans="2:3" ht="11.1" customHeight="1" x14ac:dyDescent="0.25">
      <c r="B467" s="48"/>
      <c r="C467"/>
    </row>
    <row r="468" spans="2:3" ht="11.1" customHeight="1" x14ac:dyDescent="0.25">
      <c r="B468" s="48"/>
      <c r="C468"/>
    </row>
    <row r="469" spans="2:3" ht="11.1" customHeight="1" x14ac:dyDescent="0.25">
      <c r="B469" s="48"/>
      <c r="C469"/>
    </row>
    <row r="470" spans="2:3" ht="11.1" customHeight="1" x14ac:dyDescent="0.25">
      <c r="B470" s="48"/>
      <c r="C470"/>
    </row>
    <row r="471" spans="2:3" ht="11.1" customHeight="1" x14ac:dyDescent="0.25">
      <c r="B471" s="48"/>
      <c r="C471"/>
    </row>
    <row r="472" spans="2:3" ht="11.1" customHeight="1" x14ac:dyDescent="0.25">
      <c r="B472" s="48"/>
      <c r="C472"/>
    </row>
    <row r="473" spans="2:3" ht="11.1" customHeight="1" x14ac:dyDescent="0.25">
      <c r="B473" s="48"/>
      <c r="C473"/>
    </row>
    <row r="474" spans="2:3" ht="11.1" customHeight="1" x14ac:dyDescent="0.25">
      <c r="B474" s="48"/>
      <c r="C474"/>
    </row>
    <row r="475" spans="2:3" ht="11.1" customHeight="1" x14ac:dyDescent="0.25">
      <c r="B475" s="48"/>
      <c r="C475"/>
    </row>
    <row r="476" spans="2:3" ht="11.1" customHeight="1" x14ac:dyDescent="0.25">
      <c r="B476" s="48"/>
      <c r="C476"/>
    </row>
    <row r="477" spans="2:3" ht="11.1" customHeight="1" x14ac:dyDescent="0.25">
      <c r="B477" s="48"/>
      <c r="C477"/>
    </row>
    <row r="478" spans="2:3" ht="11.1" customHeight="1" x14ac:dyDescent="0.25">
      <c r="B478" s="48"/>
      <c r="C478"/>
    </row>
    <row r="479" spans="2:3" ht="11.1" customHeight="1" x14ac:dyDescent="0.25">
      <c r="B479" s="48"/>
      <c r="C479"/>
    </row>
    <row r="480" spans="2:3" ht="11.1" customHeight="1" x14ac:dyDescent="0.25">
      <c r="B480" s="48"/>
      <c r="C480"/>
    </row>
    <row r="481" spans="2:3" ht="11.1" customHeight="1" x14ac:dyDescent="0.25">
      <c r="B481" s="48"/>
      <c r="C481"/>
    </row>
    <row r="482" spans="2:3" ht="11.1" customHeight="1" x14ac:dyDescent="0.25">
      <c r="B482" s="48"/>
      <c r="C482"/>
    </row>
    <row r="483" spans="2:3" ht="11.1" customHeight="1" x14ac:dyDescent="0.25">
      <c r="B483" s="48"/>
      <c r="C483"/>
    </row>
    <row r="484" spans="2:3" ht="11.1" customHeight="1" x14ac:dyDescent="0.25">
      <c r="B484" s="48"/>
      <c r="C484"/>
    </row>
    <row r="485" spans="2:3" ht="11.1" customHeight="1" x14ac:dyDescent="0.25">
      <c r="B485" s="48"/>
      <c r="C485"/>
    </row>
    <row r="486" spans="2:3" ht="11.1" customHeight="1" x14ac:dyDescent="0.25">
      <c r="B486" s="48"/>
      <c r="C486"/>
    </row>
    <row r="487" spans="2:3" ht="11.1" customHeight="1" x14ac:dyDescent="0.25">
      <c r="B487" s="48"/>
      <c r="C487"/>
    </row>
    <row r="488" spans="2:3" ht="11.1" customHeight="1" x14ac:dyDescent="0.25">
      <c r="B488" s="48"/>
      <c r="C488"/>
    </row>
    <row r="489" spans="2:3" ht="11.1" customHeight="1" x14ac:dyDescent="0.25">
      <c r="B489" s="48"/>
      <c r="C489"/>
    </row>
    <row r="490" spans="2:3" ht="11.1" customHeight="1" x14ac:dyDescent="0.25">
      <c r="B490" s="48"/>
      <c r="C490"/>
    </row>
    <row r="491" spans="2:3" ht="11.1" customHeight="1" x14ac:dyDescent="0.25">
      <c r="B491" s="48"/>
      <c r="C491"/>
    </row>
    <row r="492" spans="2:3" ht="11.1" customHeight="1" x14ac:dyDescent="0.25">
      <c r="B492" s="48"/>
      <c r="C492"/>
    </row>
    <row r="493" spans="2:3" ht="11.1" customHeight="1" x14ac:dyDescent="0.25">
      <c r="B493" s="48"/>
      <c r="C493"/>
    </row>
    <row r="494" spans="2:3" ht="11.1" customHeight="1" x14ac:dyDescent="0.25">
      <c r="B494" s="48"/>
      <c r="C494"/>
    </row>
    <row r="495" spans="2:3" ht="11.1" customHeight="1" x14ac:dyDescent="0.25">
      <c r="B495" s="48"/>
      <c r="C495"/>
    </row>
    <row r="496" spans="2:3" ht="11.1" customHeight="1" x14ac:dyDescent="0.25">
      <c r="B496" s="48"/>
      <c r="C496"/>
    </row>
    <row r="497" spans="2:3" ht="11.1" customHeight="1" x14ac:dyDescent="0.25">
      <c r="B497" s="48"/>
      <c r="C497"/>
    </row>
    <row r="498" spans="2:3" ht="11.1" customHeight="1" x14ac:dyDescent="0.25">
      <c r="B498" s="48"/>
      <c r="C498"/>
    </row>
    <row r="499" spans="2:3" ht="11.1" customHeight="1" x14ac:dyDescent="0.25">
      <c r="B499" s="48"/>
      <c r="C499"/>
    </row>
    <row r="500" spans="2:3" ht="11.1" customHeight="1" x14ac:dyDescent="0.25">
      <c r="B500" s="48"/>
      <c r="C500"/>
    </row>
    <row r="501" spans="2:3" ht="11.1" customHeight="1" x14ac:dyDescent="0.25">
      <c r="B501" s="48"/>
      <c r="C501"/>
    </row>
    <row r="502" spans="2:3" ht="11.1" customHeight="1" x14ac:dyDescent="0.25">
      <c r="B502" s="48"/>
      <c r="C502"/>
    </row>
    <row r="503" spans="2:3" ht="11.1" customHeight="1" x14ac:dyDescent="0.25">
      <c r="B503" s="48"/>
      <c r="C503"/>
    </row>
    <row r="504" spans="2:3" ht="11.1" customHeight="1" x14ac:dyDescent="0.25">
      <c r="B504" s="48"/>
      <c r="C504"/>
    </row>
    <row r="505" spans="2:3" ht="11.1" customHeight="1" x14ac:dyDescent="0.25">
      <c r="B505" s="48"/>
      <c r="C505"/>
    </row>
    <row r="506" spans="2:3" ht="11.1" customHeight="1" x14ac:dyDescent="0.25">
      <c r="B506" s="48"/>
      <c r="C506"/>
    </row>
    <row r="507" spans="2:3" ht="11.1" customHeight="1" x14ac:dyDescent="0.25">
      <c r="B507" s="48"/>
      <c r="C507"/>
    </row>
    <row r="508" spans="2:3" ht="11.1" customHeight="1" x14ac:dyDescent="0.25">
      <c r="B508" s="48"/>
      <c r="C508"/>
    </row>
    <row r="509" spans="2:3" ht="11.1" customHeight="1" x14ac:dyDescent="0.25">
      <c r="B509" s="48"/>
      <c r="C509"/>
    </row>
    <row r="510" spans="2:3" ht="11.1" customHeight="1" x14ac:dyDescent="0.25">
      <c r="B510" s="48"/>
      <c r="C510"/>
    </row>
    <row r="511" spans="2:3" ht="11.1" customHeight="1" x14ac:dyDescent="0.25">
      <c r="B511" s="48"/>
      <c r="C511"/>
    </row>
    <row r="512" spans="2:3" ht="11.1" customHeight="1" x14ac:dyDescent="0.25">
      <c r="B512" s="48"/>
      <c r="C512"/>
    </row>
    <row r="513" spans="2:3" ht="11.1" customHeight="1" x14ac:dyDescent="0.25">
      <c r="B513" s="48"/>
      <c r="C513"/>
    </row>
    <row r="514" spans="2:3" ht="11.1" customHeight="1" x14ac:dyDescent="0.25">
      <c r="B514" s="48"/>
      <c r="C514"/>
    </row>
    <row r="515" spans="2:3" ht="11.1" customHeight="1" x14ac:dyDescent="0.25">
      <c r="B515" s="48"/>
      <c r="C515"/>
    </row>
    <row r="516" spans="2:3" ht="11.1" customHeight="1" x14ac:dyDescent="0.25">
      <c r="B516" s="48"/>
      <c r="C516"/>
    </row>
    <row r="517" spans="2:3" ht="11.1" customHeight="1" x14ac:dyDescent="0.25">
      <c r="B517" s="48"/>
      <c r="C517"/>
    </row>
    <row r="518" spans="2:3" ht="11.1" customHeight="1" x14ac:dyDescent="0.25">
      <c r="B518" s="48"/>
      <c r="C518"/>
    </row>
    <row r="519" spans="2:3" ht="11.1" customHeight="1" x14ac:dyDescent="0.25">
      <c r="B519" s="48"/>
      <c r="C519"/>
    </row>
    <row r="520" spans="2:3" ht="11.1" customHeight="1" x14ac:dyDescent="0.25">
      <c r="B520" s="48"/>
      <c r="C520"/>
    </row>
    <row r="521" spans="2:3" ht="11.1" customHeight="1" x14ac:dyDescent="0.25">
      <c r="B521" s="48"/>
      <c r="C521"/>
    </row>
    <row r="522" spans="2:3" ht="11.1" customHeight="1" x14ac:dyDescent="0.25">
      <c r="B522" s="48"/>
      <c r="C522"/>
    </row>
    <row r="523" spans="2:3" ht="11.1" customHeight="1" x14ac:dyDescent="0.25">
      <c r="B523" s="48"/>
      <c r="C523"/>
    </row>
    <row r="524" spans="2:3" ht="11.1" customHeight="1" x14ac:dyDescent="0.25">
      <c r="B524" s="48"/>
      <c r="C524"/>
    </row>
    <row r="525" spans="2:3" ht="11.1" customHeight="1" x14ac:dyDescent="0.25">
      <c r="B525" s="48"/>
      <c r="C525"/>
    </row>
    <row r="526" spans="2:3" ht="11.1" customHeight="1" x14ac:dyDescent="0.25">
      <c r="B526" s="48"/>
      <c r="C526"/>
    </row>
    <row r="527" spans="2:3" ht="11.1" customHeight="1" x14ac:dyDescent="0.25">
      <c r="B527" s="48"/>
      <c r="C527"/>
    </row>
    <row r="528" spans="2:3" ht="11.1" customHeight="1" x14ac:dyDescent="0.25">
      <c r="B528" s="48"/>
      <c r="C528"/>
    </row>
    <row r="529" spans="2:3" ht="11.1" customHeight="1" x14ac:dyDescent="0.25">
      <c r="B529" s="48"/>
      <c r="C529"/>
    </row>
    <row r="530" spans="2:3" ht="11.1" customHeight="1" x14ac:dyDescent="0.25">
      <c r="B530" s="48"/>
      <c r="C530"/>
    </row>
    <row r="531" spans="2:3" ht="11.1" customHeight="1" x14ac:dyDescent="0.25">
      <c r="B531" s="48"/>
      <c r="C531"/>
    </row>
    <row r="532" spans="2:3" ht="11.1" customHeight="1" x14ac:dyDescent="0.25">
      <c r="B532" s="48"/>
      <c r="C532"/>
    </row>
    <row r="533" spans="2:3" ht="11.1" customHeight="1" x14ac:dyDescent="0.25">
      <c r="B533" s="48"/>
      <c r="C533"/>
    </row>
    <row r="534" spans="2:3" ht="11.1" customHeight="1" x14ac:dyDescent="0.25">
      <c r="B534" s="48"/>
      <c r="C534"/>
    </row>
    <row r="535" spans="2:3" ht="11.1" customHeight="1" x14ac:dyDescent="0.25">
      <c r="B535" s="48"/>
      <c r="C535"/>
    </row>
    <row r="536" spans="2:3" ht="11.1" customHeight="1" x14ac:dyDescent="0.25">
      <c r="B536" s="48"/>
      <c r="C536"/>
    </row>
    <row r="537" spans="2:3" ht="11.1" customHeight="1" x14ac:dyDescent="0.25">
      <c r="B537" s="48"/>
      <c r="C537"/>
    </row>
    <row r="538" spans="2:3" ht="11.1" customHeight="1" x14ac:dyDescent="0.25">
      <c r="B538" s="48"/>
      <c r="C538"/>
    </row>
    <row r="539" spans="2:3" ht="11.1" customHeight="1" x14ac:dyDescent="0.25">
      <c r="B539" s="48"/>
      <c r="C539"/>
    </row>
    <row r="540" spans="2:3" ht="11.1" customHeight="1" x14ac:dyDescent="0.25">
      <c r="B540" s="48"/>
      <c r="C540"/>
    </row>
    <row r="541" spans="2:3" ht="11.1" customHeight="1" x14ac:dyDescent="0.25">
      <c r="B541" s="48"/>
      <c r="C541"/>
    </row>
    <row r="542" spans="2:3" ht="11.1" customHeight="1" x14ac:dyDescent="0.25">
      <c r="B542" s="48"/>
      <c r="C542"/>
    </row>
    <row r="543" spans="2:3" ht="11.1" customHeight="1" x14ac:dyDescent="0.25">
      <c r="B543" s="48"/>
      <c r="C543"/>
    </row>
    <row r="544" spans="2:3" ht="11.1" customHeight="1" x14ac:dyDescent="0.25">
      <c r="B544" s="48"/>
      <c r="C544"/>
    </row>
    <row r="545" spans="2:3" ht="11.1" customHeight="1" x14ac:dyDescent="0.25">
      <c r="B545" s="48"/>
      <c r="C545"/>
    </row>
    <row r="546" spans="2:3" ht="11.1" customHeight="1" x14ac:dyDescent="0.25">
      <c r="B546" s="48"/>
      <c r="C546"/>
    </row>
    <row r="547" spans="2:3" ht="11.1" customHeight="1" x14ac:dyDescent="0.25">
      <c r="B547" s="48"/>
      <c r="C547"/>
    </row>
    <row r="548" spans="2:3" ht="11.1" customHeight="1" x14ac:dyDescent="0.25">
      <c r="B548" s="48"/>
      <c r="C548"/>
    </row>
    <row r="549" spans="2:3" ht="11.1" customHeight="1" x14ac:dyDescent="0.25">
      <c r="B549" s="48"/>
      <c r="C549"/>
    </row>
    <row r="550" spans="2:3" ht="11.1" customHeight="1" x14ac:dyDescent="0.25">
      <c r="B550" s="48"/>
      <c r="C550"/>
    </row>
    <row r="551" spans="2:3" ht="11.1" customHeight="1" x14ac:dyDescent="0.25">
      <c r="B551" s="48"/>
      <c r="C551"/>
    </row>
    <row r="552" spans="2:3" ht="11.1" customHeight="1" x14ac:dyDescent="0.25">
      <c r="B552" s="48"/>
      <c r="C552"/>
    </row>
    <row r="553" spans="2:3" ht="11.1" customHeight="1" x14ac:dyDescent="0.25">
      <c r="B553" s="48"/>
      <c r="C553"/>
    </row>
    <row r="554" spans="2:3" ht="11.1" customHeight="1" x14ac:dyDescent="0.25">
      <c r="B554" s="48"/>
      <c r="C554"/>
    </row>
    <row r="555" spans="2:3" ht="11.1" customHeight="1" x14ac:dyDescent="0.25">
      <c r="B555" s="48"/>
      <c r="C555"/>
    </row>
    <row r="556" spans="2:3" ht="11.1" customHeight="1" x14ac:dyDescent="0.25">
      <c r="B556" s="48"/>
      <c r="C556"/>
    </row>
    <row r="557" spans="2:3" ht="11.1" customHeight="1" x14ac:dyDescent="0.25">
      <c r="B557" s="48"/>
      <c r="C557"/>
    </row>
    <row r="558" spans="2:3" ht="11.1" customHeight="1" x14ac:dyDescent="0.25">
      <c r="B558" s="48"/>
      <c r="C558"/>
    </row>
    <row r="559" spans="2:3" ht="11.1" customHeight="1" x14ac:dyDescent="0.25">
      <c r="B559" s="48"/>
      <c r="C559"/>
    </row>
    <row r="560" spans="2:3" ht="11.1" customHeight="1" x14ac:dyDescent="0.25">
      <c r="B560" s="48"/>
      <c r="C560"/>
    </row>
    <row r="561" spans="2:3" ht="11.1" customHeight="1" x14ac:dyDescent="0.25">
      <c r="B561" s="48"/>
      <c r="C561"/>
    </row>
    <row r="562" spans="2:3" ht="11.1" customHeight="1" x14ac:dyDescent="0.25">
      <c r="B562" s="48"/>
      <c r="C562"/>
    </row>
    <row r="563" spans="2:3" ht="11.1" customHeight="1" x14ac:dyDescent="0.25">
      <c r="B563" s="48"/>
      <c r="C563"/>
    </row>
    <row r="564" spans="2:3" ht="11.1" customHeight="1" x14ac:dyDescent="0.25">
      <c r="B564" s="48"/>
      <c r="C564"/>
    </row>
    <row r="565" spans="2:3" ht="11.1" customHeight="1" x14ac:dyDescent="0.25">
      <c r="B565" s="48"/>
      <c r="C565"/>
    </row>
    <row r="566" spans="2:3" ht="11.1" customHeight="1" x14ac:dyDescent="0.25">
      <c r="B566" s="48"/>
      <c r="C566"/>
    </row>
    <row r="567" spans="2:3" ht="11.1" customHeight="1" x14ac:dyDescent="0.25">
      <c r="B567" s="48"/>
      <c r="C567"/>
    </row>
    <row r="568" spans="2:3" ht="11.1" customHeight="1" x14ac:dyDescent="0.25">
      <c r="B568" s="48"/>
      <c r="C568"/>
    </row>
    <row r="569" spans="2:3" ht="11.1" customHeight="1" x14ac:dyDescent="0.25">
      <c r="B569" s="48"/>
      <c r="C569"/>
    </row>
    <row r="570" spans="2:3" ht="11.1" customHeight="1" x14ac:dyDescent="0.25">
      <c r="B570" s="48"/>
      <c r="C570"/>
    </row>
    <row r="571" spans="2:3" ht="11.1" customHeight="1" x14ac:dyDescent="0.25">
      <c r="B571" s="48"/>
      <c r="C571"/>
    </row>
    <row r="572" spans="2:3" ht="11.1" customHeight="1" x14ac:dyDescent="0.25">
      <c r="B572" s="48"/>
      <c r="C572"/>
    </row>
    <row r="573" spans="2:3" ht="11.1" customHeight="1" x14ac:dyDescent="0.25">
      <c r="B573" s="48"/>
      <c r="C573"/>
    </row>
    <row r="574" spans="2:3" ht="11.1" customHeight="1" x14ac:dyDescent="0.25">
      <c r="B574" s="48"/>
      <c r="C574"/>
    </row>
    <row r="575" spans="2:3" ht="11.1" customHeight="1" x14ac:dyDescent="0.25">
      <c r="B575" s="48"/>
      <c r="C575"/>
    </row>
    <row r="576" spans="2:3" ht="11.1" customHeight="1" x14ac:dyDescent="0.25">
      <c r="B576" s="48"/>
      <c r="C576"/>
    </row>
    <row r="577" spans="2:3" ht="11.1" customHeight="1" x14ac:dyDescent="0.25">
      <c r="B577" s="48"/>
      <c r="C577"/>
    </row>
    <row r="578" spans="2:3" ht="11.1" customHeight="1" x14ac:dyDescent="0.25">
      <c r="B578" s="48"/>
      <c r="C578"/>
    </row>
    <row r="579" spans="2:3" ht="11.1" customHeight="1" x14ac:dyDescent="0.25">
      <c r="B579" s="48"/>
      <c r="C579"/>
    </row>
    <row r="580" spans="2:3" ht="11.1" customHeight="1" x14ac:dyDescent="0.25">
      <c r="B580" s="48"/>
      <c r="C580"/>
    </row>
    <row r="581" spans="2:3" ht="11.1" customHeight="1" x14ac:dyDescent="0.25">
      <c r="B581" s="48"/>
      <c r="C581"/>
    </row>
    <row r="582" spans="2:3" ht="11.1" customHeight="1" x14ac:dyDescent="0.25">
      <c r="B582" s="48"/>
      <c r="C582"/>
    </row>
    <row r="583" spans="2:3" ht="11.1" customHeight="1" x14ac:dyDescent="0.25">
      <c r="B583" s="48"/>
      <c r="C583"/>
    </row>
    <row r="584" spans="2:3" ht="11.1" customHeight="1" x14ac:dyDescent="0.25">
      <c r="B584" s="48"/>
      <c r="C584"/>
    </row>
    <row r="585" spans="2:3" ht="11.1" customHeight="1" x14ac:dyDescent="0.25">
      <c r="B585" s="48"/>
      <c r="C585"/>
    </row>
    <row r="586" spans="2:3" ht="11.1" customHeight="1" x14ac:dyDescent="0.25">
      <c r="B586" s="48"/>
      <c r="C586"/>
    </row>
    <row r="587" spans="2:3" ht="11.1" customHeight="1" x14ac:dyDescent="0.25">
      <c r="B587" s="48"/>
      <c r="C587"/>
    </row>
    <row r="588" spans="2:3" ht="11.1" customHeight="1" x14ac:dyDescent="0.25">
      <c r="B588" s="48"/>
      <c r="C588"/>
    </row>
    <row r="589" spans="2:3" ht="11.1" customHeight="1" x14ac:dyDescent="0.25">
      <c r="B589" s="48"/>
      <c r="C589"/>
    </row>
    <row r="590" spans="2:3" ht="11.1" customHeight="1" x14ac:dyDescent="0.25">
      <c r="B590" s="48"/>
      <c r="C590"/>
    </row>
    <row r="591" spans="2:3" ht="11.1" customHeight="1" x14ac:dyDescent="0.25">
      <c r="B591" s="48"/>
      <c r="C591"/>
    </row>
    <row r="592" spans="2:3" ht="11.1" customHeight="1" x14ac:dyDescent="0.25">
      <c r="B592" s="48"/>
      <c r="C592"/>
    </row>
    <row r="593" spans="2:3" ht="11.1" customHeight="1" x14ac:dyDescent="0.25">
      <c r="B593" s="48"/>
      <c r="C593"/>
    </row>
    <row r="594" spans="2:3" ht="11.1" customHeight="1" x14ac:dyDescent="0.25">
      <c r="B594" s="48"/>
      <c r="C594"/>
    </row>
    <row r="595" spans="2:3" ht="11.1" customHeight="1" x14ac:dyDescent="0.25">
      <c r="B595" s="48"/>
      <c r="C595"/>
    </row>
    <row r="596" spans="2:3" ht="11.1" customHeight="1" x14ac:dyDescent="0.25">
      <c r="B596" s="48"/>
      <c r="C596"/>
    </row>
    <row r="597" spans="2:3" ht="11.1" customHeight="1" x14ac:dyDescent="0.25">
      <c r="B597" s="48"/>
      <c r="C597"/>
    </row>
    <row r="598" spans="2:3" ht="11.1" customHeight="1" x14ac:dyDescent="0.25">
      <c r="B598" s="48"/>
      <c r="C598"/>
    </row>
    <row r="599" spans="2:3" ht="11.1" customHeight="1" x14ac:dyDescent="0.25">
      <c r="B599" s="48"/>
      <c r="C599"/>
    </row>
    <row r="600" spans="2:3" ht="11.1" customHeight="1" x14ac:dyDescent="0.25">
      <c r="B600" s="48"/>
      <c r="C600"/>
    </row>
    <row r="601" spans="2:3" ht="11.1" customHeight="1" x14ac:dyDescent="0.25">
      <c r="B601" s="48"/>
      <c r="C601"/>
    </row>
    <row r="602" spans="2:3" ht="11.1" customHeight="1" x14ac:dyDescent="0.25">
      <c r="B602" s="48"/>
      <c r="C602"/>
    </row>
    <row r="603" spans="2:3" ht="11.1" customHeight="1" x14ac:dyDescent="0.25">
      <c r="B603" s="48"/>
      <c r="C603"/>
    </row>
    <row r="604" spans="2:3" ht="11.1" customHeight="1" x14ac:dyDescent="0.25">
      <c r="B604" s="48"/>
      <c r="C604"/>
    </row>
    <row r="605" spans="2:3" ht="11.1" customHeight="1" x14ac:dyDescent="0.25">
      <c r="B605" s="48"/>
      <c r="C605"/>
    </row>
    <row r="606" spans="2:3" ht="11.1" customHeight="1" x14ac:dyDescent="0.25">
      <c r="B606" s="48"/>
      <c r="C606"/>
    </row>
    <row r="607" spans="2:3" ht="11.1" customHeight="1" x14ac:dyDescent="0.25">
      <c r="B607" s="48"/>
      <c r="C607"/>
    </row>
    <row r="608" spans="2:3" ht="11.1" customHeight="1" x14ac:dyDescent="0.25">
      <c r="B608" s="48"/>
      <c r="C608"/>
    </row>
    <row r="609" spans="2:3" ht="11.1" customHeight="1" x14ac:dyDescent="0.25">
      <c r="B609" s="48"/>
      <c r="C609"/>
    </row>
    <row r="610" spans="2:3" ht="11.1" customHeight="1" x14ac:dyDescent="0.25">
      <c r="B610" s="48"/>
      <c r="C610"/>
    </row>
    <row r="611" spans="2:3" ht="11.1" customHeight="1" x14ac:dyDescent="0.25">
      <c r="B611" s="48"/>
      <c r="C611"/>
    </row>
    <row r="612" spans="2:3" ht="11.1" customHeight="1" x14ac:dyDescent="0.25">
      <c r="B612" s="48"/>
      <c r="C612"/>
    </row>
    <row r="613" spans="2:3" ht="11.1" customHeight="1" x14ac:dyDescent="0.25">
      <c r="B613" s="48"/>
      <c r="C613"/>
    </row>
    <row r="614" spans="2:3" ht="11.1" customHeight="1" x14ac:dyDescent="0.25">
      <c r="B614" s="48"/>
      <c r="C614"/>
    </row>
    <row r="615" spans="2:3" ht="11.1" customHeight="1" x14ac:dyDescent="0.25">
      <c r="B615" s="48"/>
      <c r="C615"/>
    </row>
    <row r="616" spans="2:3" ht="11.1" customHeight="1" x14ac:dyDescent="0.25">
      <c r="B616" s="48"/>
      <c r="C616"/>
    </row>
    <row r="617" spans="2:3" ht="11.1" customHeight="1" x14ac:dyDescent="0.25">
      <c r="B617" s="48"/>
      <c r="C617"/>
    </row>
    <row r="618" spans="2:3" ht="11.1" customHeight="1" x14ac:dyDescent="0.25">
      <c r="B618" s="48"/>
      <c r="C618"/>
    </row>
    <row r="619" spans="2:3" ht="11.1" customHeight="1" x14ac:dyDescent="0.25">
      <c r="B619" s="48"/>
      <c r="C619"/>
    </row>
    <row r="620" spans="2:3" ht="11.1" customHeight="1" x14ac:dyDescent="0.25">
      <c r="B620" s="48"/>
      <c r="C620"/>
    </row>
    <row r="621" spans="2:3" ht="11.1" customHeight="1" x14ac:dyDescent="0.25">
      <c r="B621" s="48"/>
      <c r="C621"/>
    </row>
    <row r="622" spans="2:3" ht="11.1" customHeight="1" x14ac:dyDescent="0.25">
      <c r="B622" s="48"/>
      <c r="C622"/>
    </row>
    <row r="623" spans="2:3" ht="11.1" customHeight="1" x14ac:dyDescent="0.25">
      <c r="B623" s="48"/>
      <c r="C623"/>
    </row>
    <row r="624" spans="2:3" ht="11.1" customHeight="1" x14ac:dyDescent="0.25">
      <c r="B624" s="48"/>
      <c r="C624"/>
    </row>
    <row r="625" spans="2:3" ht="11.1" customHeight="1" x14ac:dyDescent="0.25">
      <c r="B625" s="48"/>
      <c r="C625"/>
    </row>
    <row r="626" spans="2:3" ht="11.1" customHeight="1" x14ac:dyDescent="0.25">
      <c r="B626" s="48"/>
      <c r="C626"/>
    </row>
    <row r="627" spans="2:3" ht="11.1" customHeight="1" x14ac:dyDescent="0.25">
      <c r="B627" s="48"/>
      <c r="C627"/>
    </row>
    <row r="628" spans="2:3" ht="11.1" customHeight="1" x14ac:dyDescent="0.25">
      <c r="B628" s="48"/>
      <c r="C628"/>
    </row>
    <row r="629" spans="2:3" ht="11.1" customHeight="1" x14ac:dyDescent="0.25">
      <c r="B629" s="48"/>
      <c r="C629"/>
    </row>
    <row r="630" spans="2:3" ht="11.1" customHeight="1" x14ac:dyDescent="0.25">
      <c r="B630" s="48"/>
      <c r="C630"/>
    </row>
    <row r="631" spans="2:3" ht="11.1" customHeight="1" x14ac:dyDescent="0.25">
      <c r="B631" s="48"/>
      <c r="C631"/>
    </row>
    <row r="632" spans="2:3" ht="11.1" customHeight="1" x14ac:dyDescent="0.25">
      <c r="B632" s="48"/>
      <c r="C632"/>
    </row>
    <row r="633" spans="2:3" ht="11.1" customHeight="1" x14ac:dyDescent="0.25">
      <c r="B633" s="48"/>
      <c r="C633"/>
    </row>
    <row r="634" spans="2:3" ht="11.1" customHeight="1" x14ac:dyDescent="0.25">
      <c r="B634" s="48"/>
      <c r="C634"/>
    </row>
    <row r="635" spans="2:3" ht="11.1" customHeight="1" x14ac:dyDescent="0.25">
      <c r="B635" s="48"/>
      <c r="C635"/>
    </row>
    <row r="636" spans="2:3" ht="11.1" customHeight="1" x14ac:dyDescent="0.25">
      <c r="B636" s="48"/>
      <c r="C636"/>
    </row>
    <row r="637" spans="2:3" ht="11.1" customHeight="1" x14ac:dyDescent="0.25">
      <c r="B637" s="48"/>
      <c r="C637"/>
    </row>
    <row r="638" spans="2:3" ht="11.1" customHeight="1" x14ac:dyDescent="0.25">
      <c r="B638" s="48"/>
      <c r="C638"/>
    </row>
    <row r="639" spans="2:3" ht="11.1" customHeight="1" x14ac:dyDescent="0.25">
      <c r="B639" s="48"/>
      <c r="C639"/>
    </row>
    <row r="640" spans="2:3" ht="11.1" customHeight="1" x14ac:dyDescent="0.25">
      <c r="B640" s="48"/>
      <c r="C640"/>
    </row>
    <row r="641" spans="2:3" ht="11.1" customHeight="1" x14ac:dyDescent="0.25">
      <c r="B641" s="48"/>
      <c r="C641"/>
    </row>
    <row r="642" spans="2:3" ht="11.1" customHeight="1" x14ac:dyDescent="0.25">
      <c r="B642" s="48"/>
      <c r="C642"/>
    </row>
    <row r="643" spans="2:3" ht="11.1" customHeight="1" x14ac:dyDescent="0.25">
      <c r="B643" s="48"/>
      <c r="C643"/>
    </row>
    <row r="644" spans="2:3" ht="11.1" customHeight="1" x14ac:dyDescent="0.25">
      <c r="B644" s="48"/>
      <c r="C644"/>
    </row>
    <row r="645" spans="2:3" ht="11.1" customHeight="1" x14ac:dyDescent="0.25">
      <c r="B645" s="48"/>
      <c r="C645"/>
    </row>
    <row r="646" spans="2:3" ht="11.1" customHeight="1" x14ac:dyDescent="0.25">
      <c r="B646" s="48"/>
      <c r="C646"/>
    </row>
    <row r="647" spans="2:3" ht="11.1" customHeight="1" x14ac:dyDescent="0.25">
      <c r="B647" s="48"/>
      <c r="C647"/>
    </row>
    <row r="648" spans="2:3" ht="11.1" customHeight="1" x14ac:dyDescent="0.25">
      <c r="B648" s="48"/>
      <c r="C648"/>
    </row>
    <row r="649" spans="2:3" ht="11.1" customHeight="1" x14ac:dyDescent="0.25">
      <c r="B649" s="48"/>
      <c r="C649"/>
    </row>
    <row r="650" spans="2:3" ht="11.1" customHeight="1" x14ac:dyDescent="0.25">
      <c r="B650" s="48"/>
      <c r="C650"/>
    </row>
    <row r="651" spans="2:3" ht="11.1" customHeight="1" x14ac:dyDescent="0.25">
      <c r="B651" s="48"/>
      <c r="C651"/>
    </row>
    <row r="652" spans="2:3" ht="11.1" customHeight="1" x14ac:dyDescent="0.25">
      <c r="B652" s="48"/>
      <c r="C652"/>
    </row>
    <row r="653" spans="2:3" ht="11.1" customHeight="1" x14ac:dyDescent="0.25">
      <c r="B653" s="48"/>
      <c r="C653"/>
    </row>
    <row r="654" spans="2:3" ht="11.1" customHeight="1" x14ac:dyDescent="0.25">
      <c r="B654" s="48"/>
      <c r="C654"/>
    </row>
    <row r="655" spans="2:3" ht="11.1" customHeight="1" x14ac:dyDescent="0.25">
      <c r="B655" s="48"/>
      <c r="C655"/>
    </row>
    <row r="656" spans="2:3" ht="11.1" customHeight="1" x14ac:dyDescent="0.25">
      <c r="B656" s="48"/>
      <c r="C656"/>
    </row>
    <row r="657" spans="2:3" ht="11.1" customHeight="1" x14ac:dyDescent="0.25">
      <c r="B657" s="48"/>
      <c r="C657"/>
    </row>
    <row r="658" spans="2:3" ht="11.1" customHeight="1" x14ac:dyDescent="0.25">
      <c r="B658" s="48"/>
      <c r="C658"/>
    </row>
    <row r="659" spans="2:3" ht="11.1" customHeight="1" x14ac:dyDescent="0.25">
      <c r="B659" s="48"/>
      <c r="C659"/>
    </row>
    <row r="660" spans="2:3" ht="11.1" customHeight="1" x14ac:dyDescent="0.25">
      <c r="B660" s="48"/>
      <c r="C660"/>
    </row>
    <row r="661" spans="2:3" ht="11.1" customHeight="1" x14ac:dyDescent="0.25">
      <c r="B661" s="48"/>
      <c r="C661"/>
    </row>
    <row r="662" spans="2:3" ht="11.1" customHeight="1" x14ac:dyDescent="0.25">
      <c r="B662" s="48"/>
      <c r="C662"/>
    </row>
    <row r="663" spans="2:3" ht="11.1" customHeight="1" x14ac:dyDescent="0.25">
      <c r="B663" s="48"/>
      <c r="C663"/>
    </row>
    <row r="664" spans="2:3" ht="11.1" customHeight="1" x14ac:dyDescent="0.25">
      <c r="B664" s="48"/>
      <c r="C664"/>
    </row>
    <row r="665" spans="2:3" ht="11.1" customHeight="1" x14ac:dyDescent="0.25">
      <c r="B665" s="48"/>
      <c r="C665"/>
    </row>
    <row r="666" spans="2:3" ht="11.1" customHeight="1" x14ac:dyDescent="0.25">
      <c r="B666" s="48"/>
      <c r="C666"/>
    </row>
    <row r="667" spans="2:3" ht="11.1" customHeight="1" x14ac:dyDescent="0.25">
      <c r="B667" s="48"/>
      <c r="C667"/>
    </row>
    <row r="668" spans="2:3" ht="11.1" customHeight="1" x14ac:dyDescent="0.25">
      <c r="B668" s="48"/>
      <c r="C668"/>
    </row>
    <row r="669" spans="2:3" ht="11.1" customHeight="1" x14ac:dyDescent="0.25">
      <c r="B669" s="48"/>
      <c r="C669"/>
    </row>
    <row r="670" spans="2:3" ht="11.1" customHeight="1" x14ac:dyDescent="0.25">
      <c r="B670" s="48"/>
      <c r="C670"/>
    </row>
    <row r="671" spans="2:3" ht="11.1" customHeight="1" x14ac:dyDescent="0.25">
      <c r="B671" s="48"/>
      <c r="C671"/>
    </row>
    <row r="672" spans="2:3" ht="11.1" customHeight="1" x14ac:dyDescent="0.25">
      <c r="B672" s="48"/>
      <c r="C672"/>
    </row>
    <row r="673" spans="2:3" ht="11.1" customHeight="1" x14ac:dyDescent="0.25">
      <c r="B673" s="48"/>
      <c r="C673"/>
    </row>
    <row r="674" spans="2:3" ht="11.1" customHeight="1" x14ac:dyDescent="0.25">
      <c r="B674" s="48"/>
      <c r="C674"/>
    </row>
    <row r="675" spans="2:3" ht="11.1" customHeight="1" x14ac:dyDescent="0.25">
      <c r="B675" s="48"/>
      <c r="C675"/>
    </row>
    <row r="676" spans="2:3" ht="11.1" customHeight="1" x14ac:dyDescent="0.25">
      <c r="B676" s="48"/>
      <c r="C676"/>
    </row>
    <row r="677" spans="2:3" ht="11.1" customHeight="1" x14ac:dyDescent="0.25">
      <c r="B677" s="48"/>
      <c r="C677"/>
    </row>
    <row r="678" spans="2:3" ht="11.1" customHeight="1" x14ac:dyDescent="0.25">
      <c r="B678" s="48"/>
      <c r="C678"/>
    </row>
    <row r="679" spans="2:3" ht="11.1" customHeight="1" x14ac:dyDescent="0.25">
      <c r="B679" s="48"/>
      <c r="C679"/>
    </row>
    <row r="680" spans="2:3" ht="11.1" customHeight="1" x14ac:dyDescent="0.25">
      <c r="B680" s="48"/>
      <c r="C680"/>
    </row>
    <row r="681" spans="2:3" ht="11.1" customHeight="1" x14ac:dyDescent="0.25">
      <c r="B681" s="48"/>
      <c r="C681"/>
    </row>
    <row r="682" spans="2:3" ht="11.1" customHeight="1" x14ac:dyDescent="0.25">
      <c r="B682" s="48"/>
      <c r="C682"/>
    </row>
    <row r="683" spans="2:3" ht="11.1" customHeight="1" x14ac:dyDescent="0.25">
      <c r="B683" s="48"/>
      <c r="C683"/>
    </row>
    <row r="684" spans="2:3" ht="11.1" customHeight="1" x14ac:dyDescent="0.25">
      <c r="B684" s="48"/>
      <c r="C684"/>
    </row>
    <row r="685" spans="2:3" ht="11.1" customHeight="1" x14ac:dyDescent="0.25">
      <c r="B685" s="48"/>
      <c r="C685"/>
    </row>
    <row r="686" spans="2:3" ht="11.1" customHeight="1" x14ac:dyDescent="0.25">
      <c r="B686" s="48"/>
      <c r="C686"/>
    </row>
    <row r="687" spans="2:3" ht="11.1" customHeight="1" x14ac:dyDescent="0.25">
      <c r="B687" s="48"/>
      <c r="C687"/>
    </row>
    <row r="688" spans="2:3" ht="11.1" customHeight="1" x14ac:dyDescent="0.25">
      <c r="B688" s="48"/>
      <c r="C688"/>
    </row>
    <row r="689" spans="2:3" ht="11.1" customHeight="1" x14ac:dyDescent="0.25">
      <c r="B689" s="48"/>
      <c r="C689"/>
    </row>
    <row r="690" spans="2:3" ht="11.1" customHeight="1" x14ac:dyDescent="0.25">
      <c r="B690" s="48"/>
      <c r="C690"/>
    </row>
    <row r="691" spans="2:3" ht="11.1" customHeight="1" x14ac:dyDescent="0.25">
      <c r="B691" s="48"/>
      <c r="C691"/>
    </row>
    <row r="692" spans="2:3" ht="11.1" customHeight="1" x14ac:dyDescent="0.25">
      <c r="B692" s="48"/>
      <c r="C692"/>
    </row>
    <row r="693" spans="2:3" ht="11.1" customHeight="1" x14ac:dyDescent="0.25">
      <c r="B693" s="48"/>
      <c r="C693"/>
    </row>
    <row r="694" spans="2:3" ht="11.1" customHeight="1" x14ac:dyDescent="0.25">
      <c r="B694" s="48"/>
      <c r="C694"/>
    </row>
    <row r="695" spans="2:3" ht="11.1" customHeight="1" x14ac:dyDescent="0.25">
      <c r="B695" s="48"/>
      <c r="C695"/>
    </row>
    <row r="696" spans="2:3" ht="11.1" customHeight="1" x14ac:dyDescent="0.25">
      <c r="B696" s="48"/>
      <c r="C696"/>
    </row>
    <row r="697" spans="2:3" ht="11.1" customHeight="1" x14ac:dyDescent="0.25">
      <c r="B697" s="48"/>
      <c r="C697"/>
    </row>
    <row r="698" spans="2:3" ht="11.1" customHeight="1" x14ac:dyDescent="0.25">
      <c r="B698" s="48"/>
      <c r="C698"/>
    </row>
    <row r="699" spans="2:3" ht="11.1" customHeight="1" x14ac:dyDescent="0.25">
      <c r="B699" s="48"/>
      <c r="C699"/>
    </row>
    <row r="700" spans="2:3" ht="11.1" customHeight="1" x14ac:dyDescent="0.25">
      <c r="B700" s="48"/>
      <c r="C700"/>
    </row>
    <row r="701" spans="2:3" ht="11.1" customHeight="1" x14ac:dyDescent="0.25">
      <c r="B701" s="48"/>
      <c r="C701"/>
    </row>
    <row r="702" spans="2:3" ht="11.1" customHeight="1" x14ac:dyDescent="0.25">
      <c r="B702" s="48"/>
      <c r="C702"/>
    </row>
    <row r="703" spans="2:3" ht="11.1" customHeight="1" x14ac:dyDescent="0.25">
      <c r="B703" s="48"/>
      <c r="C703"/>
    </row>
    <row r="704" spans="2:3" ht="11.1" customHeight="1" x14ac:dyDescent="0.25">
      <c r="B704" s="48"/>
      <c r="C704"/>
    </row>
    <row r="705" spans="2:3" ht="11.1" customHeight="1" x14ac:dyDescent="0.25">
      <c r="B705" s="48"/>
      <c r="C705"/>
    </row>
    <row r="706" spans="2:3" ht="11.1" customHeight="1" x14ac:dyDescent="0.25">
      <c r="B706" s="48"/>
      <c r="C706"/>
    </row>
    <row r="707" spans="2:3" ht="11.1" customHeight="1" x14ac:dyDescent="0.25">
      <c r="B707" s="48"/>
      <c r="C707"/>
    </row>
    <row r="708" spans="2:3" ht="11.1" customHeight="1" x14ac:dyDescent="0.25">
      <c r="B708" s="48"/>
      <c r="C708"/>
    </row>
    <row r="709" spans="2:3" ht="11.1" customHeight="1" x14ac:dyDescent="0.25">
      <c r="B709" s="48"/>
      <c r="C709"/>
    </row>
    <row r="710" spans="2:3" ht="11.1" customHeight="1" x14ac:dyDescent="0.25">
      <c r="B710" s="48"/>
      <c r="C710"/>
    </row>
    <row r="711" spans="2:3" ht="11.1" customHeight="1" x14ac:dyDescent="0.25">
      <c r="B711" s="48"/>
      <c r="C711"/>
    </row>
    <row r="712" spans="2:3" ht="11.1" customHeight="1" x14ac:dyDescent="0.25">
      <c r="B712" s="48"/>
      <c r="C712"/>
    </row>
    <row r="713" spans="2:3" ht="11.1" customHeight="1" x14ac:dyDescent="0.25">
      <c r="B713" s="48"/>
      <c r="C713"/>
    </row>
    <row r="714" spans="2:3" ht="11.1" customHeight="1" x14ac:dyDescent="0.25">
      <c r="B714" s="48"/>
      <c r="C714"/>
    </row>
    <row r="715" spans="2:3" ht="11.1" customHeight="1" x14ac:dyDescent="0.25">
      <c r="B715" s="48"/>
      <c r="C715"/>
    </row>
    <row r="716" spans="2:3" ht="11.1" customHeight="1" x14ac:dyDescent="0.25">
      <c r="B716" s="48"/>
      <c r="C716"/>
    </row>
    <row r="717" spans="2:3" ht="11.1" customHeight="1" x14ac:dyDescent="0.25">
      <c r="B717" s="48"/>
      <c r="C717"/>
    </row>
    <row r="718" spans="2:3" ht="11.1" customHeight="1" x14ac:dyDescent="0.25">
      <c r="B718" s="48"/>
      <c r="C718"/>
    </row>
    <row r="719" spans="2:3" ht="11.1" customHeight="1" x14ac:dyDescent="0.25">
      <c r="B719" s="48"/>
      <c r="C719"/>
    </row>
    <row r="720" spans="2:3" ht="11.1" customHeight="1" x14ac:dyDescent="0.25">
      <c r="B720" s="48"/>
      <c r="C720"/>
    </row>
    <row r="721" spans="2:3" ht="11.1" customHeight="1" x14ac:dyDescent="0.25">
      <c r="B721" s="48"/>
      <c r="C721"/>
    </row>
    <row r="722" spans="2:3" ht="11.1" customHeight="1" x14ac:dyDescent="0.25">
      <c r="B722" s="48"/>
      <c r="C722"/>
    </row>
    <row r="723" spans="2:3" ht="11.1" customHeight="1" x14ac:dyDescent="0.25">
      <c r="B723" s="48"/>
      <c r="C723"/>
    </row>
    <row r="724" spans="2:3" ht="11.1" customHeight="1" x14ac:dyDescent="0.25">
      <c r="B724" s="48"/>
      <c r="C724"/>
    </row>
    <row r="725" spans="2:3" ht="11.1" customHeight="1" x14ac:dyDescent="0.25">
      <c r="B725" s="48"/>
      <c r="C725"/>
    </row>
    <row r="726" spans="2:3" ht="11.1" customHeight="1" x14ac:dyDescent="0.25">
      <c r="B726" s="48"/>
      <c r="C726"/>
    </row>
    <row r="727" spans="2:3" ht="11.1" customHeight="1" x14ac:dyDescent="0.25">
      <c r="B727" s="48"/>
      <c r="C727"/>
    </row>
    <row r="728" spans="2:3" ht="11.1" customHeight="1" x14ac:dyDescent="0.25">
      <c r="B728" s="48"/>
      <c r="C728"/>
    </row>
    <row r="729" spans="2:3" ht="11.1" customHeight="1" x14ac:dyDescent="0.25">
      <c r="B729" s="48"/>
      <c r="C729"/>
    </row>
    <row r="730" spans="2:3" ht="11.1" customHeight="1" x14ac:dyDescent="0.25">
      <c r="B730" s="48"/>
      <c r="C730"/>
    </row>
    <row r="731" spans="2:3" ht="11.1" customHeight="1" x14ac:dyDescent="0.25">
      <c r="B731" s="48"/>
      <c r="C731"/>
    </row>
    <row r="732" spans="2:3" ht="11.1" customHeight="1" x14ac:dyDescent="0.25">
      <c r="B732" s="48"/>
      <c r="C732"/>
    </row>
    <row r="733" spans="2:3" ht="11.1" customHeight="1" x14ac:dyDescent="0.25">
      <c r="B733" s="48"/>
      <c r="C733"/>
    </row>
    <row r="734" spans="2:3" ht="11.1" customHeight="1" x14ac:dyDescent="0.25">
      <c r="B734" s="48"/>
      <c r="C734"/>
    </row>
    <row r="735" spans="2:3" ht="11.1" customHeight="1" x14ac:dyDescent="0.25">
      <c r="B735" s="48"/>
      <c r="C735"/>
    </row>
    <row r="736" spans="2:3" ht="11.1" customHeight="1" x14ac:dyDescent="0.25">
      <c r="B736" s="48"/>
      <c r="C736"/>
    </row>
    <row r="737" spans="2:3" ht="11.1" customHeight="1" x14ac:dyDescent="0.25">
      <c r="B737" s="48"/>
      <c r="C737"/>
    </row>
    <row r="738" spans="2:3" ht="11.1" customHeight="1" x14ac:dyDescent="0.25">
      <c r="B738" s="48"/>
      <c r="C738"/>
    </row>
    <row r="739" spans="2:3" ht="11.1" customHeight="1" x14ac:dyDescent="0.25">
      <c r="B739" s="48"/>
      <c r="C739"/>
    </row>
    <row r="740" spans="2:3" ht="11.1" customHeight="1" x14ac:dyDescent="0.25">
      <c r="B740" s="48"/>
      <c r="C740"/>
    </row>
    <row r="741" spans="2:3" ht="11.1" customHeight="1" x14ac:dyDescent="0.25">
      <c r="B741" s="48"/>
      <c r="C741"/>
    </row>
    <row r="742" spans="2:3" ht="11.1" customHeight="1" x14ac:dyDescent="0.25">
      <c r="B742" s="48"/>
      <c r="C742"/>
    </row>
    <row r="743" spans="2:3" ht="11.1" customHeight="1" x14ac:dyDescent="0.25">
      <c r="B743" s="48"/>
      <c r="C743"/>
    </row>
    <row r="744" spans="2:3" ht="11.1" customHeight="1" x14ac:dyDescent="0.25">
      <c r="B744" s="48"/>
      <c r="C744"/>
    </row>
    <row r="745" spans="2:3" ht="11.1" customHeight="1" x14ac:dyDescent="0.25">
      <c r="B745" s="48"/>
      <c r="C745"/>
    </row>
    <row r="746" spans="2:3" ht="11.1" customHeight="1" x14ac:dyDescent="0.25">
      <c r="B746" s="48"/>
      <c r="C746"/>
    </row>
    <row r="747" spans="2:3" ht="11.1" customHeight="1" x14ac:dyDescent="0.25">
      <c r="B747" s="48"/>
      <c r="C747"/>
    </row>
    <row r="748" spans="2:3" ht="11.1" customHeight="1" x14ac:dyDescent="0.25">
      <c r="B748" s="48"/>
      <c r="C748"/>
    </row>
    <row r="749" spans="2:3" ht="11.1" customHeight="1" x14ac:dyDescent="0.25">
      <c r="B749" s="48"/>
      <c r="C749"/>
    </row>
    <row r="750" spans="2:3" ht="11.1" customHeight="1" x14ac:dyDescent="0.25">
      <c r="B750" s="48"/>
      <c r="C750"/>
    </row>
    <row r="751" spans="2:3" ht="11.1" customHeight="1" x14ac:dyDescent="0.25">
      <c r="B751" s="48"/>
      <c r="C751"/>
    </row>
    <row r="752" spans="2:3" ht="11.1" customHeight="1" x14ac:dyDescent="0.25">
      <c r="B752" s="48"/>
      <c r="C752"/>
    </row>
    <row r="753" spans="2:3" ht="11.1" customHeight="1" x14ac:dyDescent="0.25">
      <c r="B753" s="48"/>
      <c r="C753"/>
    </row>
    <row r="754" spans="2:3" ht="11.1" customHeight="1" x14ac:dyDescent="0.25">
      <c r="B754" s="48"/>
      <c r="C754"/>
    </row>
    <row r="755" spans="2:3" ht="11.1" customHeight="1" x14ac:dyDescent="0.25">
      <c r="B755" s="48"/>
      <c r="C755"/>
    </row>
    <row r="756" spans="2:3" ht="11.1" customHeight="1" x14ac:dyDescent="0.25">
      <c r="B756" s="48"/>
      <c r="C756"/>
    </row>
    <row r="757" spans="2:3" ht="11.1" customHeight="1" x14ac:dyDescent="0.25">
      <c r="B757" s="48"/>
      <c r="C757"/>
    </row>
    <row r="758" spans="2:3" ht="11.1" customHeight="1" x14ac:dyDescent="0.25">
      <c r="B758" s="48"/>
      <c r="C758"/>
    </row>
    <row r="759" spans="2:3" ht="11.1" customHeight="1" x14ac:dyDescent="0.25">
      <c r="B759" s="48"/>
      <c r="C759"/>
    </row>
    <row r="760" spans="2:3" ht="11.1" customHeight="1" x14ac:dyDescent="0.25">
      <c r="B760" s="48"/>
      <c r="C760"/>
    </row>
    <row r="761" spans="2:3" ht="11.1" customHeight="1" x14ac:dyDescent="0.25">
      <c r="B761" s="48"/>
      <c r="C761"/>
    </row>
    <row r="762" spans="2:3" ht="11.1" customHeight="1" x14ac:dyDescent="0.25">
      <c r="B762" s="48"/>
      <c r="C762"/>
    </row>
    <row r="763" spans="2:3" ht="11.1" customHeight="1" x14ac:dyDescent="0.25">
      <c r="B763" s="48"/>
      <c r="C763"/>
    </row>
    <row r="764" spans="2:3" ht="11.1" customHeight="1" x14ac:dyDescent="0.25">
      <c r="B764" s="48"/>
      <c r="C764"/>
    </row>
    <row r="765" spans="2:3" ht="11.1" customHeight="1" x14ac:dyDescent="0.25">
      <c r="B765" s="48"/>
      <c r="C765"/>
    </row>
    <row r="766" spans="2:3" ht="11.1" customHeight="1" x14ac:dyDescent="0.25">
      <c r="B766" s="48"/>
      <c r="C766"/>
    </row>
    <row r="767" spans="2:3" ht="11.1" customHeight="1" x14ac:dyDescent="0.25">
      <c r="B767" s="48"/>
      <c r="C767"/>
    </row>
    <row r="768" spans="2:3" ht="11.1" customHeight="1" x14ac:dyDescent="0.25">
      <c r="B768" s="48"/>
      <c r="C768"/>
    </row>
    <row r="769" spans="2:3" ht="11.1" customHeight="1" x14ac:dyDescent="0.25">
      <c r="B769" s="48"/>
      <c r="C769"/>
    </row>
    <row r="770" spans="2:3" ht="11.1" customHeight="1" x14ac:dyDescent="0.25">
      <c r="B770" s="48"/>
      <c r="C770"/>
    </row>
    <row r="771" spans="2:3" ht="11.1" customHeight="1" x14ac:dyDescent="0.25">
      <c r="B771" s="48"/>
      <c r="C771"/>
    </row>
    <row r="772" spans="2:3" ht="11.1" customHeight="1" x14ac:dyDescent="0.25">
      <c r="B772" s="48"/>
      <c r="C772"/>
    </row>
    <row r="773" spans="2:3" ht="11.1" customHeight="1" x14ac:dyDescent="0.25">
      <c r="B773" s="48"/>
      <c r="C773"/>
    </row>
  </sheetData>
  <conditionalFormatting sqref="B87:B99731">
    <cfRule type="expression" dxfId="53" priority="1">
      <formula>MOD($A87,2)=1</formula>
    </cfRule>
    <cfRule type="expression" dxfId="52" priority="2">
      <formula>$B87=""</formula>
    </cfRule>
    <cfRule type="expression" dxfId="51" priority="3">
      <formula>$B87&gt;0</formula>
    </cfRule>
  </conditionalFormatting>
  <pageMargins left="0.7" right="0.7" top="0.75" bottom="0.75" header="0.3" footer="0.3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4513" r:id="rId4" name="Button 1">
              <controlPr defaultSize="0" print="0" autoFill="0" autoPict="0" macro="[0]!obnoviti_data">
                <anchor>
                  <from>
                    <xdr:col>1</xdr:col>
                    <xdr:colOff>47625</xdr:colOff>
                    <xdr:row>83</xdr:row>
                    <xdr:rowOff>9525</xdr:rowOff>
                  </from>
                  <to>
                    <xdr:col>4</xdr:col>
                    <xdr:colOff>85725</xdr:colOff>
                    <xdr:row>83</xdr:row>
                    <xdr:rowOff>180975</xdr:rowOff>
                  </to>
                </anchor>
              </controlPr>
            </control>
          </mc:Choice>
        </mc:AlternateContent>
      </controls>
    </mc:Choice>
  </mc:AlternateContent>
  <tableParts count="1">
    <tablePart r:id="rId5"/>
  </tableParts>
  <extLst>
    <ext xmlns:x14="http://schemas.microsoft.com/office/spreadsheetml/2009/9/main" uri="{A8765BA9-456A-4dab-B4F3-ACF838C121DE}">
      <x14:slicerList>
        <x14:slicer r:id="rId6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84683-AEB4-40E4-BABA-9654A4BC05AE}">
  <sheetPr codeName="Лист10"/>
  <dimension ref="A1:N143"/>
  <sheetViews>
    <sheetView zoomScaleNormal="100" workbookViewId="0">
      <selection activeCell="I100" sqref="I100"/>
    </sheetView>
  </sheetViews>
  <sheetFormatPr defaultRowHeight="11.1" customHeight="1" x14ac:dyDescent="0.25"/>
  <cols>
    <col min="1" max="1" width="2.7109375" style="93" customWidth="1"/>
    <col min="2" max="2" width="14.7109375" style="6" customWidth="1"/>
    <col min="3" max="14" width="10.7109375" style="16" customWidth="1"/>
    <col min="15" max="15" width="4" style="16" customWidth="1"/>
    <col min="16" max="16" width="9.140625" style="16"/>
    <col min="17" max="17" width="9.42578125" style="16" customWidth="1"/>
    <col min="18" max="18" width="9.140625" style="16"/>
    <col min="19" max="19" width="5.140625" style="16" customWidth="1"/>
    <col min="20" max="20" width="7.7109375" style="16" customWidth="1"/>
    <col min="21" max="16384" width="9.140625" style="16"/>
  </cols>
  <sheetData>
    <row r="1" spans="1:1" ht="11.1" customHeight="1" x14ac:dyDescent="0.25">
      <c r="A1" s="96">
        <f>COUNTA(B86:B99747)</f>
        <v>52</v>
      </c>
    </row>
    <row r="2" spans="1:1" ht="11.1" customHeight="1" x14ac:dyDescent="0.25">
      <c r="A2" s="96">
        <f>COUNT(D86:D99747)</f>
        <v>7</v>
      </c>
    </row>
    <row r="83" spans="1:14" ht="3.95" customHeight="1" x14ac:dyDescent="0.25"/>
    <row r="84" spans="1:14" ht="15" customHeight="1" x14ac:dyDescent="0.25">
      <c r="C84" s="119">
        <f>SUM(C87:C93)</f>
        <v>22</v>
      </c>
      <c r="D84" s="122">
        <f>SUM(D87:D93)</f>
        <v>31.380000000000003</v>
      </c>
      <c r="E84" s="120">
        <f>D84/C84</f>
        <v>1.4263636363636365</v>
      </c>
      <c r="F84" s="121">
        <f>AVERAGE(Таблица2[AFS])+(AVERAGE(Таблица2[AFS])*0.2)</f>
        <v>494.00826446280996</v>
      </c>
      <c r="G84" s="121">
        <f>M84/D84*100</f>
        <v>-8.8910133843212353</v>
      </c>
      <c r="H84" s="121">
        <f>COUNTIFS(Таблица2[WIN$],"&gt;0")/C84*100</f>
        <v>22.727272727272727</v>
      </c>
      <c r="I84" s="121">
        <f>IF((COUNTIFS(Таблица2[K],"k")+SUMIFS(Таблица2[R],Таблица2[K],"K"))/C84*100=0,"-",(COUNTIFS(Таблица2[K],"K")+SUMIFS(Таблица2[R],Таблица2[K],"k"))/C84*100)</f>
        <v>40.909090909090914</v>
      </c>
      <c r="J84" s="121" t="str">
        <f>IF((COUNTIFS(Таблица2[T],"t")+SUMIFS(Таблица2[R],Таблица2[T],"t"))/C84*100=0,"-",(COUNTIFS(Таблица2[T],"t")+SUMIFS(Таблица2[R],Таблица2[T],"t"))/C84*100)</f>
        <v>-</v>
      </c>
      <c r="K84" s="122">
        <f>SUM(K87:K93)</f>
        <v>6.66</v>
      </c>
      <c r="L84" s="122">
        <f>SUM(L87:L93)</f>
        <v>21.93</v>
      </c>
      <c r="M84" s="122">
        <f>SUM(M87:M93)</f>
        <v>-2.7900000000000036</v>
      </c>
      <c r="N84" s="122">
        <f>M84/C84</f>
        <v>-0.12681818181818197</v>
      </c>
    </row>
    <row r="85" spans="1:14" ht="3.95" customHeight="1" x14ac:dyDescent="0.25"/>
    <row r="86" spans="1:14" ht="11.1" customHeight="1" x14ac:dyDescent="0.25">
      <c r="A86" s="16"/>
      <c r="B86" s="81" t="s">
        <v>29</v>
      </c>
      <c r="C86" s="82" t="s">
        <v>28</v>
      </c>
      <c r="D86" s="83" t="s">
        <v>2</v>
      </c>
      <c r="E86" s="84" t="s">
        <v>20</v>
      </c>
      <c r="F86" s="85" t="s">
        <v>62</v>
      </c>
      <c r="G86" s="85" t="s">
        <v>21</v>
      </c>
      <c r="H86" s="85" t="s">
        <v>22</v>
      </c>
      <c r="I86" s="85" t="s">
        <v>68</v>
      </c>
      <c r="J86" s="86" t="s">
        <v>66</v>
      </c>
      <c r="K86" s="84" t="s">
        <v>6</v>
      </c>
      <c r="L86" s="84" t="s">
        <v>23</v>
      </c>
      <c r="M86" s="84" t="s">
        <v>27</v>
      </c>
      <c r="N86" s="84" t="s">
        <v>27</v>
      </c>
    </row>
    <row r="87" spans="1:14" ht="11.1" customHeight="1" x14ac:dyDescent="0.25">
      <c r="A87" s="6" t="s">
        <v>4</v>
      </c>
      <c r="B87" s="87" t="s">
        <v>31</v>
      </c>
      <c r="C87" s="87">
        <f>IF(COUNTIFS(Таблица2[Room],A87)+SUMIFS(Таблица2[R],Таблица2[Room],A87)=0,"-",COUNTIFS(Таблица2[Room],A87)+SUMIFS(Таблица2[R],Таблица2[Room],A87))</f>
        <v>4</v>
      </c>
      <c r="D87" s="88">
        <f>IF(SUMIFS(Таблица2[B$],Таблица2[Room],A87)=0,"-",SUMIFS(Таблица2[B$],Таблица2[Room],A87))</f>
        <v>4.4000000000000004</v>
      </c>
      <c r="E87" s="89">
        <f>IFERROR(D87/C87,"-")</f>
        <v>1.1000000000000001</v>
      </c>
      <c r="F87" s="90">
        <f>IFERROR(AVERAGEIFS(Таблица2[AFS],Таблица2[Room],A87)+AVERAGEIFS(Таблица2[AFS],Таблица2[Room],A87)*0.2,"-")</f>
        <v>1295.4545454545455</v>
      </c>
      <c r="G87" s="90">
        <f>IFERROR(M87/D87*100,"-")</f>
        <v>279.5454545454545</v>
      </c>
      <c r="H87" s="90">
        <f>IFERROR(COUNTIFS(Таблица2[Room],A87,Таблица2[WIN$],"&gt;0")/C87*100,"-")</f>
        <v>75</v>
      </c>
      <c r="I87" s="90">
        <f>IF(IFERROR((COUNTIFS(Таблица2[Room],A87,Таблица2[K],"K")+SUMIFS(Таблица2[R],Таблица2[Room],A87,Таблица2[K],"K"))/C87*100,"-")=0,"-",IFERROR((COUNTIFS(Таблица2[Room],A87,Таблица2[K],"K")+SUMIFS(Таблица2[R],Таблица2[Room],A87,Таблица2[K],"K"))/C87*100,"-"))</f>
        <v>25</v>
      </c>
      <c r="J87" s="90">
        <f>IF(IFERROR((COUNTIFS(Таблица2[Room],A87,Таблица2[T],"t")+SUMIFS(Таблица2[R],#REF!,A87,Таблица2[T],"t"))/C87*100,"-")=0,"-",IFERROR((COUNTIFS(Таблица2[Room],A87,Таблица2[T],"t")+SUMIFS(Таблица2[R],Таблица2[Room],A87,Таблица2[T],"t"))/C87*100,"-"))</f>
        <v>0</v>
      </c>
      <c r="K87" s="89" t="str">
        <f>IF(SUMIFS(Таблица2[KO$],Таблица2[Room],A87)=0,"-",SUMIFS(Таблица2[KO$],Таблица2[Room],A87))</f>
        <v>-</v>
      </c>
      <c r="L87" s="89">
        <f>IF(SUMIFS(Таблица2[WIN$],Таблица2[Room],A87)=0,"-",SUMIFS(Таблица2[WIN$],Таблица2[Room],A87))</f>
        <v>16.7</v>
      </c>
      <c r="M87" s="89">
        <f>IFERROR(IF(L87="-",0,L87)+IF(K87="-",0,K87)-D87,"-")</f>
        <v>12.299999999999999</v>
      </c>
      <c r="N87" s="89">
        <f>IFERROR(M87/C87,"-")</f>
        <v>3.0749999999999997</v>
      </c>
    </row>
    <row r="88" spans="1:14" ht="11.1" customHeight="1" x14ac:dyDescent="0.25">
      <c r="A88" s="6" t="s">
        <v>9</v>
      </c>
      <c r="B88" s="115" t="s">
        <v>30</v>
      </c>
      <c r="C88" s="115" t="str">
        <f>IF(COUNTIFS(Таблица2[Room],A88)+SUMIFS(Таблица2[R],Таблица2[Room],A88)=0,"-",COUNTIFS(Таблица2[Room],A88)+SUMIFS(Таблица2[R],Таблица2[Room],A88))</f>
        <v>-</v>
      </c>
      <c r="D88" s="28" t="str">
        <f>IF(SUMIFS(Таблица2[B$],Таблица2[Room],A88)=0,"-",SUMIFS(Таблица2[B$],Таблица2[Room],A88))</f>
        <v>-</v>
      </c>
      <c r="E88" s="116" t="str">
        <f t="shared" ref="E88:E93" si="0">IFERROR(D88/C88,"-")</f>
        <v>-</v>
      </c>
      <c r="F88" s="29" t="str">
        <f>IFERROR(AVERAGEIFS(Таблица2[AFS],Таблица2[Room],A88)+AVERAGEIFS(Таблица2[AFS],Таблица2[Room],A88)*0.2,"-")</f>
        <v>-</v>
      </c>
      <c r="G88" s="29" t="str">
        <f t="shared" ref="G88:G93" si="1">IFERROR(M88/D88*100,"-")</f>
        <v>-</v>
      </c>
      <c r="H88" s="29" t="str">
        <f>IFERROR(COUNTIFS(Таблица2[Room],A88,Таблица2[WIN$],"&gt;0")/C88*100,"-")</f>
        <v>-</v>
      </c>
      <c r="I88" s="29" t="str">
        <f>IF(IFERROR((COUNTIFS(Таблица2[Room],A88,Таблица2[K],"K")+SUMIFS(Таблица2[R],Таблица2[Room],A88,Таблица2[K],"K"))/C88*100,"-")=0,"-",IFERROR((COUNTIFS(Таблица2[Room],A88,Таблица2[K],"K")+SUMIFS(Таблица2[R],Таблица2[Room],A88,Таблица2[K],"K"))/C88*100,"-"))</f>
        <v>-</v>
      </c>
      <c r="J88" s="29" t="str">
        <f>IF(IFERROR((COUNTIFS(Таблица2[Room],A88,Таблица2[T],"t")+SUMIFS(Таблица2[R],#REF!,A88,Таблица2[T],"t"))/C88*100,"-")=0,"-",IFERROR((COUNTIFS(Таблица2[Room],A88,Таблица2[T],"t")+SUMIFS(Таблица2[R],Таблица2[Room],A88,Таблица2[T],"t"))/C88*100,"-"))</f>
        <v>-</v>
      </c>
      <c r="K88" s="116" t="str">
        <f>IF(SUMIFS(Таблица2[KO$],Таблица2[Room],A88)=0,"-",SUMIFS(Таблица2[KO$],Таблица2[Room],A88))</f>
        <v>-</v>
      </c>
      <c r="L88" s="116" t="str">
        <f>IF(SUMIFS(Таблица2[WIN$],Таблица2[Room],A88)=0,"-",SUMIFS(Таблица2[WIN$],Таблица2[Room],A88))</f>
        <v>-</v>
      </c>
      <c r="M88" s="116" t="str">
        <f t="shared" ref="M88:M93" si="2">IFERROR(IF(L88="-",0,L88)+IF(K88="-",0,K88)-D88,"-")</f>
        <v>-</v>
      </c>
      <c r="N88" s="116" t="str">
        <f t="shared" ref="N88:N93" si="3">IFERROR(M88/C88,"-")</f>
        <v>-</v>
      </c>
    </row>
    <row r="89" spans="1:14" ht="11.1" customHeight="1" x14ac:dyDescent="0.25">
      <c r="A89" s="6" t="s">
        <v>12</v>
      </c>
      <c r="B89" s="87" t="s">
        <v>32</v>
      </c>
      <c r="C89" s="87">
        <f>IF(COUNTIFS(Таблица2[Room],A89)+SUMIFS(Таблица2[R],Таблица2[Room],A89)=0,"-",COUNTIFS(Таблица2[Room],A89)+SUMIFS(Таблица2[R],Таблица2[Room],A89))</f>
        <v>5</v>
      </c>
      <c r="D89" s="88">
        <f>IF(SUMIFS(Таблица2[B$],Таблица2[Room],A89)=0,"-",SUMIFS(Таблица2[B$],Таблица2[Room],A89))</f>
        <v>7.5000000000000009</v>
      </c>
      <c r="E89" s="89">
        <f t="shared" si="0"/>
        <v>1.5000000000000002</v>
      </c>
      <c r="F89" s="90">
        <f>IFERROR(AVERAGEIFS(Таблица2[AFS],Таблица2[Room],A89)+AVERAGEIFS(Таблица2[AFS],Таблица2[Room],A89)*0.2,"-")</f>
        <v>294.5454545454545</v>
      </c>
      <c r="G89" s="90">
        <f t="shared" si="1"/>
        <v>-96.666666666666671</v>
      </c>
      <c r="H89" s="90">
        <f>IFERROR(COUNTIFS(Таблица2[Room],A89,Таблица2[WIN$],"&gt;0")/C89*100,"-")</f>
        <v>0</v>
      </c>
      <c r="I89" s="90">
        <f>IF(IFERROR((COUNTIFS(Таблица2[Room],A89,Таблица2[K],"K")+SUMIFS(Таблица2[R],Таблица2[Room],A89,Таблица2[K],"K"))/C89*100,"-")=0,"-",IFERROR((COUNTIFS(Таблица2[Room],A89,Таблица2[K],"K")+SUMIFS(Таблица2[R],Таблица2[Room],A89,Таблица2[K],"K"))/C89*100,"-"))</f>
        <v>20</v>
      </c>
      <c r="J89" s="90">
        <f>IF(IFERROR((COUNTIFS(Таблица2[Room],A89,Таблица2[T],"t")+SUMIFS(Таблица2[R],#REF!,A89,Таблица2[T],"t"))/C89*100,"-")=0,"-",IFERROR((COUNTIFS(Таблица2[Room],A89,Таблица2[T],"t")+SUMIFS(Таблица2[R],Таблица2[Room],A89,Таблица2[T],"t"))/C89*100,"-"))</f>
        <v>0</v>
      </c>
      <c r="K89" s="89">
        <f>IF(SUMIFS(Таблица2[KO$],Таблица2[Room],A89)=0,"-",SUMIFS(Таблица2[KO$],Таблица2[Room],A89))</f>
        <v>0.25</v>
      </c>
      <c r="L89" s="89" t="str">
        <f>IF(SUMIFS(Таблица2[WIN$],Таблица2[Room],A89)=0,"-",SUMIFS(Таблица2[WIN$],Таблица2[Room],A89))</f>
        <v>-</v>
      </c>
      <c r="M89" s="89">
        <f t="shared" si="2"/>
        <v>-7.2500000000000009</v>
      </c>
      <c r="N89" s="89">
        <f t="shared" si="3"/>
        <v>-1.4500000000000002</v>
      </c>
    </row>
    <row r="90" spans="1:14" ht="11.1" customHeight="1" x14ac:dyDescent="0.25">
      <c r="A90" s="6" t="s">
        <v>13</v>
      </c>
      <c r="B90" s="115" t="s">
        <v>33</v>
      </c>
      <c r="C90" s="115" t="str">
        <f>IF(COUNTIFS(Таблица2[Room],A90)+SUMIFS(Таблица2[R],Таблица2[Room],A90)=0,"-",COUNTIFS(Таблица2[Room],A90)+SUMIFS(Таблица2[R],Таблица2[Room],A90))</f>
        <v>-</v>
      </c>
      <c r="D90" s="28" t="str">
        <f>IF(SUMIFS(Таблица2[B$],Таблица2[Room],A90)=0,"-",SUMIFS(Таблица2[B$],Таблица2[Room],A90))</f>
        <v>-</v>
      </c>
      <c r="E90" s="116" t="str">
        <f t="shared" si="0"/>
        <v>-</v>
      </c>
      <c r="F90" s="29" t="str">
        <f>IFERROR(AVERAGEIFS(Таблица2[AFS],Таблица2[Room],A90)+AVERAGEIFS(Таблица2[AFS],Таблица2[Room],A90)*0.2,"-")</f>
        <v>-</v>
      </c>
      <c r="G90" s="29" t="str">
        <f t="shared" si="1"/>
        <v>-</v>
      </c>
      <c r="H90" s="29" t="str">
        <f>IFERROR(COUNTIFS(Таблица2[Room],A90,Таблица2[WIN$],"&gt;0")/C90*100,"-")</f>
        <v>-</v>
      </c>
      <c r="I90" s="29" t="str">
        <f>IF(IFERROR((COUNTIFS(Таблица2[Room],A90,Таблица2[K],"K")+SUMIFS(Таблица2[R],Таблица2[Room],A90,Таблица2[K],"K"))/C90*100,"-")=0,"-",IFERROR((COUNTIFS(Таблица2[Room],A90,Таблица2[K],"K")+SUMIFS(Таблица2[R],Таблица2[Room],A90,Таблица2[K],"K"))/C90*100,"-"))</f>
        <v>-</v>
      </c>
      <c r="J90" s="29" t="str">
        <f>IF(IFERROR((COUNTIFS(Таблица2[Room],A90,Таблица2[T],"t")+SUMIFS(Таблица2[R],#REF!,A90,Таблица2[T],"t"))/C90*100,"-")=0,"-",IFERROR((COUNTIFS(Таблица2[Room],A90,Таблица2[T],"t")+SUMIFS(Таблица2[R],Таблица2[Room],A90,Таблица2[T],"t"))/C90*100,"-"))</f>
        <v>-</v>
      </c>
      <c r="K90" s="116" t="str">
        <f>IF(SUMIFS(Таблица2[KO$],Таблица2[Room],A90)=0,"-",SUMIFS(Таблица2[KO$],Таблица2[Room],A90))</f>
        <v>-</v>
      </c>
      <c r="L90" s="116" t="str">
        <f>IF(SUMIFS(Таблица2[WIN$],Таблица2[Room],A90)=0,"-",SUMIFS(Таблица2[WIN$],Таблица2[Room],A90))</f>
        <v>-</v>
      </c>
      <c r="M90" s="116" t="str">
        <f t="shared" si="2"/>
        <v>-</v>
      </c>
      <c r="N90" s="116" t="str">
        <f t="shared" si="3"/>
        <v>-</v>
      </c>
    </row>
    <row r="91" spans="1:14" ht="11.1" customHeight="1" x14ac:dyDescent="0.25">
      <c r="A91" s="6" t="s">
        <v>10</v>
      </c>
      <c r="B91" s="87" t="s">
        <v>34</v>
      </c>
      <c r="C91" s="87">
        <f>IF(COUNTIFS(Таблица2[Room],A91)+SUMIFS(Таблица2[R],Таблица2[Room],A91)=0,"-",COUNTIFS(Таблица2[Room],A91)+SUMIFS(Таблица2[R],Таблица2[Room],A91))</f>
        <v>3</v>
      </c>
      <c r="D91" s="88">
        <f>IF(SUMIFS(Таблица2[B$],Таблица2[Room],A91)=0,"-",SUMIFS(Таблица2[B$],Таблица2[Room],A91))</f>
        <v>4.4800000000000004</v>
      </c>
      <c r="E91" s="89">
        <f t="shared" si="0"/>
        <v>1.4933333333333334</v>
      </c>
      <c r="F91" s="90">
        <f>IFERROR(AVERAGEIFS(Таблица2[AFS],Таблица2[Room],A91)+AVERAGEIFS(Таблица2[AFS],Таблица2[Room],A91)*0.2,"-")</f>
        <v>200</v>
      </c>
      <c r="G91" s="90">
        <f t="shared" si="1"/>
        <v>-100</v>
      </c>
      <c r="H91" s="90">
        <f>IFERROR(COUNTIFS(Таблица2[Room],A91,Таблица2[WIN$],"&gt;0")/C91*100,"-")</f>
        <v>0</v>
      </c>
      <c r="I91" s="90" t="str">
        <f>IF(IFERROR((COUNTIFS(Таблица2[Room],A91,Таблица2[K],"K")+SUMIFS(Таблица2[R],Таблица2[Room],A91,Таблица2[K],"K"))/C91*100,"-")=0,"-",IFERROR((COUNTIFS(Таблица2[Room],A91,Таблица2[K],"K")+SUMIFS(Таблица2[R],Таблица2[Room],A91,Таблица2[K],"K"))/C91*100,"-"))</f>
        <v>-</v>
      </c>
      <c r="J91" s="90">
        <f>IF(IFERROR((COUNTIFS(Таблица2[Room],A91,Таблица2[T],"t")+SUMIFS(Таблица2[R],#REF!,A91,Таблица2[T],"t"))/C91*100,"-")=0,"-",IFERROR((COUNTIFS(Таблица2[Room],A91,Таблица2[T],"t")+SUMIFS(Таблица2[R],Таблица2[Room],A91,Таблица2[T],"t"))/C91*100,"-"))</f>
        <v>0</v>
      </c>
      <c r="K91" s="89" t="str">
        <f>IF(SUMIFS(Таблица2[KO$],Таблица2[Room],A91)=0,"-",SUMIFS(Таблица2[KO$],Таблица2[Room],A91))</f>
        <v>-</v>
      </c>
      <c r="L91" s="89" t="str">
        <f>IF(SUMIFS(Таблица2[WIN$],Таблица2[Room],A91)=0,"-",SUMIFS(Таблица2[WIN$],Таблица2[Room],A91))</f>
        <v>-</v>
      </c>
      <c r="M91" s="89">
        <f t="shared" si="2"/>
        <v>-4.4800000000000004</v>
      </c>
      <c r="N91" s="89">
        <f t="shared" si="3"/>
        <v>-1.4933333333333334</v>
      </c>
    </row>
    <row r="92" spans="1:14" ht="11.1" customHeight="1" x14ac:dyDescent="0.25">
      <c r="A92" s="6" t="s">
        <v>11</v>
      </c>
      <c r="B92" s="115" t="s">
        <v>35</v>
      </c>
      <c r="C92" s="115">
        <f>IF(COUNTIFS(Таблица2[Room],A92)+SUMIFS(Таблица2[R],Таблица2[Room],A92)=0,"-",COUNTIFS(Таблица2[Room],A92)+SUMIFS(Таблица2[R],Таблица2[Room],A92))</f>
        <v>6</v>
      </c>
      <c r="D92" s="28">
        <f>IF(SUMIFS(Таблица2[B$],Таблица2[Room],A92)=0,"-",SUMIFS(Таблица2[B$],Таблица2[Room],A92))</f>
        <v>8.8000000000000007</v>
      </c>
      <c r="E92" s="116">
        <f t="shared" si="0"/>
        <v>1.4666666666666668</v>
      </c>
      <c r="F92" s="29">
        <f>IFERROR(AVERAGEIFS(Таблица2[AFS],Таблица2[Room],A92)+AVERAGEIFS(Таблица2[AFS],Таблица2[Room],A92)*0.2,"-")</f>
        <v>127.27272727272725</v>
      </c>
      <c r="G92" s="29">
        <f t="shared" si="1"/>
        <v>-70.227272727272734</v>
      </c>
      <c r="H92" s="29">
        <f>IFERROR(COUNTIFS(Таблица2[Room],A92,Таблица2[WIN$],"&gt;0")/C92*100,"-")</f>
        <v>16.666666666666664</v>
      </c>
      <c r="I92" s="29">
        <f>IF(IFERROR((COUNTIFS(Таблица2[Room],A92,Таблица2[K],"K")+SUMIFS(Таблица2[R],Таблица2[Room],A92,Таблица2[K],"K"))/C92*100,"-")=0,"-",IFERROR((COUNTIFS(Таблица2[Room],A92,Таблица2[K],"K")+SUMIFS(Таблица2[R],Таблица2[Room],A92,Таблица2[K],"K"))/C92*100,"-"))</f>
        <v>66.666666666666657</v>
      </c>
      <c r="J92" s="29">
        <f>IF(IFERROR((COUNTIFS(Таблица2[Room],A92,Таблица2[T],"t")+SUMIFS(Таблица2[R],#REF!,A92,Таблица2[T],"t"))/C92*100,"-")=0,"-",IFERROR((COUNTIFS(Таблица2[Room],A92,Таблица2[T],"t")+SUMIFS(Таблица2[R],Таблица2[Room],A92,Таблица2[T],"t"))/C92*100,"-"))</f>
        <v>0</v>
      </c>
      <c r="K92" s="116">
        <f>IF(SUMIFS(Таблица2[KO$],Таблица2[Room],A92)=0,"-",SUMIFS(Таблица2[KO$],Таблица2[Room],A92))</f>
        <v>1.37</v>
      </c>
      <c r="L92" s="116">
        <f>IF(SUMIFS(Таблица2[WIN$],Таблица2[Room],A92)=0,"-",SUMIFS(Таблица2[WIN$],Таблица2[Room],A92))</f>
        <v>1.25</v>
      </c>
      <c r="M92" s="116">
        <f t="shared" si="2"/>
        <v>-6.1800000000000006</v>
      </c>
      <c r="N92" s="116">
        <f t="shared" si="3"/>
        <v>-1.03</v>
      </c>
    </row>
    <row r="93" spans="1:14" ht="11.1" customHeight="1" x14ac:dyDescent="0.25">
      <c r="A93" s="6" t="s">
        <v>15</v>
      </c>
      <c r="B93" s="87" t="s">
        <v>36</v>
      </c>
      <c r="C93" s="87">
        <f>IF(COUNTIFS(Таблица2[Room],A93)+SUMIFS(Таблица2[R],Таблица2[Room],A93)=0,"-",COUNTIFS(Таблица2[Room],A93)+SUMIFS(Таблица2[R],Таблица2[Room],A93))</f>
        <v>4</v>
      </c>
      <c r="D93" s="88">
        <f>IF(SUMIFS(Таблица2[B$],Таблица2[Room],A93)=0,"-",SUMIFS(Таблица2[B$],Таблица2[Room],A93))</f>
        <v>6.2</v>
      </c>
      <c r="E93" s="89">
        <f t="shared" si="0"/>
        <v>1.55</v>
      </c>
      <c r="F93" s="90">
        <f>IFERROR(AVERAGEIFS(Таблица2[AFS],Таблица2[Room],A93)+AVERAGEIFS(Таблица2[AFS],Таблица2[Room],A93)*0.2,"-")</f>
        <v>712.5</v>
      </c>
      <c r="G93" s="90">
        <f t="shared" si="1"/>
        <v>45.483870967741922</v>
      </c>
      <c r="H93" s="90">
        <f>IFERROR(COUNTIFS(Таблица2[Room],A93,Таблица2[WIN$],"&gt;0")/C93*100,"-")</f>
        <v>25</v>
      </c>
      <c r="I93" s="90">
        <f>IF(IFERROR((COUNTIFS(Таблица2[Room],A93,Таблица2[K],"K")+SUMIFS(Таблица2[R],Таблица2[Room],A93,Таблица2[K],"K"))/C93*100,"-")=0,"-",IFERROR((COUNTIFS(Таблица2[Room],A93,Таблица2[K],"K")+SUMIFS(Таблица2[R],Таблица2[Room],A93,Таблица2[K],"K"))/C93*100,"-"))</f>
        <v>75</v>
      </c>
      <c r="J93" s="90">
        <f>IF(IFERROR((COUNTIFS(Таблица2[Room],A93,Таблица2[T],"t")+SUMIFS(Таблица2[R],#REF!,A93,Таблица2[T],"t"))/C93*100,"-")=0,"-",IFERROR((COUNTIFS(Таблица2[Room],A93,Таблица2[T],"t")+SUMIFS(Таблица2[R],Таблица2[Room],A93,Таблица2[T],"t"))/C93*100,"-"))</f>
        <v>0</v>
      </c>
      <c r="K93" s="89">
        <f>IF(SUMIFS(Таблица2[KO$],Таблица2[Room],A93)=0,"-",SUMIFS(Таблица2[KO$],Таблица2[Room],A93))</f>
        <v>5.04</v>
      </c>
      <c r="L93" s="89">
        <f>IF(SUMIFS(Таблица2[WIN$],Таблица2[Room],A93)=0,"-",SUMIFS(Таблица2[WIN$],Таблица2[Room],A93))</f>
        <v>3.98</v>
      </c>
      <c r="M93" s="89">
        <f t="shared" si="2"/>
        <v>2.8199999999999994</v>
      </c>
      <c r="N93" s="89">
        <f t="shared" si="3"/>
        <v>0.70499999999999985</v>
      </c>
    </row>
    <row r="94" spans="1:14" ht="11.1" customHeight="1" x14ac:dyDescent="0.25">
      <c r="A94" s="6"/>
      <c r="B94" s="3"/>
      <c r="C94" s="3"/>
      <c r="D94" s="22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1:14" ht="11.1" customHeight="1" x14ac:dyDescent="0.25">
      <c r="A95" s="6"/>
      <c r="B95" s="81" t="s">
        <v>29</v>
      </c>
      <c r="C95" s="82" t="s">
        <v>28</v>
      </c>
      <c r="D95" s="83" t="s">
        <v>2</v>
      </c>
      <c r="E95" s="84" t="s">
        <v>20</v>
      </c>
      <c r="F95" s="85" t="s">
        <v>62</v>
      </c>
      <c r="G95" s="85" t="s">
        <v>21</v>
      </c>
      <c r="H95" s="85" t="s">
        <v>22</v>
      </c>
      <c r="I95" s="85" t="s">
        <v>68</v>
      </c>
      <c r="J95" s="86" t="s">
        <v>66</v>
      </c>
      <c r="K95" s="84" t="s">
        <v>6</v>
      </c>
      <c r="L95" s="84" t="s">
        <v>23</v>
      </c>
      <c r="M95" s="84" t="s">
        <v>27</v>
      </c>
      <c r="N95" s="84" t="s">
        <v>27</v>
      </c>
    </row>
    <row r="96" spans="1:14" ht="11.1" customHeight="1" x14ac:dyDescent="0.25">
      <c r="A96" s="6">
        <v>1</v>
      </c>
      <c r="B96" s="87" t="s">
        <v>51</v>
      </c>
      <c r="C96" s="87">
        <f>IF(COUNTIFS(Таблица2[M],B96)+SUMIFS(Таблица2[R],Таблица2[M],B96)=0,"-",COUNTIFS(Таблица2[M],B96)+SUMIFS(Таблица2[R],Таблица2[M],B96))</f>
        <v>22</v>
      </c>
      <c r="D96" s="88">
        <f>IF(SUMIFS(Таблица2[B$],Таблица2[M],B96)=0,"-",SUMIFS(Таблица2[B$],Таблица2[M],B96))</f>
        <v>31.38000000000001</v>
      </c>
      <c r="E96" s="89">
        <f>IFERROR(D96/C96,"-")</f>
        <v>1.4263636363636367</v>
      </c>
      <c r="F96" s="90">
        <f>IFERROR(AVERAGEIFS(Таблица2[AFS],Таблица2[M],B96)+(AVERAGEIFS(Таблица2[AFS],Таблица2[M],B96)*0.2),"-")</f>
        <v>494.00826446280996</v>
      </c>
      <c r="G96" s="90">
        <f>IFERROR(M96/D96*100,"-")</f>
        <v>-8.8910133843212513</v>
      </c>
      <c r="H96" s="90">
        <f>IFERROR(COUNTIFS(Таблица2[M],B96,Таблица2[WIN$],"&gt;0")/C96*100,"-")</f>
        <v>22.727272727272727</v>
      </c>
      <c r="I96" s="90">
        <f>IF(IFERROR((COUNTIFS(Таблица2[M],B96,Таблица2[K],"k")+SUMIFS(Таблица2[R],Таблица2[M],B96,Таблица2[K],"k"))/C96*100,"-")=0,"-",IFERROR((COUNTIFS(Таблица2[M],B96,Таблица2[K],"k")+SUMIFS(Таблица2[R],Таблица2[M],B96,Таблица2[K],"k"))/C96*100,"-"))</f>
        <v>40.909090909090914</v>
      </c>
      <c r="J96" s="90" t="str">
        <f>IF(IFERROR((COUNTIFS(Таблица2[M],B96,Таблица2[T],"t")+SUMIFS(Таблица2[R],Таблица2[M],B96,Таблица2[T],"t"))/C96*100,"-")=0,"-",IFERROR((COUNTIFS(Таблица2[M],B96,Таблица2[T],"t")+SUMIFS(Таблица2[R],Таблица2[M],B96,Таблица2[T],"t"))/C96*100,"-"))</f>
        <v>-</v>
      </c>
      <c r="K96" s="88">
        <f>IF(SUMIFS(Таблица2[KO$],Таблица2[M],B96)=0,"-",SUMIFS(Таблица2[KO$],Таблица2[M],B96))</f>
        <v>6.66</v>
      </c>
      <c r="L96" s="88">
        <f>IF(SUMIFS(Таблица2[WIN$],Таблица2[M],B96)=0,"-",SUMIFS(Таблица2[WIN$],Таблица2[M],B96))</f>
        <v>21.93</v>
      </c>
      <c r="M96" s="88">
        <f>IFERROR(IF(L96="-",0,L96)+IF(K96="-",0,K96)-D96,"-")</f>
        <v>-2.7900000000000098</v>
      </c>
      <c r="N96" s="88">
        <f>IFERROR(M96/C96,"-")</f>
        <v>-0.12681818181818227</v>
      </c>
    </row>
    <row r="97" spans="1:14" ht="11.1" customHeight="1" x14ac:dyDescent="0.25">
      <c r="A97" s="6">
        <v>2</v>
      </c>
      <c r="B97" s="115" t="s">
        <v>52</v>
      </c>
      <c r="C97" s="115" t="str">
        <f>IF(COUNTIFS(Таблица2[M],B97)+SUMIFS(Таблица2[R],Таблица2[M],B97)=0,"-",COUNTIFS(Таблица2[M],B97)+SUMIFS(Таблица2[R],Таблица2[M],B97))</f>
        <v>-</v>
      </c>
      <c r="D97" s="28" t="str">
        <f>IF(SUMIFS(Таблица2[B$],Таблица2[M],B97)=0,"-",SUMIFS(Таблица2[B$],Таблица2[M],B97))</f>
        <v>-</v>
      </c>
      <c r="E97" s="116" t="str">
        <f t="shared" ref="E97:E107" si="4">IFERROR(D97/C97,"-")</f>
        <v>-</v>
      </c>
      <c r="F97" s="29" t="str">
        <f>IFERROR(AVERAGEIFS(Таблица2[AFS],Таблица2[M],B97)+(AVERAGEIFS(Таблица2[AFS],Таблица2[M],B97)*0.2),"-")</f>
        <v>-</v>
      </c>
      <c r="G97" s="29" t="str">
        <f t="shared" ref="G97:G107" si="5">IFERROR(M97/D97*100,"-")</f>
        <v>-</v>
      </c>
      <c r="H97" s="29" t="str">
        <f>IFERROR(COUNTIFS(Таблица2[M],B97,Таблица2[WIN$],"&gt;0")/C97*100,"-")</f>
        <v>-</v>
      </c>
      <c r="I97" s="29" t="str">
        <f>IF(IFERROR((COUNTIFS(Таблица2[M],B97,Таблица2[K],"k")+SUMIFS(Таблица2[R],Таблица2[M],B97,Таблица2[K],"k"))/C97*100,"-")=0,"-",IFERROR((COUNTIFS(Таблица2[M],B97,Таблица2[K],"k")+SUMIFS(Таблица2[R],Таблица2[M],B97,Таблица2[K],"k"))/C97*100,"-"))</f>
        <v>-</v>
      </c>
      <c r="J97" s="29" t="str">
        <f>IF(IFERROR((COUNTIFS(Таблица2[M],B97,Таблица2[T],"t")+SUMIFS(Таблица2[R],Таблица2[M],B97,Таблица2[T],"t"))/C97*100,"-")=0,"-",IFERROR((COUNTIFS(Таблица2[M],B97,Таблица2[T],"t")+SUMIFS(Таблица2[R],Таблица2[M],B97,Таблица2[T],"t"))/C97*100,"-"))</f>
        <v>-</v>
      </c>
      <c r="K97" s="28" t="str">
        <f>IF(SUMIFS(Таблица2[KO$],Таблица2[M],B97)=0,"-",SUMIFS(Таблица2[KO$],Таблица2[M],B97))</f>
        <v>-</v>
      </c>
      <c r="L97" s="28" t="str">
        <f>IF(SUMIFS(Таблица2[WIN$],Таблица2[M],B97)=0,"-",SUMIFS(Таблица2[WIN$],Таблица2[M],B97))</f>
        <v>-</v>
      </c>
      <c r="M97" s="28" t="str">
        <f t="shared" ref="M97:M107" si="6">IFERROR(IF(L97="-",0,L97)+IF(K97="-",0,K97)-D97,"-")</f>
        <v>-</v>
      </c>
      <c r="N97" s="28" t="str">
        <f t="shared" ref="N97:N107" si="7">IFERROR(M97/C97,"-")</f>
        <v>-</v>
      </c>
    </row>
    <row r="98" spans="1:14" ht="11.1" customHeight="1" x14ac:dyDescent="0.25">
      <c r="A98" s="6">
        <v>3</v>
      </c>
      <c r="B98" s="87" t="s">
        <v>53</v>
      </c>
      <c r="C98" s="87" t="str">
        <f>IF(COUNTIFS(Таблица2[M],B98)+SUMIFS(Таблица2[R],Таблица2[M],B98)=0,"-",COUNTIFS(Таблица2[M],B98)+SUMIFS(Таблица2[R],Таблица2[M],B98))</f>
        <v>-</v>
      </c>
      <c r="D98" s="88" t="str">
        <f>IF(SUMIFS(Таблица2[B$],Таблица2[M],B98)=0,"-",SUMIFS(Таблица2[B$],Таблица2[M],B98))</f>
        <v>-</v>
      </c>
      <c r="E98" s="89" t="str">
        <f t="shared" si="4"/>
        <v>-</v>
      </c>
      <c r="F98" s="90" t="str">
        <f>IFERROR(AVERAGEIFS(Таблица2[AFS],Таблица2[M],B98)+(AVERAGEIFS(Таблица2[AFS],Таблица2[M],B98)*0.2),"-")</f>
        <v>-</v>
      </c>
      <c r="G98" s="90" t="str">
        <f t="shared" si="5"/>
        <v>-</v>
      </c>
      <c r="H98" s="90" t="str">
        <f>IFERROR(COUNTIFS(Таблица2[M],B98,Таблица2[WIN$],"&gt;0")/C98*100,"-")</f>
        <v>-</v>
      </c>
      <c r="I98" s="90" t="str">
        <f>IF(IFERROR((COUNTIFS(Таблица2[M],B98,Таблица2[K],"k")+SUMIFS(Таблица2[R],Таблица2[M],B98,Таблица2[K],"k"))/C98*100,"-")=0,"-",IFERROR((COUNTIFS(Таблица2[M],B98,Таблица2[K],"k")+SUMIFS(Таблица2[R],Таблица2[M],B98,Таблица2[K],"k"))/C98*100,"-"))</f>
        <v>-</v>
      </c>
      <c r="J98" s="90" t="str">
        <f>IF(IFERROR((COUNTIFS(Таблица2[M],B98,Таблица2[T],"t")+SUMIFS(Таблица2[R],Таблица2[M],B98,Таблица2[T],"t"))/C98*100,"-")=0,"-",IFERROR((COUNTIFS(Таблица2[M],B98,Таблица2[T],"t")+SUMIFS(Таблица2[R],Таблица2[M],B98,Таблица2[T],"t"))/C98*100,"-"))</f>
        <v>-</v>
      </c>
      <c r="K98" s="88" t="str">
        <f>IF(SUMIFS(Таблица2[KO$],Таблица2[M],B98)=0,"-",SUMIFS(Таблица2[KO$],Таблица2[M],B98))</f>
        <v>-</v>
      </c>
      <c r="L98" s="88" t="str">
        <f>IF(SUMIFS(Таблица2[WIN$],Таблица2[M],B98)=0,"-",SUMIFS(Таблица2[WIN$],Таблица2[M],B98))</f>
        <v>-</v>
      </c>
      <c r="M98" s="88" t="str">
        <f t="shared" si="6"/>
        <v>-</v>
      </c>
      <c r="N98" s="88" t="str">
        <f t="shared" si="7"/>
        <v>-</v>
      </c>
    </row>
    <row r="99" spans="1:14" ht="11.1" customHeight="1" x14ac:dyDescent="0.25">
      <c r="A99" s="6">
        <v>4</v>
      </c>
      <c r="B99" s="115" t="s">
        <v>54</v>
      </c>
      <c r="C99" s="115" t="str">
        <f>IF(COUNTIFS(Таблица2[M],B99)+SUMIFS(Таблица2[R],Таблица2[M],B99)=0,"-",COUNTIFS(Таблица2[M],B99)+SUMIFS(Таблица2[R],Таблица2[M],B99))</f>
        <v>-</v>
      </c>
      <c r="D99" s="28" t="str">
        <f>IF(SUMIFS(Таблица2[B$],Таблица2[M],B99)=0,"-",SUMIFS(Таблица2[B$],Таблица2[M],B99))</f>
        <v>-</v>
      </c>
      <c r="E99" s="116" t="str">
        <f t="shared" si="4"/>
        <v>-</v>
      </c>
      <c r="F99" s="29" t="str">
        <f>IFERROR(AVERAGEIFS(Таблица2[AFS],Таблица2[M],B99)+(AVERAGEIFS(Таблица2[AFS],Таблица2[M],B99)*0.2),"-")</f>
        <v>-</v>
      </c>
      <c r="G99" s="29" t="str">
        <f t="shared" si="5"/>
        <v>-</v>
      </c>
      <c r="H99" s="29" t="str">
        <f>IFERROR(COUNTIFS(Таблица2[M],B99,Таблица2[WIN$],"&gt;0")/C99*100,"-")</f>
        <v>-</v>
      </c>
      <c r="I99" s="29" t="str">
        <f>IF(IFERROR((COUNTIFS(Таблица2[M],B99,Таблица2[K],"k")+SUMIFS(Таблица2[R],Таблица2[M],B99,Таблица2[K],"k"))/C99*100,"-")=0,"-",IFERROR((COUNTIFS(Таблица2[M],B99,Таблица2[K],"k")+SUMIFS(Таблица2[R],Таблица2[M],B99,Таблица2[K],"k"))/C99*100,"-"))</f>
        <v>-</v>
      </c>
      <c r="J99" s="29" t="str">
        <f>IF(IFERROR((COUNTIFS(Таблица2[M],B99,Таблица2[T],"t")+SUMIFS(Таблица2[R],Таблица2[M],B99,Таблица2[T],"t"))/C99*100,"-")=0,"-",IFERROR((COUNTIFS(Таблица2[M],B99,Таблица2[T],"t")+SUMIFS(Таблица2[R],Таблица2[M],B99,Таблица2[T],"t"))/C99*100,"-"))</f>
        <v>-</v>
      </c>
      <c r="K99" s="28" t="str">
        <f>IF(SUMIFS(Таблица2[KO$],Таблица2[M],B99)=0,"-",SUMIFS(Таблица2[KO$],Таблица2[M],B99))</f>
        <v>-</v>
      </c>
      <c r="L99" s="28" t="str">
        <f>IF(SUMIFS(Таблица2[WIN$],Таблица2[M],B99)=0,"-",SUMIFS(Таблица2[WIN$],Таблица2[M],B99))</f>
        <v>-</v>
      </c>
      <c r="M99" s="28" t="str">
        <f t="shared" si="6"/>
        <v>-</v>
      </c>
      <c r="N99" s="28" t="str">
        <f t="shared" si="7"/>
        <v>-</v>
      </c>
    </row>
    <row r="100" spans="1:14" ht="11.1" customHeight="1" x14ac:dyDescent="0.25">
      <c r="A100" s="6">
        <v>5</v>
      </c>
      <c r="B100" s="87" t="s">
        <v>55</v>
      </c>
      <c r="C100" s="87" t="str">
        <f>IF(COUNTIFS(Таблица2[M],B100)+SUMIFS(Таблица2[R],Таблица2[M],B100)=0,"-",COUNTIFS(Таблица2[M],B100)+SUMIFS(Таблица2[R],Таблица2[M],B100))</f>
        <v>-</v>
      </c>
      <c r="D100" s="88" t="str">
        <f>IF(SUMIFS(Таблица2[B$],Таблица2[M],B100)=0,"-",SUMIFS(Таблица2[B$],Таблица2[M],B100))</f>
        <v>-</v>
      </c>
      <c r="E100" s="89" t="str">
        <f t="shared" si="4"/>
        <v>-</v>
      </c>
      <c r="F100" s="90" t="str">
        <f>IFERROR(AVERAGEIFS(Таблица2[AFS],Таблица2[M],B100)+(AVERAGEIFS(Таблица2[AFS],Таблица2[M],B100)*0.2),"-")</f>
        <v>-</v>
      </c>
      <c r="G100" s="90" t="str">
        <f t="shared" si="5"/>
        <v>-</v>
      </c>
      <c r="H100" s="90" t="str">
        <f>IFERROR(COUNTIFS(Таблица2[M],B100,Таблица2[WIN$],"&gt;0")/C100*100,"-")</f>
        <v>-</v>
      </c>
      <c r="I100" s="90" t="str">
        <f>IF(IFERROR((COUNTIFS(Таблица2[M],B100,Таблица2[K],"k")+SUMIFS(Таблица2[R],Таблица2[M],B100,Таблица2[K],"k"))/C100*100,"-")=0,"-",IFERROR((COUNTIFS(Таблица2[M],B100,Таблица2[K],"k")+SUMIFS(Таблица2[R],Таблица2[M],B100,Таблица2[K],"k"))/C100*100,"-"))</f>
        <v>-</v>
      </c>
      <c r="J100" s="90" t="str">
        <f>IF(IFERROR((COUNTIFS(Таблица2[M],B100,Таблица2[T],"t")+SUMIFS(Таблица2[R],Таблица2[M],B100,Таблица2[T],"t"))/C100*100,"-")=0,"-",IFERROR((COUNTIFS(Таблица2[M],B100,Таблица2[T],"t")+SUMIFS(Таблица2[R],Таблица2[M],B100,Таблица2[T],"t"))/C100*100,"-"))</f>
        <v>-</v>
      </c>
      <c r="K100" s="88" t="str">
        <f>IF(SUMIFS(Таблица2[KO$],Таблица2[M],B100)=0,"-",SUMIFS(Таблица2[KO$],Таблица2[M],B100))</f>
        <v>-</v>
      </c>
      <c r="L100" s="88" t="str">
        <f>IF(SUMIFS(Таблица2[WIN$],Таблица2[M],B100)=0,"-",SUMIFS(Таблица2[WIN$],Таблица2[M],B100))</f>
        <v>-</v>
      </c>
      <c r="M100" s="88" t="str">
        <f t="shared" si="6"/>
        <v>-</v>
      </c>
      <c r="N100" s="88" t="str">
        <f t="shared" si="7"/>
        <v>-</v>
      </c>
    </row>
    <row r="101" spans="1:14" ht="11.1" customHeight="1" x14ac:dyDescent="0.25">
      <c r="A101" s="6">
        <v>6</v>
      </c>
      <c r="B101" s="115" t="s">
        <v>44</v>
      </c>
      <c r="C101" s="115" t="str">
        <f>IF(COUNTIFS(Таблица2[M],B101)+SUMIFS(Таблица2[R],Таблица2[M],B101)=0,"-",COUNTIFS(Таблица2[M],B101)+SUMIFS(Таблица2[R],Таблица2[M],B101))</f>
        <v>-</v>
      </c>
      <c r="D101" s="28" t="str">
        <f>IF(SUMIFS(Таблица2[B$],Таблица2[M],B101)=0,"-",SUMIFS(Таблица2[B$],Таблица2[M],B101))</f>
        <v>-</v>
      </c>
      <c r="E101" s="116" t="str">
        <f t="shared" si="4"/>
        <v>-</v>
      </c>
      <c r="F101" s="29" t="str">
        <f>IFERROR(AVERAGEIFS(Таблица2[AFS],Таблица2[M],B101)+(AVERAGEIFS(Таблица2[AFS],Таблица2[M],B101)*0.2),"-")</f>
        <v>-</v>
      </c>
      <c r="G101" s="29" t="str">
        <f t="shared" si="5"/>
        <v>-</v>
      </c>
      <c r="H101" s="29" t="str">
        <f>IFERROR(COUNTIFS(Таблица2[M],B101,Таблица2[WIN$],"&gt;0")/C101*100,"-")</f>
        <v>-</v>
      </c>
      <c r="I101" s="29" t="str">
        <f>IF(IFERROR((COUNTIFS(Таблица2[M],B101,Таблица2[K],"k")+SUMIFS(Таблица2[R],Таблица2[M],B101,Таблица2[K],"k"))/C101*100,"-")=0,"-",IFERROR((COUNTIFS(Таблица2[M],B101,Таблица2[K],"k")+SUMIFS(Таблица2[R],Таблица2[M],B101,Таблица2[K],"k"))/C101*100,"-"))</f>
        <v>-</v>
      </c>
      <c r="J101" s="29" t="str">
        <f>IF(IFERROR((COUNTIFS(Таблица2[M],B101,Таблица2[T],"t")+SUMIFS(Таблица2[R],Таблица2[M],B101,Таблица2[T],"t"))/C101*100,"-")=0,"-",IFERROR((COUNTIFS(Таблица2[M],B101,Таблица2[T],"t")+SUMIFS(Таблица2[R],Таблица2[M],B101,Таблица2[T],"t"))/C101*100,"-"))</f>
        <v>-</v>
      </c>
      <c r="K101" s="28" t="str">
        <f>IF(SUMIFS(Таблица2[KO$],Таблица2[M],B101)=0,"-",SUMIFS(Таблица2[KO$],Таблица2[M],B101))</f>
        <v>-</v>
      </c>
      <c r="L101" s="28" t="str">
        <f>IF(SUMIFS(Таблица2[WIN$],Таблица2[M],B101)=0,"-",SUMIFS(Таблица2[WIN$],Таблица2[M],B101))</f>
        <v>-</v>
      </c>
      <c r="M101" s="28" t="str">
        <f t="shared" si="6"/>
        <v>-</v>
      </c>
      <c r="N101" s="28" t="str">
        <f t="shared" si="7"/>
        <v>-</v>
      </c>
    </row>
    <row r="102" spans="1:14" ht="11.1" customHeight="1" x14ac:dyDescent="0.25">
      <c r="A102" s="6">
        <v>7</v>
      </c>
      <c r="B102" s="87" t="s">
        <v>45</v>
      </c>
      <c r="C102" s="87" t="str">
        <f>IF(COUNTIFS(Таблица2[M],B102)+SUMIFS(Таблица2[R],Таблица2[M],B102)=0,"-",COUNTIFS(Таблица2[M],B102)+SUMIFS(Таблица2[R],Таблица2[M],B102))</f>
        <v>-</v>
      </c>
      <c r="D102" s="88" t="str">
        <f>IF(SUMIFS(Таблица2[B$],Таблица2[M],B102)=0,"-",SUMIFS(Таблица2[B$],Таблица2[M],B102))</f>
        <v>-</v>
      </c>
      <c r="E102" s="89" t="str">
        <f t="shared" si="4"/>
        <v>-</v>
      </c>
      <c r="F102" s="90" t="str">
        <f>IFERROR(AVERAGEIFS(Таблица2[AFS],Таблица2[M],B102)+(AVERAGEIFS(Таблица2[AFS],Таблица2[M],B102)*0.2),"-")</f>
        <v>-</v>
      </c>
      <c r="G102" s="90" t="str">
        <f t="shared" si="5"/>
        <v>-</v>
      </c>
      <c r="H102" s="90" t="str">
        <f>IFERROR(COUNTIFS(Таблица2[M],B102,Таблица2[WIN$],"&gt;0")/C102*100,"-")</f>
        <v>-</v>
      </c>
      <c r="I102" s="90" t="str">
        <f>IF(IFERROR((COUNTIFS(Таблица2[M],B102,Таблица2[K],"k")+SUMIFS(Таблица2[R],Таблица2[M],B102,Таблица2[K],"k"))/C102*100,"-")=0,"-",IFERROR((COUNTIFS(Таблица2[M],B102,Таблица2[K],"k")+SUMIFS(Таблица2[R],Таблица2[M],B102,Таблица2[K],"k"))/C102*100,"-"))</f>
        <v>-</v>
      </c>
      <c r="J102" s="90" t="str">
        <f>IF(IFERROR((COUNTIFS(Таблица2[M],B102,Таблица2[T],"t")+SUMIFS(Таблица2[R],Таблица2[M],B102,Таблица2[T],"t"))/C102*100,"-")=0,"-",IFERROR((COUNTIFS(Таблица2[M],B102,Таблица2[T],"t")+SUMIFS(Таблица2[R],Таблица2[M],B102,Таблица2[T],"t"))/C102*100,"-"))</f>
        <v>-</v>
      </c>
      <c r="K102" s="88" t="str">
        <f>IF(SUMIFS(Таблица2[KO$],Таблица2[M],B102)=0,"-",SUMIFS(Таблица2[KO$],Таблица2[M],B102))</f>
        <v>-</v>
      </c>
      <c r="L102" s="88" t="str">
        <f>IF(SUMIFS(Таблица2[WIN$],Таблица2[M],B102)=0,"-",SUMIFS(Таблица2[WIN$],Таблица2[M],B102))</f>
        <v>-</v>
      </c>
      <c r="M102" s="88" t="str">
        <f t="shared" si="6"/>
        <v>-</v>
      </c>
      <c r="N102" s="88" t="str">
        <f t="shared" si="7"/>
        <v>-</v>
      </c>
    </row>
    <row r="103" spans="1:14" ht="11.1" customHeight="1" x14ac:dyDescent="0.25">
      <c r="A103" s="6">
        <v>8</v>
      </c>
      <c r="B103" s="115" t="s">
        <v>46</v>
      </c>
      <c r="C103" s="115" t="str">
        <f>IF(COUNTIFS(Таблица2[M],B103)+SUMIFS(Таблица2[R],Таблица2[M],B103)=0,"-",COUNTIFS(Таблица2[M],B103)+SUMIFS(Таблица2[R],Таблица2[M],B103))</f>
        <v>-</v>
      </c>
      <c r="D103" s="28" t="str">
        <f>IF(SUMIFS(Таблица2[B$],Таблица2[M],B103)=0,"-",SUMIFS(Таблица2[B$],Таблица2[M],B103))</f>
        <v>-</v>
      </c>
      <c r="E103" s="116" t="str">
        <f t="shared" si="4"/>
        <v>-</v>
      </c>
      <c r="F103" s="29" t="str">
        <f>IFERROR(AVERAGEIFS(Таблица2[AFS],Таблица2[M],B103)+(AVERAGEIFS(Таблица2[AFS],Таблица2[M],B103)*0.2),"-")</f>
        <v>-</v>
      </c>
      <c r="G103" s="29" t="str">
        <f t="shared" si="5"/>
        <v>-</v>
      </c>
      <c r="H103" s="29" t="str">
        <f>IFERROR(COUNTIFS(Таблица2[M],B103,Таблица2[WIN$],"&gt;0")/C103*100,"-")</f>
        <v>-</v>
      </c>
      <c r="I103" s="29" t="str">
        <f>IF(IFERROR((COUNTIFS(Таблица2[M],B103,Таблица2[K],"k")+SUMIFS(Таблица2[R],Таблица2[M],B103,Таблица2[K],"k"))/C103*100,"-")=0,"-",IFERROR((COUNTIFS(Таблица2[M],B103,Таблица2[K],"k")+SUMIFS(Таблица2[R],Таблица2[M],B103,Таблица2[K],"k"))/C103*100,"-"))</f>
        <v>-</v>
      </c>
      <c r="J103" s="29" t="str">
        <f>IF(IFERROR((COUNTIFS(Таблица2[M],B103,Таблица2[T],"t")+SUMIFS(Таблица2[R],Таблица2[M],B103,Таблица2[T],"t"))/C103*100,"-")=0,"-",IFERROR((COUNTIFS(Таблица2[M],B103,Таблица2[T],"t")+SUMIFS(Таблица2[R],Таблица2[M],B103,Таблица2[T],"t"))/C103*100,"-"))</f>
        <v>-</v>
      </c>
      <c r="K103" s="28" t="str">
        <f>IF(SUMIFS(Таблица2[KO$],Таблица2[M],B103)=0,"-",SUMIFS(Таблица2[KO$],Таблица2[M],B103))</f>
        <v>-</v>
      </c>
      <c r="L103" s="28" t="str">
        <f>IF(SUMIFS(Таблица2[WIN$],Таблица2[M],B103)=0,"-",SUMIFS(Таблица2[WIN$],Таблица2[M],B103))</f>
        <v>-</v>
      </c>
      <c r="M103" s="28" t="str">
        <f t="shared" si="6"/>
        <v>-</v>
      </c>
      <c r="N103" s="28" t="str">
        <f t="shared" si="7"/>
        <v>-</v>
      </c>
    </row>
    <row r="104" spans="1:14" ht="11.1" customHeight="1" x14ac:dyDescent="0.25">
      <c r="A104" s="6">
        <v>9</v>
      </c>
      <c r="B104" s="87" t="s">
        <v>47</v>
      </c>
      <c r="C104" s="87" t="str">
        <f>IF(COUNTIFS(Таблица2[M],B104)+SUMIFS(Таблица2[R],Таблица2[M],B104)=0,"-",COUNTIFS(Таблица2[M],B104)+SUMIFS(Таблица2[R],Таблица2[M],B104))</f>
        <v>-</v>
      </c>
      <c r="D104" s="88" t="str">
        <f>IF(SUMIFS(Таблица2[B$],Таблица2[M],B104)=0,"-",SUMIFS(Таблица2[B$],Таблица2[M],B104))</f>
        <v>-</v>
      </c>
      <c r="E104" s="89" t="str">
        <f t="shared" si="4"/>
        <v>-</v>
      </c>
      <c r="F104" s="90" t="str">
        <f>IFERROR(AVERAGEIFS(Таблица2[AFS],Таблица2[M],B104)+(AVERAGEIFS(Таблица2[AFS],Таблица2[M],B104)*0.2),"-")</f>
        <v>-</v>
      </c>
      <c r="G104" s="90" t="str">
        <f t="shared" si="5"/>
        <v>-</v>
      </c>
      <c r="H104" s="90" t="str">
        <f>IFERROR(COUNTIFS(Таблица2[M],B104,Таблица2[WIN$],"&gt;0")/C104*100,"-")</f>
        <v>-</v>
      </c>
      <c r="I104" s="90" t="str">
        <f>IF(IFERROR((COUNTIFS(Таблица2[M],B104,Таблица2[K],"k")+SUMIFS(Таблица2[R],Таблица2[M],B104,Таблица2[K],"k"))/C104*100,"-")=0,"-",IFERROR((COUNTIFS(Таблица2[M],B104,Таблица2[K],"k")+SUMIFS(Таблица2[R],Таблица2[M],B104,Таблица2[K],"k"))/C104*100,"-"))</f>
        <v>-</v>
      </c>
      <c r="J104" s="90" t="str">
        <f>IF(IFERROR((COUNTIFS(Таблица2[M],B104,Таблица2[T],"t")+SUMIFS(Таблица2[R],Таблица2[M],B104,Таблица2[T],"t"))/C104*100,"-")=0,"-",IFERROR((COUNTIFS(Таблица2[M],B104,Таблица2[T],"t")+SUMIFS(Таблица2[R],Таблица2[M],B104,Таблица2[T],"t"))/C104*100,"-"))</f>
        <v>-</v>
      </c>
      <c r="K104" s="88" t="str">
        <f>IF(SUMIFS(Таблица2[KO$],Таблица2[M],B104)=0,"-",SUMIFS(Таблица2[KO$],Таблица2[M],B104))</f>
        <v>-</v>
      </c>
      <c r="L104" s="88" t="str">
        <f>IF(SUMIFS(Таблица2[WIN$],Таблица2[M],B104)=0,"-",SUMIFS(Таблица2[WIN$],Таблица2[M],B104))</f>
        <v>-</v>
      </c>
      <c r="M104" s="88" t="str">
        <f t="shared" si="6"/>
        <v>-</v>
      </c>
      <c r="N104" s="88" t="str">
        <f t="shared" si="7"/>
        <v>-</v>
      </c>
    </row>
    <row r="105" spans="1:14" ht="11.1" customHeight="1" x14ac:dyDescent="0.25">
      <c r="A105" s="6">
        <v>10</v>
      </c>
      <c r="B105" s="115" t="s">
        <v>48</v>
      </c>
      <c r="C105" s="115" t="str">
        <f>IF(COUNTIFS(Таблица2[M],B105)+SUMIFS(Таблица2[R],Таблица2[M],B105)=0,"-",COUNTIFS(Таблица2[M],B105)+SUMIFS(Таблица2[R],Таблица2[M],B105))</f>
        <v>-</v>
      </c>
      <c r="D105" s="28" t="str">
        <f>IF(SUMIFS(Таблица2[B$],Таблица2[M],B105)=0,"-",SUMIFS(Таблица2[B$],Таблица2[M],B105))</f>
        <v>-</v>
      </c>
      <c r="E105" s="116" t="str">
        <f t="shared" si="4"/>
        <v>-</v>
      </c>
      <c r="F105" s="29" t="str">
        <f>IFERROR(AVERAGEIFS(Таблица2[AFS],Таблица2[M],B105)+(AVERAGEIFS(Таблица2[AFS],Таблица2[M],B105)*0.2),"-")</f>
        <v>-</v>
      </c>
      <c r="G105" s="29" t="str">
        <f t="shared" si="5"/>
        <v>-</v>
      </c>
      <c r="H105" s="29" t="str">
        <f>IFERROR(COUNTIFS(Таблица2[M],B105,Таблица2[WIN$],"&gt;0")/C105*100,"-")</f>
        <v>-</v>
      </c>
      <c r="I105" s="29" t="str">
        <f>IF(IFERROR((COUNTIFS(Таблица2[M],B105,Таблица2[K],"k")+SUMIFS(Таблица2[R],Таблица2[M],B105,Таблица2[K],"k"))/C105*100,"-")=0,"-",IFERROR((COUNTIFS(Таблица2[M],B105,Таблица2[K],"k")+SUMIFS(Таблица2[R],Таблица2[M],B105,Таблица2[K],"k"))/C105*100,"-"))</f>
        <v>-</v>
      </c>
      <c r="J105" s="29" t="str">
        <f>IF(IFERROR((COUNTIFS(Таблица2[M],B105,Таблица2[T],"t")+SUMIFS(Таблица2[R],Таблица2[M],B105,Таблица2[T],"t"))/C105*100,"-")=0,"-",IFERROR((COUNTIFS(Таблица2[M],B105,Таблица2[T],"t")+SUMIFS(Таблица2[R],Таблица2[M],B105,Таблица2[T],"t"))/C105*100,"-"))</f>
        <v>-</v>
      </c>
      <c r="K105" s="28" t="str">
        <f>IF(SUMIFS(Таблица2[KO$],Таблица2[M],B105)=0,"-",SUMIFS(Таблица2[KO$],Таблица2[M],B105))</f>
        <v>-</v>
      </c>
      <c r="L105" s="28" t="str">
        <f>IF(SUMIFS(Таблица2[WIN$],Таблица2[M],B105)=0,"-",SUMIFS(Таблица2[WIN$],Таблица2[M],B105))</f>
        <v>-</v>
      </c>
      <c r="M105" s="28" t="str">
        <f t="shared" si="6"/>
        <v>-</v>
      </c>
      <c r="N105" s="28" t="str">
        <f t="shared" si="7"/>
        <v>-</v>
      </c>
    </row>
    <row r="106" spans="1:14" ht="11.1" customHeight="1" x14ac:dyDescent="0.25">
      <c r="A106" s="6">
        <v>11</v>
      </c>
      <c r="B106" s="87" t="s">
        <v>49</v>
      </c>
      <c r="C106" s="87" t="str">
        <f>IF(COUNTIFS(Таблица2[M],B106)+SUMIFS(Таблица2[R],Таблица2[M],B106)=0,"-",COUNTIFS(Таблица2[M],B106)+SUMIFS(Таблица2[R],Таблица2[M],B106))</f>
        <v>-</v>
      </c>
      <c r="D106" s="88" t="str">
        <f>IF(SUMIFS(Таблица2[B$],Таблица2[M],B106)=0,"-",SUMIFS(Таблица2[B$],Таблица2[M],B106))</f>
        <v>-</v>
      </c>
      <c r="E106" s="89" t="str">
        <f t="shared" si="4"/>
        <v>-</v>
      </c>
      <c r="F106" s="90" t="str">
        <f>IFERROR(AVERAGEIFS(Таблица2[AFS],Таблица2[M],B106)+(AVERAGEIFS(Таблица2[AFS],Таблица2[M],B106)*0.2),"-")</f>
        <v>-</v>
      </c>
      <c r="G106" s="90" t="str">
        <f t="shared" si="5"/>
        <v>-</v>
      </c>
      <c r="H106" s="90" t="str">
        <f>IFERROR(COUNTIFS(Таблица2[M],B106,Таблица2[WIN$],"&gt;0")/C106*100,"-")</f>
        <v>-</v>
      </c>
      <c r="I106" s="90" t="str">
        <f>IF(IFERROR((COUNTIFS(Таблица2[M],B106,Таблица2[K],"k")+SUMIFS(Таблица2[R],Таблица2[M],B106,Таблица2[K],"k"))/C106*100,"-")=0,"-",IFERROR((COUNTIFS(Таблица2[M],B106,Таблица2[K],"k")+SUMIFS(Таблица2[R],Таблица2[M],B106,Таблица2[K],"k"))/C106*100,"-"))</f>
        <v>-</v>
      </c>
      <c r="J106" s="90" t="str">
        <f>IF(IFERROR((COUNTIFS(Таблица2[M],B106,Таблица2[T],"t")+SUMIFS(Таблица2[R],Таблица2[M],B106,Таблица2[T],"t"))/C106*100,"-")=0,"-",IFERROR((COUNTIFS(Таблица2[M],B106,Таблица2[T],"t")+SUMIFS(Таблица2[R],Таблица2[M],B106,Таблица2[T],"t"))/C106*100,"-"))</f>
        <v>-</v>
      </c>
      <c r="K106" s="88" t="str">
        <f>IF(SUMIFS(Таблица2[KO$],Таблица2[M],B106)=0,"-",SUMIFS(Таблица2[KO$],Таблица2[M],B106))</f>
        <v>-</v>
      </c>
      <c r="L106" s="88" t="str">
        <f>IF(SUMIFS(Таблица2[WIN$],Таблица2[M],B106)=0,"-",SUMIFS(Таблица2[WIN$],Таблица2[M],B106))</f>
        <v>-</v>
      </c>
      <c r="M106" s="88" t="str">
        <f t="shared" si="6"/>
        <v>-</v>
      </c>
      <c r="N106" s="88" t="str">
        <f t="shared" si="7"/>
        <v>-</v>
      </c>
    </row>
    <row r="107" spans="1:14" ht="11.1" customHeight="1" x14ac:dyDescent="0.25">
      <c r="A107" s="6">
        <v>12</v>
      </c>
      <c r="B107" s="115" t="s">
        <v>50</v>
      </c>
      <c r="C107" s="115" t="str">
        <f>IF(COUNTIFS(Таблица2[M],B107)+SUMIFS(Таблица2[R],Таблица2[M],B107)=0,"-",COUNTIFS(Таблица2[M],B107)+SUMIFS(Таблица2[R],Таблица2[M],B107))</f>
        <v>-</v>
      </c>
      <c r="D107" s="28" t="str">
        <f>IF(SUMIFS(Таблица2[B$],Таблица2[M],B107)=0,"-",SUMIFS(Таблица2[B$],Таблица2[M],B107))</f>
        <v>-</v>
      </c>
      <c r="E107" s="116" t="str">
        <f t="shared" si="4"/>
        <v>-</v>
      </c>
      <c r="F107" s="29" t="str">
        <f>IFERROR(AVERAGEIFS(Таблица2[AFS],Таблица2[M],B107)+(AVERAGEIFS(Таблица2[AFS],Таблица2[M],B107)*0.2),"-")</f>
        <v>-</v>
      </c>
      <c r="G107" s="29" t="str">
        <f t="shared" si="5"/>
        <v>-</v>
      </c>
      <c r="H107" s="29" t="str">
        <f>IFERROR(COUNTIFS(Таблица2[M],B107,Таблица2[WIN$],"&gt;0")/C107*100,"-")</f>
        <v>-</v>
      </c>
      <c r="I107" s="29" t="str">
        <f>IF(IFERROR((COUNTIFS(Таблица2[M],B107,Таблица2[K],"k")+SUMIFS(Таблица2[R],Таблица2[M],B107,Таблица2[K],"k"))/C107*100,"-")=0,"-",IFERROR((COUNTIFS(Таблица2[M],B107,Таблица2[K],"k")+SUMIFS(Таблица2[R],Таблица2[M],B107,Таблица2[K],"k"))/C107*100,"-"))</f>
        <v>-</v>
      </c>
      <c r="J107" s="29" t="str">
        <f>IF(IFERROR((COUNTIFS(Таблица2[M],B107,Таблица2[T],"t")+SUMIFS(Таблица2[R],Таблица2[M],B107,Таблица2[T],"t"))/C107*100,"-")=0,"-",IFERROR((COUNTIFS(Таблица2[M],B107,Таблица2[T],"t")+SUMIFS(Таблица2[R],Таблица2[M],B107,Таблица2[T],"t"))/C107*100,"-"))</f>
        <v>-</v>
      </c>
      <c r="K107" s="28" t="str">
        <f>IF(SUMIFS(Таблица2[KO$],Таблица2[M],B107)=0,"-",SUMIFS(Таблица2[KO$],Таблица2[M],B107))</f>
        <v>-</v>
      </c>
      <c r="L107" s="28" t="str">
        <f>IF(SUMIFS(Таблица2[WIN$],Таблица2[M],B107)=0,"-",SUMIFS(Таблица2[WIN$],Таблица2[M],B107))</f>
        <v>-</v>
      </c>
      <c r="M107" s="28" t="str">
        <f t="shared" si="6"/>
        <v>-</v>
      </c>
      <c r="N107" s="28" t="str">
        <f t="shared" si="7"/>
        <v>-</v>
      </c>
    </row>
    <row r="108" spans="1:14" ht="11.1" customHeight="1" x14ac:dyDescent="0.25">
      <c r="A108" s="6"/>
      <c r="B108" s="3"/>
      <c r="C108" s="3"/>
      <c r="D108" s="22"/>
      <c r="E108" s="2"/>
      <c r="F108" s="30"/>
      <c r="G108" s="30"/>
      <c r="H108" s="30"/>
      <c r="I108" s="30"/>
      <c r="J108" s="30"/>
      <c r="K108" s="22"/>
      <c r="L108" s="22"/>
      <c r="M108" s="22"/>
      <c r="N108" s="22"/>
    </row>
    <row r="109" spans="1:14" ht="11.1" customHeight="1" x14ac:dyDescent="0.25">
      <c r="A109" s="6"/>
      <c r="B109" s="81" t="s">
        <v>29</v>
      </c>
      <c r="C109" s="82" t="s">
        <v>28</v>
      </c>
      <c r="D109" s="83" t="s">
        <v>2</v>
      </c>
      <c r="E109" s="84" t="s">
        <v>20</v>
      </c>
      <c r="F109" s="85" t="s">
        <v>62</v>
      </c>
      <c r="G109" s="85" t="s">
        <v>21</v>
      </c>
      <c r="H109" s="85" t="s">
        <v>22</v>
      </c>
      <c r="I109" s="85" t="s">
        <v>68</v>
      </c>
      <c r="J109" s="86" t="s">
        <v>66</v>
      </c>
      <c r="K109" s="84" t="s">
        <v>6</v>
      </c>
      <c r="L109" s="84" t="s">
        <v>23</v>
      </c>
      <c r="M109" s="84" t="s">
        <v>27</v>
      </c>
      <c r="N109" s="84" t="s">
        <v>27</v>
      </c>
    </row>
    <row r="110" spans="1:14" ht="11.1" customHeight="1" x14ac:dyDescent="0.25">
      <c r="A110" s="6"/>
      <c r="B110" s="87" t="s">
        <v>37</v>
      </c>
      <c r="C110" s="87" t="str">
        <f>IF(COUNTIFS(Таблица2[DN],B110)+SUMIFS(Таблица2[R],Таблица2[DN],B110)=0,"-",COUNTIFS(Таблица2[DN],B110)+SUMIFS(Таблица2[R],Таблица2[DN],B110))</f>
        <v>-</v>
      </c>
      <c r="D110" s="88" t="str">
        <f>IF(SUMIFS(Таблица2[B$],Таблица2[DN],B110)=0,"-",SUMIFS(Таблица2[B$],Таблица2[DN],B110))</f>
        <v>-</v>
      </c>
      <c r="E110" s="89" t="str">
        <f>IFERROR(D110/C110,"-")</f>
        <v>-</v>
      </c>
      <c r="F110" s="90" t="str">
        <f>IFERROR(AVERAGEIFS(Таблица2[AFS],Таблица2[DN],B110)+(AVERAGEIFS(Таблица2[AFS],Таблица2[DN],B110)*0.2),"-")</f>
        <v>-</v>
      </c>
      <c r="G110" s="90" t="str">
        <f>IFERROR(M110/D110*100,"-")</f>
        <v>-</v>
      </c>
      <c r="H110" s="90" t="str">
        <f>IFERROR(COUNTIFS(Таблица2[DN],B110,Таблица2[WIN$],"&gt;0")/C110*100,"-")</f>
        <v>-</v>
      </c>
      <c r="I110" s="90" t="str">
        <f>IF(IFERROR((COUNTIFS(Таблица2[DN],B110,Таблица2[K],"k")+SUMIFS(Таблица2[R],Таблица2[DN],B110,Таблица2[K],"k"))/C110*100,"-")=0,"-",IFERROR((COUNTIFS(Таблица2[DN],B110,Таблица2[K],"k")+SUMIFS(Таблица2[R],Таблица2[DN],B110,Таблица2[K],"k"))/C110*100,"-"))</f>
        <v>-</v>
      </c>
      <c r="J110" s="90" t="str">
        <f>IF(IFERROR((COUNTIFS(Таблица2[DN],B110,Таблица2[T],"t")+SUMIFS(Таблица2[R],Таблица2[DN],B110,Таблица2[T],"t"))/C110*100,"-")=0,"-",IFERROR((COUNTIFS(Таблица2[DN],B110,Таблица2[T],"t")+SUMIFS(Таблица2[R],Таблица2[DN],B110,Таблица2[T],"t"))/C110*100,"-"))</f>
        <v>-</v>
      </c>
      <c r="K110" s="88" t="str">
        <f>IF(SUMIFS(Таблица2[KO$],Таблица2[DN],B110)=0,"-",SUMIFS(Таблица2[KO$],Таблица2[DN],B110))</f>
        <v>-</v>
      </c>
      <c r="L110" s="88" t="str">
        <f>IF(SUMIFS(Таблица2[WIN$],Таблица2[DN],B110)=0,"-",SUMIFS(Таблица2[WIN$],Таблица2[DN],B110))</f>
        <v>-</v>
      </c>
      <c r="M110" s="88" t="str">
        <f>IFERROR(IF(L110="-",0,L110)+IF(K110="-",0,K110)-D110,"-")</f>
        <v>-</v>
      </c>
      <c r="N110" s="88" t="str">
        <f>IFERROR(M110/C110,"-")</f>
        <v>-</v>
      </c>
    </row>
    <row r="111" spans="1:14" ht="11.1" customHeight="1" x14ac:dyDescent="0.25">
      <c r="A111" s="6"/>
      <c r="B111" s="115" t="s">
        <v>38</v>
      </c>
      <c r="C111" s="115" t="str">
        <f>IF(COUNTIFS(Таблица2[DN],B111)+SUMIFS(Таблица2[R],Таблица2[DN],B111)=0,"-",COUNTIFS(Таблица2[DN],B111)+SUMIFS(Таблица2[R],Таблица2[DN],B111))</f>
        <v>-</v>
      </c>
      <c r="D111" s="28" t="str">
        <f>IF(SUMIFS(Таблица2[B$],Таблица2[DN],B111)=0,"-",SUMIFS(Таблица2[B$],Таблица2[DN],B111))</f>
        <v>-</v>
      </c>
      <c r="E111" s="116" t="str">
        <f t="shared" ref="E111:E116" si="8">IFERROR(D111/C111,"-")</f>
        <v>-</v>
      </c>
      <c r="F111" s="29" t="str">
        <f>IFERROR(AVERAGEIFS(Таблица2[AFS],Таблица2[DN],B111)+(AVERAGEIFS(Таблица2[AFS],Таблица2[DN],B111)*0.2),"-")</f>
        <v>-</v>
      </c>
      <c r="G111" s="29" t="str">
        <f t="shared" ref="G111:G116" si="9">IFERROR(M111/D111*100,"-")</f>
        <v>-</v>
      </c>
      <c r="H111" s="29" t="str">
        <f>IFERROR(COUNTIFS(Таблица2[DN],B111,Таблица2[WIN$],"&gt;0")/C111*100,"-")</f>
        <v>-</v>
      </c>
      <c r="I111" s="29" t="str">
        <f>IF(IFERROR((COUNTIFS(Таблица2[DN],B111,Таблица2[K],"k")+SUMIFS(Таблица2[R],Таблица2[DN],B111,Таблица2[K],"k"))/C111*100,"-")=0,"-",IFERROR((COUNTIFS(Таблица2[DN],B111,Таблица2[K],"k")+SUMIFS(Таблица2[R],Таблица2[DN],B111,Таблица2[K],"k"))/C111*100,"-"))</f>
        <v>-</v>
      </c>
      <c r="J111" s="29" t="str">
        <f>IF(IFERROR((COUNTIFS(Таблица2[DN],B111,Таблица2[T],"t")+SUMIFS(Таблица2[R],Таблица2[DN],B111,Таблица2[T],"t"))/C111*100,"-")=0,"-",IFERROR((COUNTIFS(Таблица2[DN],B111,Таблица2[T],"t")+SUMIFS(Таблица2[R],Таблица2[DN],B111,Таблица2[T],"t"))/C111*100,"-"))</f>
        <v>-</v>
      </c>
      <c r="K111" s="28" t="str">
        <f>IF(SUMIFS(Таблица2[KO$],Таблица2[DN],B111)=0,"-",SUMIFS(Таблица2[KO$],Таблица2[DN],B111))</f>
        <v>-</v>
      </c>
      <c r="L111" s="28" t="str">
        <f>IF(SUMIFS(Таблица2[WIN$],Таблица2[DN],B111)=0,"-",SUMIFS(Таблица2[WIN$],Таблица2[DN],B111))</f>
        <v>-</v>
      </c>
      <c r="M111" s="28" t="str">
        <f t="shared" ref="M111:M116" si="10">IFERROR(IF(L111="-",0,L111)+IF(K111="-",0,K111)-D111,"-")</f>
        <v>-</v>
      </c>
      <c r="N111" s="28" t="str">
        <f t="shared" ref="N111:N116" si="11">IFERROR(M111/C111,"-")</f>
        <v>-</v>
      </c>
    </row>
    <row r="112" spans="1:14" ht="11.1" customHeight="1" x14ac:dyDescent="0.25">
      <c r="A112" s="6"/>
      <c r="B112" s="87" t="s">
        <v>39</v>
      </c>
      <c r="C112" s="87" t="str">
        <f>IF(COUNTIFS(Таблица2[DN],B112)+SUMIFS(Таблица2[R],Таблица2[DN],B112)=0,"-",COUNTIFS(Таблица2[DN],B112)+SUMIFS(Таблица2[R],Таблица2[DN],B112))</f>
        <v>-</v>
      </c>
      <c r="D112" s="88" t="str">
        <f>IF(SUMIFS(Таблица2[B$],Таблица2[DN],B112)=0,"-",SUMIFS(Таблица2[B$],Таблица2[DN],B112))</f>
        <v>-</v>
      </c>
      <c r="E112" s="89" t="str">
        <f t="shared" si="8"/>
        <v>-</v>
      </c>
      <c r="F112" s="90" t="str">
        <f>IFERROR(AVERAGEIFS(Таблица2[AFS],Таблица2[DN],B112)+(AVERAGEIFS(Таблица2[AFS],Таблица2[DN],B112)*0.2),"-")</f>
        <v>-</v>
      </c>
      <c r="G112" s="90" t="str">
        <f t="shared" si="9"/>
        <v>-</v>
      </c>
      <c r="H112" s="90" t="str">
        <f>IFERROR(COUNTIFS(Таблица2[DN],B112,Таблица2[WIN$],"&gt;0")/C112*100,"-")</f>
        <v>-</v>
      </c>
      <c r="I112" s="90" t="str">
        <f>IF(IFERROR((COUNTIFS(Таблица2[DN],B112,Таблица2[K],"k")+SUMIFS(Таблица2[R],Таблица2[DN],B112,Таблица2[K],"k"))/C112*100,"-")=0,"-",IFERROR((COUNTIFS(Таблица2[DN],B112,Таблица2[K],"k")+SUMIFS(Таблица2[R],Таблица2[DN],B112,Таблица2[K],"k"))/C112*100,"-"))</f>
        <v>-</v>
      </c>
      <c r="J112" s="90" t="str">
        <f>IF(IFERROR((COUNTIFS(Таблица2[DN],B112,Таблица2[T],"t")+SUMIFS(Таблица2[R],Таблица2[DN],B112,Таблица2[T],"t"))/C112*100,"-")=0,"-",IFERROR((COUNTIFS(Таблица2[DN],B112,Таблица2[T],"t")+SUMIFS(Таблица2[R],Таблица2[DN],B112,Таблица2[T],"t"))/C112*100,"-"))</f>
        <v>-</v>
      </c>
      <c r="K112" s="88" t="str">
        <f>IF(SUMIFS(Таблица2[KO$],Таблица2[DN],B112)=0,"-",SUMIFS(Таблица2[KO$],Таблица2[DN],B112))</f>
        <v>-</v>
      </c>
      <c r="L112" s="88" t="str">
        <f>IF(SUMIFS(Таблица2[WIN$],Таблица2[DN],B112)=0,"-",SUMIFS(Таблица2[WIN$],Таблица2[DN],B112))</f>
        <v>-</v>
      </c>
      <c r="M112" s="88" t="str">
        <f t="shared" si="10"/>
        <v>-</v>
      </c>
      <c r="N112" s="88" t="str">
        <f t="shared" si="11"/>
        <v>-</v>
      </c>
    </row>
    <row r="113" spans="1:14" ht="11.1" customHeight="1" x14ac:dyDescent="0.25">
      <c r="A113" s="6"/>
      <c r="B113" s="115" t="s">
        <v>40</v>
      </c>
      <c r="C113" s="115" t="str">
        <f>IF(COUNTIFS(Таблица2[DN],B113)+SUMIFS(Таблица2[R],Таблица2[DN],B113)=0,"-",COUNTIFS(Таблица2[DN],B113)+SUMIFS(Таблица2[R],Таблица2[DN],B113))</f>
        <v>-</v>
      </c>
      <c r="D113" s="28" t="str">
        <f>IF(SUMIFS(Таблица2[B$],Таблица2[DN],B113)=0,"-",SUMIFS(Таблица2[B$],Таблица2[DN],B113))</f>
        <v>-</v>
      </c>
      <c r="E113" s="116" t="str">
        <f t="shared" si="8"/>
        <v>-</v>
      </c>
      <c r="F113" s="29" t="str">
        <f>IFERROR(AVERAGEIFS(Таблица2[AFS],Таблица2[DN],B113)+(AVERAGEIFS(Таблица2[AFS],Таблица2[DN],B113)*0.2),"-")</f>
        <v>-</v>
      </c>
      <c r="G113" s="29" t="str">
        <f t="shared" si="9"/>
        <v>-</v>
      </c>
      <c r="H113" s="29" t="str">
        <f>IFERROR(COUNTIFS(Таблица2[DN],B113,Таблица2[WIN$],"&gt;0")/C113*100,"-")</f>
        <v>-</v>
      </c>
      <c r="I113" s="29" t="str">
        <f>IF(IFERROR((COUNTIFS(Таблица2[DN],B113,Таблица2[K],"k")+SUMIFS(Таблица2[R],Таблица2[DN],B113,Таблица2[K],"k"))/C113*100,"-")=0,"-",IFERROR((COUNTIFS(Таблица2[DN],B113,Таблица2[K],"k")+SUMIFS(Таблица2[R],Таблица2[DN],B113,Таблица2[K],"k"))/C113*100,"-"))</f>
        <v>-</v>
      </c>
      <c r="J113" s="29" t="str">
        <f>IF(IFERROR((COUNTIFS(Таблица2[DN],B113,Таблица2[T],"t")+SUMIFS(Таблица2[R],Таблица2[DN],B113,Таблица2[T],"t"))/C113*100,"-")=0,"-",IFERROR((COUNTIFS(Таблица2[DN],B113,Таблица2[T],"t")+SUMIFS(Таблица2[R],Таблица2[DN],B113,Таблица2[T],"t"))/C113*100,"-"))</f>
        <v>-</v>
      </c>
      <c r="K113" s="28" t="str">
        <f>IF(SUMIFS(Таблица2[KO$],Таблица2[DN],B113)=0,"-",SUMIFS(Таблица2[KO$],Таблица2[DN],B113))</f>
        <v>-</v>
      </c>
      <c r="L113" s="28" t="str">
        <f>IF(SUMIFS(Таблица2[WIN$],Таблица2[DN],B113)=0,"-",SUMIFS(Таблица2[WIN$],Таблица2[DN],B113))</f>
        <v>-</v>
      </c>
      <c r="M113" s="28" t="str">
        <f t="shared" si="10"/>
        <v>-</v>
      </c>
      <c r="N113" s="28" t="str">
        <f t="shared" si="11"/>
        <v>-</v>
      </c>
    </row>
    <row r="114" spans="1:14" ht="11.1" customHeight="1" x14ac:dyDescent="0.25">
      <c r="A114" s="6"/>
      <c r="B114" s="87" t="s">
        <v>41</v>
      </c>
      <c r="C114" s="87">
        <f>IF(COUNTIFS(Таблица2[DN],B114)+SUMIFS(Таблица2[R],Таблица2[DN],B114)=0,"-",COUNTIFS(Таблица2[DN],B114)+SUMIFS(Таблица2[R],Таблица2[DN],B114))</f>
        <v>22</v>
      </c>
      <c r="D114" s="88">
        <f>IF(SUMIFS(Таблица2[B$],Таблица2[DN],B114)=0,"-",SUMIFS(Таблица2[B$],Таблица2[DN],B114))</f>
        <v>31.38000000000001</v>
      </c>
      <c r="E114" s="89">
        <f t="shared" si="8"/>
        <v>1.4263636363636367</v>
      </c>
      <c r="F114" s="90">
        <f>IFERROR(AVERAGEIFS(Таблица2[AFS],Таблица2[DN],B114)+(AVERAGEIFS(Таблица2[AFS],Таблица2[DN],B114)*0.2),"-")</f>
        <v>494.00826446280996</v>
      </c>
      <c r="G114" s="90">
        <f t="shared" si="9"/>
        <v>-8.8910133843212513</v>
      </c>
      <c r="H114" s="90">
        <f>IFERROR(COUNTIFS(Таблица2[DN],B114,Таблица2[WIN$],"&gt;0")/C114*100,"-")</f>
        <v>22.727272727272727</v>
      </c>
      <c r="I114" s="90">
        <f>IF(IFERROR((COUNTIFS(Таблица2[DN],B114,Таблица2[K],"k")+SUMIFS(Таблица2[R],Таблица2[DN],B114,Таблица2[K],"k"))/C114*100,"-")=0,"-",IFERROR((COUNTIFS(Таблица2[DN],B114,Таблица2[K],"k")+SUMIFS(Таблица2[R],Таблица2[DN],B114,Таблица2[K],"k"))/C114*100,"-"))</f>
        <v>40.909090909090914</v>
      </c>
      <c r="J114" s="90" t="str">
        <f>IF(IFERROR((COUNTIFS(Таблица2[DN],B114,Таблица2[T],"t")+SUMIFS(Таблица2[R],Таблица2[DN],B114,Таблица2[T],"t"))/C114*100,"-")=0,"-",IFERROR((COUNTIFS(Таблица2[DN],B114,Таблица2[T],"t")+SUMIFS(Таблица2[R],Таблица2[DN],B114,Таблица2[T],"t"))/C114*100,"-"))</f>
        <v>-</v>
      </c>
      <c r="K114" s="88">
        <f>IF(SUMIFS(Таблица2[KO$],Таблица2[DN],B114)=0,"-",SUMIFS(Таблица2[KO$],Таблица2[DN],B114))</f>
        <v>6.66</v>
      </c>
      <c r="L114" s="88">
        <f>IF(SUMIFS(Таблица2[WIN$],Таблица2[DN],B114)=0,"-",SUMIFS(Таблица2[WIN$],Таблица2[DN],B114))</f>
        <v>21.93</v>
      </c>
      <c r="M114" s="88">
        <f t="shared" si="10"/>
        <v>-2.7900000000000098</v>
      </c>
      <c r="N114" s="88">
        <f t="shared" si="11"/>
        <v>-0.12681818181818227</v>
      </c>
    </row>
    <row r="115" spans="1:14" ht="11.1" customHeight="1" x14ac:dyDescent="0.25">
      <c r="A115" s="6"/>
      <c r="B115" s="115" t="s">
        <v>42</v>
      </c>
      <c r="C115" s="115" t="str">
        <f>IF(COUNTIFS(Таблица2[DN],B115)+SUMIFS(Таблица2[R],Таблица2[DN],B115)=0,"-",COUNTIFS(Таблица2[DN],B115)+SUMIFS(Таблица2[R],Таблица2[DN],B115))</f>
        <v>-</v>
      </c>
      <c r="D115" s="28" t="str">
        <f>IF(SUMIFS(Таблица2[B$],Таблица2[DN],B115)=0,"-",SUMIFS(Таблица2[B$],Таблица2[DN],B115))</f>
        <v>-</v>
      </c>
      <c r="E115" s="116" t="str">
        <f t="shared" si="8"/>
        <v>-</v>
      </c>
      <c r="F115" s="29" t="str">
        <f>IFERROR(AVERAGEIFS(Таблица2[AFS],Таблица2[DN],B115)+(AVERAGEIFS(Таблица2[AFS],Таблица2[DN],B115)*0.2),"-")</f>
        <v>-</v>
      </c>
      <c r="G115" s="29" t="str">
        <f t="shared" si="9"/>
        <v>-</v>
      </c>
      <c r="H115" s="29" t="str">
        <f>IFERROR(COUNTIFS(Таблица2[DN],B115,Таблица2[WIN$],"&gt;0")/C115*100,"-")</f>
        <v>-</v>
      </c>
      <c r="I115" s="29" t="str">
        <f>IF(IFERROR((COUNTIFS(Таблица2[DN],B115,Таблица2[K],"k")+SUMIFS(Таблица2[R],Таблица2[DN],B115,Таблица2[K],"k"))/C115*100,"-")=0,"-",IFERROR((COUNTIFS(Таблица2[DN],B115,Таблица2[K],"k")+SUMIFS(Таблица2[R],Таблица2[DN],B115,Таблица2[K],"k"))/C115*100,"-"))</f>
        <v>-</v>
      </c>
      <c r="J115" s="29" t="str">
        <f>IF(IFERROR((COUNTIFS(Таблица2[DN],B115,Таблица2[T],"t")+SUMIFS(Таблица2[R],Таблица2[DN],B115,Таблица2[T],"t"))/C115*100,"-")=0,"-",IFERROR((COUNTIFS(Таблица2[DN],B115,Таблица2[T],"t")+SUMIFS(Таблица2[R],Таблица2[DN],B115,Таблица2[T],"t"))/C115*100,"-"))</f>
        <v>-</v>
      </c>
      <c r="K115" s="28" t="str">
        <f>IF(SUMIFS(Таблица2[KO$],Таблица2[DN],B115)=0,"-",SUMIFS(Таблица2[KO$],Таблица2[DN],B115))</f>
        <v>-</v>
      </c>
      <c r="L115" s="28" t="str">
        <f>IF(SUMIFS(Таблица2[WIN$],Таблица2[DN],B115)=0,"-",SUMIFS(Таблица2[WIN$],Таблица2[DN],B115))</f>
        <v>-</v>
      </c>
      <c r="M115" s="28" t="str">
        <f t="shared" si="10"/>
        <v>-</v>
      </c>
      <c r="N115" s="28" t="str">
        <f t="shared" si="11"/>
        <v>-</v>
      </c>
    </row>
    <row r="116" spans="1:14" ht="11.1" customHeight="1" x14ac:dyDescent="0.25">
      <c r="A116" s="6"/>
      <c r="B116" s="87" t="s">
        <v>43</v>
      </c>
      <c r="C116" s="87" t="str">
        <f>IF(COUNTIFS(Таблица2[DN],B116)+SUMIFS(Таблица2[R],Таблица2[DN],B116)=0,"-",COUNTIFS(Таблица2[DN],B116)+SUMIFS(Таблица2[R],Таблица2[DN],B116))</f>
        <v>-</v>
      </c>
      <c r="D116" s="88" t="str">
        <f>IF(SUMIFS(Таблица2[B$],Таблица2[DN],B116)=0,"-",SUMIFS(Таблица2[B$],Таблица2[DN],B116))</f>
        <v>-</v>
      </c>
      <c r="E116" s="89" t="str">
        <f t="shared" si="8"/>
        <v>-</v>
      </c>
      <c r="F116" s="90" t="str">
        <f>IFERROR(AVERAGEIFS(Таблица2[AFS],Таблица2[DN],B116)+(AVERAGEIFS(Таблица2[AFS],Таблица2[DN],B116)*0.2),"-")</f>
        <v>-</v>
      </c>
      <c r="G116" s="90" t="str">
        <f t="shared" si="9"/>
        <v>-</v>
      </c>
      <c r="H116" s="90" t="str">
        <f>IFERROR(COUNTIFS(Таблица2[DN],B116,Таблица2[WIN$],"&gt;0")/C116*100,"-")</f>
        <v>-</v>
      </c>
      <c r="I116" s="90" t="str">
        <f>IF(IFERROR((COUNTIFS(Таблица2[DN],B116,Таблица2[K],"k")+SUMIFS(Таблица2[R],Таблица2[DN],B116,Таблица2[K],"k"))/C116*100,"-")=0,"-",IFERROR((COUNTIFS(Таблица2[DN],B116,Таблица2[K],"k")+SUMIFS(Таблица2[R],Таблица2[DN],B116,Таблица2[K],"k"))/C116*100,"-"))</f>
        <v>-</v>
      </c>
      <c r="J116" s="90" t="str">
        <f>IF(IFERROR((COUNTIFS(Таблица2[DN],B116,Таблица2[T],"t")+SUMIFS(Таблица2[R],Таблица2[DN],B116,Таблица2[T],"t"))/C116*100,"-")=0,"-",IFERROR((COUNTIFS(Таблица2[DN],B116,Таблица2[T],"t")+SUMIFS(Таблица2[R],Таблица2[DN],B116,Таблица2[T],"t"))/C116*100,"-"))</f>
        <v>-</v>
      </c>
      <c r="K116" s="88" t="str">
        <f>IF(SUMIFS(Таблица2[KO$],Таблица2[DN],B116)=0,"-",SUMIFS(Таблица2[KO$],Таблица2[DN],B116))</f>
        <v>-</v>
      </c>
      <c r="L116" s="88" t="str">
        <f>IF(SUMIFS(Таблица2[WIN$],Таблица2[DN],B116)=0,"-",SUMIFS(Таблица2[WIN$],Таблица2[DN],B116))</f>
        <v>-</v>
      </c>
      <c r="M116" s="88" t="str">
        <f t="shared" si="10"/>
        <v>-</v>
      </c>
      <c r="N116" s="88" t="str">
        <f t="shared" si="11"/>
        <v>-</v>
      </c>
    </row>
    <row r="117" spans="1:14" ht="11.1" customHeight="1" x14ac:dyDescent="0.25">
      <c r="A117" s="6"/>
      <c r="B117" s="3"/>
      <c r="C117" s="3"/>
      <c r="D117" s="22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1:14" ht="11.1" customHeight="1" x14ac:dyDescent="0.25">
      <c r="A118" s="6"/>
      <c r="B118" s="81" t="s">
        <v>29</v>
      </c>
      <c r="C118" s="82" t="s">
        <v>28</v>
      </c>
      <c r="D118" s="83" t="s">
        <v>2</v>
      </c>
      <c r="E118" s="84" t="s">
        <v>20</v>
      </c>
      <c r="F118" s="85" t="s">
        <v>62</v>
      </c>
      <c r="G118" s="85" t="s">
        <v>21</v>
      </c>
      <c r="H118" s="85" t="s">
        <v>22</v>
      </c>
      <c r="I118" s="85" t="s">
        <v>68</v>
      </c>
      <c r="J118" s="86" t="s">
        <v>66</v>
      </c>
      <c r="K118" s="84" t="s">
        <v>6</v>
      </c>
      <c r="L118" s="84" t="s">
        <v>23</v>
      </c>
      <c r="M118" s="84" t="s">
        <v>27</v>
      </c>
      <c r="N118" s="84" t="s">
        <v>27</v>
      </c>
    </row>
    <row r="119" spans="1:14" ht="11.1" customHeight="1" x14ac:dyDescent="0.25">
      <c r="A119" s="6"/>
      <c r="B119" s="87" t="s">
        <v>72</v>
      </c>
      <c r="C119" s="87" t="e">
        <f>IF(COUNTIFS(#REF!,A119)+SUMIFS(#REF!,#REF!,A119)=0,"",COUNTIFS(#REF!,A119)+SUMIFS(#REF!,#REF!,A119))</f>
        <v>#REF!</v>
      </c>
      <c r="D119" s="88" t="e">
        <f>IF(SUMIFS(#REF!,#REF!,A119)=0,"",SUMIFS(#REF!,#REF!,A119))</f>
        <v>#REF!</v>
      </c>
      <c r="E119" s="89" t="str">
        <f>IFERROR(D119/C119,"")</f>
        <v/>
      </c>
      <c r="F119" s="90" t="str">
        <f>IFERROR(AVERAGEIFS(#REF!,#REF!,A119)+(AVERAGEIFS(#REF!,#REF!,A119)*0.2),"-")</f>
        <v>-</v>
      </c>
      <c r="G119" s="90" t="str">
        <f>IFERROR(M119/D119*100,"")</f>
        <v/>
      </c>
      <c r="H119" s="90" t="str">
        <f>IFERROR(COUNTIFS(#REF!,A119,#REF!,"&gt;0")/C119*100,"-")</f>
        <v>-</v>
      </c>
      <c r="I119" s="90" t="str">
        <f>IF(IFERROR((COUNTIFS(#REF!,A119,#REF!,"k")+SUMIFS(#REF!,#REF!,A119,#REF!,"k"))/C119*100,"-")=0,"-",IFERROR((COUNTIFS(#REF!,A119,#REF!,"k")+SUMIFS(#REF!,#REF!,A119,#REF!,"k"))/C119*100,"-"))</f>
        <v>-</v>
      </c>
      <c r="J119" s="90" t="str">
        <f>IF(IFERROR((COUNTIFS(#REF!,A119,#REF!,"t")+SUMIFS(#REF!,#REF!,A119,#REF!,"t"))/C119*100,"-")=0,"-",IFERROR((COUNTIFS(#REF!,A119,#REF!,"t")+SUMIFS(#REF!,#REF!,A119,#REF!,"t"))/C119*100,"-"))</f>
        <v>-</v>
      </c>
      <c r="K119" s="88" t="e">
        <f>IF(SUMIFS(#REF!,#REF!,A119)=0,"-",SUMIFS(#REF!,#REF!,A119))</f>
        <v>#REF!</v>
      </c>
      <c r="L119" s="88" t="e">
        <f>IF(SUMIFS(#REF!,#REF!,A119)=0,"-",SUMIFS(#REF!,#REF!,A119))</f>
        <v>#REF!</v>
      </c>
      <c r="M119" s="88" t="str">
        <f>IFERROR(IF(L119="-",0,L119)+IF(K119="-",0,K119)-D119,"")</f>
        <v/>
      </c>
      <c r="N119" s="88" t="str">
        <f>IFERROR(IF(M119="-",0,M119)+IF(L119="-",0,L119)-E119,"")</f>
        <v/>
      </c>
    </row>
    <row r="120" spans="1:14" ht="11.1" customHeight="1" x14ac:dyDescent="0.25">
      <c r="A120" s="6"/>
      <c r="B120" s="115" t="s">
        <v>80</v>
      </c>
      <c r="C120" s="115" t="e">
        <f>IF(COUNTIFS(#REF!,A120)+SUMIFS(#REF!,#REF!,A120)=0,"",COUNTIFS(#REF!,A120)+SUMIFS(#REF!,#REF!,A120))</f>
        <v>#REF!</v>
      </c>
      <c r="D120" s="28" t="e">
        <f>IF(SUMIFS(#REF!,#REF!,A120)=0,"",SUMIFS(#REF!,#REF!,A120))</f>
        <v>#REF!</v>
      </c>
      <c r="E120" s="116" t="str">
        <f>IFERROR(D120/C120,"")</f>
        <v/>
      </c>
      <c r="F120" s="29" t="str">
        <f>IFERROR(AVERAGEIFS(#REF!,#REF!,A120)+(AVERAGEIFS(#REF!,#REF!,A120)*0.2),"-")</f>
        <v>-</v>
      </c>
      <c r="G120" s="29" t="str">
        <f>IFERROR(M120/D120*100,"")</f>
        <v/>
      </c>
      <c r="H120" s="29" t="str">
        <f>IFERROR(COUNTIFS(#REF!,A120,#REF!,"&gt;0")/C120*100,"-")</f>
        <v>-</v>
      </c>
      <c r="I120" s="29" t="str">
        <f>IF(IFERROR((COUNTIFS(#REF!,A120,#REF!,"k")+SUMIFS(#REF!,#REF!,A120,#REF!,"k"))/C120*100,"-")=0,"-",IFERROR((COUNTIFS(#REF!,A120,#REF!,"k")+SUMIFS(#REF!,#REF!,A120,#REF!,"k"))/C120*100,"-"))</f>
        <v>-</v>
      </c>
      <c r="J120" s="29" t="str">
        <f>IF(IFERROR((COUNTIFS(#REF!,A120,#REF!,"t")+SUMIFS(#REF!,#REF!,A120,#REF!,"t"))/C120*100,"-")=0,"-",IFERROR((COUNTIFS(#REF!,A120,#REF!,"t")+SUMIFS(#REF!,#REF!,A120,#REF!,"t"))/C120*100,"-"))</f>
        <v>-</v>
      </c>
      <c r="K120" s="28" t="e">
        <f>IF(SUMIFS(#REF!,#REF!,A120)=0,"-",SUMIFS(#REF!,#REF!,A120))</f>
        <v>#REF!</v>
      </c>
      <c r="L120" s="28" t="e">
        <f>IF(SUMIFS(#REF!,#REF!,A120)=0,"-",SUMIFS(#REF!,#REF!,A120))</f>
        <v>#REF!</v>
      </c>
      <c r="M120" s="28" t="str">
        <f>IFERROR(IF(L120="-",0,L120)+IF(K120="-",0,K120)-D120,"")</f>
        <v/>
      </c>
      <c r="N120" s="28" t="str">
        <f>IFERROR(IF(M120="-",0,M120)+IF(L120="-",0,L120)-E120,"")</f>
        <v/>
      </c>
    </row>
    <row r="121" spans="1:14" ht="11.1" customHeight="1" x14ac:dyDescent="0.25">
      <c r="A121" s="6"/>
      <c r="B121" s="3"/>
      <c r="C121" s="3"/>
      <c r="D121" s="22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1:14" ht="11.1" customHeight="1" x14ac:dyDescent="0.25">
      <c r="A122" s="6"/>
      <c r="B122" s="81" t="s">
        <v>29</v>
      </c>
      <c r="C122" s="82" t="s">
        <v>28</v>
      </c>
      <c r="D122" s="83" t="s">
        <v>2</v>
      </c>
      <c r="E122" s="84" t="s">
        <v>20</v>
      </c>
      <c r="F122" s="85" t="s">
        <v>62</v>
      </c>
      <c r="G122" s="85" t="s">
        <v>21</v>
      </c>
      <c r="H122" s="85" t="s">
        <v>22</v>
      </c>
      <c r="I122" s="85" t="s">
        <v>68</v>
      </c>
      <c r="J122" s="86" t="s">
        <v>66</v>
      </c>
      <c r="K122" s="84" t="s">
        <v>6</v>
      </c>
      <c r="L122" s="84" t="s">
        <v>23</v>
      </c>
      <c r="M122" s="84" t="s">
        <v>27</v>
      </c>
      <c r="N122" s="84" t="s">
        <v>27</v>
      </c>
    </row>
    <row r="123" spans="1:14" ht="11.1" customHeight="1" x14ac:dyDescent="0.25">
      <c r="A123" s="6"/>
      <c r="B123" s="87" t="s">
        <v>65</v>
      </c>
      <c r="C123" s="87" t="e">
        <f>IF(COUNTIFS(#REF!,A123)+SUMIFS(#REF!,#REF!,A123)=0,"",COUNTIFS(#REF!,A123)+SUMIFS(#REF!,#REF!,A123))</f>
        <v>#REF!</v>
      </c>
      <c r="D123" s="88" t="e">
        <f>IF(SUMIFS(#REF!,#REF!,A123)=0,"",SUMIFS(#REF!,#REF!,A123))</f>
        <v>#REF!</v>
      </c>
      <c r="E123" s="89" t="str">
        <f>IFERROR(D123/C123,"")</f>
        <v/>
      </c>
      <c r="F123" s="90" t="str">
        <f>IFERROR(AVERAGEIFS(#REF!,#REF!,A123)+(AVERAGEIFS(#REF!,#REF!,A123)*0.2),"-")</f>
        <v>-</v>
      </c>
      <c r="G123" s="90" t="str">
        <f>IFERROR(M123/D123*100,"")</f>
        <v/>
      </c>
      <c r="H123" s="90" t="str">
        <f>IFERROR(COUNTIFS(#REF!,A123,#REF!,"&gt;0")/C123*100,"-")</f>
        <v>-</v>
      </c>
      <c r="I123" s="90" t="str">
        <f>IF(IFERROR((COUNTIFS(#REF!,A123,#REF!,"k")+SUMIFS(#REF!,#REF!,A123,#REF!,"k"))/C123*100,"-")=0,"-",IFERROR((COUNTIFS(#REF!,A123,#REF!,"k")+SUMIFS(#REF!,#REF!,A123,#REF!,"k"))/C123*100,"-"))</f>
        <v>-</v>
      </c>
      <c r="J123" s="90" t="str">
        <f>IF(IFERROR((COUNTIFS(#REF!,A123,#REF!,"t")+SUMIFS(#REF!,#REF!,A123,#REF!,"t"))/C123*100,"-")=0,"-",IFERROR((COUNTIFS(#REF!,A123,#REF!,"t")+SUMIFS(#REF!,#REF!,A123,#REF!,"t"))/C123*100,"-"))</f>
        <v>-</v>
      </c>
      <c r="K123" s="88" t="e">
        <f>IF(SUMIFS(#REF!,#REF!,A123)=0,"-",SUMIFS(#REF!,#REF!,A123))</f>
        <v>#REF!</v>
      </c>
      <c r="L123" s="88" t="e">
        <f>IF(SUMIFS(#REF!,#REF!,A123)=0,"-",SUMIFS(#REF!,#REF!,A123))</f>
        <v>#REF!</v>
      </c>
      <c r="M123" s="88" t="str">
        <f>IFERROR(IF(L123="-",0,L123)+IF(K123="-",0,K123)-D123,"")</f>
        <v/>
      </c>
      <c r="N123" s="88" t="str">
        <f>IFERROR(IF(M123="-",0,M123)+IF(L123="-",0,L123)-E123,"")</f>
        <v/>
      </c>
    </row>
    <row r="124" spans="1:14" ht="11.1" customHeight="1" x14ac:dyDescent="0.25">
      <c r="A124" s="6"/>
      <c r="B124" s="115" t="s">
        <v>80</v>
      </c>
      <c r="C124" s="115" t="e">
        <f>IF(COUNTIFS(#REF!,A124)+SUMIFS(#REF!,#REF!,A124)=0,"",COUNTIFS(#REF!,A124)+SUMIFS(#REF!,#REF!,A124))</f>
        <v>#REF!</v>
      </c>
      <c r="D124" s="28" t="e">
        <f>IF(SUMIFS(#REF!,#REF!,A124)=0,"",SUMIFS(#REF!,#REF!,A124))</f>
        <v>#REF!</v>
      </c>
      <c r="E124" s="116" t="str">
        <f>IFERROR(D124/C124,"-")</f>
        <v>-</v>
      </c>
      <c r="F124" s="29" t="str">
        <f>IFERROR(AVERAGEIFS(#REF!,#REF!,A124)+(AVERAGEIFS(#REF!,#REF!,A124)*0.2),"-")</f>
        <v>-</v>
      </c>
      <c r="G124" s="29" t="str">
        <f>IFERROR(M124/D124*100,"-")</f>
        <v>-</v>
      </c>
      <c r="H124" s="29" t="str">
        <f>IFERROR(COUNTIFS(#REF!,A124,#REF!,"&gt;0")/C124*100,"-")</f>
        <v>-</v>
      </c>
      <c r="I124" s="29" t="str">
        <f>IF(IFERROR((COUNTIFS(#REF!,A124,#REF!,"k")+SUMIFS(#REF!,#REF!,A124,#REF!,"k"))/C124*100,"-")=0,"-",IFERROR((COUNTIFS(#REF!,A124,#REF!,"k")+SUMIFS(#REF!,#REF!,A124,#REF!,"k"))/C124*100,"-"))</f>
        <v>-</v>
      </c>
      <c r="J124" s="29" t="str">
        <f>IF(IFERROR((COUNTIFS(#REF!,A124,#REF!,"t")+SUMIFS(#REF!,#REF!,A124,#REF!,"t"))/C124*100,"-")=0,"-",IFERROR((COUNTIFS(#REF!,A124,#REF!,"t")+SUMIFS(#REF!,#REF!,A124,#REF!,"t"))/C124*100,"-"))</f>
        <v>-</v>
      </c>
      <c r="K124" s="28" t="e">
        <f>IF(SUMIFS(#REF!,#REF!,A124)=0,"-",SUMIFS(#REF!,#REF!,A124))</f>
        <v>#REF!</v>
      </c>
      <c r="L124" s="28" t="e">
        <f>IF(SUMIFS(#REF!,#REF!,A124)=0,"-",SUMIFS(#REF!,#REF!,A124))</f>
        <v>#REF!</v>
      </c>
      <c r="M124" s="28" t="str">
        <f>IFERROR(IF(L124="-",0,L124)+IF(K124="-",0,K124)-D124,"-")</f>
        <v>-</v>
      </c>
      <c r="N124" s="28" t="str">
        <f>IFERROR(IF(M124="-",0,M124)+IF(L124="-",0,L124)-E124,"-")</f>
        <v>-</v>
      </c>
    </row>
    <row r="125" spans="1:14" ht="11.1" customHeight="1" x14ac:dyDescent="0.25">
      <c r="A125" s="6"/>
      <c r="B125" s="3"/>
      <c r="C125" s="3"/>
      <c r="D125" s="22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1:14" ht="11.1" customHeight="1" x14ac:dyDescent="0.25">
      <c r="A126" s="6"/>
      <c r="B126" s="81" t="s">
        <v>29</v>
      </c>
      <c r="C126" s="82" t="s">
        <v>28</v>
      </c>
      <c r="D126" s="83" t="s">
        <v>2</v>
      </c>
      <c r="E126" s="84" t="s">
        <v>20</v>
      </c>
      <c r="F126" s="85" t="s">
        <v>62</v>
      </c>
      <c r="G126" s="85" t="s">
        <v>21</v>
      </c>
      <c r="H126" s="85" t="s">
        <v>22</v>
      </c>
      <c r="I126" s="85" t="s">
        <v>68</v>
      </c>
      <c r="J126" s="86" t="s">
        <v>66</v>
      </c>
      <c r="K126" s="84" t="s">
        <v>6</v>
      </c>
      <c r="L126" s="84" t="s">
        <v>23</v>
      </c>
      <c r="M126" s="84" t="s">
        <v>27</v>
      </c>
      <c r="N126" s="84" t="s">
        <v>27</v>
      </c>
    </row>
    <row r="127" spans="1:14" ht="11.1" customHeight="1" x14ac:dyDescent="0.25">
      <c r="A127" s="6"/>
      <c r="B127" s="87" t="s">
        <v>81</v>
      </c>
      <c r="C127" s="87" t="e">
        <f>IF(COUNTIFS(#REF!,A127)+SUMIFS(#REF!,#REF!,A127)=0,"-",COUNTIFS(#REF!,A127)+SUMIFS(#REF!,#REF!,A127))</f>
        <v>#REF!</v>
      </c>
      <c r="D127" s="88" t="e">
        <f>IF(SUMIFS(#REF!,#REF!,A127)=0,"-",SUMIFS(#REF!,#REF!,A127))</f>
        <v>#REF!</v>
      </c>
      <c r="E127" s="89" t="str">
        <f>IFERROR(D127/C127,"-")</f>
        <v>-</v>
      </c>
      <c r="F127" s="90" t="str">
        <f>IFERROR(AVERAGEIFS(#REF!,#REF!,A127)+(AVERAGEIFS(#REF!,#REF!,A127)*0.2),"-")</f>
        <v>-</v>
      </c>
      <c r="G127" s="90" t="str">
        <f>IFERROR(M127/D127*100,"-")</f>
        <v>-</v>
      </c>
      <c r="H127" s="90" t="str">
        <f>IFERROR(COUNTIFS(#REF!,A127,#REF!,"&gt;0")/C127*100,"-")</f>
        <v>-</v>
      </c>
      <c r="I127" s="90" t="str">
        <f>IF(IFERROR((COUNTIFS(#REF!,A127,#REF!,"k")+SUMIFS(#REF!,#REF!,A127,#REF!,"k"))/C127*100,"-")=0,"-",IFERROR((COUNTIFS(#REF!,A127,#REF!,"k")+SUMIFS(#REF!,#REF!,A127,#REF!,"k"))/C127*100,"-"))</f>
        <v>-</v>
      </c>
      <c r="J127" s="90" t="str">
        <f>IF(IFERROR((COUNTIFS(#REF!,A127,#REF!,"t")+SUMIFS(#REF!,#REF!,A127,#REF!,"t"))/C127*100,"-")=0,"-",IFERROR((COUNTIFS(#REF!,A127,#REF!,"t")+SUMIFS(#REF!,#REF!,A127,#REF!,"t"))/C127*100,"-"))</f>
        <v>-</v>
      </c>
      <c r="K127" s="88" t="e">
        <f>IF(SUMIFS(#REF!,#REF!,A127)=0,"-",SUMIFS(#REF!,#REF!,A127))</f>
        <v>#REF!</v>
      </c>
      <c r="L127" s="88" t="e">
        <f>IF(SUMIFS(#REF!,#REF!,A127)=0,"-",SUMIFS(#REF!,#REF!,A127))</f>
        <v>#REF!</v>
      </c>
      <c r="M127" s="88" t="str">
        <f>IFERROR(IF(L127="-",0,L127)+IF(K127="-",0,K127)-D127,"-")</f>
        <v>-</v>
      </c>
      <c r="N127" s="88" t="str">
        <f>IFERROR(IF(M127="-",0,M127)+IF(L127="-",0,L127)-E127,"-")</f>
        <v>-</v>
      </c>
    </row>
    <row r="128" spans="1:14" ht="11.1" customHeight="1" x14ac:dyDescent="0.25">
      <c r="A128" s="6"/>
      <c r="B128" s="115" t="s">
        <v>83</v>
      </c>
      <c r="C128" s="115" t="e">
        <f>IF(COUNTIFS(#REF!,A128)+SUMIFS(#REF!,#REF!,A128)=0,"-",COUNTIFS(#REF!,A128)+SUMIFS(#REF!,#REF!,A128))</f>
        <v>#REF!</v>
      </c>
      <c r="D128" s="28" t="e">
        <f>IF(SUMIFS(#REF!,#REF!,A128)=0,"-",SUMIFS(#REF!,#REF!,A128))</f>
        <v>#REF!</v>
      </c>
      <c r="E128" s="116" t="str">
        <f t="shared" ref="E128:E129" si="12">IFERROR(D128/C128,"-")</f>
        <v>-</v>
      </c>
      <c r="F128" s="29" t="str">
        <f>IFERROR(AVERAGEIFS(#REF!,#REF!,A128)+(AVERAGEIFS(#REF!,#REF!,A128)*0.2),"-")</f>
        <v>-</v>
      </c>
      <c r="G128" s="29" t="str">
        <f t="shared" ref="G128:G129" si="13">IFERROR(M128/D128*100,"-")</f>
        <v>-</v>
      </c>
      <c r="H128" s="29" t="str">
        <f>IFERROR(COUNTIFS(#REF!,A128,#REF!,"&gt;0")/C128*100,"-")</f>
        <v>-</v>
      </c>
      <c r="I128" s="29" t="str">
        <f>IF(IFERROR((COUNTIFS(#REF!,A128,#REF!,"k")+SUMIFS(#REF!,#REF!,A128,#REF!,"k"))/C128*100,"-")=0,"-",IFERROR((COUNTIFS(#REF!,A128,#REF!,"k")+SUMIFS(#REF!,#REF!,A128,#REF!,"k"))/C128*100,"-"))</f>
        <v>-</v>
      </c>
      <c r="J128" s="29" t="str">
        <f>IF(IFERROR((COUNTIFS(#REF!,A128,#REF!,"t")+SUMIFS(#REF!,#REF!,A128,#REF!,"t"))/C128*100,"-")=0,"-",IFERROR((COUNTIFS(#REF!,A128,#REF!,"t")+SUMIFS(#REF!,#REF!,A128,#REF!,"t"))/C128*100,"-"))</f>
        <v>-</v>
      </c>
      <c r="K128" s="28" t="e">
        <f>IF(SUMIFS(#REF!,#REF!,A128)=0,"-",SUMIFS(#REF!,#REF!,A128))</f>
        <v>#REF!</v>
      </c>
      <c r="L128" s="28" t="e">
        <f>IF(SUMIFS(#REF!,#REF!,A128)=0,"-",SUMIFS(#REF!,#REF!,A128))</f>
        <v>#REF!</v>
      </c>
      <c r="M128" s="28" t="str">
        <f t="shared" ref="M128:N129" si="14">IFERROR(IF(L128="-",0,L128)+IF(K128="-",0,K128)-D128,"-")</f>
        <v>-</v>
      </c>
      <c r="N128" s="28" t="str">
        <f t="shared" si="14"/>
        <v>-</v>
      </c>
    </row>
    <row r="129" spans="1:14" ht="11.1" customHeight="1" x14ac:dyDescent="0.25">
      <c r="A129" s="6"/>
      <c r="B129" s="87" t="s">
        <v>82</v>
      </c>
      <c r="C129" s="87" t="e">
        <f>IF(COUNTIFS(#REF!,A129)+SUMIFS(#REF!,#REF!,A129)=0,"-",COUNTIFS(#REF!,A129)+SUMIFS(#REF!,#REF!,A129))</f>
        <v>#REF!</v>
      </c>
      <c r="D129" s="88" t="e">
        <f>IF(SUMIFS(#REF!,#REF!,A129)=0,"-",SUMIFS(#REF!,#REF!,A129))</f>
        <v>#REF!</v>
      </c>
      <c r="E129" s="89" t="str">
        <f t="shared" si="12"/>
        <v>-</v>
      </c>
      <c r="F129" s="90" t="str">
        <f>IFERROR(AVERAGEIFS(#REF!,#REF!,A129)+(AVERAGEIFS(#REF!,#REF!,A129)*0.2),"-")</f>
        <v>-</v>
      </c>
      <c r="G129" s="90" t="str">
        <f t="shared" si="13"/>
        <v>-</v>
      </c>
      <c r="H129" s="90" t="str">
        <f>IFERROR(COUNTIFS(#REF!,A129,#REF!,"&gt;0")/C129*100,"-")</f>
        <v>-</v>
      </c>
      <c r="I129" s="90" t="str">
        <f>IF(IFERROR((COUNTIFS(#REF!,A129,#REF!,"k")+SUMIFS(#REF!,#REF!,A129,#REF!,"k"))/C129*100,"-")=0,"-",IFERROR((COUNTIFS(#REF!,A129,#REF!,"k")+SUMIFS(#REF!,#REF!,A129,#REF!,"k"))/C129*100,"-"))</f>
        <v>-</v>
      </c>
      <c r="J129" s="90" t="str">
        <f>IF(IFERROR((COUNTIFS(#REF!,A129,#REF!,"t")+SUMIFS(#REF!,#REF!,A129,#REF!,"t"))/C129*100,"-")=0,"-",IFERROR((COUNTIFS(#REF!,A129,#REF!,"t")+SUMIFS(#REF!,#REF!,A129,#REF!,"t"))/C129*100,"-"))</f>
        <v>-</v>
      </c>
      <c r="K129" s="88" t="e">
        <f>IF(SUMIFS(#REF!,#REF!,A129)=0,"-",SUMIFS(#REF!,#REF!,A129))</f>
        <v>#REF!</v>
      </c>
      <c r="L129" s="88" t="e">
        <f>IF(SUMIFS(#REF!,#REF!,A129)=0,"-",SUMIFS(#REF!,#REF!,A129))</f>
        <v>#REF!</v>
      </c>
      <c r="M129" s="88" t="str">
        <f t="shared" si="14"/>
        <v>-</v>
      </c>
      <c r="N129" s="88" t="str">
        <f t="shared" si="14"/>
        <v>-</v>
      </c>
    </row>
    <row r="130" spans="1:14" ht="11.1" customHeight="1" x14ac:dyDescent="0.25">
      <c r="A130" s="16"/>
      <c r="B130" s="5"/>
    </row>
    <row r="131" spans="1:14" ht="11.1" customHeight="1" x14ac:dyDescent="0.25">
      <c r="A131" s="16"/>
      <c r="B131" s="81" t="s">
        <v>29</v>
      </c>
      <c r="C131" s="23" t="s">
        <v>28</v>
      </c>
      <c r="D131" s="24" t="s">
        <v>2</v>
      </c>
      <c r="E131" s="25" t="s">
        <v>20</v>
      </c>
      <c r="F131" s="26" t="s">
        <v>62</v>
      </c>
      <c r="G131" s="26" t="s">
        <v>21</v>
      </c>
      <c r="H131" s="26" t="s">
        <v>22</v>
      </c>
      <c r="I131" s="26" t="s">
        <v>68</v>
      </c>
      <c r="J131" s="27" t="s">
        <v>66</v>
      </c>
      <c r="K131" s="25" t="s">
        <v>6</v>
      </c>
      <c r="L131" s="25" t="s">
        <v>23</v>
      </c>
      <c r="M131" s="25" t="s">
        <v>27</v>
      </c>
      <c r="N131" s="25" t="s">
        <v>27</v>
      </c>
    </row>
    <row r="132" spans="1:14" ht="11.1" customHeight="1" x14ac:dyDescent="0.25">
      <c r="A132" s="16"/>
      <c r="B132" s="87">
        <v>5</v>
      </c>
      <c r="C132" s="115" t="e">
        <f>IF(COUNTIFS(#REF!,B132)+SUMIFS(#REF!,#REF!,B132)=0,"-",COUNTIFS(#REF!,B132)+SUMIFS(#REF!,#REF!,B132))</f>
        <v>#REF!</v>
      </c>
      <c r="D132" s="28" t="e">
        <f>IF(SUMIFS(#REF!,#REF!,B132)=0,"-",SUMIFS(#REF!,#REF!,B132))</f>
        <v>#REF!</v>
      </c>
      <c r="E132" s="116" t="str">
        <f>IFERROR(D132/C132,"-")</f>
        <v>-</v>
      </c>
      <c r="F132" s="29" t="str">
        <f>IFERROR(AVERAGEIFS(#REF!,#REF!,B132)+(AVERAGEIFS(#REF!,#REF!,B132)*0.2),"-")</f>
        <v>-</v>
      </c>
      <c r="G132" s="29" t="str">
        <f>IFERROR(M132/D132*100,"-")</f>
        <v>-</v>
      </c>
      <c r="H132" s="29" t="str">
        <f>IFERROR(COUNTIFS(#REF!,B132,#REF!,"&gt;0")/C132*100,"-")</f>
        <v>-</v>
      </c>
      <c r="I132" s="29" t="str">
        <f>IF(IFERROR((COUNTIFS(#REF!,B132,#REF!,"k")+SUMIFS(#REF!,#REF!,B132,#REF!,"k"))/C132*100,"-")=0,"-",IFERROR((COUNTIFS(#REF!,B132,#REF!,"k")+SUMIFS(#REF!,#REF!,B132,#REF!,"k"))/C132*100,"-"))</f>
        <v>-</v>
      </c>
      <c r="J132" s="29" t="str">
        <f>IF(IFERROR((COUNTIFS(#REF!,B132,#REF!,"t")+SUMIFS(#REF!,#REF!,B132,#REF!,"t"))/C132*100,"-")=0,"-",IFERROR((COUNTIFS(#REF!,B132,#REF!,"t")+SUMIFS(#REF!,#REF!,B132,#REF!,"t"))/C132*100,"-"))</f>
        <v>-</v>
      </c>
      <c r="K132" s="28" t="e">
        <f>IF(SUMIFS(#REF!,#REF!,B132)=0,"-",SUMIFS(#REF!,#REF!,B132))</f>
        <v>#REF!</v>
      </c>
      <c r="L132" s="28" t="e">
        <f>IF(SUMIFS(#REF!,#REF!,B132)=0,"-",SUMIFS(#REF!,#REF!,B132))</f>
        <v>#REF!</v>
      </c>
      <c r="M132" s="28" t="str">
        <f>IFERROR(IF(L132="-",0,L132)+IF(K132="-",0,K132)-D132,"-")</f>
        <v>-</v>
      </c>
      <c r="N132" s="28" t="str">
        <f>IFERROR(IF(M132="-",0,M132)+IF(L132="-",0,L132)-E132,"-")</f>
        <v>-</v>
      </c>
    </row>
    <row r="133" spans="1:14" ht="11.1" customHeight="1" x14ac:dyDescent="0.25">
      <c r="A133" s="16"/>
      <c r="B133" s="115">
        <v>5.25</v>
      </c>
      <c r="C133" s="115" t="e">
        <f>IF(COUNTIFS(#REF!,B133)+SUMIFS(#REF!,#REF!,B133)=0,"-",COUNTIFS(#REF!,B133)+SUMIFS(#REF!,#REF!,B133))</f>
        <v>#REF!</v>
      </c>
      <c r="D133" s="28" t="e">
        <f>IF(SUMIFS(#REF!,#REF!,B133)=0,"-",SUMIFS(#REF!,#REF!,B133))</f>
        <v>#REF!</v>
      </c>
      <c r="E133" s="116" t="str">
        <f t="shared" ref="E133:E143" si="15">IFERROR(D133/C133,"-")</f>
        <v>-</v>
      </c>
      <c r="F133" s="29" t="str">
        <f>IFERROR(AVERAGEIFS(#REF!,#REF!,B133)+(AVERAGEIFS(#REF!,#REF!,B133)*0.2),"-")</f>
        <v>-</v>
      </c>
      <c r="G133" s="29" t="str">
        <f t="shared" ref="G133:G143" si="16">IFERROR(M133/D133*100,"-")</f>
        <v>-</v>
      </c>
      <c r="H133" s="29" t="str">
        <f>IFERROR(COUNTIFS(#REF!,B133,#REF!,"&gt;0")/C133*100,"-")</f>
        <v>-</v>
      </c>
      <c r="I133" s="29" t="str">
        <f>IF(IFERROR((COUNTIFS(#REF!,B133,#REF!,"k")+SUMIFS(#REF!,#REF!,B133,#REF!,"k"))/C133*100,"-")=0,"-",IFERROR((COUNTIFS(#REF!,B133,#REF!,"k")+SUMIFS(#REF!,#REF!,B133,#REF!,"k"))/C133*100,"-"))</f>
        <v>-</v>
      </c>
      <c r="J133" s="29" t="str">
        <f>IF(IFERROR((COUNTIFS(#REF!,B133,#REF!,"t")+SUMIFS(#REF!,#REF!,B133,#REF!,"t"))/C133*100,"-")=0,"-",IFERROR((COUNTIFS(#REF!,B133,#REF!,"t")+SUMIFS(#REF!,#REF!,B133,#REF!,"t"))/C133*100,"-"))</f>
        <v>-</v>
      </c>
      <c r="K133" s="28" t="e">
        <f>IF(SUMIFS(#REF!,#REF!,B133)=0,"-",SUMIFS(#REF!,#REF!,B133))</f>
        <v>#REF!</v>
      </c>
      <c r="L133" s="28" t="e">
        <f>IF(SUMIFS(#REF!,#REF!,B133)=0,"-",SUMIFS(#REF!,#REF!,B133))</f>
        <v>#REF!</v>
      </c>
      <c r="M133" s="28" t="str">
        <f t="shared" ref="M133:N143" si="17">IFERROR(IF(L133="-",0,L133)+IF(K133="-",0,K133)-D133,"-")</f>
        <v>-</v>
      </c>
      <c r="N133" s="28" t="str">
        <f t="shared" si="17"/>
        <v>-</v>
      </c>
    </row>
    <row r="134" spans="1:14" ht="11.1" customHeight="1" x14ac:dyDescent="0.25">
      <c r="A134" s="16"/>
      <c r="B134" s="87">
        <v>5.5</v>
      </c>
      <c r="C134" s="115" t="e">
        <f>IF(COUNTIFS(#REF!,B134)+SUMIFS(#REF!,#REF!,B134)=0,"-",COUNTIFS(#REF!,B134)+SUMIFS(#REF!,#REF!,B134))</f>
        <v>#REF!</v>
      </c>
      <c r="D134" s="28" t="e">
        <f>IF(SUMIFS(#REF!,#REF!,B134)=0,"-",SUMIFS(#REF!,#REF!,B134))</f>
        <v>#REF!</v>
      </c>
      <c r="E134" s="116" t="str">
        <f t="shared" si="15"/>
        <v>-</v>
      </c>
      <c r="F134" s="29" t="str">
        <f>IFERROR(AVERAGEIFS(#REF!,#REF!,B134)+(AVERAGEIFS(#REF!,#REF!,B134)*0.2),"-")</f>
        <v>-</v>
      </c>
      <c r="G134" s="29" t="str">
        <f t="shared" si="16"/>
        <v>-</v>
      </c>
      <c r="H134" s="29" t="str">
        <f>IFERROR(COUNTIFS(#REF!,B134,#REF!,"&gt;0")/C134*100,"-")</f>
        <v>-</v>
      </c>
      <c r="I134" s="29" t="str">
        <f>IF(IFERROR((COUNTIFS(#REF!,B134,#REF!,"k")+SUMIFS(#REF!,#REF!,B134,#REF!,"k"))/C134*100,"-")=0,"-",IFERROR((COUNTIFS(#REF!,B134,#REF!,"k")+SUMIFS(#REF!,#REF!,B134,#REF!,"k"))/C134*100,"-"))</f>
        <v>-</v>
      </c>
      <c r="J134" s="29" t="str">
        <f>IF(IFERROR((COUNTIFS(#REF!,B134,#REF!,"t")+SUMIFS(#REF!,#REF!,B134,#REF!,"t"))/C134*100,"-")=0,"-",IFERROR((COUNTIFS(#REF!,B134,#REF!,"t")+SUMIFS(#REF!,#REF!,B134,#REF!,"t"))/C134*100,"-"))</f>
        <v>-</v>
      </c>
      <c r="K134" s="28" t="e">
        <f>IF(SUMIFS(#REF!,#REF!,B134)=0,"-",SUMIFS(#REF!,#REF!,B134))</f>
        <v>#REF!</v>
      </c>
      <c r="L134" s="28" t="e">
        <f>IF(SUMIFS(#REF!,#REF!,B134)=0,"-",SUMIFS(#REF!,#REF!,B134))</f>
        <v>#REF!</v>
      </c>
      <c r="M134" s="28" t="str">
        <f t="shared" si="17"/>
        <v>-</v>
      </c>
      <c r="N134" s="28" t="str">
        <f t="shared" si="17"/>
        <v>-</v>
      </c>
    </row>
    <row r="135" spans="1:14" ht="11.1" customHeight="1" x14ac:dyDescent="0.25">
      <c r="A135" s="16"/>
      <c r="B135" s="115">
        <v>6.6</v>
      </c>
      <c r="C135" s="115" t="e">
        <f>IF(COUNTIFS(#REF!,B135)+SUMIFS(#REF!,#REF!,B135)=0,"-",COUNTIFS(#REF!,B135)+SUMIFS(#REF!,#REF!,B135))</f>
        <v>#REF!</v>
      </c>
      <c r="D135" s="28" t="e">
        <f>IF(SUMIFS(#REF!,#REF!,B135)=0,"-",SUMIFS(#REF!,#REF!,B135))</f>
        <v>#REF!</v>
      </c>
      <c r="E135" s="116" t="str">
        <f t="shared" si="15"/>
        <v>-</v>
      </c>
      <c r="F135" s="29" t="str">
        <f>IFERROR(AVERAGEIFS(#REF!,#REF!,B135)+(AVERAGEIFS(#REF!,#REF!,B135)*0.2),"-")</f>
        <v>-</v>
      </c>
      <c r="G135" s="29" t="str">
        <f t="shared" si="16"/>
        <v>-</v>
      </c>
      <c r="H135" s="29" t="str">
        <f>IFERROR(COUNTIFS(#REF!,B135,#REF!,"&gt;0")/C135*100,"-")</f>
        <v>-</v>
      </c>
      <c r="I135" s="29" t="str">
        <f>IF(IFERROR((COUNTIFS(#REF!,B135,#REF!,"k")+SUMIFS(#REF!,#REF!,B135,#REF!,"k"))/C135*100,"-")=0,"-",IFERROR((COUNTIFS(#REF!,B135,#REF!,"k")+SUMIFS(#REF!,#REF!,B135,#REF!,"k"))/C135*100,"-"))</f>
        <v>-</v>
      </c>
      <c r="J135" s="29" t="str">
        <f>IF(IFERROR((COUNTIFS(#REF!,B135,#REF!,"t")+SUMIFS(#REF!,#REF!,B135,#REF!,"t"))/C135*100,"-")=0,"-",IFERROR((COUNTIFS(#REF!,B135,#REF!,"t")+SUMIFS(#REF!,#REF!,B135,#REF!,"t"))/C135*100,"-"))</f>
        <v>-</v>
      </c>
      <c r="K135" s="28" t="e">
        <f>IF(SUMIFS(#REF!,#REF!,B135)=0,"-",SUMIFS(#REF!,#REF!,B135))</f>
        <v>#REF!</v>
      </c>
      <c r="L135" s="28" t="e">
        <f>IF(SUMIFS(#REF!,#REF!,B135)=0,"-",SUMIFS(#REF!,#REF!,B135))</f>
        <v>#REF!</v>
      </c>
      <c r="M135" s="28" t="str">
        <f t="shared" si="17"/>
        <v>-</v>
      </c>
      <c r="N135" s="28" t="str">
        <f t="shared" si="17"/>
        <v>-</v>
      </c>
    </row>
    <row r="136" spans="1:14" ht="11.1" customHeight="1" x14ac:dyDescent="0.25">
      <c r="A136" s="16"/>
      <c r="B136" s="87">
        <v>7.5</v>
      </c>
      <c r="C136" s="115" t="e">
        <f>IF(COUNTIFS(#REF!,B136)+SUMIFS(#REF!,#REF!,B136)=0,"-",COUNTIFS(#REF!,B136)+SUMIFS(#REF!,#REF!,B136))</f>
        <v>#REF!</v>
      </c>
      <c r="D136" s="28" t="e">
        <f>IF(SUMIFS(#REF!,#REF!,B136)=0,"-",SUMIFS(#REF!,#REF!,B136))</f>
        <v>#REF!</v>
      </c>
      <c r="E136" s="116" t="str">
        <f t="shared" si="15"/>
        <v>-</v>
      </c>
      <c r="F136" s="29" t="str">
        <f>IFERROR(AVERAGEIFS(#REF!,#REF!,B136)+(AVERAGEIFS(#REF!,#REF!,B136)*0.2),"-")</f>
        <v>-</v>
      </c>
      <c r="G136" s="29" t="str">
        <f t="shared" si="16"/>
        <v>-</v>
      </c>
      <c r="H136" s="29" t="str">
        <f>IFERROR(COUNTIFS(#REF!,B136,#REF!,"&gt;0")/C136*100,"-")</f>
        <v>-</v>
      </c>
      <c r="I136" s="29" t="str">
        <f>IF(IFERROR((COUNTIFS(#REF!,B136,#REF!,"k")+SUMIFS(#REF!,#REF!,B136,#REF!,"k"))/C136*100,"-")=0,"-",IFERROR((COUNTIFS(#REF!,B136,#REF!,"k")+SUMIFS(#REF!,#REF!,B136,#REF!,"k"))/C136*100,"-"))</f>
        <v>-</v>
      </c>
      <c r="J136" s="29" t="str">
        <f>IF(IFERROR((COUNTIFS(#REF!,B136,#REF!,"t")+SUMIFS(#REF!,#REF!,B136,#REF!,"t"))/C136*100,"-")=0,"-",IFERROR((COUNTIFS(#REF!,B136,#REF!,"t")+SUMIFS(#REF!,#REF!,B136,#REF!,"t"))/C136*100,"-"))</f>
        <v>-</v>
      </c>
      <c r="K136" s="28" t="e">
        <f>IF(SUMIFS(#REF!,#REF!,B136)=0,"-",SUMIFS(#REF!,#REF!,B136))</f>
        <v>#REF!</v>
      </c>
      <c r="L136" s="28" t="e">
        <f>IF(SUMIFS(#REF!,#REF!,B136)=0,"-",SUMIFS(#REF!,#REF!,B136))</f>
        <v>#REF!</v>
      </c>
      <c r="M136" s="28" t="str">
        <f t="shared" si="17"/>
        <v>-</v>
      </c>
      <c r="N136" s="28" t="str">
        <f t="shared" si="17"/>
        <v>-</v>
      </c>
    </row>
    <row r="137" spans="1:14" ht="11.1" customHeight="1" x14ac:dyDescent="0.25">
      <c r="A137" s="16"/>
      <c r="B137" s="115">
        <v>7.6</v>
      </c>
      <c r="C137" s="115" t="e">
        <f>IF(COUNTIFS(#REF!,B137)+SUMIFS(#REF!,#REF!,B137)=0,"-",COUNTIFS(#REF!,B137)+SUMIFS(#REF!,#REF!,B137))</f>
        <v>#REF!</v>
      </c>
      <c r="D137" s="28" t="e">
        <f>IF(SUMIFS(#REF!,#REF!,B137)=0,"-",SUMIFS(#REF!,#REF!,B137))</f>
        <v>#REF!</v>
      </c>
      <c r="E137" s="116" t="str">
        <f t="shared" si="15"/>
        <v>-</v>
      </c>
      <c r="F137" s="29" t="str">
        <f>IFERROR(AVERAGEIFS(#REF!,#REF!,B137)+(AVERAGEIFS(#REF!,#REF!,B137)*0.2),"-")</f>
        <v>-</v>
      </c>
      <c r="G137" s="29" t="str">
        <f t="shared" si="16"/>
        <v>-</v>
      </c>
      <c r="H137" s="29" t="str">
        <f>IFERROR(COUNTIFS(#REF!,B137,#REF!,"&gt;0")/C137*100,"-")</f>
        <v>-</v>
      </c>
      <c r="I137" s="29" t="str">
        <f>IF(IFERROR((COUNTIFS(#REF!,B137,#REF!,"k")+SUMIFS(#REF!,#REF!,B137,#REF!,"k"))/C137*100,"-")=0,"-",IFERROR((COUNTIFS(#REF!,B137,#REF!,"k")+SUMIFS(#REF!,#REF!,B137,#REF!,"k"))/C137*100,"-"))</f>
        <v>-</v>
      </c>
      <c r="J137" s="29" t="str">
        <f>IF(IFERROR((COUNTIFS(#REF!,B137,#REF!,"t")+SUMIFS(#REF!,#REF!,B137,#REF!,"t"))/C137*100,"-")=0,"-",IFERROR((COUNTIFS(#REF!,B137,#REF!,"t")+SUMIFS(#REF!,#REF!,B137,#REF!,"t"))/C137*100,"-"))</f>
        <v>-</v>
      </c>
      <c r="K137" s="28" t="e">
        <f>IF(SUMIFS(#REF!,#REF!,B137)=0,"-",SUMIFS(#REF!,#REF!,B137))</f>
        <v>#REF!</v>
      </c>
      <c r="L137" s="28" t="e">
        <f>IF(SUMIFS(#REF!,#REF!,B137)=0,"-",SUMIFS(#REF!,#REF!,B137))</f>
        <v>#REF!</v>
      </c>
      <c r="M137" s="28" t="str">
        <f t="shared" si="17"/>
        <v>-</v>
      </c>
      <c r="N137" s="28" t="str">
        <f t="shared" si="17"/>
        <v>-</v>
      </c>
    </row>
    <row r="138" spans="1:14" ht="11.1" customHeight="1" x14ac:dyDescent="0.25">
      <c r="A138" s="16"/>
      <c r="B138" s="87">
        <v>8.8000000000000007</v>
      </c>
      <c r="C138" s="115" t="e">
        <f>IF(COUNTIFS(#REF!,B138)+SUMIFS(#REF!,#REF!,B138)=0,"-",COUNTIFS(#REF!,B138)+SUMIFS(#REF!,#REF!,B138))</f>
        <v>#REF!</v>
      </c>
      <c r="D138" s="28" t="e">
        <f>IF(SUMIFS(#REF!,#REF!,B138)=0,"-",SUMIFS(#REF!,#REF!,B138))</f>
        <v>#REF!</v>
      </c>
      <c r="E138" s="116" t="str">
        <f t="shared" si="15"/>
        <v>-</v>
      </c>
      <c r="F138" s="29" t="str">
        <f>IFERROR(AVERAGEIFS(#REF!,#REF!,B138)+(AVERAGEIFS(#REF!,#REF!,B138)*0.2),"-")</f>
        <v>-</v>
      </c>
      <c r="G138" s="29" t="str">
        <f t="shared" si="16"/>
        <v>-</v>
      </c>
      <c r="H138" s="29" t="str">
        <f>IFERROR(COUNTIFS(#REF!,B138,#REF!,"&gt;0")/C138*100,"-")</f>
        <v>-</v>
      </c>
      <c r="I138" s="29" t="str">
        <f>IF(IFERROR((COUNTIFS(#REF!,B138,#REF!,"k")+SUMIFS(#REF!,#REF!,B138,#REF!,"k"))/C138*100,"-")=0,"-",IFERROR((COUNTIFS(#REF!,B138,#REF!,"k")+SUMIFS(#REF!,#REF!,B138,#REF!,"k"))/C138*100,"-"))</f>
        <v>-</v>
      </c>
      <c r="J138" s="29" t="str">
        <f>IF(IFERROR((COUNTIFS(#REF!,B138,#REF!,"t")+SUMIFS(#REF!,#REF!,B138,#REF!,"t"))/C138*100,"-")=0,"-",IFERROR((COUNTIFS(#REF!,B138,#REF!,"t")+SUMIFS(#REF!,#REF!,B138,#REF!,"t"))/C138*100,"-"))</f>
        <v>-</v>
      </c>
      <c r="K138" s="28" t="e">
        <f>IF(SUMIFS(#REF!,#REF!,B138)=0,"-",SUMIFS(#REF!,#REF!,B138))</f>
        <v>#REF!</v>
      </c>
      <c r="L138" s="28" t="e">
        <f>IF(SUMIFS(#REF!,#REF!,B138)=0,"-",SUMIFS(#REF!,#REF!,B138))</f>
        <v>#REF!</v>
      </c>
      <c r="M138" s="28" t="str">
        <f t="shared" si="17"/>
        <v>-</v>
      </c>
      <c r="N138" s="28" t="str">
        <f t="shared" si="17"/>
        <v>-</v>
      </c>
    </row>
    <row r="139" spans="1:14" ht="11.1" customHeight="1" x14ac:dyDescent="0.25">
      <c r="A139" s="16"/>
      <c r="B139" s="115">
        <v>10</v>
      </c>
      <c r="C139" s="115" t="e">
        <f>IF(COUNTIFS(#REF!,B139)+SUMIFS(#REF!,#REF!,B139)=0,"-",COUNTIFS(#REF!,B139)+SUMIFS(#REF!,#REF!,B139))</f>
        <v>#REF!</v>
      </c>
      <c r="D139" s="28" t="e">
        <f>IF(SUMIFS(#REF!,#REF!,B139)=0,"-",SUMIFS(#REF!,#REF!,B139))</f>
        <v>#REF!</v>
      </c>
      <c r="E139" s="116" t="str">
        <f t="shared" si="15"/>
        <v>-</v>
      </c>
      <c r="F139" s="29" t="str">
        <f>IFERROR(AVERAGEIFS(#REF!,#REF!,B139)+(AVERAGEIFS(#REF!,#REF!,B139)*0.2),"-")</f>
        <v>-</v>
      </c>
      <c r="G139" s="29" t="str">
        <f t="shared" si="16"/>
        <v>-</v>
      </c>
      <c r="H139" s="29" t="str">
        <f>IFERROR(COUNTIFS(#REF!,B139,#REF!,"&gt;0")/C139*100,"-")</f>
        <v>-</v>
      </c>
      <c r="I139" s="29" t="str">
        <f>IF(IFERROR((COUNTIFS(#REF!,B139,#REF!,"k")+SUMIFS(#REF!,#REF!,B139,#REF!,"k"))/C139*100,"-")=0,"-",IFERROR((COUNTIFS(#REF!,B139,#REF!,"k")+SUMIFS(#REF!,#REF!,B139,#REF!,"k"))/C139*100,"-"))</f>
        <v>-</v>
      </c>
      <c r="J139" s="29" t="str">
        <f>IF(IFERROR((COUNTIFS(#REF!,B139,#REF!,"t")+SUMIFS(#REF!,#REF!,B139,#REF!,"t"))/C139*100,"-")=0,"-",IFERROR((COUNTIFS(#REF!,B139,#REF!,"t")+SUMIFS(#REF!,#REF!,B139,#REF!,"t"))/C139*100,"-"))</f>
        <v>-</v>
      </c>
      <c r="K139" s="28" t="e">
        <f>IF(SUMIFS(#REF!,#REF!,B139)=0,"-",SUMIFS(#REF!,#REF!,B139))</f>
        <v>#REF!</v>
      </c>
      <c r="L139" s="28" t="e">
        <f>IF(SUMIFS(#REF!,#REF!,B139)=0,"-",SUMIFS(#REF!,#REF!,B139))</f>
        <v>#REF!</v>
      </c>
      <c r="M139" s="28" t="str">
        <f t="shared" si="17"/>
        <v>-</v>
      </c>
      <c r="N139" s="28" t="str">
        <f t="shared" si="17"/>
        <v>-</v>
      </c>
    </row>
    <row r="140" spans="1:14" ht="11.1" customHeight="1" x14ac:dyDescent="0.25">
      <c r="A140" s="16"/>
      <c r="B140" s="87">
        <v>11</v>
      </c>
      <c r="C140" s="115" t="e">
        <f>IF(COUNTIFS(#REF!,B140)+SUMIFS(#REF!,#REF!,B140)=0,"-",COUNTIFS(#REF!,B140)+SUMIFS(#REF!,#REF!,B140))</f>
        <v>#REF!</v>
      </c>
      <c r="D140" s="28" t="e">
        <f>IF(SUMIFS(#REF!,#REF!,B140)=0,"-",SUMIFS(#REF!,#REF!,B140))</f>
        <v>#REF!</v>
      </c>
      <c r="E140" s="116" t="str">
        <f t="shared" si="15"/>
        <v>-</v>
      </c>
      <c r="F140" s="29" t="str">
        <f>IFERROR(AVERAGEIFS(#REF!,#REF!,B140)+(AVERAGEIFS(#REF!,#REF!,B140)*0.2),"-")</f>
        <v>-</v>
      </c>
      <c r="G140" s="29" t="str">
        <f t="shared" si="16"/>
        <v>-</v>
      </c>
      <c r="H140" s="29" t="str">
        <f>IFERROR(COUNTIFS(#REF!,B140,#REF!,"&gt;0")/C140*100,"-")</f>
        <v>-</v>
      </c>
      <c r="I140" s="29" t="str">
        <f>IF(IFERROR((COUNTIFS(#REF!,B140,#REF!,"k")+SUMIFS(#REF!,#REF!,B140,#REF!,"k"))/C140*100,"-")=0,"-",IFERROR((COUNTIFS(#REF!,B140,#REF!,"k")+SUMIFS(#REF!,#REF!,B140,#REF!,"k"))/C140*100,"-"))</f>
        <v>-</v>
      </c>
      <c r="J140" s="29" t="str">
        <f>IF(IFERROR((COUNTIFS(#REF!,B140,#REF!,"t")+SUMIFS(#REF!,#REF!,B140,#REF!,"t"))/C140*100,"-")=0,"-",IFERROR((COUNTIFS(#REF!,B140,#REF!,"t")+SUMIFS(#REF!,#REF!,B140,#REF!,"t"))/C140*100,"-"))</f>
        <v>-</v>
      </c>
      <c r="K140" s="28" t="e">
        <f>IF(SUMIFS(#REF!,#REF!,B140)=0,"-",SUMIFS(#REF!,#REF!,B140))</f>
        <v>#REF!</v>
      </c>
      <c r="L140" s="28" t="e">
        <f>IF(SUMIFS(#REF!,#REF!,B140)=0,"-",SUMIFS(#REF!,#REF!,B140))</f>
        <v>#REF!</v>
      </c>
      <c r="M140" s="28" t="str">
        <f t="shared" si="17"/>
        <v>-</v>
      </c>
      <c r="N140" s="28" t="str">
        <f t="shared" si="17"/>
        <v>-</v>
      </c>
    </row>
    <row r="141" spans="1:14" ht="11.1" customHeight="1" x14ac:dyDescent="0.25">
      <c r="A141" s="16"/>
      <c r="B141" s="115">
        <v>12</v>
      </c>
      <c r="C141" s="115" t="e">
        <f>IF(COUNTIFS(#REF!,B141)+SUMIFS(#REF!,#REF!,B141)=0,"-",COUNTIFS(#REF!,B141)+SUMIFS(#REF!,#REF!,B141))</f>
        <v>#REF!</v>
      </c>
      <c r="D141" s="28" t="e">
        <f>IF(SUMIFS(#REF!,#REF!,B141)=0,"-",SUMIFS(#REF!,#REF!,B141))</f>
        <v>#REF!</v>
      </c>
      <c r="E141" s="116" t="str">
        <f t="shared" si="15"/>
        <v>-</v>
      </c>
      <c r="F141" s="29" t="str">
        <f>IFERROR(AVERAGEIFS(#REF!,#REF!,B141)+(AVERAGEIFS(#REF!,#REF!,B141)*0.2),"-")</f>
        <v>-</v>
      </c>
      <c r="G141" s="29" t="str">
        <f t="shared" si="16"/>
        <v>-</v>
      </c>
      <c r="H141" s="29" t="str">
        <f>IFERROR(COUNTIFS(#REF!,B141,#REF!,"&gt;0")/C141*100,"-")</f>
        <v>-</v>
      </c>
      <c r="I141" s="29" t="str">
        <f>IF(IFERROR((COUNTIFS(#REF!,B141,#REF!,"k")+SUMIFS(#REF!,#REF!,B141,#REF!,"k"))/C141*100,"-")=0,"-",IFERROR((COUNTIFS(#REF!,B141,#REF!,"k")+SUMIFS(#REF!,#REF!,B141,#REF!,"k"))/C141*100,"-"))</f>
        <v>-</v>
      </c>
      <c r="J141" s="29" t="str">
        <f>IF(IFERROR((COUNTIFS(#REF!,B141,#REF!,"t")+SUMIFS(#REF!,#REF!,B141,#REF!,"t"))/C141*100,"-")=0,"-",IFERROR((COUNTIFS(#REF!,B141,#REF!,"t")+SUMIFS(#REF!,#REF!,B141,#REF!,"t"))/C141*100,"-"))</f>
        <v>-</v>
      </c>
      <c r="K141" s="28" t="e">
        <f>IF(SUMIFS(#REF!,#REF!,B141)=0,"-",SUMIFS(#REF!,#REF!,B141))</f>
        <v>#REF!</v>
      </c>
      <c r="L141" s="28" t="e">
        <f>IF(SUMIFS(#REF!,#REF!,B141)=0,"-",SUMIFS(#REF!,#REF!,B141))</f>
        <v>#REF!</v>
      </c>
      <c r="M141" s="28" t="str">
        <f t="shared" si="17"/>
        <v>-</v>
      </c>
      <c r="N141" s="28" t="str">
        <f t="shared" si="17"/>
        <v>-</v>
      </c>
    </row>
    <row r="142" spans="1:14" ht="11.1" customHeight="1" x14ac:dyDescent="0.25">
      <c r="A142" s="16"/>
      <c r="B142" s="87">
        <v>16</v>
      </c>
      <c r="C142" s="115" t="e">
        <f>IF(COUNTIFS(#REF!,B142)+SUMIFS(#REF!,#REF!,B142)=0,"-",COUNTIFS(#REF!,B142)+SUMIFS(#REF!,#REF!,B142))</f>
        <v>#REF!</v>
      </c>
      <c r="D142" s="28" t="e">
        <f>IF(SUMIFS(#REF!,#REF!,B142)=0,"-",SUMIFS(#REF!,#REF!,B142))</f>
        <v>#REF!</v>
      </c>
      <c r="E142" s="116" t="str">
        <f t="shared" si="15"/>
        <v>-</v>
      </c>
      <c r="F142" s="29" t="str">
        <f>IFERROR(AVERAGEIFS(#REF!,#REF!,B142)+(AVERAGEIFS(#REF!,#REF!,B142)*0.2),"-")</f>
        <v>-</v>
      </c>
      <c r="G142" s="29" t="str">
        <f t="shared" si="16"/>
        <v>-</v>
      </c>
      <c r="H142" s="29" t="str">
        <f>IFERROR(COUNTIFS(#REF!,B142,#REF!,"&gt;0")/C142*100,"-")</f>
        <v>-</v>
      </c>
      <c r="I142" s="29" t="str">
        <f>IF(IFERROR((COUNTIFS(#REF!,B142,#REF!,"k")+SUMIFS(#REF!,#REF!,B142,#REF!,"k"))/C142*100,"-")=0,"-",IFERROR((COUNTIFS(#REF!,B142,#REF!,"k")+SUMIFS(#REF!,#REF!,B142,#REF!,"k"))/C142*100,"-"))</f>
        <v>-</v>
      </c>
      <c r="J142" s="29" t="str">
        <f>IF(IFERROR((COUNTIFS(#REF!,B142,#REF!,"t")+SUMIFS(#REF!,#REF!,B142,#REF!,"t"))/C142*100,"-")=0,"-",IFERROR((COUNTIFS(#REF!,B142,#REF!,"t")+SUMIFS(#REF!,#REF!,B142,#REF!,"t"))/C142*100,"-"))</f>
        <v>-</v>
      </c>
      <c r="K142" s="28" t="e">
        <f>IF(SUMIFS(#REF!,#REF!,B142)=0,"-",SUMIFS(#REF!,#REF!,B142))</f>
        <v>#REF!</v>
      </c>
      <c r="L142" s="28" t="e">
        <f>IF(SUMIFS(#REF!,#REF!,B142)=0,"-",SUMIFS(#REF!,#REF!,B142))</f>
        <v>#REF!</v>
      </c>
      <c r="M142" s="28" t="str">
        <f t="shared" si="17"/>
        <v>-</v>
      </c>
      <c r="N142" s="28" t="str">
        <f t="shared" si="17"/>
        <v>-</v>
      </c>
    </row>
    <row r="143" spans="1:14" ht="11.1" customHeight="1" x14ac:dyDescent="0.25">
      <c r="A143" s="16"/>
      <c r="B143" s="115">
        <v>16.5</v>
      </c>
      <c r="C143" s="115" t="e">
        <f>IF(COUNTIFS(#REF!,B143)+SUMIFS(#REF!,#REF!,B143)=0,"-",COUNTIFS(#REF!,B143)+SUMIFS(#REF!,#REF!,B143))</f>
        <v>#REF!</v>
      </c>
      <c r="D143" s="28" t="e">
        <f>IF(SUMIFS(#REF!,#REF!,B143)=0,"-",SUMIFS(#REF!,#REF!,B143))</f>
        <v>#REF!</v>
      </c>
      <c r="E143" s="116" t="str">
        <f t="shared" si="15"/>
        <v>-</v>
      </c>
      <c r="F143" s="29" t="str">
        <f>IFERROR(AVERAGEIFS(#REF!,#REF!,B143)+(AVERAGEIFS(#REF!,#REF!,B143)*0.2),"-")</f>
        <v>-</v>
      </c>
      <c r="G143" s="29" t="str">
        <f t="shared" si="16"/>
        <v>-</v>
      </c>
      <c r="H143" s="29" t="str">
        <f>IFERROR(COUNTIFS(#REF!,B143,#REF!,"&gt;0")/C143*100,"-")</f>
        <v>-</v>
      </c>
      <c r="I143" s="29" t="str">
        <f>IF(IFERROR((COUNTIFS(#REF!,B143,#REF!,"k")+SUMIFS(#REF!,#REF!,B143,#REF!,"k"))/C143*100,"-")=0,"-",IFERROR((COUNTIFS(#REF!,B143,#REF!,"k")+SUMIFS(#REF!,#REF!,B143,#REF!,"k"))/C143*100,"-"))</f>
        <v>-</v>
      </c>
      <c r="J143" s="29" t="str">
        <f>IF(IFERROR((COUNTIFS(#REF!,B143,#REF!,"t")+SUMIFS(#REF!,#REF!,B143,#REF!,"t"))/C143*100,"-")=0,"-",IFERROR((COUNTIFS(#REF!,B143,#REF!,"t")+SUMIFS(#REF!,#REF!,B143,#REF!,"t"))/C143*100,"-"))</f>
        <v>-</v>
      </c>
      <c r="K143" s="28" t="e">
        <f>IF(SUMIFS(#REF!,#REF!,B143)=0,"-",SUMIFS(#REF!,#REF!,B143))</f>
        <v>#REF!</v>
      </c>
      <c r="L143" s="28" t="e">
        <f>IF(SUMIFS(#REF!,#REF!,B143)=0,"-",SUMIFS(#REF!,#REF!,B143))</f>
        <v>#REF!</v>
      </c>
      <c r="M143" s="28" t="str">
        <f t="shared" si="17"/>
        <v>-</v>
      </c>
      <c r="N143" s="28" t="str">
        <f t="shared" si="17"/>
        <v>-</v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9393" r:id="rId3" name="Button 1">
              <controlPr defaultSize="0" print="0" autoFill="0" autoPict="0" macro="[0]!obnoviti_TOT1">
                <anchor>
                  <from>
                    <xdr:col>1</xdr:col>
                    <xdr:colOff>47625</xdr:colOff>
                    <xdr:row>83</xdr:row>
                    <xdr:rowOff>0</xdr:rowOff>
                  </from>
                  <to>
                    <xdr:col>1</xdr:col>
                    <xdr:colOff>942975</xdr:colOff>
                    <xdr:row>83</xdr:row>
                    <xdr:rowOff>180975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3">
    <tabColor theme="4" tint="-0.249977111117893"/>
  </sheetPr>
  <dimension ref="A1:Q231"/>
  <sheetViews>
    <sheetView workbookViewId="0">
      <selection activeCell="E1" sqref="E1:N1"/>
    </sheetView>
  </sheetViews>
  <sheetFormatPr defaultRowHeight="9.9499999999999993" customHeight="1" x14ac:dyDescent="0.25"/>
  <cols>
    <col min="1" max="1" width="9.140625" style="4"/>
    <col min="2" max="2" width="7.7109375" style="6" customWidth="1"/>
    <col min="3" max="3" width="11.28515625" style="6" customWidth="1"/>
    <col min="4" max="4" width="3.5703125" style="18" customWidth="1"/>
    <col min="5" max="5" width="5.5703125" style="4" bestFit="1" customWidth="1"/>
    <col min="6" max="6" width="45.85546875" style="4" customWidth="1"/>
    <col min="7" max="9" width="2.28515625" style="4" customWidth="1"/>
    <col min="10" max="10" width="3.7109375" style="4" customWidth="1"/>
    <col min="11" max="11" width="5.85546875" style="4" customWidth="1"/>
    <col min="12" max="14" width="8.28515625" style="4" bestFit="1" customWidth="1"/>
    <col min="15" max="15" width="1.140625" style="4" customWidth="1"/>
    <col min="16" max="16" width="3.28515625" style="4" bestFit="1" customWidth="1"/>
    <col min="17" max="17" width="3.28515625" style="4" customWidth="1"/>
    <col min="18" max="16384" width="9.140625" style="4"/>
  </cols>
  <sheetData>
    <row r="1" spans="1:17" ht="9.9499999999999993" customHeight="1" x14ac:dyDescent="0.25">
      <c r="C1" s="97"/>
      <c r="E1" s="224" t="str" cm="1">
        <f t="array" ref="E1">"№"    &amp;   TEXT(SUM(1/COUNTIF(Baza[Date],Baza[Date])),"0")&amp;  "  "&amp;" ["&amp;IF(P2&gt;0," +","")&amp;TEXT(P2,"0,0")&amp;"] "&amp;                 TEXT(C2,"ДД.ММ.ГГ")</f>
        <v>№1   [-2,8] 01.01.21</v>
      </c>
      <c r="F1" s="224"/>
      <c r="G1" s="224"/>
      <c r="H1" s="224"/>
      <c r="I1" s="224"/>
      <c r="J1" s="224"/>
      <c r="K1" s="224"/>
      <c r="L1" s="224"/>
      <c r="M1" s="224"/>
      <c r="N1" s="224"/>
    </row>
    <row r="2" spans="1:17" ht="9.9499999999999993" customHeight="1" x14ac:dyDescent="0.25">
      <c r="B2" s="92" t="s">
        <v>5</v>
      </c>
      <c r="C2" s="98">
        <v>44197</v>
      </c>
      <c r="E2" s="224" t="str" cm="1">
        <f t="array" ref="E2">"№"    &amp;   TEXT(SUM(1/COUNTIF(Baza[Date],Baza[Date])),"0")&amp;  "  "&amp;" "&amp;IF(P2&gt;0," [[color=#00FF00]+","[[color=#FF0000]")&amp;TEXT(P2,"0,0")&amp;"[/color]] "&amp;                 TEXT(C2,"ДД.ММ.ГГ")</f>
        <v>№1   [[color=#FF0000]-2,8[/color]] 01.01.21</v>
      </c>
      <c r="F2" s="224"/>
      <c r="G2" s="224"/>
      <c r="H2" s="224"/>
      <c r="I2" s="224"/>
      <c r="J2" s="224"/>
      <c r="K2" s="224"/>
      <c r="L2" s="224"/>
      <c r="M2" s="224"/>
      <c r="N2" s="224"/>
      <c r="O2" s="6"/>
      <c r="P2" s="225">
        <f>VLOOKUP(C2,Data!B87:O9999,14,0)</f>
        <v>-2.7900000000000098</v>
      </c>
      <c r="Q2" s="225"/>
    </row>
    <row r="4" spans="1:17" ht="9.9499999999999993" customHeight="1" x14ac:dyDescent="0.25">
      <c r="A4" s="4">
        <v>1</v>
      </c>
      <c r="B4" s="92" t="s">
        <v>18</v>
      </c>
      <c r="C4" s="97"/>
      <c r="E4" s="167" t="s">
        <v>1</v>
      </c>
      <c r="F4" s="221" t="s">
        <v>3</v>
      </c>
      <c r="G4" s="222"/>
      <c r="H4" s="222"/>
      <c r="I4" s="222"/>
      <c r="J4" s="222"/>
      <c r="K4" s="223"/>
      <c r="L4" s="168" t="s">
        <v>6</v>
      </c>
      <c r="M4" s="168" t="s">
        <v>23</v>
      </c>
      <c r="N4" s="168" t="s">
        <v>136</v>
      </c>
      <c r="P4" s="7"/>
      <c r="Q4" s="7"/>
    </row>
    <row r="5" spans="1:17" ht="9.9499999999999993" customHeight="1" x14ac:dyDescent="0.25">
      <c r="A5" s="4">
        <v>2</v>
      </c>
      <c r="B5" s="48">
        <v>1</v>
      </c>
      <c r="C5" s="97"/>
      <c r="D5" s="111">
        <f>IF(B5="","",D4+1)</f>
        <v>1</v>
      </c>
      <c r="E5" s="8">
        <f>IFERROR(VLOOKUP(B5,Baza[],7,0),"")</f>
        <v>0.45833333333333331</v>
      </c>
      <c r="F5" s="9" t="str">
        <f>IF(AND(B5="",B4&gt;0),"                           Total:   Games: "&amp;VLOOKUP($C$2,Data!$B$87:$N$9999,4,0)&amp;"     Buy-in: $ "&amp;TEXT(VLOOKUP($C$2,Data!$B$87:$N$9999,5,0),"0,0")&amp;"     ABI: $ "&amp;TEXT(VLOOKUP($C$2,Data!$B$87:$N$9999,6,0),"0,0"),IFERROR( IF(VLOOKUP(B5,Baza[],18,0)&gt;0," ["&amp;VLOOKUP(B5,Baza[],18,0)+1&amp;"] ","   ")      &amp;IFERROR(IF(OR(VLOOKUP(B5,Baza[],9,0)="WN",VLOOKUP(B5,Baza[],9,0)="ES"),"€ ","$ ")&amp;      VLOOKUP(B5,Baza[],8,0),"")         &amp;" ["&amp;VLOOKUP(B5,Baza[],9,0)&amp;"] "&amp;VLOOKUP(B5,Baza[],10,0)&amp;IF(VLOOKUP(B5,Baza[],12,0)="T"," [Turbo]",   IF(VLOOKUP(B5,Baza[],12,0)="H"," [Hyper]",                                 "") )            &amp;  IF(VLOOKUP(B5,Baza[],14,0)="s",   ", "&amp;VLOOKUP(B5,Baza[],15,0)&amp;" Tickets",                                                                                                 IF(OR(VLOOKUP(B5,Baza[],14,0)="XP",VLOOKUP(B5,Baza[],14,0)="XP2"),VLOOKUP(B5,Baza[],15,0),            IF(OR(VLOOKUP(B5,Baza[],9,0)="WN",VLOOKUP(B5,Baza[],9,0)="ES"),", €",", $")&amp;                          IF(VLOOKUP(B5,Baza[],15,0)&lt;1000,VLOOKUP(B5,Baza[],15,0),IF(VLOOKUP(B5,Baza[],15,0)&lt;1000000,IF(VLOOKUP(B5,Baza[],15,0)/1000=INT(VLOOKUP(B5,Baza[],15,0)/1000),TEXT(VLOOKUP(B5,Baza[],15,0),"#0 K"),TEXT(VLOOKUP(B5,Baza[],15,0),"#0,0 K")), IF(VLOOKUP(B5,Baza[],15,0)/1000000=INT(VLOOKUP(B5,Baza[],15,0)/1000000),TEXT(VLOOKUP(B5,Baza[],15,0),"# ###  M"),TEXT(VLOOKUP(B5,Baza[],15,0),"# ###,0  M")))))),""))</f>
        <v xml:space="preserve">   $ 1,1 [PP] Bounty Hunter, $50</v>
      </c>
      <c r="G5" s="10"/>
      <c r="H5" s="10"/>
      <c r="I5" s="10"/>
      <c r="J5" s="10"/>
      <c r="K5" s="11" t="str">
        <f>IFERROR(IF(VLOOKUP(B5,Baza[],14,0)="s","Sat",IF(VLOOKUP(B5,Baza[],14,0)="XP","Phase",                                         IF(VLOOKUP(B5,Baza[],19,0)="-","",VLOOKUP(B5,Baza[],19,0)))),"")</f>
        <v/>
      </c>
      <c r="L5" s="12" t="str">
        <f>IF(AND(B5="",B4&gt;0),SUM($L4:L$5),IFERROR(IF(VLOOKUP(B5,Baza[],21,0)=0,"-",VLOOKUP(B5,Baza[],21,0)),""))</f>
        <v>-</v>
      </c>
      <c r="M5" s="12" t="str">
        <f>IF(AND(B5="",B4&gt;0),SUM($M4:M$5),IFERROR(IF(VLOOKUP(B5,Baza[],22,0)=0,"-",VLOOKUP(B5,Baza[],22,0)),""))</f>
        <v>-</v>
      </c>
      <c r="N5" s="12">
        <f>IF(AND(B5="",B4&gt;0),SUM($N4:N$5),IFERROR(VLOOKUP(B5,Baza[],23,0),""))</f>
        <v>-1.1000000000000001</v>
      </c>
      <c r="P5" s="13" t="str">
        <f>IFERROR(VLOOKUP(B5,Baza[],14,0),"")</f>
        <v>-</v>
      </c>
      <c r="Q5" s="13" t="str">
        <f>IFERROR(VLOOKUP(B5,Baza[],13,0),"")</f>
        <v>K</v>
      </c>
    </row>
    <row r="6" spans="1:17" ht="9.9499999999999993" customHeight="1" x14ac:dyDescent="0.25">
      <c r="A6" s="4">
        <v>1</v>
      </c>
      <c r="B6" s="48">
        <v>2</v>
      </c>
      <c r="C6" s="97"/>
      <c r="D6" s="111">
        <f t="shared" ref="D6:D69" si="0">IF(B6="","",D5+1)</f>
        <v>2</v>
      </c>
      <c r="E6" s="8">
        <f>IFERROR(VLOOKUP(B6,Baza[],7,0),"")</f>
        <v>0.45833333333333331</v>
      </c>
      <c r="F6" s="9" t="str">
        <f>IF(AND(B6="",B5&gt;0),"                           Total:   Games: "&amp;VLOOKUP($C$2,Data!$B$87:$N$9999,4,0)&amp;"     Buy-in: $ "&amp;TEXT(VLOOKUP($C$2,Data!$B$87:$N$9999,5,0),"0,0")&amp;"     ABI: $ "&amp;TEXT(VLOOKUP($C$2,Data!$B$87:$N$9999,6,0),"0,0"),IFERROR( IF(VLOOKUP(B6,Baza[],18,0)&gt;0," ["&amp;VLOOKUP(B6,Baza[],18,0)+1&amp;"] ","   ")      &amp;IFERROR(IF(OR(VLOOKUP(B6,Baza[],9,0)="WN",VLOOKUP(B6,Baza[],9,0)="ES"),"€ ","$ ")&amp;      VLOOKUP(B6,Baza[],8,0),"")         &amp;" ["&amp;VLOOKUP(B6,Baza[],9,0)&amp;"] "&amp;VLOOKUP(B6,Baza[],10,0)&amp;IF(VLOOKUP(B6,Baza[],12,0)="T"," [Turbo]",   IF(VLOOKUP(B6,Baza[],12,0)="H"," [Hyper]",                                 "") )            &amp;  IF(VLOOKUP(B6,Baza[],14,0)="s",   ", "&amp;VLOOKUP(B6,Baza[],15,0)&amp;" Tickets",                                                                                                 IF(OR(VLOOKUP(B6,Baza[],14,0)="XP",VLOOKUP(B6,Baza[],14,0)="XP2"),VLOOKUP(B6,Baza[],15,0),            IF(OR(VLOOKUP(B6,Baza[],9,0)="WN",VLOOKUP(B6,Baza[],9,0)="ES"),", €",", $")&amp;                          IF(VLOOKUP(B6,Baza[],15,0)&lt;1000,VLOOKUP(B6,Baza[],15,0),IF(VLOOKUP(B6,Baza[],15,0)&lt;1000000,IF(VLOOKUP(B6,Baza[],15,0)/1000=INT(VLOOKUP(B6,Baza[],15,0)/1000),TEXT(VLOOKUP(B6,Baza[],15,0),"#0 K"),TEXT(VLOOKUP(B6,Baza[],15,0),"#0,0 K")), IF(VLOOKUP(B6,Baza[],15,0)/1000000=INT(VLOOKUP(B6,Baza[],15,0)/1000000),TEXT(VLOOKUP(B6,Baza[],15,0),"# ###  M"),TEXT(VLOOKUP(B6,Baza[],15,0),"# ###,0  M")))))),""))</f>
        <v xml:space="preserve">   € 1 [WN] Monster Stack, €150</v>
      </c>
      <c r="G6" s="10"/>
      <c r="H6" s="10"/>
      <c r="I6" s="10"/>
      <c r="J6" s="10"/>
      <c r="K6" s="11" t="str">
        <f>IFERROR(IF(VLOOKUP(B6,Baza[],14,0)="s","Sat",IF(VLOOKUP(B6,Baza[],14,0)="XP","Phase",                                         IF(VLOOKUP(B6,Baza[],19,0)="-","",VLOOKUP(B6,Baza[],19,0)))),"")</f>
        <v/>
      </c>
      <c r="L6" s="12" t="str">
        <f>IF(AND(B6="",B5&gt;0),SUM($L5:L$5),IFERROR(IF(VLOOKUP(B6,Baza[],21,0)=0,"-",VLOOKUP(B6,Baza[],21,0)),""))</f>
        <v>-</v>
      </c>
      <c r="M6" s="12" t="str">
        <f>IF(AND(B6="",B5&gt;0),SUM($M5:M$5),IFERROR(IF(VLOOKUP(B6,Baza[],22,0)=0,"-",VLOOKUP(B6,Baza[],22,0)),""))</f>
        <v>-</v>
      </c>
      <c r="N6" s="12">
        <f>IF(AND(B6="",B5&gt;0),SUM($N5:N$5),IFERROR(VLOOKUP(B6,Baza[],23,0),""))</f>
        <v>-1.1200000000000001</v>
      </c>
      <c r="P6" s="13" t="str">
        <f>IFERROR(VLOOKUP(B6,Baza[],14,0),"")</f>
        <v>-</v>
      </c>
      <c r="Q6" s="13" t="str">
        <f>IFERROR(VLOOKUP(B6,Baza[],13,0),"")</f>
        <v>-</v>
      </c>
    </row>
    <row r="7" spans="1:17" ht="9.9499999999999993" customHeight="1" x14ac:dyDescent="0.25">
      <c r="A7" s="4">
        <v>2</v>
      </c>
      <c r="B7" s="48">
        <v>3</v>
      </c>
      <c r="C7" s="97"/>
      <c r="D7" s="111">
        <f t="shared" si="0"/>
        <v>3</v>
      </c>
      <c r="E7" s="8">
        <f>IFERROR(VLOOKUP(B7,Baza[],7,0),"")</f>
        <v>0.46875</v>
      </c>
      <c r="F7" s="9" t="str">
        <f>IF(AND(B7="",B6&gt;0),"                           Total:   Games: "&amp;VLOOKUP($C$2,Data!$B$87:$N$9999,4,0)&amp;"     Buy-in: $ "&amp;TEXT(VLOOKUP($C$2,Data!$B$87:$N$9999,5,0),"0,0")&amp;"     ABI: $ "&amp;TEXT(VLOOKUP($C$2,Data!$B$87:$N$9999,6,0),"0,0"),IFERROR( IF(VLOOKUP(B7,Baza[],18,0)&gt;0," ["&amp;VLOOKUP(B7,Baza[],18,0)+1&amp;"] ","   ")      &amp;IFERROR(IF(OR(VLOOKUP(B7,Baza[],9,0)="WN",VLOOKUP(B7,Baza[],9,0)="ES"),"€ ","$ ")&amp;      VLOOKUP(B7,Baza[],8,0),"")         &amp;" ["&amp;VLOOKUP(B7,Baza[],9,0)&amp;"] "&amp;VLOOKUP(B7,Baza[],10,0)&amp;IF(VLOOKUP(B7,Baza[],12,0)="T"," [Turbo]",   IF(VLOOKUP(B7,Baza[],12,0)="H"," [Hyper]",                                 "") )            &amp;  IF(VLOOKUP(B7,Baza[],14,0)="s",   ", "&amp;VLOOKUP(B7,Baza[],15,0)&amp;" Tickets",                                                                                                 IF(OR(VLOOKUP(B7,Baza[],14,0)="XP",VLOOKUP(B7,Baza[],14,0)="XP2"),VLOOKUP(B7,Baza[],15,0),            IF(OR(VLOOKUP(B7,Baza[],9,0)="WN",VLOOKUP(B7,Baza[],9,0)="ES"),", €",", $")&amp;                          IF(VLOOKUP(B7,Baza[],15,0)&lt;1000,VLOOKUP(B7,Baza[],15,0),IF(VLOOKUP(B7,Baza[],15,0)&lt;1000000,IF(VLOOKUP(B7,Baza[],15,0)/1000=INT(VLOOKUP(B7,Baza[],15,0)/1000),TEXT(VLOOKUP(B7,Baza[],15,0),"#0 K"),TEXT(VLOOKUP(B7,Baza[],15,0),"#0,0 K")), IF(VLOOKUP(B7,Baza[],15,0)/1000000=INT(VLOOKUP(B7,Baza[],15,0)/1000000),TEXT(VLOOKUP(B7,Baza[],15,0),"# ###  M"),TEXT(VLOOKUP(B7,Baza[],15,0),"# ###,0  M")))))),""))</f>
        <v xml:space="preserve">   $ 2,2 [PP] Deepstack, $200</v>
      </c>
      <c r="G7" s="10"/>
      <c r="H7" s="10"/>
      <c r="I7" s="10"/>
      <c r="J7" s="10"/>
      <c r="K7" s="11" t="str">
        <f>IFERROR(IF(VLOOKUP(B7,Baza[],14,0)="s","Sat",IF(VLOOKUP(B7,Baza[],14,0)="XP","Phase",                                         IF(VLOOKUP(B7,Baza[],19,0)="-","",VLOOKUP(B7,Baza[],19,0)))),"")</f>
        <v/>
      </c>
      <c r="L7" s="12" t="str">
        <f>IF(AND(B7="",B6&gt;0),SUM($L$5:L6),IFERROR(IF(VLOOKUP(B7,Baza[],21,0)=0,"-",VLOOKUP(B7,Baza[],21,0)),""))</f>
        <v>-</v>
      </c>
      <c r="M7" s="12" t="str">
        <f>IF(AND(B7="",B6&gt;0),SUM($M$5:M6),IFERROR(IF(VLOOKUP(B7,Baza[],22,0)=0,"-",VLOOKUP(B7,Baza[],22,0)),""))</f>
        <v>-</v>
      </c>
      <c r="N7" s="12">
        <f>IF(AND(B7="",B6&gt;0),SUM($N$5:N6),IFERROR(VLOOKUP(B7,Baza[],23,0),""))</f>
        <v>-2.2000000000000002</v>
      </c>
      <c r="P7" s="13" t="str">
        <f>IFERROR(VLOOKUP(B7,Baza[],14,0),"")</f>
        <v>-</v>
      </c>
      <c r="Q7" s="13" t="str">
        <f>IFERROR(VLOOKUP(B7,Baza[],13,0),"")</f>
        <v>-</v>
      </c>
    </row>
    <row r="8" spans="1:17" ht="9.9499999999999993" customHeight="1" x14ac:dyDescent="0.25">
      <c r="A8" s="4">
        <v>1</v>
      </c>
      <c r="B8" s="48">
        <v>4</v>
      </c>
      <c r="C8" s="97"/>
      <c r="D8" s="111">
        <f t="shared" si="0"/>
        <v>4</v>
      </c>
      <c r="E8" s="8">
        <f>IFERROR(VLOOKUP(B8,Baza[],7,0),"")</f>
        <v>0.47916666666666669</v>
      </c>
      <c r="F8" s="9" t="str">
        <f>IF(AND(B8="",B7&gt;0),"                           Total:   Games: "&amp;VLOOKUP($C$2,Data!$B$87:$N$9999,4,0)&amp;"     Buy-in: $ "&amp;TEXT(VLOOKUP($C$2,Data!$B$87:$N$9999,5,0),"0,0")&amp;"     ABI: $ "&amp;TEXT(VLOOKUP($C$2,Data!$B$87:$N$9999,6,0),"0,0"),IFERROR( IF(VLOOKUP(B8,Baza[],18,0)&gt;0," ["&amp;VLOOKUP(B8,Baza[],18,0)+1&amp;"] ","   ")      &amp;IFERROR(IF(OR(VLOOKUP(B8,Baza[],9,0)="WN",VLOOKUP(B8,Baza[],9,0)="ES"),"€ ","$ ")&amp;      VLOOKUP(B8,Baza[],8,0),"")         &amp;" ["&amp;VLOOKUP(B8,Baza[],9,0)&amp;"] "&amp;VLOOKUP(B8,Baza[],10,0)&amp;IF(VLOOKUP(B8,Baza[],12,0)="T"," [Turbo]",   IF(VLOOKUP(B8,Baza[],12,0)="H"," [Hyper]",                                 "") )            &amp;  IF(VLOOKUP(B8,Baza[],14,0)="s",   ", "&amp;VLOOKUP(B8,Baza[],15,0)&amp;" Tickets",                                                                                                 IF(OR(VLOOKUP(B8,Baza[],14,0)="XP",VLOOKUP(B8,Baza[],14,0)="XP2"),VLOOKUP(B8,Baza[],15,0),            IF(OR(VLOOKUP(B8,Baza[],9,0)="WN",VLOOKUP(B8,Baza[],9,0)="ES"),", €",", $")&amp;                          IF(VLOOKUP(B8,Baza[],15,0)&lt;1000,VLOOKUP(B8,Baza[],15,0),IF(VLOOKUP(B8,Baza[],15,0)&lt;1000000,IF(VLOOKUP(B8,Baza[],15,0)/1000=INT(VLOOKUP(B8,Baza[],15,0)/1000),TEXT(VLOOKUP(B8,Baza[],15,0),"#0 K"),TEXT(VLOOKUP(B8,Baza[],15,0),"#0,0 K")), IF(VLOOKUP(B8,Baza[],15,0)/1000000=INT(VLOOKUP(B8,Baza[],15,0)/1000000),TEXT(VLOOKUP(B8,Baza[],15,0),"# ###  M"),TEXT(VLOOKUP(B8,Baza[],15,0),"# ###,0  M")))))),""))</f>
        <v xml:space="preserve">   $ 2,1 [GG] Bounty Hunters, $1,2K</v>
      </c>
      <c r="G8" s="10"/>
      <c r="H8" s="10"/>
      <c r="I8" s="10"/>
      <c r="J8" s="10"/>
      <c r="K8" s="11" t="str">
        <f>IFERROR(IF(VLOOKUP(B8,Baza[],14,0)="s","Sat",IF(VLOOKUP(B8,Baza[],14,0)="XP","Phase",                                         IF(VLOOKUP(B8,Baza[],19,0)="-","",VLOOKUP(B8,Baza[],19,0)))),"")</f>
        <v/>
      </c>
      <c r="L8" s="12" t="str">
        <f>IF(AND(B8="",B7&gt;0),SUM($L$5:L7),IFERROR(IF(VLOOKUP(B8,Baza[],21,0)=0,"-",VLOOKUP(B8,Baza[],21,0)),""))</f>
        <v>-</v>
      </c>
      <c r="M8" s="12" t="str">
        <f>IF(AND(B8="",B7&gt;0),SUM($M$5:M7),IFERROR(IF(VLOOKUP(B8,Baza[],22,0)=0,"-",VLOOKUP(B8,Baza[],22,0)),""))</f>
        <v>-</v>
      </c>
      <c r="N8" s="12">
        <f>IF(AND(B8="",B7&gt;0),SUM($N$5:N7),IFERROR(VLOOKUP(B8,Baza[],23,0),""))</f>
        <v>-2.1</v>
      </c>
      <c r="P8" s="13" t="str">
        <f>IFERROR(VLOOKUP(B8,Baza[],14,0),"")</f>
        <v>-</v>
      </c>
      <c r="Q8" s="13" t="str">
        <f>IFERROR(VLOOKUP(B8,Baza[],13,0),"")</f>
        <v>K</v>
      </c>
    </row>
    <row r="9" spans="1:17" ht="9.9499999999999993" customHeight="1" x14ac:dyDescent="0.25">
      <c r="A9" s="4">
        <v>2</v>
      </c>
      <c r="B9" s="48">
        <v>5</v>
      </c>
      <c r="C9" s="97"/>
      <c r="D9" s="111">
        <f t="shared" si="0"/>
        <v>5</v>
      </c>
      <c r="E9" s="8">
        <f>IFERROR(VLOOKUP(B9,Baza[],7,0),"")</f>
        <v>0.5</v>
      </c>
      <c r="F9" s="9" t="str">
        <f>IF(AND(B9="",B8&gt;0),"                           Total:   Games: "&amp;VLOOKUP($C$2,Data!$B$87:$N$9999,4,0)&amp;"     Buy-in: $ "&amp;TEXT(VLOOKUP($C$2,Data!$B$87:$N$9999,5,0),"0,0")&amp;"     ABI: $ "&amp;TEXT(VLOOKUP($C$2,Data!$B$87:$N$9999,6,0),"0,0"),IFERROR( IF(VLOOKUP(B9,Baza[],18,0)&gt;0," ["&amp;VLOOKUP(B9,Baza[],18,0)+1&amp;"] ","   ")      &amp;IFERROR(IF(OR(VLOOKUP(B9,Baza[],9,0)="WN",VLOOKUP(B9,Baza[],9,0)="ES"),"€ ","$ ")&amp;      VLOOKUP(B9,Baza[],8,0),"")         &amp;" ["&amp;VLOOKUP(B9,Baza[],9,0)&amp;"] "&amp;VLOOKUP(B9,Baza[],10,0)&amp;IF(VLOOKUP(B9,Baza[],12,0)="T"," [Turbo]",   IF(VLOOKUP(B9,Baza[],12,0)="H"," [Hyper]",                                 "") )            &amp;  IF(VLOOKUP(B9,Baza[],14,0)="s",   ", "&amp;VLOOKUP(B9,Baza[],15,0)&amp;" Tickets",                                                                                                 IF(OR(VLOOKUP(B9,Baza[],14,0)="XP",VLOOKUP(B9,Baza[],14,0)="XP2"),VLOOKUP(B9,Baza[],15,0),            IF(OR(VLOOKUP(B9,Baza[],9,0)="WN",VLOOKUP(B9,Baza[],9,0)="ES"),", €",", $")&amp;                          IF(VLOOKUP(B9,Baza[],15,0)&lt;1000,VLOOKUP(B9,Baza[],15,0),IF(VLOOKUP(B9,Baza[],15,0)&lt;1000000,IF(VLOOKUP(B9,Baza[],15,0)/1000=INT(VLOOKUP(B9,Baza[],15,0)/1000),TEXT(VLOOKUP(B9,Baza[],15,0),"#0 K"),TEXT(VLOOKUP(B9,Baza[],15,0),"#0,0 K")), IF(VLOOKUP(B9,Baza[],15,0)/1000000=INT(VLOOKUP(B9,Baza[],15,0)/1000000),TEXT(VLOOKUP(B9,Baza[],15,0),"# ###  M"),TEXT(VLOOKUP(B9,Baza[],15,0),"# ###,0  M")))))),""))</f>
        <v xml:space="preserve">   $ 1,1 [PP] Deepstack, $150</v>
      </c>
      <c r="G9" s="10"/>
      <c r="H9" s="10"/>
      <c r="I9" s="10"/>
      <c r="J9" s="10"/>
      <c r="K9" s="11" t="str">
        <f>IFERROR(IF(VLOOKUP(B9,Baza[],14,0)="s","Sat",IF(VLOOKUP(B9,Baza[],14,0)="XP","Phase",                                         IF(VLOOKUP(B9,Baza[],19,0)="-","",VLOOKUP(B9,Baza[],19,0)))),"")</f>
        <v/>
      </c>
      <c r="L9" s="12" t="str">
        <f>IF(AND(B9="",B8&gt;0),SUM($L$5:L8),IFERROR(IF(VLOOKUP(B9,Baza[],21,0)=0,"-",VLOOKUP(B9,Baza[],21,0)),""))</f>
        <v>-</v>
      </c>
      <c r="M9" s="12" t="str">
        <f>IF(AND(B9="",B8&gt;0),SUM($M$5:M8),IFERROR(IF(VLOOKUP(B9,Baza[],22,0)=0,"-",VLOOKUP(B9,Baza[],22,0)),""))</f>
        <v>-</v>
      </c>
      <c r="N9" s="12">
        <f>IF(AND(B9="",B8&gt;0),SUM($N$5:N8),IFERROR(VLOOKUP(B9,Baza[],23,0),""))</f>
        <v>-1.1000000000000001</v>
      </c>
      <c r="P9" s="13" t="str">
        <f>IFERROR(VLOOKUP(B9,Baza[],14,0),"")</f>
        <v>-</v>
      </c>
      <c r="Q9" s="13" t="str">
        <f>IFERROR(VLOOKUP(B9,Baza[],13,0),"")</f>
        <v>-</v>
      </c>
    </row>
    <row r="10" spans="1:17" ht="9.9499999999999993" customHeight="1" x14ac:dyDescent="0.25">
      <c r="A10" s="4">
        <v>1</v>
      </c>
      <c r="B10" s="48">
        <v>6</v>
      </c>
      <c r="C10" s="97"/>
      <c r="D10" s="111">
        <f t="shared" si="0"/>
        <v>6</v>
      </c>
      <c r="E10" s="8">
        <f>IFERROR(VLOOKUP(B10,Baza[],7,0),"")</f>
        <v>0.5</v>
      </c>
      <c r="F10" s="9" t="str">
        <f>IF(AND(B10="",B9&gt;0),"                           Total:   Games: "&amp;VLOOKUP($C$2,Data!$B$87:$N$9999,4,0)&amp;"     Buy-in: $ "&amp;TEXT(VLOOKUP($C$2,Data!$B$87:$N$9999,5,0),"0,0")&amp;"     ABI: $ "&amp;TEXT(VLOOKUP($C$2,Data!$B$87:$N$9999,6,0),"0,0"),IFERROR( IF(VLOOKUP(B10,Baza[],18,0)&gt;0," ["&amp;VLOOKUP(B10,Baza[],18,0)+1&amp;"] ","   ")      &amp;IFERROR(IF(OR(VLOOKUP(B10,Baza[],9,0)="WN",VLOOKUP(B10,Baza[],9,0)="ES"),"€ ","$ ")&amp;      VLOOKUP(B10,Baza[],8,0),"")         &amp;" ["&amp;VLOOKUP(B10,Baza[],9,0)&amp;"] "&amp;VLOOKUP(B10,Baza[],10,0)&amp;IF(VLOOKUP(B10,Baza[],12,0)="T"," [Turbo]",   IF(VLOOKUP(B10,Baza[],12,0)="H"," [Hyper]",                                 "") )            &amp;  IF(VLOOKUP(B10,Baza[],14,0)="s",   ", "&amp;VLOOKUP(B10,Baza[],15,0)&amp;" Tickets",                                                                                                 IF(OR(VLOOKUP(B10,Baza[],14,0)="XP",VLOOKUP(B10,Baza[],14,0)="XP2"),VLOOKUP(B10,Baza[],15,0),            IF(OR(VLOOKUP(B10,Baza[],9,0)="WN",VLOOKUP(B10,Baza[],9,0)="ES"),", €",", $")&amp;                          IF(VLOOKUP(B10,Baza[],15,0)&lt;1000,VLOOKUP(B10,Baza[],15,0),IF(VLOOKUP(B10,Baza[],15,0)&lt;1000000,IF(VLOOKUP(B10,Baza[],15,0)/1000=INT(VLOOKUP(B10,Baza[],15,0)/1000),TEXT(VLOOKUP(B10,Baza[],15,0),"#0 K"),TEXT(VLOOKUP(B10,Baza[],15,0),"#0,0 K")), IF(VLOOKUP(B10,Baza[],15,0)/1000000=INT(VLOOKUP(B10,Baza[],15,0)/1000000),TEXT(VLOOKUP(B10,Baza[],15,0),"# ###  M"),TEXT(VLOOKUP(B10,Baza[],15,0),"# ###,0  M")))))),""))</f>
        <v xml:space="preserve">   $ 1,1 [PS] Big, $500</v>
      </c>
      <c r="G10" s="10"/>
      <c r="H10" s="10"/>
      <c r="I10" s="10"/>
      <c r="J10" s="10"/>
      <c r="K10" s="11">
        <f>IFERROR(IF(VLOOKUP(B10,Baza[],14,0)="s","Sat",IF(VLOOKUP(B10,Baza[],14,0)="XP","Phase",                                         IF(VLOOKUP(B10,Baza[],19,0)="-","",VLOOKUP(B10,Baza[],19,0)))),"")</f>
        <v>42</v>
      </c>
      <c r="L10" s="12" t="str">
        <f>IF(AND(B10="",B9&gt;0),SUM($L$5:L9),IFERROR(IF(VLOOKUP(B10,Baza[],21,0)=0,"-",VLOOKUP(B10,Baza[],21,0)),""))</f>
        <v>-</v>
      </c>
      <c r="M10" s="12">
        <f>IF(AND(B10="",B9&gt;0),SUM($M$5:M9),IFERROR(IF(VLOOKUP(B10,Baza[],22,0)=0,"-",VLOOKUP(B10,Baza[],22,0)),""))</f>
        <v>6.26</v>
      </c>
      <c r="N10" s="12">
        <f>IF(AND(B10="",B9&gt;0),SUM($N$5:N9),IFERROR(VLOOKUP(B10,Baza[],23,0),""))</f>
        <v>5.16</v>
      </c>
      <c r="P10" s="13" t="str">
        <f>IFERROR(VLOOKUP(B10,Baza[],14,0),"")</f>
        <v>-</v>
      </c>
      <c r="Q10" s="13" t="str">
        <f>IFERROR(VLOOKUP(B10,Baza[],13,0),"")</f>
        <v>-</v>
      </c>
    </row>
    <row r="11" spans="1:17" ht="9.9499999999999993" customHeight="1" x14ac:dyDescent="0.25">
      <c r="A11" s="4">
        <v>2</v>
      </c>
      <c r="B11" s="48">
        <v>7</v>
      </c>
      <c r="C11" s="97"/>
      <c r="D11" s="111">
        <f t="shared" si="0"/>
        <v>7</v>
      </c>
      <c r="E11" s="14">
        <f>IFERROR(VLOOKUP(B11,Baza[],7,0),"")</f>
        <v>0.5</v>
      </c>
      <c r="F11" s="9" t="str">
        <f>IF(AND(B11="",B10&gt;0),"                           Total:   Games: "&amp;VLOOKUP($C$2,Data!$B$87:$N$9999,4,0)&amp;"     Buy-in: $ "&amp;TEXT(VLOOKUP($C$2,Data!$B$87:$N$9999,5,0),"0,0")&amp;"     ABI: $ "&amp;TEXT(VLOOKUP($C$2,Data!$B$87:$N$9999,6,0),"0,0"),IFERROR( IF(VLOOKUP(B11,Baza[],18,0)&gt;0," ["&amp;VLOOKUP(B11,Baza[],18,0)+1&amp;"] ","   ")      &amp;IFERROR(IF(OR(VLOOKUP(B11,Baza[],9,0)="WN",VLOOKUP(B11,Baza[],9,0)="ES"),"€ ","$ ")&amp;      VLOOKUP(B11,Baza[],8,0),"")         &amp;" ["&amp;VLOOKUP(B11,Baza[],9,0)&amp;"] "&amp;VLOOKUP(B11,Baza[],10,0)&amp;IF(VLOOKUP(B11,Baza[],12,0)="T"," [Turbo]",   IF(VLOOKUP(B11,Baza[],12,0)="H"," [Hyper]",                                 "") )            &amp;  IF(VLOOKUP(B11,Baza[],14,0)="s",   ", "&amp;VLOOKUP(B11,Baza[],15,0)&amp;" Tickets",                                                                                                 IF(OR(VLOOKUP(B11,Baza[],14,0)="XP",VLOOKUP(B11,Baza[],14,0)="XP2"),VLOOKUP(B11,Baza[],15,0),            IF(OR(VLOOKUP(B11,Baza[],9,0)="WN",VLOOKUP(B11,Baza[],9,0)="ES"),", €",", $")&amp;                          IF(VLOOKUP(B11,Baza[],15,0)&lt;1000,VLOOKUP(B11,Baza[],15,0),IF(VLOOKUP(B11,Baza[],15,0)&lt;1000000,IF(VLOOKUP(B11,Baza[],15,0)/1000=INT(VLOOKUP(B11,Baza[],15,0)/1000),TEXT(VLOOKUP(B11,Baza[],15,0),"#0 K"),TEXT(VLOOKUP(B11,Baza[],15,0),"#0,0 K")), IF(VLOOKUP(B11,Baza[],15,0)/1000000=INT(VLOOKUP(B11,Baza[],15,0)/1000000),TEXT(VLOOKUP(B11,Baza[],15,0),"# ###  M"),TEXT(VLOOKUP(B11,Baza[],15,0),"# ###,0  M")))))),""))</f>
        <v xml:space="preserve">   € 2 [WN] Monster Stack, €200</v>
      </c>
      <c r="G11" s="15"/>
      <c r="H11" s="15"/>
      <c r="I11" s="15"/>
      <c r="J11" s="15"/>
      <c r="K11" s="11" t="str">
        <f>IFERROR(IF(VLOOKUP(B11,Baza[],14,0)="s","Sat",IF(VLOOKUP(B11,Baza[],14,0)="XP","Phase",                                         IF(VLOOKUP(B11,Baza[],19,0)="-","",VLOOKUP(B11,Baza[],19,0)))),"")</f>
        <v/>
      </c>
      <c r="L11" s="12" t="str">
        <f>IF(AND(B11="",B10&gt;0),SUM($L$5:L10),IFERROR(IF(VLOOKUP(B11,Baza[],21,0)=0,"-",VLOOKUP(B11,Baza[],21,0)),""))</f>
        <v>-</v>
      </c>
      <c r="M11" s="12" t="str">
        <f>IF(AND(B11="",B10&gt;0),SUM($M$5:M10),IFERROR(IF(VLOOKUP(B11,Baza[],22,0)=0,"-",VLOOKUP(B11,Baza[],22,0)),""))</f>
        <v>-</v>
      </c>
      <c r="N11" s="12">
        <f>IF(AND(B11="",B10&gt;0),SUM($N$5:N10),IFERROR(VLOOKUP(B11,Baza[],23,0),""))</f>
        <v>-2.2400000000000002</v>
      </c>
      <c r="P11" s="13" t="str">
        <f>IFERROR(VLOOKUP(B11,Baza[],14,0),"")</f>
        <v>-</v>
      </c>
      <c r="Q11" s="13" t="str">
        <f>IFERROR(VLOOKUP(B11,Baza[],13,0),"")</f>
        <v>-</v>
      </c>
    </row>
    <row r="12" spans="1:17" ht="9.9499999999999993" customHeight="1" x14ac:dyDescent="0.25">
      <c r="A12" s="4">
        <v>1</v>
      </c>
      <c r="B12" s="48">
        <v>8</v>
      </c>
      <c r="C12" s="97"/>
      <c r="D12" s="111">
        <f t="shared" si="0"/>
        <v>8</v>
      </c>
      <c r="E12" s="8">
        <f>IFERROR(VLOOKUP(B12,Baza[],7,0),"")</f>
        <v>0.52083333333333337</v>
      </c>
      <c r="F12" s="9" t="str">
        <f>IF(AND(B12="",B11&gt;0),"                           Total:   Games: "&amp;VLOOKUP($C$2,Data!$B$87:$N$9999,4,0)&amp;"     Buy-in: $ "&amp;TEXT(VLOOKUP($C$2,Data!$B$87:$N$9999,5,0),"0,0")&amp;"     ABI: $ "&amp;TEXT(VLOOKUP($C$2,Data!$B$87:$N$9999,6,0),"0,0"),IFERROR( IF(VLOOKUP(B12,Baza[],18,0)&gt;0," ["&amp;VLOOKUP(B12,Baza[],18,0)+1&amp;"] ","   ")      &amp;IFERROR(IF(OR(VLOOKUP(B12,Baza[],9,0)="WN",VLOOKUP(B12,Baza[],9,0)="ES"),"€ ","$ ")&amp;      VLOOKUP(B12,Baza[],8,0),"")         &amp;" ["&amp;VLOOKUP(B12,Baza[],9,0)&amp;"] "&amp;VLOOKUP(B12,Baza[],10,0)&amp;IF(VLOOKUP(B12,Baza[],12,0)="T"," [Turbo]",   IF(VLOOKUP(B12,Baza[],12,0)="H"," [Hyper]",                                 "") )            &amp;  IF(VLOOKUP(B12,Baza[],14,0)="s",   ", "&amp;VLOOKUP(B12,Baza[],15,0)&amp;" Tickets",                                                                                                 IF(OR(VLOOKUP(B12,Baza[],14,0)="XP",VLOOKUP(B12,Baza[],14,0)="XP2"),VLOOKUP(B12,Baza[],15,0),            IF(OR(VLOOKUP(B12,Baza[],9,0)="WN",VLOOKUP(B12,Baza[],9,0)="ES"),", €",", $")&amp;                          IF(VLOOKUP(B12,Baza[],15,0)&lt;1000,VLOOKUP(B12,Baza[],15,0),IF(VLOOKUP(B12,Baza[],15,0)&lt;1000000,IF(VLOOKUP(B12,Baza[],15,0)/1000=INT(VLOOKUP(B12,Baza[],15,0)/1000),TEXT(VLOOKUP(B12,Baza[],15,0),"#0 K"),TEXT(VLOOKUP(B12,Baza[],15,0),"#0,0 K")), IF(VLOOKUP(B12,Baza[],15,0)/1000000=INT(VLOOKUP(B12,Baza[],15,0)/1000000),TEXT(VLOOKUP(B12,Baza[],15,0),"# ###  M"),TEXT(VLOOKUP(B12,Baza[],15,0),"# ###,0  M")))))),""))</f>
        <v xml:space="preserve">   $ 1,05 [GG] Bounty Hunters, $750</v>
      </c>
      <c r="G12" s="10"/>
      <c r="H12" s="10"/>
      <c r="I12" s="10"/>
      <c r="J12" s="10"/>
      <c r="K12" s="11">
        <f>IFERROR(IF(VLOOKUP(B12,Baza[],14,0)="s","Sat",IF(VLOOKUP(B12,Baza[],14,0)="XP","Phase",                                         IF(VLOOKUP(B12,Baza[],19,0)="-","",VLOOKUP(B12,Baza[],19,0)))),"")</f>
        <v>20</v>
      </c>
      <c r="L12" s="12">
        <f>IF(AND(B12="",B11&gt;0),SUM($L$5:L11),IFERROR(IF(VLOOKUP(B12,Baza[],21,0)=0,"-",VLOOKUP(B12,Baza[],21,0)),""))</f>
        <v>5.04</v>
      </c>
      <c r="M12" s="12">
        <f>IF(AND(B12="",B11&gt;0),SUM($M$5:M11),IFERROR(IF(VLOOKUP(B12,Baza[],22,0)=0,"-",VLOOKUP(B12,Baza[],22,0)),""))</f>
        <v>3.98</v>
      </c>
      <c r="N12" s="12">
        <f>IF(AND(B12="",B11&gt;0),SUM($N$5:N11),IFERROR(VLOOKUP(B12,Baza[],23,0),""))</f>
        <v>7.97</v>
      </c>
      <c r="P12" s="13" t="str">
        <f>IFERROR(VLOOKUP(B12,Baza[],14,0),"")</f>
        <v>-</v>
      </c>
      <c r="Q12" s="13" t="str">
        <f>IFERROR(VLOOKUP(B12,Baza[],13,0),"")</f>
        <v>K</v>
      </c>
    </row>
    <row r="13" spans="1:17" ht="9.9499999999999993" customHeight="1" x14ac:dyDescent="0.25">
      <c r="A13" s="4">
        <v>2</v>
      </c>
      <c r="B13" s="48">
        <v>9</v>
      </c>
      <c r="C13" s="97"/>
      <c r="D13" s="111">
        <f t="shared" si="0"/>
        <v>9</v>
      </c>
      <c r="E13" s="8">
        <f>IFERROR(VLOOKUP(B13,Baza[],7,0),"")</f>
        <v>0.52083333333333337</v>
      </c>
      <c r="F13" s="9" t="str">
        <f>IF(AND(B13="",B12&gt;0),"                           Total:   Games: "&amp;VLOOKUP($C$2,Data!$B$87:$N$9999,4,0)&amp;"     Buy-in: $ "&amp;TEXT(VLOOKUP($C$2,Data!$B$87:$N$9999,5,0),"0,0")&amp;"     ABI: $ "&amp;TEXT(VLOOKUP($C$2,Data!$B$87:$N$9999,6,0),"0,0"),IFERROR( IF(VLOOKUP(B13,Baza[],18,0)&gt;0," ["&amp;VLOOKUP(B13,Baza[],18,0)+1&amp;"] ","   ")      &amp;IFERROR(IF(OR(VLOOKUP(B13,Baza[],9,0)="WN",VLOOKUP(B13,Baza[],9,0)="ES"),"€ ","$ ")&amp;      VLOOKUP(B13,Baza[],8,0),"")         &amp;" ["&amp;VLOOKUP(B13,Baza[],9,0)&amp;"] "&amp;VLOOKUP(B13,Baza[],10,0)&amp;IF(VLOOKUP(B13,Baza[],12,0)="T"," [Turbo]",   IF(VLOOKUP(B13,Baza[],12,0)="H"," [Hyper]",                                 "") )            &amp;  IF(VLOOKUP(B13,Baza[],14,0)="s",   ", "&amp;VLOOKUP(B13,Baza[],15,0)&amp;" Tickets",                                                                                                 IF(OR(VLOOKUP(B13,Baza[],14,0)="XP",VLOOKUP(B13,Baza[],14,0)="XP2"),VLOOKUP(B13,Baza[],15,0),            IF(OR(VLOOKUP(B13,Baza[],9,0)="WN",VLOOKUP(B13,Baza[],9,0)="ES"),", €",", $")&amp;                          IF(VLOOKUP(B13,Baza[],15,0)&lt;1000,VLOOKUP(B13,Baza[],15,0),IF(VLOOKUP(B13,Baza[],15,0)&lt;1000000,IF(VLOOKUP(B13,Baza[],15,0)/1000=INT(VLOOKUP(B13,Baza[],15,0)/1000),TEXT(VLOOKUP(B13,Baza[],15,0),"#0 K"),TEXT(VLOOKUP(B13,Baza[],15,0),"#0,0 K")), IF(VLOOKUP(B13,Baza[],15,0)/1000000=INT(VLOOKUP(B13,Baza[],15,0)/1000000),TEXT(VLOOKUP(B13,Baza[],15,0),"# ###  M"),TEXT(VLOOKUP(B13,Baza[],15,0),"# ###,0  M")))))),""))</f>
        <v xml:space="preserve">   $ 1 [PAC] Guaranteed, $200</v>
      </c>
      <c r="G13" s="10"/>
      <c r="H13" s="10"/>
      <c r="I13" s="10"/>
      <c r="J13" s="10"/>
      <c r="K13" s="11" t="str">
        <f>IFERROR(IF(VLOOKUP(B13,Baza[],14,0)="s","Sat",IF(VLOOKUP(B13,Baza[],14,0)="XP","Phase",                                         IF(VLOOKUP(B13,Baza[],19,0)="-","",VLOOKUP(B13,Baza[],19,0)))),"")</f>
        <v/>
      </c>
      <c r="L13" s="12" t="str">
        <f>IF(AND(B13="",B12&gt;0),SUM($L$5:L12),IFERROR(IF(VLOOKUP(B13,Baza[],21,0)=0,"-",VLOOKUP(B13,Baza[],21,0)),""))</f>
        <v>-</v>
      </c>
      <c r="M13" s="12" t="str">
        <f>IF(AND(B13="",B12&gt;0),SUM($M$5:M12),IFERROR(IF(VLOOKUP(B13,Baza[],22,0)=0,"-",VLOOKUP(B13,Baza[],22,0)),""))</f>
        <v>-</v>
      </c>
      <c r="N13" s="12">
        <f>IF(AND(B13="",B12&gt;0),SUM($N$5:N12),IFERROR(VLOOKUP(B13,Baza[],23,0),""))</f>
        <v>-1</v>
      </c>
      <c r="P13" s="13" t="str">
        <f>IFERROR(VLOOKUP(B13,Baza[],14,0),"")</f>
        <v>-</v>
      </c>
      <c r="Q13" s="13" t="str">
        <f>IFERROR(VLOOKUP(B13,Baza[],13,0),"")</f>
        <v>-</v>
      </c>
    </row>
    <row r="14" spans="1:17" ht="9.9499999999999993" customHeight="1" x14ac:dyDescent="0.25">
      <c r="A14" s="4">
        <v>1</v>
      </c>
      <c r="B14" s="48">
        <v>10</v>
      </c>
      <c r="C14" s="97"/>
      <c r="D14" s="111">
        <f t="shared" si="0"/>
        <v>10</v>
      </c>
      <c r="E14" s="8">
        <f>IFERROR(VLOOKUP(B14,Baza[],7,0),"")</f>
        <v>0.52083333333333337</v>
      </c>
      <c r="F14" s="9" t="str">
        <f>IF(AND(B14="",B13&gt;0),"                           Total:   Games: "&amp;VLOOKUP($C$2,Data!$B$87:$N$9999,4,0)&amp;"     Buy-in: $ "&amp;TEXT(VLOOKUP($C$2,Data!$B$87:$N$9999,5,0),"0,0")&amp;"     ABI: $ "&amp;TEXT(VLOOKUP($C$2,Data!$B$87:$N$9999,6,0),"0,0"),IFERROR( IF(VLOOKUP(B14,Baza[],18,0)&gt;0," ["&amp;VLOOKUP(B14,Baza[],18,0)+1&amp;"] ","   ")      &amp;IFERROR(IF(OR(VLOOKUP(B14,Baza[],9,0)="WN",VLOOKUP(B14,Baza[],9,0)="ES"),"€ ","$ ")&amp;      VLOOKUP(B14,Baza[],8,0),"")         &amp;" ["&amp;VLOOKUP(B14,Baza[],9,0)&amp;"] "&amp;VLOOKUP(B14,Baza[],10,0)&amp;IF(VLOOKUP(B14,Baza[],12,0)="T"," [Turbo]",   IF(VLOOKUP(B14,Baza[],12,0)="H"," [Hyper]",                                 "") )            &amp;  IF(VLOOKUP(B14,Baza[],14,0)="s",   ", "&amp;VLOOKUP(B14,Baza[],15,0)&amp;" Tickets",                                                                                                 IF(OR(VLOOKUP(B14,Baza[],14,0)="XP",VLOOKUP(B14,Baza[],14,0)="XP2"),VLOOKUP(B14,Baza[],15,0),            IF(OR(VLOOKUP(B14,Baza[],9,0)="WN",VLOOKUP(B14,Baza[],9,0)="ES"),", €",", $")&amp;                          IF(VLOOKUP(B14,Baza[],15,0)&lt;1000,VLOOKUP(B14,Baza[],15,0),IF(VLOOKUP(B14,Baza[],15,0)&lt;1000000,IF(VLOOKUP(B14,Baza[],15,0)/1000=INT(VLOOKUP(B14,Baza[],15,0)/1000),TEXT(VLOOKUP(B14,Baza[],15,0),"#0 K"),TEXT(VLOOKUP(B14,Baza[],15,0),"#0,0 K")), IF(VLOOKUP(B14,Baza[],15,0)/1000000=INT(VLOOKUP(B14,Baza[],15,0)/1000000),TEXT(VLOOKUP(B14,Baza[],15,0),"# ###  M"),TEXT(VLOOKUP(B14,Baza[],15,0),"# ###,0  M")))))),""))</f>
        <v xml:space="preserve">   $ 2,2 [PP] Bounty Hunter, $200</v>
      </c>
      <c r="G14" s="10"/>
      <c r="H14" s="10"/>
      <c r="I14" s="10"/>
      <c r="J14" s="10"/>
      <c r="K14" s="11" t="str">
        <f>IFERROR(IF(VLOOKUP(B14,Baza[],14,0)="s","Sat",IF(VLOOKUP(B14,Baza[],14,0)="XP","Phase",                                         IF(VLOOKUP(B14,Baza[],19,0)="-","",VLOOKUP(B14,Baza[],19,0)))),"")</f>
        <v/>
      </c>
      <c r="L14" s="12" t="str">
        <f>IF(AND(B14="",B13&gt;0),SUM($L$5:L13),IFERROR(IF(VLOOKUP(B14,Baza[],21,0)=0,"-",VLOOKUP(B14,Baza[],21,0)),""))</f>
        <v>-</v>
      </c>
      <c r="M14" s="12" t="str">
        <f>IF(AND(B14="",B13&gt;0),SUM($M$5:M13),IFERROR(IF(VLOOKUP(B14,Baza[],22,0)=0,"-",VLOOKUP(B14,Baza[],22,0)),""))</f>
        <v>-</v>
      </c>
      <c r="N14" s="12">
        <f>IF(AND(B14="",B13&gt;0),SUM($N$5:N13),IFERROR(VLOOKUP(B14,Baza[],23,0),""))</f>
        <v>-2.2000000000000002</v>
      </c>
      <c r="P14" s="13" t="str">
        <f>IFERROR(VLOOKUP(B14,Baza[],14,0),"")</f>
        <v>-</v>
      </c>
      <c r="Q14" s="13" t="str">
        <f>IFERROR(VLOOKUP(B14,Baza[],13,0),"")</f>
        <v>K</v>
      </c>
    </row>
    <row r="15" spans="1:17" ht="9.9499999999999993" customHeight="1" x14ac:dyDescent="0.25">
      <c r="A15" s="4">
        <v>2</v>
      </c>
      <c r="B15" s="48">
        <v>11</v>
      </c>
      <c r="C15" s="97"/>
      <c r="D15" s="111">
        <f t="shared" si="0"/>
        <v>11</v>
      </c>
      <c r="E15" s="8">
        <f>IFERROR(VLOOKUP(B15,Baza[],7,0),"")</f>
        <v>0.54166666666666663</v>
      </c>
      <c r="F15" s="9" t="str">
        <f>IF(AND(B15="",B14&gt;0),"                           Total:   Games: "&amp;VLOOKUP($C$2,Data!$B$87:$N$9999,4,0)&amp;"     Buy-in: $ "&amp;TEXT(VLOOKUP($C$2,Data!$B$87:$N$9999,5,0),"0,0")&amp;"     ABI: $ "&amp;TEXT(VLOOKUP($C$2,Data!$B$87:$N$9999,6,0),"0,0"),IFERROR( IF(VLOOKUP(B15,Baza[],18,0)&gt;0," ["&amp;VLOOKUP(B15,Baza[],18,0)+1&amp;"] ","   ")      &amp;IFERROR(IF(OR(VLOOKUP(B15,Baza[],9,0)="WN",VLOOKUP(B15,Baza[],9,0)="ES"),"€ ","$ ")&amp;      VLOOKUP(B15,Baza[],8,0),"")         &amp;" ["&amp;VLOOKUP(B15,Baza[],9,0)&amp;"] "&amp;VLOOKUP(B15,Baza[],10,0)&amp;IF(VLOOKUP(B15,Baza[],12,0)="T"," [Turbo]",   IF(VLOOKUP(B15,Baza[],12,0)="H"," [Hyper]",                                 "") )            &amp;  IF(VLOOKUP(B15,Baza[],14,0)="s",   ", "&amp;VLOOKUP(B15,Baza[],15,0)&amp;" Tickets",                                                                                                 IF(OR(VLOOKUP(B15,Baza[],14,0)="XP",VLOOKUP(B15,Baza[],14,0)="XP2"),VLOOKUP(B15,Baza[],15,0),            IF(OR(VLOOKUP(B15,Baza[],9,0)="WN",VLOOKUP(B15,Baza[],9,0)="ES"),", €",", $")&amp;                          IF(VLOOKUP(B15,Baza[],15,0)&lt;1000,VLOOKUP(B15,Baza[],15,0),IF(VLOOKUP(B15,Baza[],15,0)&lt;1000000,IF(VLOOKUP(B15,Baza[],15,0)/1000=INT(VLOOKUP(B15,Baza[],15,0)/1000),TEXT(VLOOKUP(B15,Baza[],15,0),"#0 K"),TEXT(VLOOKUP(B15,Baza[],15,0),"#0,0 K")), IF(VLOOKUP(B15,Baza[],15,0)/1000000=INT(VLOOKUP(B15,Baza[],15,0)/1000000),TEXT(VLOOKUP(B15,Baza[],15,0),"# ###  M"),TEXT(VLOOKUP(B15,Baza[],15,0),"# ###,0  M")))))),""))</f>
        <v xml:space="preserve">   $ 2 [GG] Big, $750</v>
      </c>
      <c r="G15" s="10"/>
      <c r="H15" s="10"/>
      <c r="I15" s="10"/>
      <c r="J15" s="10"/>
      <c r="K15" s="11" t="str">
        <f>IFERROR(IF(VLOOKUP(B15,Baza[],14,0)="s","Sat",IF(VLOOKUP(B15,Baza[],14,0)="XP","Phase",                                         IF(VLOOKUP(B15,Baza[],19,0)="-","",VLOOKUP(B15,Baza[],19,0)))),"")</f>
        <v/>
      </c>
      <c r="L15" s="12" t="str">
        <f>IF(AND(B15="",B14&gt;0),SUM($L$5:L14),IFERROR(IF(VLOOKUP(B15,Baza[],21,0)=0,"-",VLOOKUP(B15,Baza[],21,0)),""))</f>
        <v>-</v>
      </c>
      <c r="M15" s="12" t="str">
        <f>IF(AND(B15="",B14&gt;0),SUM($M$5:M14),IFERROR(IF(VLOOKUP(B15,Baza[],22,0)=0,"-",VLOOKUP(B15,Baza[],22,0)),""))</f>
        <v>-</v>
      </c>
      <c r="N15" s="12">
        <f>IF(AND(B15="",B14&gt;0),SUM($N$5:N14),IFERROR(VLOOKUP(B15,Baza[],23,0),""))</f>
        <v>-2</v>
      </c>
      <c r="P15" s="13" t="str">
        <f>IFERROR(VLOOKUP(B15,Baza[],14,0),"")</f>
        <v>-</v>
      </c>
      <c r="Q15" s="13" t="str">
        <f>IFERROR(VLOOKUP(B15,Baza[],13,0),"")</f>
        <v>-</v>
      </c>
    </row>
    <row r="16" spans="1:17" ht="9.9499999999999993" customHeight="1" x14ac:dyDescent="0.25">
      <c r="A16" s="4">
        <v>1</v>
      </c>
      <c r="B16" s="48">
        <v>12</v>
      </c>
      <c r="C16" s="97"/>
      <c r="D16" s="111">
        <f t="shared" si="0"/>
        <v>12</v>
      </c>
      <c r="E16" s="8">
        <f>IFERROR(VLOOKUP(B16,Baza[],7,0),"")</f>
        <v>0.54166666666666663</v>
      </c>
      <c r="F16" s="9" t="str">
        <f>IF(AND(B16="",B15&gt;0),"                           Total:   Games: "&amp;VLOOKUP($C$2,Data!$B$87:$N$9999,4,0)&amp;"     Buy-in: $ "&amp;TEXT(VLOOKUP($C$2,Data!$B$87:$N$9999,5,0),"0,0")&amp;"     ABI: $ "&amp;TEXT(VLOOKUP($C$2,Data!$B$87:$N$9999,6,0),"0,0"),IFERROR( IF(VLOOKUP(B16,Baza[],18,0)&gt;0," ["&amp;VLOOKUP(B16,Baza[],18,0)+1&amp;"] ","   ")      &amp;IFERROR(IF(OR(VLOOKUP(B16,Baza[],9,0)="WN",VLOOKUP(B16,Baza[],9,0)="ES"),"€ ","$ ")&amp;      VLOOKUP(B16,Baza[],8,0),"")         &amp;" ["&amp;VLOOKUP(B16,Baza[],9,0)&amp;"] "&amp;VLOOKUP(B16,Baza[],10,0)&amp;IF(VLOOKUP(B16,Baza[],12,0)="T"," [Turbo]",   IF(VLOOKUP(B16,Baza[],12,0)="H"," [Hyper]",                                 "") )            &amp;  IF(VLOOKUP(B16,Baza[],14,0)="s",   ", "&amp;VLOOKUP(B16,Baza[],15,0)&amp;" Tickets",                                                                                                 IF(OR(VLOOKUP(B16,Baza[],14,0)="XP",VLOOKUP(B16,Baza[],14,0)="XP2"),VLOOKUP(B16,Baza[],15,0),            IF(OR(VLOOKUP(B16,Baza[],9,0)="WN",VLOOKUP(B16,Baza[],9,0)="ES"),", €",", $")&amp;                          IF(VLOOKUP(B16,Baza[],15,0)&lt;1000,VLOOKUP(B16,Baza[],15,0),IF(VLOOKUP(B16,Baza[],15,0)&lt;1000000,IF(VLOOKUP(B16,Baza[],15,0)/1000=INT(VLOOKUP(B16,Baza[],15,0)/1000),TEXT(VLOOKUP(B16,Baza[],15,0),"#0 K"),TEXT(VLOOKUP(B16,Baza[],15,0),"#0,0 K")), IF(VLOOKUP(B16,Baza[],15,0)/1000000=INT(VLOOKUP(B16,Baza[],15,0)/1000000),TEXT(VLOOKUP(B16,Baza[],15,0),"# ###  M"),TEXT(VLOOKUP(B16,Baza[],15,0),"# ###,0  M")))))),""))</f>
        <v xml:space="preserve">   $ 1,1 [PP] Bounty Hunter, $100</v>
      </c>
      <c r="G16" s="10"/>
      <c r="H16" s="10"/>
      <c r="I16" s="10"/>
      <c r="J16" s="10"/>
      <c r="K16" s="11">
        <f>IFERROR(IF(VLOOKUP(B16,Baza[],14,0)="s","Sat",IF(VLOOKUP(B16,Baza[],14,0)="XP","Phase",                                         IF(VLOOKUP(B16,Baza[],19,0)="-","",VLOOKUP(B16,Baza[],19,0)))),"")</f>
        <v>18</v>
      </c>
      <c r="L16" s="12">
        <f>IF(AND(B16="",B15&gt;0),SUM($L$5:L15),IFERROR(IF(VLOOKUP(B16,Baza[],21,0)=0,"-",VLOOKUP(B16,Baza[],21,0)),""))</f>
        <v>1.37</v>
      </c>
      <c r="M16" s="12">
        <f>IF(AND(B16="",B15&gt;0),SUM($M$5:M15),IFERROR(IF(VLOOKUP(B16,Baza[],22,0)=0,"-",VLOOKUP(B16,Baza[],22,0)),""))</f>
        <v>1.25</v>
      </c>
      <c r="N16" s="12">
        <f>IF(AND(B16="",B15&gt;0),SUM($N$5:N15),IFERROR(VLOOKUP(B16,Baza[],23,0),""))</f>
        <v>1.52</v>
      </c>
      <c r="P16" s="13" t="str">
        <f>IFERROR(VLOOKUP(B16,Baza[],14,0),"")</f>
        <v>-</v>
      </c>
      <c r="Q16" s="13" t="str">
        <f>IFERROR(VLOOKUP(B16,Baza[],13,0),"")</f>
        <v>K</v>
      </c>
    </row>
    <row r="17" spans="1:17" ht="9.9499999999999993" customHeight="1" x14ac:dyDescent="0.25">
      <c r="A17" s="4">
        <v>2</v>
      </c>
      <c r="B17" s="48">
        <v>13</v>
      </c>
      <c r="C17" s="97"/>
      <c r="D17" s="111">
        <f t="shared" si="0"/>
        <v>13</v>
      </c>
      <c r="E17" s="8">
        <f>IFERROR(VLOOKUP(B17,Baza[],7,0),"")</f>
        <v>0.58333333333333337</v>
      </c>
      <c r="F17" s="9" t="str">
        <f>IF(AND(B17="",B16&gt;0),"                           Total:   Games: "&amp;VLOOKUP($C$2,Data!$B$87:$N$9999,4,0)&amp;"     Buy-in: $ "&amp;TEXT(VLOOKUP($C$2,Data!$B$87:$N$9999,5,0),"0,0")&amp;"     ABI: $ "&amp;TEXT(VLOOKUP($C$2,Data!$B$87:$N$9999,6,0),"0,0"),IFERROR( IF(VLOOKUP(B17,Baza[],18,0)&gt;0," ["&amp;VLOOKUP(B17,Baza[],18,0)+1&amp;"] ","   ")      &amp;IFERROR(IF(OR(VLOOKUP(B17,Baza[],9,0)="WN",VLOOKUP(B17,Baza[],9,0)="ES"),"€ ","$ ")&amp;      VLOOKUP(B17,Baza[],8,0),"")         &amp;" ["&amp;VLOOKUP(B17,Baza[],9,0)&amp;"] "&amp;VLOOKUP(B17,Baza[],10,0)&amp;IF(VLOOKUP(B17,Baza[],12,0)="T"," [Turbo]",   IF(VLOOKUP(B17,Baza[],12,0)="H"," [Hyper]",                                 "") )            &amp;  IF(VLOOKUP(B17,Baza[],14,0)="s",   ", "&amp;VLOOKUP(B17,Baza[],15,0)&amp;" Tickets",                                                                                                 IF(OR(VLOOKUP(B17,Baza[],14,0)="XP",VLOOKUP(B17,Baza[],14,0)="XP2"),VLOOKUP(B17,Baza[],15,0),            IF(OR(VLOOKUP(B17,Baza[],9,0)="WN",VLOOKUP(B17,Baza[],9,0)="ES"),", €",", $")&amp;                          IF(VLOOKUP(B17,Baza[],15,0)&lt;1000,VLOOKUP(B17,Baza[],15,0),IF(VLOOKUP(B17,Baza[],15,0)&lt;1000000,IF(VLOOKUP(B17,Baza[],15,0)/1000=INT(VLOOKUP(B17,Baza[],15,0)/1000),TEXT(VLOOKUP(B17,Baza[],15,0),"#0 K"),TEXT(VLOOKUP(B17,Baza[],15,0),"#0,0 K")), IF(VLOOKUP(B17,Baza[],15,0)/1000000=INT(VLOOKUP(B17,Baza[],15,0)/1000000),TEXT(VLOOKUP(B17,Baza[],15,0),"# ###  M"),TEXT(VLOOKUP(B17,Baza[],15,0),"# ###,0  M")))))),""))</f>
        <v xml:space="preserve">   $ 2,2 [PAC] Guaranteed, $500</v>
      </c>
      <c r="G17" s="10"/>
      <c r="H17" s="10"/>
      <c r="I17" s="10"/>
      <c r="J17" s="10"/>
      <c r="K17" s="11" t="str">
        <f>IFERROR(IF(VLOOKUP(B17,Baza[],14,0)="s","Sat",IF(VLOOKUP(B17,Baza[],14,0)="XP","Phase",                                         IF(VLOOKUP(B17,Baza[],19,0)="-","",VLOOKUP(B17,Baza[],19,0)))),"")</f>
        <v/>
      </c>
      <c r="L17" s="12" t="str">
        <f>IF(AND(B17="",B16&gt;0),SUM($L$5:L16),IFERROR(IF(VLOOKUP(B17,Baza[],21,0)=0,"-",VLOOKUP(B17,Baza[],21,0)),""))</f>
        <v>-</v>
      </c>
      <c r="M17" s="12" t="str">
        <f>IF(AND(B17="",B16&gt;0),SUM($M$5:M16),IFERROR(IF(VLOOKUP(B17,Baza[],22,0)=0,"-",VLOOKUP(B17,Baza[],22,0)),""))</f>
        <v>-</v>
      </c>
      <c r="N17" s="12">
        <f>IF(AND(B17="",B16&gt;0),SUM($N$5:N16),IFERROR(VLOOKUP(B17,Baza[],23,0),""))</f>
        <v>-2.2000000000000002</v>
      </c>
      <c r="P17" s="13" t="str">
        <f>IFERROR(VLOOKUP(B17,Baza[],14,0),"")</f>
        <v>-</v>
      </c>
      <c r="Q17" s="13" t="str">
        <f>IFERROR(VLOOKUP(B17,Baza[],13,0),"")</f>
        <v>-</v>
      </c>
    </row>
    <row r="18" spans="1:17" ht="9.9499999999999993" customHeight="1" x14ac:dyDescent="0.25">
      <c r="A18" s="4">
        <v>1</v>
      </c>
      <c r="B18" s="48">
        <v>14</v>
      </c>
      <c r="C18" s="97"/>
      <c r="D18" s="111">
        <f t="shared" si="0"/>
        <v>14</v>
      </c>
      <c r="E18" s="8">
        <f>IFERROR(VLOOKUP(B18,Baza[],7,0),"")</f>
        <v>0.59722222222222221</v>
      </c>
      <c r="F18" s="9" t="str">
        <f>IF(AND(B18="",B17&gt;0),"                           Total:   Games: "&amp;VLOOKUP($C$2,Data!$B$87:$N$9999,4,0)&amp;"     Buy-in: $ "&amp;TEXT(VLOOKUP($C$2,Data!$B$87:$N$9999,5,0),"0,0")&amp;"     ABI: $ "&amp;TEXT(VLOOKUP($C$2,Data!$B$87:$N$9999,6,0),"0,0"),IFERROR( IF(VLOOKUP(B18,Baza[],18,0)&gt;0," ["&amp;VLOOKUP(B18,Baza[],18,0)+1&amp;"] ","   ")      &amp;IFERROR(IF(OR(VLOOKUP(B18,Baza[],9,0)="WN",VLOOKUP(B18,Baza[],9,0)="ES"),"€ ","$ ")&amp;      VLOOKUP(B18,Baza[],8,0),"")         &amp;" ["&amp;VLOOKUP(B18,Baza[],9,0)&amp;"] "&amp;VLOOKUP(B18,Baza[],10,0)&amp;IF(VLOOKUP(B18,Baza[],12,0)="T"," [Turbo]",   IF(VLOOKUP(B18,Baza[],12,0)="H"," [Hyper]",                                 "") )            &amp;  IF(VLOOKUP(B18,Baza[],14,0)="s",   ", "&amp;VLOOKUP(B18,Baza[],15,0)&amp;" Tickets",                                                                                                 IF(OR(VLOOKUP(B18,Baza[],14,0)="XP",VLOOKUP(B18,Baza[],14,0)="XP2"),VLOOKUP(B18,Baza[],15,0),            IF(OR(VLOOKUP(B18,Baza[],9,0)="WN",VLOOKUP(B18,Baza[],9,0)="ES"),", €",", $")&amp;                          IF(VLOOKUP(B18,Baza[],15,0)&lt;1000,VLOOKUP(B18,Baza[],15,0),IF(VLOOKUP(B18,Baza[],15,0)&lt;1000000,IF(VLOOKUP(B18,Baza[],15,0)/1000=INT(VLOOKUP(B18,Baza[],15,0)/1000),TEXT(VLOOKUP(B18,Baza[],15,0),"#0 K"),TEXT(VLOOKUP(B18,Baza[],15,0),"#0,0 K")), IF(VLOOKUP(B18,Baza[],15,0)/1000000=INT(VLOOKUP(B18,Baza[],15,0)/1000000),TEXT(VLOOKUP(B18,Baza[],15,0),"# ###  M"),TEXT(VLOOKUP(B18,Baza[],15,0),"# ###,0  M")))))),""))</f>
        <v xml:space="preserve">   $ 1,1 [PS] Progressive KO, $2K</v>
      </c>
      <c r="G18" s="10"/>
      <c r="H18" s="10"/>
      <c r="I18" s="10"/>
      <c r="J18" s="10"/>
      <c r="K18" s="11" t="str">
        <f>IFERROR(IF(VLOOKUP(B18,Baza[],14,0)="s","Sat",IF(VLOOKUP(B18,Baza[],14,0)="XP","Phase",                                         IF(VLOOKUP(B18,Baza[],19,0)="-","",VLOOKUP(B18,Baza[],19,0)))),"")</f>
        <v/>
      </c>
      <c r="L18" s="12" t="str">
        <f>IF(AND(B18="",B17&gt;0),SUM($L$5:L17),IFERROR(IF(VLOOKUP(B18,Baza[],21,0)=0,"-",VLOOKUP(B18,Baza[],21,0)),""))</f>
        <v>-</v>
      </c>
      <c r="M18" s="12" t="str">
        <f>IF(AND(B18="",B17&gt;0),SUM($M$5:M17),IFERROR(IF(VLOOKUP(B18,Baza[],22,0)=0,"-",VLOOKUP(B18,Baza[],22,0)),""))</f>
        <v>-</v>
      </c>
      <c r="N18" s="12">
        <f>IF(AND(B18="",B17&gt;0),SUM($N$5:N17),IFERROR(VLOOKUP(B18,Baza[],23,0),""))</f>
        <v>-1.1000000000000001</v>
      </c>
      <c r="P18" s="13" t="str">
        <f>IFERROR(VLOOKUP(B18,Baza[],14,0),"")</f>
        <v>-</v>
      </c>
      <c r="Q18" s="13" t="str">
        <f>IFERROR(VLOOKUP(B18,Baza[],13,0),"")</f>
        <v>K</v>
      </c>
    </row>
    <row r="19" spans="1:17" ht="9.9499999999999993" customHeight="1" x14ac:dyDescent="0.25">
      <c r="A19" s="4">
        <v>2</v>
      </c>
      <c r="B19" s="48">
        <v>15</v>
      </c>
      <c r="C19" s="97"/>
      <c r="D19" s="111">
        <f t="shared" si="0"/>
        <v>15</v>
      </c>
      <c r="E19" s="8">
        <f>IFERROR(VLOOKUP(B19,Baza[],7,0),"")</f>
        <v>0.60416666666666663</v>
      </c>
      <c r="F19" s="9" t="str">
        <f>IF(AND(B19="",B18&gt;0),"                           Total:   Games: "&amp;VLOOKUP($C$2,Data!$B$87:$N$9999,4,0)&amp;"     Buy-in: $ "&amp;TEXT(VLOOKUP($C$2,Data!$B$87:$N$9999,5,0),"0,0")&amp;"     ABI: $ "&amp;TEXT(VLOOKUP($C$2,Data!$B$87:$N$9999,6,0),"0,0"),IFERROR( IF(VLOOKUP(B19,Baza[],18,0)&gt;0," ["&amp;VLOOKUP(B19,Baza[],18,0)+1&amp;"] ","   ")      &amp;IFERROR(IF(OR(VLOOKUP(B19,Baza[],9,0)="WN",VLOOKUP(B19,Baza[],9,0)="ES"),"€ ","$ ")&amp;      VLOOKUP(B19,Baza[],8,0),"")         &amp;" ["&amp;VLOOKUP(B19,Baza[],9,0)&amp;"] "&amp;VLOOKUP(B19,Baza[],10,0)&amp;IF(VLOOKUP(B19,Baza[],12,0)="T"," [Turbo]",   IF(VLOOKUP(B19,Baza[],12,0)="H"," [Hyper]",                                 "") )            &amp;  IF(VLOOKUP(B19,Baza[],14,0)="s",   ", "&amp;VLOOKUP(B19,Baza[],15,0)&amp;" Tickets",                                                                                                 IF(OR(VLOOKUP(B19,Baza[],14,0)="XP",VLOOKUP(B19,Baza[],14,0)="XP2"),VLOOKUP(B19,Baza[],15,0),            IF(OR(VLOOKUP(B19,Baza[],9,0)="WN",VLOOKUP(B19,Baza[],9,0)="ES"),", €",", $")&amp;                          IF(VLOOKUP(B19,Baza[],15,0)&lt;1000,VLOOKUP(B19,Baza[],15,0),IF(VLOOKUP(B19,Baza[],15,0)&lt;1000000,IF(VLOOKUP(B19,Baza[],15,0)/1000=INT(VLOOKUP(B19,Baza[],15,0)/1000),TEXT(VLOOKUP(B19,Baza[],15,0),"#0 K"),TEXT(VLOOKUP(B19,Baza[],15,0),"#0,0 K")), IF(VLOOKUP(B19,Baza[],15,0)/1000000=INT(VLOOKUP(B19,Baza[],15,0)/1000000),TEXT(VLOOKUP(B19,Baza[],15,0),"# ###  M"),TEXT(VLOOKUP(B19,Baza[],15,0),"# ###,0  M")))))),""))</f>
        <v xml:space="preserve">   $ 1,05 [GG] Bounty Hunters, $750</v>
      </c>
      <c r="G19" s="10"/>
      <c r="H19" s="10"/>
      <c r="I19" s="10"/>
      <c r="J19" s="10"/>
      <c r="K19" s="11" t="str">
        <f>IFERROR(IF(VLOOKUP(B19,Baza[],14,0)="s","Sat",IF(VLOOKUP(B19,Baza[],14,0)="XP","Phase",                                         IF(VLOOKUP(B19,Baza[],19,0)="-","",VLOOKUP(B19,Baza[],19,0)))),"")</f>
        <v/>
      </c>
      <c r="L19" s="12" t="str">
        <f>IF(AND(B19="",B18&gt;0),SUM($L$5:L18),IFERROR(IF(VLOOKUP(B19,Baza[],21,0)=0,"-",VLOOKUP(B19,Baza[],21,0)),""))</f>
        <v>-</v>
      </c>
      <c r="M19" s="12" t="str">
        <f>IF(AND(B19="",B18&gt;0),SUM($M$5:M18),IFERROR(IF(VLOOKUP(B19,Baza[],22,0)=0,"-",VLOOKUP(B19,Baza[],22,0)),""))</f>
        <v>-</v>
      </c>
      <c r="N19" s="12">
        <f>IF(AND(B19="",B18&gt;0),SUM($N$5:N18),IFERROR(VLOOKUP(B19,Baza[],23,0),""))</f>
        <v>-1.05</v>
      </c>
      <c r="P19" s="13" t="str">
        <f>IFERROR(VLOOKUP(B19,Baza[],14,0),"")</f>
        <v>-</v>
      </c>
      <c r="Q19" s="13" t="str">
        <f>IFERROR(VLOOKUP(B19,Baza[],13,0),"")</f>
        <v>K</v>
      </c>
    </row>
    <row r="20" spans="1:17" ht="9.9499999999999993" customHeight="1" x14ac:dyDescent="0.25">
      <c r="A20" s="4">
        <v>1</v>
      </c>
      <c r="B20" s="48">
        <v>16</v>
      </c>
      <c r="C20" s="97"/>
      <c r="D20" s="111">
        <f t="shared" si="0"/>
        <v>16</v>
      </c>
      <c r="E20" s="8">
        <f>IFERROR(VLOOKUP(B20,Baza[],7,0),"")</f>
        <v>0.625</v>
      </c>
      <c r="F20" s="9" t="str">
        <f>IF(AND(B20="",B19&gt;0),"                           Total:   Games: "&amp;VLOOKUP($C$2,Data!$B$87:$N$9999,4,0)&amp;"     Buy-in: $ "&amp;TEXT(VLOOKUP($C$2,Data!$B$87:$N$9999,5,0),"0,0")&amp;"     ABI: $ "&amp;TEXT(VLOOKUP($C$2,Data!$B$87:$N$9999,6,0),"0,0"),IFERROR( IF(VLOOKUP(B20,Baza[],18,0)&gt;0," ["&amp;VLOOKUP(B20,Baza[],18,0)+1&amp;"] ","   ")      &amp;IFERROR(IF(OR(VLOOKUP(B20,Baza[],9,0)="WN",VLOOKUP(B20,Baza[],9,0)="ES"),"€ ","$ ")&amp;      VLOOKUP(B20,Baza[],8,0),"")         &amp;" ["&amp;VLOOKUP(B20,Baza[],9,0)&amp;"] "&amp;VLOOKUP(B20,Baza[],10,0)&amp;IF(VLOOKUP(B20,Baza[],12,0)="T"," [Turbo]",   IF(VLOOKUP(B20,Baza[],12,0)="H"," [Hyper]",                                 "") )            &amp;  IF(VLOOKUP(B20,Baza[],14,0)="s",   ", "&amp;VLOOKUP(B20,Baza[],15,0)&amp;" Tickets",                                                                                                 IF(OR(VLOOKUP(B20,Baza[],14,0)="XP",VLOOKUP(B20,Baza[],14,0)="XP2"),VLOOKUP(B20,Baza[],15,0),            IF(OR(VLOOKUP(B20,Baza[],9,0)="WN",VLOOKUP(B20,Baza[],9,0)="ES"),", €",", $")&amp;                          IF(VLOOKUP(B20,Baza[],15,0)&lt;1000,VLOOKUP(B20,Baza[],15,0),IF(VLOOKUP(B20,Baza[],15,0)&lt;1000000,IF(VLOOKUP(B20,Baza[],15,0)/1000=INT(VLOOKUP(B20,Baza[],15,0)/1000),TEXT(VLOOKUP(B20,Baza[],15,0),"#0 K"),TEXT(VLOOKUP(B20,Baza[],15,0),"#0,0 K")), IF(VLOOKUP(B20,Baza[],15,0)/1000000=INT(VLOOKUP(B20,Baza[],15,0)/1000000),TEXT(VLOOKUP(B20,Baza[],15,0),"# ###  M"),TEXT(VLOOKUP(B20,Baza[],15,0),"# ###,0  M")))))),""))</f>
        <v xml:space="preserve">   $ 1,1 [PP] Bounty Hunter, $200</v>
      </c>
      <c r="G20" s="10"/>
      <c r="H20" s="10"/>
      <c r="I20" s="10"/>
      <c r="J20" s="10"/>
      <c r="K20" s="11" t="str">
        <f>IFERROR(IF(VLOOKUP(B20,Baza[],14,0)="s","Sat",IF(VLOOKUP(B20,Baza[],14,0)="XP","Phase",                                         IF(VLOOKUP(B20,Baza[],19,0)="-","",VLOOKUP(B20,Baza[],19,0)))),"")</f>
        <v/>
      </c>
      <c r="L20" s="12" t="str">
        <f>IF(AND(B20="",B19&gt;0),SUM($L$5:L19),IFERROR(IF(VLOOKUP(B20,Baza[],21,0)=0,"-",VLOOKUP(B20,Baza[],21,0)),""))</f>
        <v>-</v>
      </c>
      <c r="M20" s="12" t="str">
        <f>IF(AND(B20="",B19&gt;0),SUM($M$5:M19),IFERROR(IF(VLOOKUP(B20,Baza[],22,0)=0,"-",VLOOKUP(B20,Baza[],22,0)),""))</f>
        <v>-</v>
      </c>
      <c r="N20" s="12">
        <f>IF(AND(B20="",B19&gt;0),SUM($N$5:N19),IFERROR(VLOOKUP(B20,Baza[],23,0),""))</f>
        <v>-1.1000000000000001</v>
      </c>
      <c r="P20" s="13" t="str">
        <f>IFERROR(VLOOKUP(B20,Baza[],14,0),"")</f>
        <v>-</v>
      </c>
      <c r="Q20" s="13" t="str">
        <f>IFERROR(VLOOKUP(B20,Baza[],13,0),"")</f>
        <v>K</v>
      </c>
    </row>
    <row r="21" spans="1:17" ht="9.9499999999999993" customHeight="1" x14ac:dyDescent="0.25">
      <c r="A21" s="4">
        <v>2</v>
      </c>
      <c r="B21" s="48">
        <v>17</v>
      </c>
      <c r="C21" s="97"/>
      <c r="D21" s="111">
        <f t="shared" si="0"/>
        <v>17</v>
      </c>
      <c r="E21" s="8">
        <f>IFERROR(VLOOKUP(B21,Baza[],7,0),"")</f>
        <v>0.625</v>
      </c>
      <c r="F21" s="9" t="str">
        <f>IF(AND(B21="",B20&gt;0),"                           Total:   Games: "&amp;VLOOKUP($C$2,Data!$B$87:$N$9999,4,0)&amp;"     Buy-in: $ "&amp;TEXT(VLOOKUP($C$2,Data!$B$87:$N$9999,5,0),"0,0")&amp;"     ABI: $ "&amp;TEXT(VLOOKUP($C$2,Data!$B$87:$N$9999,6,0),"0,0"),IFERROR( IF(VLOOKUP(B21,Baza[],18,0)&gt;0," ["&amp;VLOOKUP(B21,Baza[],18,0)+1&amp;"] ","   ")      &amp;IFERROR(IF(OR(VLOOKUP(B21,Baza[],9,0)="WN",VLOOKUP(B21,Baza[],9,0)="ES"),"€ ","$ ")&amp;      VLOOKUP(B21,Baza[],8,0),"")         &amp;" ["&amp;VLOOKUP(B21,Baza[],9,0)&amp;"] "&amp;VLOOKUP(B21,Baza[],10,0)&amp;IF(VLOOKUP(B21,Baza[],12,0)="T"," [Turbo]",   IF(VLOOKUP(B21,Baza[],12,0)="H"," [Hyper]",                                 "") )            &amp;  IF(VLOOKUP(B21,Baza[],14,0)="s",   ", "&amp;VLOOKUP(B21,Baza[],15,0)&amp;" Tickets",                                                                                                 IF(OR(VLOOKUP(B21,Baza[],14,0)="XP",VLOOKUP(B21,Baza[],14,0)="XP2"),VLOOKUP(B21,Baza[],15,0),            IF(OR(VLOOKUP(B21,Baza[],9,0)="WN",VLOOKUP(B21,Baza[],9,0)="ES"),", €",", $")&amp;                          IF(VLOOKUP(B21,Baza[],15,0)&lt;1000,VLOOKUP(B21,Baza[],15,0),IF(VLOOKUP(B21,Baza[],15,0)&lt;1000000,IF(VLOOKUP(B21,Baza[],15,0)/1000=INT(VLOOKUP(B21,Baza[],15,0)/1000),TEXT(VLOOKUP(B21,Baza[],15,0),"#0 K"),TEXT(VLOOKUP(B21,Baza[],15,0),"#0,0 K")), IF(VLOOKUP(B21,Baza[],15,0)/1000000=INT(VLOOKUP(B21,Baza[],15,0)/1000000),TEXT(VLOOKUP(B21,Baza[],15,0),"# ###  M"),TEXT(VLOOKUP(B21,Baza[],15,0),"# ###,0  M")))))),""))</f>
        <v xml:space="preserve">   $ 1,1 [PS] GTD, $750</v>
      </c>
      <c r="G21" s="10"/>
      <c r="H21" s="10"/>
      <c r="I21" s="10"/>
      <c r="J21" s="10"/>
      <c r="K21" s="11">
        <f>IFERROR(IF(VLOOKUP(B21,Baza[],14,0)="s","Sat",IF(VLOOKUP(B21,Baza[],14,0)="XP","Phase",                                         IF(VLOOKUP(B21,Baza[],19,0)="-","",VLOOKUP(B21,Baza[],19,0)))),"")</f>
        <v>19</v>
      </c>
      <c r="L21" s="12" t="str">
        <f>IF(AND(B21="",B20&gt;0),SUM($L$5:L20),IFERROR(IF(VLOOKUP(B21,Baza[],21,0)=0,"-",VLOOKUP(B21,Baza[],21,0)),""))</f>
        <v>-</v>
      </c>
      <c r="M21" s="12">
        <f>IF(AND(B21="",B20&gt;0),SUM($M$5:M20),IFERROR(IF(VLOOKUP(B21,Baza[],22,0)=0,"-",VLOOKUP(B21,Baza[],22,0)),""))</f>
        <v>6.47</v>
      </c>
      <c r="N21" s="12">
        <f>IF(AND(B21="",B20&gt;0),SUM($N$5:N20),IFERROR(VLOOKUP(B21,Baza[],23,0),""))</f>
        <v>5.3699999999999992</v>
      </c>
      <c r="P21" s="13" t="str">
        <f>IFERROR(VLOOKUP(B21,Baza[],14,0),"")</f>
        <v>-</v>
      </c>
      <c r="Q21" s="13" t="str">
        <f>IFERROR(VLOOKUP(B21,Baza[],13,0),"")</f>
        <v>-</v>
      </c>
    </row>
    <row r="22" spans="1:17" ht="9.9499999999999993" customHeight="1" x14ac:dyDescent="0.25">
      <c r="A22" s="4">
        <v>1</v>
      </c>
      <c r="B22" s="48">
        <v>18</v>
      </c>
      <c r="C22" s="97"/>
      <c r="D22" s="111">
        <f t="shared" si="0"/>
        <v>18</v>
      </c>
      <c r="E22" s="8">
        <f>IFERROR(VLOOKUP(B22,Baza[],7,0),"")</f>
        <v>0.625</v>
      </c>
      <c r="F22" s="9" t="str">
        <f>IF(AND(B22="",B21&gt;0),"                           Total:   Games: "&amp;VLOOKUP($C$2,Data!$B$87:$N$9999,4,0)&amp;"     Buy-in: $ "&amp;TEXT(VLOOKUP($C$2,Data!$B$87:$N$9999,5,0),"0,0")&amp;"     ABI: $ "&amp;TEXT(VLOOKUP($C$2,Data!$B$87:$N$9999,6,0),"0,0"),IFERROR( IF(VLOOKUP(B22,Baza[],18,0)&gt;0," ["&amp;VLOOKUP(B22,Baza[],18,0)+1&amp;"] ","   ")      &amp;IFERROR(IF(OR(VLOOKUP(B22,Baza[],9,0)="WN",VLOOKUP(B22,Baza[],9,0)="ES"),"€ ","$ ")&amp;      VLOOKUP(B22,Baza[],8,0),"")         &amp;" ["&amp;VLOOKUP(B22,Baza[],9,0)&amp;"] "&amp;VLOOKUP(B22,Baza[],10,0)&amp;IF(VLOOKUP(B22,Baza[],12,0)="T"," [Turbo]",   IF(VLOOKUP(B22,Baza[],12,0)="H"," [Hyper]",                                 "") )            &amp;  IF(VLOOKUP(B22,Baza[],14,0)="s",   ", "&amp;VLOOKUP(B22,Baza[],15,0)&amp;" Tickets",                                                                                                 IF(OR(VLOOKUP(B22,Baza[],14,0)="XP",VLOOKUP(B22,Baza[],14,0)="XP2"),VLOOKUP(B22,Baza[],15,0),            IF(OR(VLOOKUP(B22,Baza[],9,0)="WN",VLOOKUP(B22,Baza[],9,0)="ES"),", €",", $")&amp;                          IF(VLOOKUP(B22,Baza[],15,0)&lt;1000,VLOOKUP(B22,Baza[],15,0),IF(VLOOKUP(B22,Baza[],15,0)&lt;1000000,IF(VLOOKUP(B22,Baza[],15,0)/1000=INT(VLOOKUP(B22,Baza[],15,0)/1000),TEXT(VLOOKUP(B22,Baza[],15,0),"#0 K"),TEXT(VLOOKUP(B22,Baza[],15,0),"#0,0 K")), IF(VLOOKUP(B22,Baza[],15,0)/1000000=INT(VLOOKUP(B22,Baza[],15,0)/1000000),TEXT(VLOOKUP(B22,Baza[],15,0),"# ###  M"),TEXT(VLOOKUP(B22,Baza[],15,0),"# ###,0  M")))))),""))</f>
        <v xml:space="preserve">   € 1 [WN] Monster Stack, €250</v>
      </c>
      <c r="G22" s="10"/>
      <c r="H22" s="10"/>
      <c r="I22" s="10"/>
      <c r="J22" s="10"/>
      <c r="K22" s="11" t="str">
        <f>IFERROR(IF(VLOOKUP(B22,Baza[],14,0)="s","Sat",IF(VLOOKUP(B22,Baza[],14,0)="XP","Phase",                                         IF(VLOOKUP(B22,Baza[],19,0)="-","",VLOOKUP(B22,Baza[],19,0)))),"")</f>
        <v/>
      </c>
      <c r="L22" s="12" t="str">
        <f>IF(AND(B22="",B21&gt;0),SUM($L$5:L21),IFERROR(IF(VLOOKUP(B22,Baza[],21,0)=0,"-",VLOOKUP(B22,Baza[],21,0)),""))</f>
        <v>-</v>
      </c>
      <c r="M22" s="12" t="str">
        <f>IF(AND(B22="",B21&gt;0),SUM($M$5:M21),IFERROR(IF(VLOOKUP(B22,Baza[],22,0)=0,"-",VLOOKUP(B22,Baza[],22,0)),""))</f>
        <v>-</v>
      </c>
      <c r="N22" s="12">
        <f>IF(AND(B22="",B21&gt;0),SUM($N$5:N21),IFERROR(VLOOKUP(B22,Baza[],23,0),""))</f>
        <v>-1.1200000000000001</v>
      </c>
      <c r="P22" s="13" t="str">
        <f>IFERROR(VLOOKUP(B22,Baza[],14,0),"")</f>
        <v>-</v>
      </c>
      <c r="Q22" s="13" t="str">
        <f>IFERROR(VLOOKUP(B22,Baza[],13,0),"")</f>
        <v>-</v>
      </c>
    </row>
    <row r="23" spans="1:17" ht="9.9499999999999993" customHeight="1" x14ac:dyDescent="0.25">
      <c r="A23" s="4">
        <v>2</v>
      </c>
      <c r="B23" s="48">
        <v>19</v>
      </c>
      <c r="C23" s="97"/>
      <c r="D23" s="111">
        <f t="shared" si="0"/>
        <v>19</v>
      </c>
      <c r="E23" s="8">
        <f>IFERROR(VLOOKUP(B23,Baza[],7,0),"")</f>
        <v>0.66666666666666663</v>
      </c>
      <c r="F23" s="9" t="str">
        <f>IF(AND(B23="",B22&gt;0),"                           Total:   Games: "&amp;VLOOKUP($C$2,Data!$B$87:$N$9999,4,0)&amp;"     Buy-in: $ "&amp;TEXT(VLOOKUP($C$2,Data!$B$87:$N$9999,5,0),"0,0")&amp;"     ABI: $ "&amp;TEXT(VLOOKUP($C$2,Data!$B$87:$N$9999,6,0),"0,0"),IFERROR( IF(VLOOKUP(B23,Baza[],18,0)&gt;0," ["&amp;VLOOKUP(B23,Baza[],18,0)+1&amp;"] ","   ")      &amp;IFERROR(IF(OR(VLOOKUP(B23,Baza[],9,0)="WN",VLOOKUP(B23,Baza[],9,0)="ES"),"€ ","$ ")&amp;      VLOOKUP(B23,Baza[],8,0),"")         &amp;" ["&amp;VLOOKUP(B23,Baza[],9,0)&amp;"] "&amp;VLOOKUP(B23,Baza[],10,0)&amp;IF(VLOOKUP(B23,Baza[],12,0)="T"," [Turbo]",   IF(VLOOKUP(B23,Baza[],12,0)="H"," [Hyper]",                                 "") )            &amp;  IF(VLOOKUP(B23,Baza[],14,0)="s",   ", "&amp;VLOOKUP(B23,Baza[],15,0)&amp;" Tickets",                                                                                                 IF(OR(VLOOKUP(B23,Baza[],14,0)="XP",VLOOKUP(B23,Baza[],14,0)="XP2"),VLOOKUP(B23,Baza[],15,0),            IF(OR(VLOOKUP(B23,Baza[],9,0)="WN",VLOOKUP(B23,Baza[],9,0)="ES"),", €",", $")&amp;                          IF(VLOOKUP(B23,Baza[],15,0)&lt;1000,VLOOKUP(B23,Baza[],15,0),IF(VLOOKUP(B23,Baza[],15,0)&lt;1000000,IF(VLOOKUP(B23,Baza[],15,0)/1000=INT(VLOOKUP(B23,Baza[],15,0)/1000),TEXT(VLOOKUP(B23,Baza[],15,0),"#0 K"),TEXT(VLOOKUP(B23,Baza[],15,0),"#0,0 K")), IF(VLOOKUP(B23,Baza[],15,0)/1000000=INT(VLOOKUP(B23,Baza[],15,0)/1000000),TEXT(VLOOKUP(B23,Baza[],15,0),"# ###  M"),TEXT(VLOOKUP(B23,Baza[],15,0),"# ###,0  M")))))),""))</f>
        <v xml:space="preserve">   $ 1 [PAC] 6-Max Think Fast, $300</v>
      </c>
      <c r="G23" s="10"/>
      <c r="H23" s="10"/>
      <c r="I23" s="10"/>
      <c r="J23" s="10"/>
      <c r="K23" s="11" t="str">
        <f>IFERROR(IF(VLOOKUP(B23,Baza[],14,0)="s","Sat",IF(VLOOKUP(B23,Baza[],14,0)="XP","Phase",                                         IF(VLOOKUP(B23,Baza[],19,0)="-","",VLOOKUP(B23,Baza[],19,0)))),"")</f>
        <v/>
      </c>
      <c r="L23" s="12" t="str">
        <f>IF(AND(B23="",B22&gt;0),SUM($L$5:L22),IFERROR(IF(VLOOKUP(B23,Baza[],21,0)=0,"-",VLOOKUP(B23,Baza[],21,0)),""))</f>
        <v>-</v>
      </c>
      <c r="M23" s="12" t="str">
        <f>IF(AND(B23="",B22&gt;0),SUM($M$5:M22),IFERROR(IF(VLOOKUP(B23,Baza[],22,0)=0,"-",VLOOKUP(B23,Baza[],22,0)),""))</f>
        <v>-</v>
      </c>
      <c r="N23" s="12">
        <f>IF(AND(B23="",B22&gt;0),SUM($N$5:N22),IFERROR(VLOOKUP(B23,Baza[],23,0),""))</f>
        <v>-1</v>
      </c>
      <c r="P23" s="13" t="str">
        <f>IFERROR(VLOOKUP(B23,Baza[],14,0),"")</f>
        <v>-</v>
      </c>
      <c r="Q23" s="13" t="str">
        <f>IFERROR(VLOOKUP(B23,Baza[],13,0),"")</f>
        <v>-</v>
      </c>
    </row>
    <row r="24" spans="1:17" ht="9.9499999999999993" customHeight="1" x14ac:dyDescent="0.25">
      <c r="A24" s="4">
        <v>1</v>
      </c>
      <c r="B24" s="48">
        <v>20</v>
      </c>
      <c r="C24" s="97"/>
      <c r="D24" s="111">
        <f t="shared" si="0"/>
        <v>20</v>
      </c>
      <c r="E24" s="8">
        <f>IFERROR(VLOOKUP(B24,Baza[],7,0),"")</f>
        <v>0.67708333333333337</v>
      </c>
      <c r="F24" s="9" t="str">
        <f>IF(AND(B24="",B23&gt;0),"                           Total:   Games: "&amp;VLOOKUP($C$2,Data!$B$87:$N$9999,4,0)&amp;"     Buy-in: $ "&amp;TEXT(VLOOKUP($C$2,Data!$B$87:$N$9999,5,0),"0,0")&amp;"     ABI: $ "&amp;TEXT(VLOOKUP($C$2,Data!$B$87:$N$9999,6,0),"0,0"),IFERROR( IF(VLOOKUP(B24,Baza[],18,0)&gt;0," ["&amp;VLOOKUP(B24,Baza[],18,0)+1&amp;"] ","   ")      &amp;IFERROR(IF(OR(VLOOKUP(B24,Baza[],9,0)="WN",VLOOKUP(B24,Baza[],9,0)="ES"),"€ ","$ ")&amp;      VLOOKUP(B24,Baza[],8,0),"")         &amp;" ["&amp;VLOOKUP(B24,Baza[],9,0)&amp;"] "&amp;VLOOKUP(B24,Baza[],10,0)&amp;IF(VLOOKUP(B24,Baza[],12,0)="T"," [Turbo]",   IF(VLOOKUP(B24,Baza[],12,0)="H"," [Hyper]",                                 "") )            &amp;  IF(VLOOKUP(B24,Baza[],14,0)="s",   ", "&amp;VLOOKUP(B24,Baza[],15,0)&amp;" Tickets",                                                                                                 IF(OR(VLOOKUP(B24,Baza[],14,0)="XP",VLOOKUP(B24,Baza[],14,0)="XP2"),VLOOKUP(B24,Baza[],15,0),            IF(OR(VLOOKUP(B24,Baza[],9,0)="WN",VLOOKUP(B24,Baza[],9,0)="ES"),", €",", $")&amp;                          IF(VLOOKUP(B24,Baza[],15,0)&lt;1000,VLOOKUP(B24,Baza[],15,0),IF(VLOOKUP(B24,Baza[],15,0)&lt;1000000,IF(VLOOKUP(B24,Baza[],15,0)/1000=INT(VLOOKUP(B24,Baza[],15,0)/1000),TEXT(VLOOKUP(B24,Baza[],15,0),"#0 K"),TEXT(VLOOKUP(B24,Baza[],15,0),"#0,0 K")), IF(VLOOKUP(B24,Baza[],15,0)/1000000=INT(VLOOKUP(B24,Baza[],15,0)/1000000),TEXT(VLOOKUP(B24,Baza[],15,0),"# ###  M"),TEXT(VLOOKUP(B24,Baza[],15,0),"# ###,0  M")))))),""))</f>
        <v xml:space="preserve">   $ 1,1 [PAC] Guaranteed PKO, $300</v>
      </c>
      <c r="G24" s="10"/>
      <c r="H24" s="10"/>
      <c r="I24" s="10"/>
      <c r="J24" s="10"/>
      <c r="K24" s="11" t="str">
        <f>IFERROR(IF(VLOOKUP(B24,Baza[],14,0)="s","Sat",IF(VLOOKUP(B24,Baza[],14,0)="XP","Phase",                                         IF(VLOOKUP(B24,Baza[],19,0)="-","",VLOOKUP(B24,Baza[],19,0)))),"")</f>
        <v/>
      </c>
      <c r="L24" s="12">
        <f>IF(AND(B24="",B23&gt;0),SUM($L$5:L23),IFERROR(IF(VLOOKUP(B24,Baza[],21,0)=0,"-",VLOOKUP(B24,Baza[],21,0)),""))</f>
        <v>0.25</v>
      </c>
      <c r="M24" s="12" t="str">
        <f>IF(AND(B24="",B23&gt;0),SUM($M$5:M23),IFERROR(IF(VLOOKUP(B24,Baza[],22,0)=0,"-",VLOOKUP(B24,Baza[],22,0)),""))</f>
        <v>-</v>
      </c>
      <c r="N24" s="12">
        <f>IF(AND(B24="",B23&gt;0),SUM($N$5:N23),IFERROR(VLOOKUP(B24,Baza[],23,0),""))</f>
        <v>-0.85000000000000009</v>
      </c>
      <c r="P24" s="13" t="str">
        <f>IFERROR(VLOOKUP(B24,Baza[],14,0),"")</f>
        <v>-</v>
      </c>
      <c r="Q24" s="13" t="str">
        <f>IFERROR(VLOOKUP(B24,Baza[],13,0),"")</f>
        <v>K</v>
      </c>
    </row>
    <row r="25" spans="1:17" ht="9.9499999999999993" customHeight="1" x14ac:dyDescent="0.25">
      <c r="A25" s="4">
        <v>2</v>
      </c>
      <c r="B25" s="48">
        <v>21</v>
      </c>
      <c r="C25" s="97"/>
      <c r="D25" s="111">
        <f t="shared" si="0"/>
        <v>21</v>
      </c>
      <c r="E25" s="8">
        <f>IFERROR(VLOOKUP(B25,Baza[],7,0),"")</f>
        <v>0.67708333333333337</v>
      </c>
      <c r="F25" s="9" t="str">
        <f>IF(AND(B25="",B24&gt;0),"                           Total:   Games: "&amp;VLOOKUP($C$2,Data!$B$87:$N$9999,4,0)&amp;"     Buy-in: $ "&amp;TEXT(VLOOKUP($C$2,Data!$B$87:$N$9999,5,0),"0,0")&amp;"     ABI: $ "&amp;TEXT(VLOOKUP($C$2,Data!$B$87:$N$9999,6,0),"0,0"),IFERROR( IF(VLOOKUP(B25,Baza[],18,0)&gt;0," ["&amp;VLOOKUP(B25,Baza[],18,0)+1&amp;"] ","   ")      &amp;IFERROR(IF(OR(VLOOKUP(B25,Baza[],9,0)="WN",VLOOKUP(B25,Baza[],9,0)="ES"),"€ ","$ ")&amp;      VLOOKUP(B25,Baza[],8,0),"")         &amp;" ["&amp;VLOOKUP(B25,Baza[],9,0)&amp;"] "&amp;VLOOKUP(B25,Baza[],10,0)&amp;IF(VLOOKUP(B25,Baza[],12,0)="T"," [Turbo]",   IF(VLOOKUP(B25,Baza[],12,0)="H"," [Hyper]",                                 "") )            &amp;  IF(VLOOKUP(B25,Baza[],14,0)="s",   ", "&amp;VLOOKUP(B25,Baza[],15,0)&amp;" Tickets",                                                                                                 IF(OR(VLOOKUP(B25,Baza[],14,0)="XP",VLOOKUP(B25,Baza[],14,0)="XP2"),VLOOKUP(B25,Baza[],15,0),            IF(OR(VLOOKUP(B25,Baza[],9,0)="WN",VLOOKUP(B25,Baza[],9,0)="ES"),", €",", $")&amp;                          IF(VLOOKUP(B25,Baza[],15,0)&lt;1000,VLOOKUP(B25,Baza[],15,0),IF(VLOOKUP(B25,Baza[],15,0)&lt;1000000,IF(VLOOKUP(B25,Baza[],15,0)/1000=INT(VLOOKUP(B25,Baza[],15,0)/1000),TEXT(VLOOKUP(B25,Baza[],15,0),"#0 K"),TEXT(VLOOKUP(B25,Baza[],15,0),"#0,0 K")), IF(VLOOKUP(B25,Baza[],15,0)/1000000=INT(VLOOKUP(B25,Baza[],15,0)/1000000),TEXT(VLOOKUP(B25,Baza[],15,0),"# ###  M"),TEXT(VLOOKUP(B25,Baza[],15,0),"# ###,0  M")))))),""))</f>
        <v xml:space="preserve">   $ 1,1 [PS] GTD, $1,5K</v>
      </c>
      <c r="G25" s="10"/>
      <c r="H25" s="10"/>
      <c r="I25" s="10"/>
      <c r="J25" s="10"/>
      <c r="K25" s="11">
        <f>IFERROR(IF(VLOOKUP(B25,Baza[],14,0)="s","Sat",IF(VLOOKUP(B25,Baza[],14,0)="XP","Phase",                                         IF(VLOOKUP(B25,Baza[],19,0)="-","",VLOOKUP(B25,Baza[],19,0)))),"")</f>
        <v>145</v>
      </c>
      <c r="L25" s="12" t="str">
        <f>IF(AND(B25="",B24&gt;0),SUM($L$5:L24),IFERROR(IF(VLOOKUP(B25,Baza[],21,0)=0,"-",VLOOKUP(B25,Baza[],21,0)),""))</f>
        <v>-</v>
      </c>
      <c r="M25" s="12">
        <f>IF(AND(B25="",B24&gt;0),SUM($M$5:M24),IFERROR(IF(VLOOKUP(B25,Baza[],22,0)=0,"-",VLOOKUP(B25,Baza[],22,0)),""))</f>
        <v>3.97</v>
      </c>
      <c r="N25" s="12">
        <f>IF(AND(B25="",B24&gt;0),SUM($N$5:N24),IFERROR(VLOOKUP(B25,Baza[],23,0),""))</f>
        <v>2.87</v>
      </c>
      <c r="P25" s="13" t="str">
        <f>IFERROR(VLOOKUP(B25,Baza[],14,0),"")</f>
        <v>-</v>
      </c>
      <c r="Q25" s="13" t="str">
        <f>IFERROR(VLOOKUP(B25,Baza[],13,0),"")</f>
        <v>-</v>
      </c>
    </row>
    <row r="26" spans="1:17" ht="9.9499999999999993" customHeight="1" x14ac:dyDescent="0.25">
      <c r="A26" s="4">
        <v>1</v>
      </c>
      <c r="B26" s="48">
        <v>22</v>
      </c>
      <c r="C26" s="97"/>
      <c r="D26" s="111">
        <f t="shared" si="0"/>
        <v>22</v>
      </c>
      <c r="E26" s="8">
        <f>IFERROR(VLOOKUP(B26,Baza[],7,0),"")</f>
        <v>0.6875</v>
      </c>
      <c r="F26" s="9" t="str">
        <f>IF(AND(B26="",B25&gt;0),"                           Total:   Games: "&amp;VLOOKUP($C$2,Data!$B$87:$N$9999,4,0)&amp;"     Buy-in: $ "&amp;TEXT(VLOOKUP($C$2,Data!$B$87:$N$9999,5,0),"0,0")&amp;"     ABI: $ "&amp;TEXT(VLOOKUP($C$2,Data!$B$87:$N$9999,6,0),"0,0"),IFERROR( IF(VLOOKUP(B26,Baza[],18,0)&gt;0," ["&amp;VLOOKUP(B26,Baza[],18,0)+1&amp;"] ","   ")      &amp;IFERROR(IF(OR(VLOOKUP(B26,Baza[],9,0)="WN",VLOOKUP(B26,Baza[],9,0)="ES"),"€ ","$ ")&amp;      VLOOKUP(B26,Baza[],8,0),"")         &amp;" ["&amp;VLOOKUP(B26,Baza[],9,0)&amp;"] "&amp;VLOOKUP(B26,Baza[],10,0)&amp;IF(VLOOKUP(B26,Baza[],12,0)="T"," [Turbo]",   IF(VLOOKUP(B26,Baza[],12,0)="H"," [Hyper]",                                 "") )            &amp;  IF(VLOOKUP(B26,Baza[],14,0)="s",   ", "&amp;VLOOKUP(B26,Baza[],15,0)&amp;" Tickets",                                                                                                 IF(OR(VLOOKUP(B26,Baza[],14,0)="XP",VLOOKUP(B26,Baza[],14,0)="XP2"),VLOOKUP(B26,Baza[],15,0),            IF(OR(VLOOKUP(B26,Baza[],9,0)="WN",VLOOKUP(B26,Baza[],9,0)="ES"),", €",", $")&amp;                          IF(VLOOKUP(B26,Baza[],15,0)&lt;1000,VLOOKUP(B26,Baza[],15,0),IF(VLOOKUP(B26,Baza[],15,0)&lt;1000000,IF(VLOOKUP(B26,Baza[],15,0)/1000=INT(VLOOKUP(B26,Baza[],15,0)/1000),TEXT(VLOOKUP(B26,Baza[],15,0),"#0 K"),TEXT(VLOOKUP(B26,Baza[],15,0),"#0,0 K")), IF(VLOOKUP(B26,Baza[],15,0)/1000000=INT(VLOOKUP(B26,Baza[],15,0)/1000000),TEXT(VLOOKUP(B26,Baza[],15,0),"# ###  M"),TEXT(VLOOKUP(B26,Baza[],15,0),"# ###,0  M")))))),""))</f>
        <v xml:space="preserve">   $ 2,2 [PAC] Guaranteed, $500</v>
      </c>
      <c r="G26" s="10"/>
      <c r="H26" s="10"/>
      <c r="I26" s="10"/>
      <c r="J26" s="10"/>
      <c r="K26" s="11" t="str">
        <f>IFERROR(IF(VLOOKUP(B26,Baza[],14,0)="s","Sat",IF(VLOOKUP(B26,Baza[],14,0)="XP","Phase",                                         IF(VLOOKUP(B26,Baza[],19,0)="-","",VLOOKUP(B26,Baza[],19,0)))),"")</f>
        <v/>
      </c>
      <c r="L26" s="12" t="str">
        <f>IF(AND(B26="",B25&gt;0),SUM($L$5:L25),IFERROR(IF(VLOOKUP(B26,Baza[],21,0)=0,"-",VLOOKUP(B26,Baza[],21,0)),""))</f>
        <v>-</v>
      </c>
      <c r="M26" s="12" t="str">
        <f>IF(AND(B26="",B25&gt;0),SUM($M$5:M25),IFERROR(IF(VLOOKUP(B26,Baza[],22,0)=0,"-",VLOOKUP(B26,Baza[],22,0)),""))</f>
        <v>-</v>
      </c>
      <c r="N26" s="12">
        <f>IF(AND(B26="",B25&gt;0),SUM($N$5:N25),IFERROR(VLOOKUP(B26,Baza[],23,0),""))</f>
        <v>-2.2000000000000002</v>
      </c>
      <c r="P26" s="13" t="str">
        <f>IFERROR(VLOOKUP(B26,Baza[],14,0),"")</f>
        <v>-</v>
      </c>
      <c r="Q26" s="13" t="str">
        <f>IFERROR(VLOOKUP(B26,Baza[],13,0),"")</f>
        <v>-</v>
      </c>
    </row>
    <row r="27" spans="1:17" ht="9.9499999999999993" customHeight="1" x14ac:dyDescent="0.25">
      <c r="A27" s="4">
        <v>2</v>
      </c>
      <c r="B27"/>
      <c r="C27" s="97"/>
      <c r="D27" s="111" t="str">
        <f t="shared" si="0"/>
        <v/>
      </c>
      <c r="E27" s="8" t="str">
        <f>IFERROR(VLOOKUP(B27,Baza[],7,0),"")</f>
        <v/>
      </c>
      <c r="F27" s="9" t="str">
        <f>IF(AND(B27="",B26&gt;0),"                           Total:   Games: "&amp;VLOOKUP($C$2,Data!$B$87:$N$9999,4,0)&amp;"     Buy-in: $ "&amp;TEXT(VLOOKUP($C$2,Data!$B$87:$N$9999,5,0),"0,0")&amp;"     ABI: $ "&amp;TEXT(VLOOKUP($C$2,Data!$B$87:$N$9999,6,0),"0,0"),IFERROR( IF(VLOOKUP(B27,Baza[],18,0)&gt;0," ["&amp;VLOOKUP(B27,Baza[],18,0)+1&amp;"] ","   ")      &amp;IFERROR(IF(OR(VLOOKUP(B27,Baza[],9,0)="WN",VLOOKUP(B27,Baza[],9,0)="ES"),"€ ","$ ")&amp;      VLOOKUP(B27,Baza[],8,0),"")         &amp;" ["&amp;VLOOKUP(B27,Baza[],9,0)&amp;"] "&amp;VLOOKUP(B27,Baza[],10,0)&amp;IF(VLOOKUP(B27,Baza[],12,0)="T"," [Turbo]",   IF(VLOOKUP(B27,Baza[],12,0)="H"," [Hyper]",                                 "") )            &amp;  IF(VLOOKUP(B27,Baza[],14,0)="s",   ", "&amp;VLOOKUP(B27,Baza[],15,0)&amp;" Tickets",                                                                                                 IF(OR(VLOOKUP(B27,Baza[],14,0)="XP",VLOOKUP(B27,Baza[],14,0)="XP2"),VLOOKUP(B27,Baza[],15,0),            IF(OR(VLOOKUP(B27,Baza[],9,0)="WN",VLOOKUP(B27,Baza[],9,0)="ES"),", €",", $")&amp;                          IF(VLOOKUP(B27,Baza[],15,0)&lt;1000,VLOOKUP(B27,Baza[],15,0),IF(VLOOKUP(B27,Baza[],15,0)&lt;1000000,IF(VLOOKUP(B27,Baza[],15,0)/1000=INT(VLOOKUP(B27,Baza[],15,0)/1000),TEXT(VLOOKUP(B27,Baza[],15,0),"#0 K"),TEXT(VLOOKUP(B27,Baza[],15,0),"#0,0 K")), IF(VLOOKUP(B27,Baza[],15,0)/1000000=INT(VLOOKUP(B27,Baza[],15,0)/1000000),TEXT(VLOOKUP(B27,Baza[],15,0),"# ###  M"),TEXT(VLOOKUP(B27,Baza[],15,0),"# ###,0  M")))))),""))</f>
        <v xml:space="preserve">                           Total:   Games: 22     Buy-in: $ 31,4     ABI: $ 1,4</v>
      </c>
      <c r="G27" s="10"/>
      <c r="H27" s="10"/>
      <c r="I27" s="10"/>
      <c r="J27" s="10"/>
      <c r="K27" s="11" t="str">
        <f>IFERROR(IF(VLOOKUP(B27,Baza[],14,0)="s","Sat",IF(VLOOKUP(B27,Baza[],14,0)="XP","Phase",                                         IF(VLOOKUP(B27,Baza[],19,0)="-","",VLOOKUP(B27,Baza[],19,0)))),"")</f>
        <v/>
      </c>
      <c r="L27" s="12">
        <f>IF(AND(B27="",B26&gt;0),SUM($L$5:L26),IFERROR(IF(VLOOKUP(B27,Baza[],21,0)=0,"-",VLOOKUP(B27,Baza[],21,0)),""))</f>
        <v>6.66</v>
      </c>
      <c r="M27" s="12">
        <f>IF(AND(B27="",B26&gt;0),SUM($M$5:M26),IFERROR(IF(VLOOKUP(B27,Baza[],22,0)=0,"-",VLOOKUP(B27,Baza[],22,0)),""))</f>
        <v>21.93</v>
      </c>
      <c r="N27" s="12">
        <f>IF(AND(B27="",B26&gt;0),SUM($N$5:N26),IFERROR(VLOOKUP(B27,Baza[],23,0),""))</f>
        <v>-2.7900000000000005</v>
      </c>
      <c r="P27" s="13" t="str">
        <f>IFERROR(VLOOKUP(B27,Baza[],14,0),"")</f>
        <v/>
      </c>
      <c r="Q27" s="13" t="str">
        <f>IFERROR(VLOOKUP(B27,Baza[],13,0),"")</f>
        <v/>
      </c>
    </row>
    <row r="28" spans="1:17" ht="9.9499999999999993" customHeight="1" x14ac:dyDescent="0.25">
      <c r="A28" s="4">
        <v>1</v>
      </c>
      <c r="B28"/>
      <c r="C28" s="97"/>
      <c r="D28" s="111" t="str">
        <f t="shared" si="0"/>
        <v/>
      </c>
      <c r="E28" s="8" t="str">
        <f>IFERROR(VLOOKUP(B28,Baza[],7,0),"")</f>
        <v/>
      </c>
      <c r="F28" s="9" t="str">
        <f>IF(AND(B28="",B27&gt;0),"                           Total:   Games: "&amp;VLOOKUP($C$2,Data!$B$87:$N$9999,4,0)&amp;"     Buy-in: $ "&amp;TEXT(VLOOKUP($C$2,Data!$B$87:$N$9999,5,0),"0,0")&amp;"     ABI: $ "&amp;TEXT(VLOOKUP($C$2,Data!$B$87:$N$9999,6,0),"0,0"),IFERROR( IF(VLOOKUP(B28,Baza[],18,0)&gt;0," ["&amp;VLOOKUP(B28,Baza[],18,0)+1&amp;"] ","   ")      &amp;IFERROR(IF(OR(VLOOKUP(B28,Baza[],9,0)="WN",VLOOKUP(B28,Baza[],9,0)="ES"),"€ ","$ ")&amp;      VLOOKUP(B28,Baza[],8,0),"")         &amp;" ["&amp;VLOOKUP(B28,Baza[],9,0)&amp;"] "&amp;VLOOKUP(B28,Baza[],10,0)&amp;IF(VLOOKUP(B28,Baza[],12,0)="T"," [Turbo]",   IF(VLOOKUP(B28,Baza[],12,0)="H"," [Hyper]",                                 "") )            &amp;  IF(VLOOKUP(B28,Baza[],14,0)="s",   ", "&amp;VLOOKUP(B28,Baza[],15,0)&amp;" Tickets",                                                                                                 IF(OR(VLOOKUP(B28,Baza[],14,0)="XP",VLOOKUP(B28,Baza[],14,0)="XP2"),VLOOKUP(B28,Baza[],15,0),            IF(OR(VLOOKUP(B28,Baza[],9,0)="WN",VLOOKUP(B28,Baza[],9,0)="ES"),", €",", $")&amp;                          IF(VLOOKUP(B28,Baza[],15,0)&lt;1000,VLOOKUP(B28,Baza[],15,0),IF(VLOOKUP(B28,Baza[],15,0)&lt;1000000,IF(VLOOKUP(B28,Baza[],15,0)/1000=INT(VLOOKUP(B28,Baza[],15,0)/1000),TEXT(VLOOKUP(B28,Baza[],15,0),"#0 K"),TEXT(VLOOKUP(B28,Baza[],15,0),"#0,0 K")), IF(VLOOKUP(B28,Baza[],15,0)/1000000=INT(VLOOKUP(B28,Baza[],15,0)/1000000),TEXT(VLOOKUP(B28,Baza[],15,0),"# ###  M"),TEXT(VLOOKUP(B28,Baza[],15,0),"# ###,0  M")))))),""))</f>
        <v/>
      </c>
      <c r="G28" s="10"/>
      <c r="H28" s="10"/>
      <c r="I28" s="10"/>
      <c r="J28" s="10"/>
      <c r="K28" s="11" t="str">
        <f>IFERROR(IF(VLOOKUP(B28,Baza[],14,0)="s","Sat",IF(VLOOKUP(B28,Baza[],14,0)="XP","Phase",                                         IF(VLOOKUP(B28,Baza[],19,0)="-","",VLOOKUP(B28,Baza[],19,0)))),"")</f>
        <v/>
      </c>
      <c r="L28" s="12" t="str">
        <f>IF(AND(B28="",B27&gt;0),SUM($L$5:L27),IFERROR(IF(VLOOKUP(B28,Baza[],21,0)=0,"-",VLOOKUP(B28,Baza[],21,0)),""))</f>
        <v/>
      </c>
      <c r="M28" s="12" t="str">
        <f>IF(AND(B28="",B27&gt;0),SUM($M$5:M27),IFERROR(IF(VLOOKUP(B28,Baza[],22,0)=0,"-",VLOOKUP(B28,Baza[],22,0)),""))</f>
        <v/>
      </c>
      <c r="N28" s="12" t="str">
        <f>IF(AND(B28="",B27&gt;0),SUM($N$5:N27),IFERROR(VLOOKUP(B28,Baza[],23,0),""))</f>
        <v/>
      </c>
      <c r="P28" s="13" t="str">
        <f>IFERROR(VLOOKUP(B28,Baza[],14,0),"")</f>
        <v/>
      </c>
      <c r="Q28" s="13" t="str">
        <f>IFERROR(VLOOKUP(B28,Baza[],13,0),"")</f>
        <v/>
      </c>
    </row>
    <row r="29" spans="1:17" ht="9.9499999999999993" customHeight="1" x14ac:dyDescent="0.25">
      <c r="A29" s="4">
        <v>2</v>
      </c>
      <c r="B29"/>
      <c r="C29" s="97"/>
      <c r="D29" s="111" t="str">
        <f t="shared" si="0"/>
        <v/>
      </c>
      <c r="E29" s="8" t="str">
        <f>IFERROR(VLOOKUP(B29,Baza[],7,0),"")</f>
        <v/>
      </c>
      <c r="F29" s="9" t="str">
        <f>IF(AND(B29="",B28&gt;0),"                           Total:   Games: "&amp;VLOOKUP($C$2,Data!$B$87:$N$9999,4,0)&amp;"     Buy-in: $ "&amp;TEXT(VLOOKUP($C$2,Data!$B$87:$N$9999,5,0),"0,0")&amp;"     ABI: $ "&amp;TEXT(VLOOKUP($C$2,Data!$B$87:$N$9999,6,0),"0,0"),IFERROR( IF(VLOOKUP(B29,Baza[],18,0)&gt;0," ["&amp;VLOOKUP(B29,Baza[],18,0)+1&amp;"] ","   ")      &amp;IFERROR(IF(OR(VLOOKUP(B29,Baza[],9,0)="WN",VLOOKUP(B29,Baza[],9,0)="ES"),"€ ","$ ")&amp;      VLOOKUP(B29,Baza[],8,0),"")         &amp;" ["&amp;VLOOKUP(B29,Baza[],9,0)&amp;"] "&amp;VLOOKUP(B29,Baza[],10,0)&amp;IF(VLOOKUP(B29,Baza[],12,0)="T"," [Turbo]",   IF(VLOOKUP(B29,Baza[],12,0)="H"," [Hyper]",                                 "") )            &amp;  IF(VLOOKUP(B29,Baza[],14,0)="s",   ", "&amp;VLOOKUP(B29,Baza[],15,0)&amp;" Tickets",                                                                                                 IF(OR(VLOOKUP(B29,Baza[],14,0)="XP",VLOOKUP(B29,Baza[],14,0)="XP2"),VLOOKUP(B29,Baza[],15,0),            IF(OR(VLOOKUP(B29,Baza[],9,0)="WN",VLOOKUP(B29,Baza[],9,0)="ES"),", €",", $")&amp;                          IF(VLOOKUP(B29,Baza[],15,0)&lt;1000,VLOOKUP(B29,Baza[],15,0),IF(VLOOKUP(B29,Baza[],15,0)&lt;1000000,IF(VLOOKUP(B29,Baza[],15,0)/1000=INT(VLOOKUP(B29,Baza[],15,0)/1000),TEXT(VLOOKUP(B29,Baza[],15,0),"#0 K"),TEXT(VLOOKUP(B29,Baza[],15,0),"#0,0 K")), IF(VLOOKUP(B29,Baza[],15,0)/1000000=INT(VLOOKUP(B29,Baza[],15,0)/1000000),TEXT(VLOOKUP(B29,Baza[],15,0),"# ###  M"),TEXT(VLOOKUP(B29,Baza[],15,0),"# ###,0  M")))))),""))</f>
        <v/>
      </c>
      <c r="G29" s="10"/>
      <c r="H29" s="10"/>
      <c r="I29" s="10"/>
      <c r="J29" s="10"/>
      <c r="K29" s="11" t="str">
        <f>IFERROR(IF(VLOOKUP(B29,Baza[],14,0)="s","Sat",IF(VLOOKUP(B29,Baza[],14,0)="XP","Phase",                                         IF(VLOOKUP(B29,Baza[],19,0)="-","",VLOOKUP(B29,Baza[],19,0)))),"")</f>
        <v/>
      </c>
      <c r="L29" s="12" t="str">
        <f>IF(AND(B29="",B28&gt;0),SUM($L$5:L28),IFERROR(IF(VLOOKUP(B29,Baza[],21,0)=0,"-",VLOOKUP(B29,Baza[],21,0)),""))</f>
        <v/>
      </c>
      <c r="M29" s="12" t="str">
        <f>IF(AND(B29="",B28&gt;0),SUM($M$5:M28),IFERROR(IF(VLOOKUP(B29,Baza[],22,0)=0,"-",VLOOKUP(B29,Baza[],22,0)),""))</f>
        <v/>
      </c>
      <c r="N29" s="12" t="str">
        <f>IF(AND(B29="",B28&gt;0),SUM($N$5:N28),IFERROR(VLOOKUP(B29,Baza[],23,0),""))</f>
        <v/>
      </c>
      <c r="P29" s="13" t="str">
        <f>IFERROR(VLOOKUP(B29,Baza[],14,0),"")</f>
        <v/>
      </c>
      <c r="Q29" s="13" t="str">
        <f>IFERROR(VLOOKUP(B29,Baza[],13,0),"")</f>
        <v/>
      </c>
    </row>
    <row r="30" spans="1:17" ht="9.9499999999999993" customHeight="1" x14ac:dyDescent="0.25">
      <c r="A30" s="4">
        <v>1</v>
      </c>
      <c r="B30"/>
      <c r="C30" s="97"/>
      <c r="D30" s="111" t="str">
        <f t="shared" si="0"/>
        <v/>
      </c>
      <c r="E30" s="8" t="str">
        <f>IFERROR(VLOOKUP(B30,Baza[],7,0),"")</f>
        <v/>
      </c>
      <c r="F30" s="9" t="str">
        <f>IF(AND(B30="",B29&gt;0),"                           Total:   Games: "&amp;VLOOKUP($C$2,Data!$B$87:$N$9999,4,0)&amp;"     Buy-in: $ "&amp;TEXT(VLOOKUP($C$2,Data!$B$87:$N$9999,5,0),"0,0")&amp;"     ABI: $ "&amp;TEXT(VLOOKUP($C$2,Data!$B$87:$N$9999,6,0),"0,0"),IFERROR( IF(VLOOKUP(B30,Baza[],18,0)&gt;0," ["&amp;VLOOKUP(B30,Baza[],18,0)+1&amp;"] ","   ")      &amp;IFERROR(IF(OR(VLOOKUP(B30,Baza[],9,0)="WN",VLOOKUP(B30,Baza[],9,0)="ES"),"€ ","$ ")&amp;      VLOOKUP(B30,Baza[],8,0),"")         &amp;" ["&amp;VLOOKUP(B30,Baza[],9,0)&amp;"] "&amp;VLOOKUP(B30,Baza[],10,0)&amp;IF(VLOOKUP(B30,Baza[],12,0)="T"," [Turbo]",   IF(VLOOKUP(B30,Baza[],12,0)="H"," [Hyper]",                                 "") )            &amp;  IF(VLOOKUP(B30,Baza[],14,0)="s",   ", "&amp;VLOOKUP(B30,Baza[],15,0)&amp;" Tickets",                                                                                                 IF(OR(VLOOKUP(B30,Baza[],14,0)="XP",VLOOKUP(B30,Baza[],14,0)="XP2"),VLOOKUP(B30,Baza[],15,0),            IF(OR(VLOOKUP(B30,Baza[],9,0)="WN",VLOOKUP(B30,Baza[],9,0)="ES"),", €",", $")&amp;                          IF(VLOOKUP(B30,Baza[],15,0)&lt;1000,VLOOKUP(B30,Baza[],15,0),IF(VLOOKUP(B30,Baza[],15,0)&lt;1000000,IF(VLOOKUP(B30,Baza[],15,0)/1000=INT(VLOOKUP(B30,Baza[],15,0)/1000),TEXT(VLOOKUP(B30,Baza[],15,0),"#0 K"),TEXT(VLOOKUP(B30,Baza[],15,0),"#0,0 K")), IF(VLOOKUP(B30,Baza[],15,0)/1000000=INT(VLOOKUP(B30,Baza[],15,0)/1000000),TEXT(VLOOKUP(B30,Baza[],15,0),"# ###  M"),TEXT(VLOOKUP(B30,Baza[],15,0),"# ###,0  M")))))),""))</f>
        <v/>
      </c>
      <c r="G30" s="10"/>
      <c r="H30" s="10"/>
      <c r="I30" s="10"/>
      <c r="J30" s="10"/>
      <c r="K30" s="11" t="str">
        <f>IFERROR(IF(VLOOKUP(B30,Baza[],14,0)="s","Sat",IF(VLOOKUP(B30,Baza[],14,0)="XP","Phase",                                         IF(VLOOKUP(B30,Baza[],19,0)="-","",VLOOKUP(B30,Baza[],19,0)))),"")</f>
        <v/>
      </c>
      <c r="L30" s="12" t="str">
        <f>IF(AND(B30="",B29&gt;0),SUM($L$5:L29),IFERROR(IF(VLOOKUP(B30,Baza[],21,0)=0,"-",VLOOKUP(B30,Baza[],21,0)),""))</f>
        <v/>
      </c>
      <c r="M30" s="12" t="str">
        <f>IF(AND(B30="",B29&gt;0),SUM($M$5:M29),IFERROR(IF(VLOOKUP(B30,Baza[],22,0)=0,"-",VLOOKUP(B30,Baza[],22,0)),""))</f>
        <v/>
      </c>
      <c r="N30" s="12" t="str">
        <f>IF(AND(B30="",B29&gt;0),SUM($N$5:N29),IFERROR(VLOOKUP(B30,Baza[],23,0),""))</f>
        <v/>
      </c>
      <c r="P30" s="13" t="str">
        <f>IFERROR(VLOOKUP(B30,Baza[],14,0),"")</f>
        <v/>
      </c>
      <c r="Q30" s="13" t="str">
        <f>IFERROR(VLOOKUP(B30,Baza[],13,0),"")</f>
        <v/>
      </c>
    </row>
    <row r="31" spans="1:17" ht="9.9499999999999993" customHeight="1" x14ac:dyDescent="0.25">
      <c r="A31" s="4">
        <v>2</v>
      </c>
      <c r="B31"/>
      <c r="C31" s="97"/>
      <c r="D31" s="111" t="str">
        <f t="shared" si="0"/>
        <v/>
      </c>
      <c r="E31" s="8" t="str">
        <f>IFERROR(VLOOKUP(B31,Baza[],7,0),"")</f>
        <v/>
      </c>
      <c r="F31" s="9" t="str">
        <f>IF(AND(B31="",B30&gt;0),"                           Total:   Games: "&amp;VLOOKUP($C$2,Data!$B$87:$N$9999,4,0)&amp;"     Buy-in: $ "&amp;TEXT(VLOOKUP($C$2,Data!$B$87:$N$9999,5,0),"0,0")&amp;"     ABI: $ "&amp;TEXT(VLOOKUP($C$2,Data!$B$87:$N$9999,6,0),"0,0"),IFERROR( IF(VLOOKUP(B31,Baza[],18,0)&gt;0," ["&amp;VLOOKUP(B31,Baza[],18,0)+1&amp;"] ","   ")      &amp;IFERROR(IF(OR(VLOOKUP(B31,Baza[],9,0)="WN",VLOOKUP(B31,Baza[],9,0)="ES"),"€ ","$ ")&amp;      VLOOKUP(B31,Baza[],8,0),"")         &amp;" ["&amp;VLOOKUP(B31,Baza[],9,0)&amp;"] "&amp;VLOOKUP(B31,Baza[],10,0)&amp;IF(VLOOKUP(B31,Baza[],12,0)="T"," [Turbo]",   IF(VLOOKUP(B31,Baza[],12,0)="H"," [Hyper]",                                 "") )            &amp;  IF(VLOOKUP(B31,Baza[],14,0)="s",   ", "&amp;VLOOKUP(B31,Baza[],15,0)&amp;" Tickets",                                                                                                 IF(OR(VLOOKUP(B31,Baza[],14,0)="XP",VLOOKUP(B31,Baza[],14,0)="XP2"),VLOOKUP(B31,Baza[],15,0),            IF(OR(VLOOKUP(B31,Baza[],9,0)="WN",VLOOKUP(B31,Baza[],9,0)="ES"),", €",", $")&amp;                          IF(VLOOKUP(B31,Baza[],15,0)&lt;1000,VLOOKUP(B31,Baza[],15,0),IF(VLOOKUP(B31,Baza[],15,0)&lt;1000000,IF(VLOOKUP(B31,Baza[],15,0)/1000=INT(VLOOKUP(B31,Baza[],15,0)/1000),TEXT(VLOOKUP(B31,Baza[],15,0),"#0 K"),TEXT(VLOOKUP(B31,Baza[],15,0),"#0,0 K")), IF(VLOOKUP(B31,Baza[],15,0)/1000000=INT(VLOOKUP(B31,Baza[],15,0)/1000000),TEXT(VLOOKUP(B31,Baza[],15,0),"# ###  M"),TEXT(VLOOKUP(B31,Baza[],15,0),"# ###,0  M")))))),""))</f>
        <v/>
      </c>
      <c r="G31" s="10"/>
      <c r="H31" s="10"/>
      <c r="I31" s="10"/>
      <c r="J31" s="10"/>
      <c r="K31" s="11" t="str">
        <f>IFERROR(IF(VLOOKUP(B31,Baza[],14,0)="s","Sat",IF(VLOOKUP(B31,Baza[],14,0)="XP","Phase",                                         IF(VLOOKUP(B31,Baza[],19,0)="-","",VLOOKUP(B31,Baza[],19,0)))),"")</f>
        <v/>
      </c>
      <c r="L31" s="12" t="str">
        <f>IF(AND(B31="",B30&gt;0),SUM($L$5:L30),IFERROR(IF(VLOOKUP(B31,Baza[],21,0)=0,"-",VLOOKUP(B31,Baza[],21,0)),""))</f>
        <v/>
      </c>
      <c r="M31" s="12" t="str">
        <f>IF(AND(B31="",B30&gt;0),SUM($M$5:M30),IFERROR(IF(VLOOKUP(B31,Baza[],22,0)=0,"-",VLOOKUP(B31,Baza[],22,0)),""))</f>
        <v/>
      </c>
      <c r="N31" s="12" t="str">
        <f>IF(AND(B31="",B30&gt;0),SUM($N$5:N30),IFERROR(VLOOKUP(B31,Baza[],23,0),""))</f>
        <v/>
      </c>
      <c r="P31" s="13" t="str">
        <f>IFERROR(VLOOKUP(B31,Baza[],14,0),"")</f>
        <v/>
      </c>
      <c r="Q31" s="13" t="str">
        <f>IFERROR(VLOOKUP(B31,Baza[],13,0),"")</f>
        <v/>
      </c>
    </row>
    <row r="32" spans="1:17" ht="9.9499999999999993" customHeight="1" x14ac:dyDescent="0.25">
      <c r="A32" s="4">
        <v>1</v>
      </c>
      <c r="B32"/>
      <c r="C32" s="97"/>
      <c r="D32" s="111" t="str">
        <f t="shared" si="0"/>
        <v/>
      </c>
      <c r="E32" s="8" t="str">
        <f>IFERROR(VLOOKUP(B32,Baza[],7,0),"")</f>
        <v/>
      </c>
      <c r="F32" s="9" t="str">
        <f>IF(AND(B32="",B31&gt;0),"                           Total:   Games: "&amp;VLOOKUP($C$2,Data!$B$87:$N$9999,4,0)&amp;"     Buy-in: $ "&amp;TEXT(VLOOKUP($C$2,Data!$B$87:$N$9999,5,0),"0,0")&amp;"     ABI: $ "&amp;TEXT(VLOOKUP($C$2,Data!$B$87:$N$9999,6,0),"0,0"),IFERROR( IF(VLOOKUP(B32,Baza[],18,0)&gt;0," ["&amp;VLOOKUP(B32,Baza[],18,0)+1&amp;"] ","   ")      &amp;IFERROR(IF(OR(VLOOKUP(B32,Baza[],9,0)="WN",VLOOKUP(B32,Baza[],9,0)="ES"),"€ ","$ ")&amp;      VLOOKUP(B32,Baza[],8,0),"")         &amp;" ["&amp;VLOOKUP(B32,Baza[],9,0)&amp;"] "&amp;VLOOKUP(B32,Baza[],10,0)&amp;IF(VLOOKUP(B32,Baza[],12,0)="T"," [Turbo]",   IF(VLOOKUP(B32,Baza[],12,0)="H"," [Hyper]",                                 "") )            &amp;  IF(VLOOKUP(B32,Baza[],14,0)="s",   ", "&amp;VLOOKUP(B32,Baza[],15,0)&amp;" Tickets",                                                                                                 IF(OR(VLOOKUP(B32,Baza[],14,0)="XP",VLOOKUP(B32,Baza[],14,0)="XP2"),VLOOKUP(B32,Baza[],15,0),            IF(OR(VLOOKUP(B32,Baza[],9,0)="WN",VLOOKUP(B32,Baza[],9,0)="ES"),", €",", $")&amp;                          IF(VLOOKUP(B32,Baza[],15,0)&lt;1000,VLOOKUP(B32,Baza[],15,0),IF(VLOOKUP(B32,Baza[],15,0)&lt;1000000,IF(VLOOKUP(B32,Baza[],15,0)/1000=INT(VLOOKUP(B32,Baza[],15,0)/1000),TEXT(VLOOKUP(B32,Baza[],15,0),"#0 K"),TEXT(VLOOKUP(B32,Baza[],15,0),"#0,0 K")), IF(VLOOKUP(B32,Baza[],15,0)/1000000=INT(VLOOKUP(B32,Baza[],15,0)/1000000),TEXT(VLOOKUP(B32,Baza[],15,0),"# ###  M"),TEXT(VLOOKUP(B32,Baza[],15,0),"# ###,0  M")))))),""))</f>
        <v/>
      </c>
      <c r="G32" s="10"/>
      <c r="H32" s="10"/>
      <c r="I32" s="10"/>
      <c r="J32" s="10"/>
      <c r="K32" s="11" t="str">
        <f>IFERROR(IF(VLOOKUP(B32,Baza[],14,0)="s","Sat",IF(VLOOKUP(B32,Baza[],14,0)="XP","Phase",                                         IF(VLOOKUP(B32,Baza[],19,0)="-","",VLOOKUP(B32,Baza[],19,0)))),"")</f>
        <v/>
      </c>
      <c r="L32" s="12" t="str">
        <f>IF(AND(B32="",B31&gt;0),SUM($L$5:L31),IFERROR(IF(VLOOKUP(B32,Baza[],21,0)=0,"-",VLOOKUP(B32,Baza[],21,0)),""))</f>
        <v/>
      </c>
      <c r="M32" s="12" t="str">
        <f>IF(AND(B32="",B31&gt;0),SUM($M$5:M31),IFERROR(IF(VLOOKUP(B32,Baza[],22,0)=0,"-",VLOOKUP(B32,Baza[],22,0)),""))</f>
        <v/>
      </c>
      <c r="N32" s="12" t="str">
        <f>IF(AND(B32="",B31&gt;0),SUM($N$5:N31),IFERROR(VLOOKUP(B32,Baza[],23,0),""))</f>
        <v/>
      </c>
      <c r="P32" s="13" t="str">
        <f>IFERROR(VLOOKUP(B32,Baza[],14,0),"")</f>
        <v/>
      </c>
      <c r="Q32" s="13" t="str">
        <f>IFERROR(VLOOKUP(B32,Baza[],13,0),"")</f>
        <v/>
      </c>
    </row>
    <row r="33" spans="1:17" ht="9.9499999999999993" customHeight="1" x14ac:dyDescent="0.25">
      <c r="A33" s="4">
        <v>2</v>
      </c>
      <c r="B33"/>
      <c r="C33" s="97"/>
      <c r="D33" s="111" t="str">
        <f t="shared" si="0"/>
        <v/>
      </c>
      <c r="E33" s="8" t="str">
        <f>IFERROR(VLOOKUP(B33,Baza[],7,0),"")</f>
        <v/>
      </c>
      <c r="F33" s="9" t="str">
        <f>IF(AND(B33="",B32&gt;0),"                           Total:   Games: "&amp;VLOOKUP($C$2,Data!$B$87:$N$9999,4,0)&amp;"     Buy-in: $ "&amp;TEXT(VLOOKUP($C$2,Data!$B$87:$N$9999,5,0),"0,0")&amp;"     ABI: $ "&amp;TEXT(VLOOKUP($C$2,Data!$B$87:$N$9999,6,0),"0,0"),IFERROR( IF(VLOOKUP(B33,Baza[],18,0)&gt;0," ["&amp;VLOOKUP(B33,Baza[],18,0)+1&amp;"] ","   ")      &amp;IFERROR(IF(OR(VLOOKUP(B33,Baza[],9,0)="WN",VLOOKUP(B33,Baza[],9,0)="ES"),"€ ","$ ")&amp;      VLOOKUP(B33,Baza[],8,0),"")         &amp;" ["&amp;VLOOKUP(B33,Baza[],9,0)&amp;"] "&amp;VLOOKUP(B33,Baza[],10,0)&amp;IF(VLOOKUP(B33,Baza[],12,0)="T"," [Turbo]",   IF(VLOOKUP(B33,Baza[],12,0)="H"," [Hyper]",                                 "") )            &amp;  IF(VLOOKUP(B33,Baza[],14,0)="s",   ", "&amp;VLOOKUP(B33,Baza[],15,0)&amp;" Tickets",                                                                                                 IF(OR(VLOOKUP(B33,Baza[],14,0)="XP",VLOOKUP(B33,Baza[],14,0)="XP2"),VLOOKUP(B33,Baza[],15,0),            IF(OR(VLOOKUP(B33,Baza[],9,0)="WN",VLOOKUP(B33,Baza[],9,0)="ES"),", €",", $")&amp;                          IF(VLOOKUP(B33,Baza[],15,0)&lt;1000,VLOOKUP(B33,Baza[],15,0),IF(VLOOKUP(B33,Baza[],15,0)&lt;1000000,IF(VLOOKUP(B33,Baza[],15,0)/1000=INT(VLOOKUP(B33,Baza[],15,0)/1000),TEXT(VLOOKUP(B33,Baza[],15,0),"#0 K"),TEXT(VLOOKUP(B33,Baza[],15,0),"#0,0 K")), IF(VLOOKUP(B33,Baza[],15,0)/1000000=INT(VLOOKUP(B33,Baza[],15,0)/1000000),TEXT(VLOOKUP(B33,Baza[],15,0),"# ###  M"),TEXT(VLOOKUP(B33,Baza[],15,0),"# ###,0  M")))))),""))</f>
        <v/>
      </c>
      <c r="G33" s="10"/>
      <c r="H33" s="10"/>
      <c r="I33" s="10"/>
      <c r="J33" s="10"/>
      <c r="K33" s="11" t="str">
        <f>IFERROR(IF(VLOOKUP(B33,Baza[],14,0)="s","Sat",IF(VLOOKUP(B33,Baza[],14,0)="XP","Phase",                                         IF(VLOOKUP(B33,Baza[],19,0)="-","",VLOOKUP(B33,Baza[],19,0)))),"")</f>
        <v/>
      </c>
      <c r="L33" s="12" t="str">
        <f>IF(AND(B33="",B32&gt;0),SUM($L$5:L32),IFERROR(IF(VLOOKUP(B33,Baza[],21,0)=0,"-",VLOOKUP(B33,Baza[],21,0)),""))</f>
        <v/>
      </c>
      <c r="M33" s="12" t="str">
        <f>IF(AND(B33="",B32&gt;0),SUM($M$5:M32),IFERROR(IF(VLOOKUP(B33,Baza[],22,0)=0,"-",VLOOKUP(B33,Baza[],22,0)),""))</f>
        <v/>
      </c>
      <c r="N33" s="12" t="str">
        <f>IF(AND(B33="",B32&gt;0),SUM($N$5:N32),IFERROR(VLOOKUP(B33,Baza[],23,0),""))</f>
        <v/>
      </c>
      <c r="P33" s="13" t="str">
        <f>IFERROR(VLOOKUP(B33,Baza[],14,0),"")</f>
        <v/>
      </c>
      <c r="Q33" s="13" t="str">
        <f>IFERROR(VLOOKUP(B33,Baza[],13,0),"")</f>
        <v/>
      </c>
    </row>
    <row r="34" spans="1:17" ht="9.9499999999999993" customHeight="1" x14ac:dyDescent="0.25">
      <c r="A34" s="4">
        <v>1</v>
      </c>
      <c r="B34"/>
      <c r="C34" s="97"/>
      <c r="D34" s="111" t="str">
        <f t="shared" si="0"/>
        <v/>
      </c>
      <c r="E34" s="8" t="str">
        <f>IFERROR(VLOOKUP(B34,Baza[],7,0),"")</f>
        <v/>
      </c>
      <c r="F34" s="9" t="str">
        <f>IF(AND(B34="",B33&gt;0),"                           Total:   Games: "&amp;VLOOKUP($C$2,Data!$B$87:$N$9999,4,0)&amp;"     Buy-in: $ "&amp;TEXT(VLOOKUP($C$2,Data!$B$87:$N$9999,5,0),"0,0")&amp;"     ABI: $ "&amp;TEXT(VLOOKUP($C$2,Data!$B$87:$N$9999,6,0),"0,0"),IFERROR( IF(VLOOKUP(B34,Baza[],18,0)&gt;0," ["&amp;VLOOKUP(B34,Baza[],18,0)+1&amp;"] ","   ")      &amp;IFERROR(IF(OR(VLOOKUP(B34,Baza[],9,0)="WN",VLOOKUP(B34,Baza[],9,0)="ES"),"€ ","$ ")&amp;      VLOOKUP(B34,Baza[],8,0),"")         &amp;" ["&amp;VLOOKUP(B34,Baza[],9,0)&amp;"] "&amp;VLOOKUP(B34,Baza[],10,0)&amp;IF(VLOOKUP(B34,Baza[],12,0)="T"," [Turbo]",   IF(VLOOKUP(B34,Baza[],12,0)="H"," [Hyper]",                                 "") )            &amp;  IF(VLOOKUP(B34,Baza[],14,0)="s",   ", "&amp;VLOOKUP(B34,Baza[],15,0)&amp;" Tickets",                                                                                                 IF(OR(VLOOKUP(B34,Baza[],14,0)="XP",VLOOKUP(B34,Baza[],14,0)="XP2"),VLOOKUP(B34,Baza[],15,0),            IF(OR(VLOOKUP(B34,Baza[],9,0)="WN",VLOOKUP(B34,Baza[],9,0)="ES"),", €",", $")&amp;                          IF(VLOOKUP(B34,Baza[],15,0)&lt;1000,VLOOKUP(B34,Baza[],15,0),IF(VLOOKUP(B34,Baza[],15,0)&lt;1000000,IF(VLOOKUP(B34,Baza[],15,0)/1000=INT(VLOOKUP(B34,Baza[],15,0)/1000),TEXT(VLOOKUP(B34,Baza[],15,0),"#0 K"),TEXT(VLOOKUP(B34,Baza[],15,0),"#0,0 K")), IF(VLOOKUP(B34,Baza[],15,0)/1000000=INT(VLOOKUP(B34,Baza[],15,0)/1000000),TEXT(VLOOKUP(B34,Baza[],15,0),"# ###  M"),TEXT(VLOOKUP(B34,Baza[],15,0),"# ###,0  M")))))),""))</f>
        <v/>
      </c>
      <c r="G34" s="10"/>
      <c r="H34" s="10"/>
      <c r="I34" s="10"/>
      <c r="J34" s="10"/>
      <c r="K34" s="11" t="str">
        <f>IFERROR(IF(VLOOKUP(B34,Baza[],14,0)="s","Sat",IF(VLOOKUP(B34,Baza[],14,0)="XP","Phase",                                         IF(VLOOKUP(B34,Baza[],19,0)="-","",VLOOKUP(B34,Baza[],19,0)))),"")</f>
        <v/>
      </c>
      <c r="L34" s="12" t="str">
        <f>IF(AND(B34="",B33&gt;0),SUM($L$5:L33),IFERROR(IF(VLOOKUP(B34,Baza[],21,0)=0,"-",VLOOKUP(B34,Baza[],21,0)),""))</f>
        <v/>
      </c>
      <c r="M34" s="12" t="str">
        <f>IF(AND(B34="",B33&gt;0),SUM($M$5:M33),IFERROR(IF(VLOOKUP(B34,Baza[],22,0)=0,"-",VLOOKUP(B34,Baza[],22,0)),""))</f>
        <v/>
      </c>
      <c r="N34" s="12" t="str">
        <f>IF(AND(B34="",B33&gt;0),SUM($N$5:N33),IFERROR(VLOOKUP(B34,Baza[],23,0),""))</f>
        <v/>
      </c>
      <c r="P34" s="13" t="str">
        <f>IFERROR(VLOOKUP(B34,Baza[],14,0),"")</f>
        <v/>
      </c>
      <c r="Q34" s="13" t="str">
        <f>IFERROR(VLOOKUP(B34,Baza[],13,0),"")</f>
        <v/>
      </c>
    </row>
    <row r="35" spans="1:17" ht="9.9499999999999993" customHeight="1" x14ac:dyDescent="0.25">
      <c r="A35" s="4">
        <v>2</v>
      </c>
      <c r="B35"/>
      <c r="C35" s="97"/>
      <c r="D35" s="111" t="str">
        <f t="shared" si="0"/>
        <v/>
      </c>
      <c r="E35" s="8" t="str">
        <f>IFERROR(VLOOKUP(B35,Baza[],7,0),"")</f>
        <v/>
      </c>
      <c r="F35" s="9" t="str">
        <f>IF(AND(B35="",B34&gt;0),"                           Total:   Games: "&amp;VLOOKUP($C$2,Data!$B$87:$N$9999,4,0)&amp;"     Buy-in: $ "&amp;TEXT(VLOOKUP($C$2,Data!$B$87:$N$9999,5,0),"0,0")&amp;"     ABI: $ "&amp;TEXT(VLOOKUP($C$2,Data!$B$87:$N$9999,6,0),"0,0"),IFERROR( IF(VLOOKUP(B35,Baza[],18,0)&gt;0," ["&amp;VLOOKUP(B35,Baza[],18,0)+1&amp;"] ","   ")      &amp;IFERROR(IF(OR(VLOOKUP(B35,Baza[],9,0)="WN",VLOOKUP(B35,Baza[],9,0)="ES"),"€ ","$ ")&amp;      VLOOKUP(B35,Baza[],8,0),"")         &amp;" ["&amp;VLOOKUP(B35,Baza[],9,0)&amp;"] "&amp;VLOOKUP(B35,Baza[],10,0)&amp;IF(VLOOKUP(B35,Baza[],12,0)="T"," [Turbo]",   IF(VLOOKUP(B35,Baza[],12,0)="H"," [Hyper]",                                 "") )            &amp;  IF(VLOOKUP(B35,Baza[],14,0)="s",   ", "&amp;VLOOKUP(B35,Baza[],15,0)&amp;" Tickets",                                                                                                 IF(OR(VLOOKUP(B35,Baza[],14,0)="XP",VLOOKUP(B35,Baza[],14,0)="XP2"),VLOOKUP(B35,Baza[],15,0),            IF(OR(VLOOKUP(B35,Baza[],9,0)="WN",VLOOKUP(B35,Baza[],9,0)="ES"),", €",", $")&amp;                          IF(VLOOKUP(B35,Baza[],15,0)&lt;1000,VLOOKUP(B35,Baza[],15,0),IF(VLOOKUP(B35,Baza[],15,0)&lt;1000000,IF(VLOOKUP(B35,Baza[],15,0)/1000=INT(VLOOKUP(B35,Baza[],15,0)/1000),TEXT(VLOOKUP(B35,Baza[],15,0),"#0 K"),TEXT(VLOOKUP(B35,Baza[],15,0),"#0,0 K")), IF(VLOOKUP(B35,Baza[],15,0)/1000000=INT(VLOOKUP(B35,Baza[],15,0)/1000000),TEXT(VLOOKUP(B35,Baza[],15,0),"# ###  M"),TEXT(VLOOKUP(B35,Baza[],15,0),"# ###,0  M")))))),""))</f>
        <v/>
      </c>
      <c r="G35" s="10"/>
      <c r="H35" s="10"/>
      <c r="I35" s="10"/>
      <c r="J35" s="10"/>
      <c r="K35" s="11" t="str">
        <f>IFERROR(IF(VLOOKUP(B35,Baza[],14,0)="s","Sat",IF(VLOOKUP(B35,Baza[],14,0)="XP","Phase",                                         IF(VLOOKUP(B35,Baza[],19,0)="-","",VLOOKUP(B35,Baza[],19,0)))),"")</f>
        <v/>
      </c>
      <c r="L35" s="12" t="str">
        <f>IF(AND(B35="",B34&gt;0),SUM($L$5:L34),IFERROR(IF(VLOOKUP(B35,Baza[],21,0)=0,"-",VLOOKUP(B35,Baza[],21,0)),""))</f>
        <v/>
      </c>
      <c r="M35" s="12" t="str">
        <f>IF(AND(B35="",B34&gt;0),SUM($M$5:M34),IFERROR(IF(VLOOKUP(B35,Baza[],22,0)=0,"-",VLOOKUP(B35,Baza[],22,0)),""))</f>
        <v/>
      </c>
      <c r="N35" s="12" t="str">
        <f>IF(AND(B35="",B34&gt;0),SUM($N$5:N34),IFERROR(VLOOKUP(B35,Baza[],23,0),""))</f>
        <v/>
      </c>
      <c r="P35" s="13" t="str">
        <f>IFERROR(VLOOKUP(B35,Baza[],14,0),"")</f>
        <v/>
      </c>
      <c r="Q35" s="13" t="str">
        <f>IFERROR(VLOOKUP(B35,Baza[],13,0),"")</f>
        <v/>
      </c>
    </row>
    <row r="36" spans="1:17" ht="9.9499999999999993" customHeight="1" x14ac:dyDescent="0.25">
      <c r="A36" s="4">
        <v>1</v>
      </c>
      <c r="B36"/>
      <c r="C36" s="97"/>
      <c r="D36" s="111" t="str">
        <f t="shared" si="0"/>
        <v/>
      </c>
      <c r="E36" s="8" t="str">
        <f>IFERROR(VLOOKUP(B36,Baza[],7,0),"")</f>
        <v/>
      </c>
      <c r="F36" s="9" t="str">
        <f>IF(AND(B36="",B35&gt;0),"                           Total:   Games: "&amp;VLOOKUP($C$2,Data!$B$87:$N$9999,4,0)&amp;"     Buy-in: $ "&amp;TEXT(VLOOKUP($C$2,Data!$B$87:$N$9999,5,0),"0,0")&amp;"     ABI: $ "&amp;TEXT(VLOOKUP($C$2,Data!$B$87:$N$9999,6,0),"0,0"),IFERROR( IF(VLOOKUP(B36,Baza[],18,0)&gt;0," ["&amp;VLOOKUP(B36,Baza[],18,0)+1&amp;"] ","   ")      &amp;IFERROR(IF(OR(VLOOKUP(B36,Baza[],9,0)="WN",VLOOKUP(B36,Baza[],9,0)="ES"),"€ ","$ ")&amp;      VLOOKUP(B36,Baza[],8,0),"")         &amp;" ["&amp;VLOOKUP(B36,Baza[],9,0)&amp;"] "&amp;VLOOKUP(B36,Baza[],10,0)&amp;IF(VLOOKUP(B36,Baza[],12,0)="T"," [Turbo]",   IF(VLOOKUP(B36,Baza[],12,0)="H"," [Hyper]",                                 "") )            &amp;  IF(VLOOKUP(B36,Baza[],14,0)="s",   ", "&amp;VLOOKUP(B36,Baza[],15,0)&amp;" Tickets",                                                                                                 IF(OR(VLOOKUP(B36,Baza[],14,0)="XP",VLOOKUP(B36,Baza[],14,0)="XP2"),VLOOKUP(B36,Baza[],15,0),            IF(OR(VLOOKUP(B36,Baza[],9,0)="WN",VLOOKUP(B36,Baza[],9,0)="ES"),", €",", $")&amp;                          IF(VLOOKUP(B36,Baza[],15,0)&lt;1000,VLOOKUP(B36,Baza[],15,0),IF(VLOOKUP(B36,Baza[],15,0)&lt;1000000,IF(VLOOKUP(B36,Baza[],15,0)/1000=INT(VLOOKUP(B36,Baza[],15,0)/1000),TEXT(VLOOKUP(B36,Baza[],15,0),"#0 K"),TEXT(VLOOKUP(B36,Baza[],15,0),"#0,0 K")), IF(VLOOKUP(B36,Baza[],15,0)/1000000=INT(VLOOKUP(B36,Baza[],15,0)/1000000),TEXT(VLOOKUP(B36,Baza[],15,0),"# ###  M"),TEXT(VLOOKUP(B36,Baza[],15,0),"# ###,0  M")))))),""))</f>
        <v/>
      </c>
      <c r="G36" s="10"/>
      <c r="H36" s="10"/>
      <c r="I36" s="10"/>
      <c r="J36" s="10"/>
      <c r="K36" s="11" t="str">
        <f>IFERROR(IF(VLOOKUP(B36,Baza[],14,0)="s","Sat",IF(VLOOKUP(B36,Baza[],14,0)="XP","Phase",                                         IF(VLOOKUP(B36,Baza[],19,0)="-","",VLOOKUP(B36,Baza[],19,0)))),"")</f>
        <v/>
      </c>
      <c r="L36" s="12" t="str">
        <f>IF(AND(B36="",B35&gt;0),SUM($L$5:L35),IFERROR(IF(VLOOKUP(B36,Baza[],21,0)=0,"-",VLOOKUP(B36,Baza[],21,0)),""))</f>
        <v/>
      </c>
      <c r="M36" s="12" t="str">
        <f>IF(AND(B36="",B35&gt;0),SUM($M$5:M35),IFERROR(IF(VLOOKUP(B36,Baza[],22,0)=0,"-",VLOOKUP(B36,Baza[],22,0)),""))</f>
        <v/>
      </c>
      <c r="N36" s="12" t="str">
        <f>IF(AND(B36="",B35&gt;0),SUM($N$5:N35),IFERROR(VLOOKUP(B36,Baza[],23,0),""))</f>
        <v/>
      </c>
      <c r="P36" s="13" t="str">
        <f>IFERROR(VLOOKUP(B36,Baza[],14,0),"")</f>
        <v/>
      </c>
      <c r="Q36" s="13" t="str">
        <f>IFERROR(VLOOKUP(B36,Baza[],13,0),"")</f>
        <v/>
      </c>
    </row>
    <row r="37" spans="1:17" ht="9.9499999999999993" customHeight="1" x14ac:dyDescent="0.25">
      <c r="A37" s="4">
        <v>2</v>
      </c>
      <c r="B37"/>
      <c r="C37" s="97"/>
      <c r="D37" s="111" t="str">
        <f t="shared" si="0"/>
        <v/>
      </c>
      <c r="E37" s="8" t="str">
        <f>IFERROR(VLOOKUP(B37,Baza[],7,0),"")</f>
        <v/>
      </c>
      <c r="F37" s="9" t="str">
        <f>IF(AND(B37="",B36&gt;0),"                           Total:   Games: "&amp;VLOOKUP($C$2,Data!$B$87:$N$9999,4,0)&amp;"     Buy-in: $ "&amp;TEXT(VLOOKUP($C$2,Data!$B$87:$N$9999,5,0),"0,0")&amp;"     ABI: $ "&amp;TEXT(VLOOKUP($C$2,Data!$B$87:$N$9999,6,0),"0,0"),IFERROR( IF(VLOOKUP(B37,Baza[],18,0)&gt;0," ["&amp;VLOOKUP(B37,Baza[],18,0)+1&amp;"] ","   ")      &amp;IFERROR(IF(OR(VLOOKUP(B37,Baza[],9,0)="WN",VLOOKUP(B37,Baza[],9,0)="ES"),"€ ","$ ")&amp;      VLOOKUP(B37,Baza[],8,0),"")         &amp;" ["&amp;VLOOKUP(B37,Baza[],9,0)&amp;"] "&amp;VLOOKUP(B37,Baza[],10,0)&amp;IF(VLOOKUP(B37,Baza[],12,0)="T"," [Turbo]",   IF(VLOOKUP(B37,Baza[],12,0)="H"," [Hyper]",                                 "") )            &amp;  IF(VLOOKUP(B37,Baza[],14,0)="s",   ", "&amp;VLOOKUP(B37,Baza[],15,0)&amp;" Tickets",                                                                                                 IF(OR(VLOOKUP(B37,Baza[],14,0)="XP",VLOOKUP(B37,Baza[],14,0)="XP2"),VLOOKUP(B37,Baza[],15,0),            IF(OR(VLOOKUP(B37,Baza[],9,0)="WN",VLOOKUP(B37,Baza[],9,0)="ES"),", €",", $")&amp;                          IF(VLOOKUP(B37,Baza[],15,0)&lt;1000,VLOOKUP(B37,Baza[],15,0),IF(VLOOKUP(B37,Baza[],15,0)&lt;1000000,IF(VLOOKUP(B37,Baza[],15,0)/1000=INT(VLOOKUP(B37,Baza[],15,0)/1000),TEXT(VLOOKUP(B37,Baza[],15,0),"#0 K"),TEXT(VLOOKUP(B37,Baza[],15,0),"#0,0 K")), IF(VLOOKUP(B37,Baza[],15,0)/1000000=INT(VLOOKUP(B37,Baza[],15,0)/1000000),TEXT(VLOOKUP(B37,Baza[],15,0),"# ###  M"),TEXT(VLOOKUP(B37,Baza[],15,0),"# ###,0  M")))))),""))</f>
        <v/>
      </c>
      <c r="G37" s="10"/>
      <c r="H37" s="10"/>
      <c r="I37" s="10"/>
      <c r="J37" s="10"/>
      <c r="K37" s="11" t="str">
        <f>IFERROR(IF(VLOOKUP(B37,Baza[],14,0)="s","Sat",IF(VLOOKUP(B37,Baza[],14,0)="XP","Phase",                                         IF(VLOOKUP(B37,Baza[],19,0)="-","",VLOOKUP(B37,Baza[],19,0)))),"")</f>
        <v/>
      </c>
      <c r="L37" s="12" t="str">
        <f>IF(AND(B37="",B36&gt;0),SUM($L$5:L36),IFERROR(IF(VLOOKUP(B37,Baza[],21,0)=0,"-",VLOOKUP(B37,Baza[],21,0)),""))</f>
        <v/>
      </c>
      <c r="M37" s="12" t="str">
        <f>IF(AND(B37="",B36&gt;0),SUM($M$5:M36),IFERROR(IF(VLOOKUP(B37,Baza[],22,0)=0,"-",VLOOKUP(B37,Baza[],22,0)),""))</f>
        <v/>
      </c>
      <c r="N37" s="12" t="str">
        <f>IF(AND(B37="",B36&gt;0),SUM($N$5:N36),IFERROR(VLOOKUP(B37,Baza[],23,0),""))</f>
        <v/>
      </c>
      <c r="P37" s="13" t="str">
        <f>IFERROR(VLOOKUP(B37,Baza[],14,0),"")</f>
        <v/>
      </c>
      <c r="Q37" s="13" t="str">
        <f>IFERROR(VLOOKUP(B37,Baza[],13,0),"")</f>
        <v/>
      </c>
    </row>
    <row r="38" spans="1:17" ht="9.9499999999999993" customHeight="1" x14ac:dyDescent="0.25">
      <c r="A38" s="4">
        <v>1</v>
      </c>
      <c r="B38"/>
      <c r="C38" s="97"/>
      <c r="D38" s="111" t="str">
        <f t="shared" si="0"/>
        <v/>
      </c>
      <c r="E38" s="8" t="str">
        <f>IFERROR(VLOOKUP(B38,Baza[],7,0),"")</f>
        <v/>
      </c>
      <c r="F38" s="9" t="str">
        <f>IF(AND(B38="",B37&gt;0),"                           Total:   Games: "&amp;VLOOKUP($C$2,Data!$B$87:$N$9999,4,0)&amp;"     Buy-in: $ "&amp;TEXT(VLOOKUP($C$2,Data!$B$87:$N$9999,5,0),"0,0")&amp;"     ABI: $ "&amp;TEXT(VLOOKUP($C$2,Data!$B$87:$N$9999,6,0),"0,0"),IFERROR( IF(VLOOKUP(B38,Baza[],18,0)&gt;0," ["&amp;VLOOKUP(B38,Baza[],18,0)+1&amp;"] ","   ")      &amp;IFERROR(IF(OR(VLOOKUP(B38,Baza[],9,0)="WN",VLOOKUP(B38,Baza[],9,0)="ES"),"€ ","$ ")&amp;      VLOOKUP(B38,Baza[],8,0),"")         &amp;" ["&amp;VLOOKUP(B38,Baza[],9,0)&amp;"] "&amp;VLOOKUP(B38,Baza[],10,0)&amp;IF(VLOOKUP(B38,Baza[],12,0)="T"," [Turbo]",   IF(VLOOKUP(B38,Baza[],12,0)="H"," [Hyper]",                                 "") )            &amp;  IF(VLOOKUP(B38,Baza[],14,0)="s",   ", "&amp;VLOOKUP(B38,Baza[],15,0)&amp;" Tickets",                                                                                                 IF(OR(VLOOKUP(B38,Baza[],14,0)="XP",VLOOKUP(B38,Baza[],14,0)="XP2"),VLOOKUP(B38,Baza[],15,0),            IF(OR(VLOOKUP(B38,Baza[],9,0)="WN",VLOOKUP(B38,Baza[],9,0)="ES"),", €",", $")&amp;                          IF(VLOOKUP(B38,Baza[],15,0)&lt;1000,VLOOKUP(B38,Baza[],15,0),IF(VLOOKUP(B38,Baza[],15,0)&lt;1000000,IF(VLOOKUP(B38,Baza[],15,0)/1000=INT(VLOOKUP(B38,Baza[],15,0)/1000),TEXT(VLOOKUP(B38,Baza[],15,0),"#0 K"),TEXT(VLOOKUP(B38,Baza[],15,0),"#0,0 K")), IF(VLOOKUP(B38,Baza[],15,0)/1000000=INT(VLOOKUP(B38,Baza[],15,0)/1000000),TEXT(VLOOKUP(B38,Baza[],15,0),"# ###  M"),TEXT(VLOOKUP(B38,Baza[],15,0),"# ###,0  M")))))),""))</f>
        <v/>
      </c>
      <c r="G38" s="10"/>
      <c r="H38" s="10"/>
      <c r="I38" s="10"/>
      <c r="J38" s="10"/>
      <c r="K38" s="11" t="str">
        <f>IFERROR(IF(VLOOKUP(B38,Baza[],14,0)="s","Sat",IF(VLOOKUP(B38,Baza[],14,0)="XP","Phase",                                         IF(VLOOKUP(B38,Baza[],19,0)="-","",VLOOKUP(B38,Baza[],19,0)))),"")</f>
        <v/>
      </c>
      <c r="L38" s="12" t="str">
        <f>IF(AND(B38="",B37&gt;0),SUM($L$5:L37),IFERROR(IF(VLOOKUP(B38,Baza[],21,0)=0,"-",VLOOKUP(B38,Baza[],21,0)),""))</f>
        <v/>
      </c>
      <c r="M38" s="12" t="str">
        <f>IF(AND(B38="",B37&gt;0),SUM($M$5:M37),IFERROR(IF(VLOOKUP(B38,Baza[],22,0)=0,"-",VLOOKUP(B38,Baza[],22,0)),""))</f>
        <v/>
      </c>
      <c r="N38" s="12" t="str">
        <f>IF(AND(B38="",B37&gt;0),SUM($N$5:N37),IFERROR(VLOOKUP(B38,Baza[],23,0),""))</f>
        <v/>
      </c>
      <c r="P38" s="13" t="str">
        <f>IFERROR(VLOOKUP(B38,Baza[],14,0),"")</f>
        <v/>
      </c>
      <c r="Q38" s="13" t="str">
        <f>IFERROR(VLOOKUP(B38,Baza[],13,0),"")</f>
        <v/>
      </c>
    </row>
    <row r="39" spans="1:17" ht="9.9499999999999993" customHeight="1" x14ac:dyDescent="0.25">
      <c r="A39" s="4">
        <v>2</v>
      </c>
      <c r="B39"/>
      <c r="C39" s="97"/>
      <c r="D39" s="111" t="str">
        <f t="shared" si="0"/>
        <v/>
      </c>
      <c r="E39" s="8" t="str">
        <f>IFERROR(VLOOKUP(B39,Baza[],7,0),"")</f>
        <v/>
      </c>
      <c r="F39" s="9" t="str">
        <f>IF(AND(B39="",B38&gt;0),"                           Total:   Games: "&amp;VLOOKUP($C$2,Data!$B$87:$N$9999,4,0)&amp;"     Buy-in: $ "&amp;TEXT(VLOOKUP($C$2,Data!$B$87:$N$9999,5,0),"0,0")&amp;"     ABI: $ "&amp;TEXT(VLOOKUP($C$2,Data!$B$87:$N$9999,6,0),"0,0"),IFERROR( IF(VLOOKUP(B39,Baza[],18,0)&gt;0," ["&amp;VLOOKUP(B39,Baza[],18,0)+1&amp;"] ","   ")      &amp;IFERROR(IF(OR(VLOOKUP(B39,Baza[],9,0)="WN",VLOOKUP(B39,Baza[],9,0)="ES"),"€ ","$ ")&amp;      VLOOKUP(B39,Baza[],8,0),"")         &amp;" ["&amp;VLOOKUP(B39,Baza[],9,0)&amp;"] "&amp;VLOOKUP(B39,Baza[],10,0)&amp;IF(VLOOKUP(B39,Baza[],12,0)="T"," [Turbo]",   IF(VLOOKUP(B39,Baza[],12,0)="H"," [Hyper]",                                 "") )            &amp;  IF(VLOOKUP(B39,Baza[],14,0)="s",   ", "&amp;VLOOKUP(B39,Baza[],15,0)&amp;" Tickets",                                                                                                 IF(OR(VLOOKUP(B39,Baza[],14,0)="XP",VLOOKUP(B39,Baza[],14,0)="XP2"),VLOOKUP(B39,Baza[],15,0),            IF(OR(VLOOKUP(B39,Baza[],9,0)="WN",VLOOKUP(B39,Baza[],9,0)="ES"),", €",", $")&amp;                          IF(VLOOKUP(B39,Baza[],15,0)&lt;1000,VLOOKUP(B39,Baza[],15,0),IF(VLOOKUP(B39,Baza[],15,0)&lt;1000000,IF(VLOOKUP(B39,Baza[],15,0)/1000=INT(VLOOKUP(B39,Baza[],15,0)/1000),TEXT(VLOOKUP(B39,Baza[],15,0),"#0 K"),TEXT(VLOOKUP(B39,Baza[],15,0),"#0,0 K")), IF(VLOOKUP(B39,Baza[],15,0)/1000000=INT(VLOOKUP(B39,Baza[],15,0)/1000000),TEXT(VLOOKUP(B39,Baza[],15,0),"# ###  M"),TEXT(VLOOKUP(B39,Baza[],15,0),"# ###,0  M")))))),""))</f>
        <v/>
      </c>
      <c r="G39" s="10"/>
      <c r="H39" s="10"/>
      <c r="I39" s="10"/>
      <c r="J39" s="10"/>
      <c r="K39" s="11" t="str">
        <f>IFERROR(IF(VLOOKUP(B39,Baza[],14,0)="s","Sat",IF(VLOOKUP(B39,Baza[],14,0)="XP","Phase",                                         IF(VLOOKUP(B39,Baza[],19,0)="-","",VLOOKUP(B39,Baza[],19,0)))),"")</f>
        <v/>
      </c>
      <c r="L39" s="12" t="str">
        <f>IF(AND(B39="",B38&gt;0),SUM($L$5:L38),IFERROR(IF(VLOOKUP(B39,Baza[],21,0)=0,"-",VLOOKUP(B39,Baza[],21,0)),""))</f>
        <v/>
      </c>
      <c r="M39" s="12" t="str">
        <f>IF(AND(B39="",B38&gt;0),SUM($M$5:M38),IFERROR(IF(VLOOKUP(B39,Baza[],22,0)=0,"-",VLOOKUP(B39,Baza[],22,0)),""))</f>
        <v/>
      </c>
      <c r="N39" s="12" t="str">
        <f>IF(AND(B39="",B38&gt;0),SUM($N$5:N38),IFERROR(VLOOKUP(B39,Baza[],23,0),""))</f>
        <v/>
      </c>
      <c r="P39" s="13" t="str">
        <f>IFERROR(VLOOKUP(B39,Baza[],14,0),"")</f>
        <v/>
      </c>
      <c r="Q39" s="13" t="str">
        <f>IFERROR(VLOOKUP(B39,Baza[],13,0),"")</f>
        <v/>
      </c>
    </row>
    <row r="40" spans="1:17" ht="9.9499999999999993" customHeight="1" x14ac:dyDescent="0.25">
      <c r="A40" s="4">
        <v>1</v>
      </c>
      <c r="B40"/>
      <c r="C40" s="97"/>
      <c r="D40" s="111" t="str">
        <f t="shared" si="0"/>
        <v/>
      </c>
      <c r="E40" s="8" t="str">
        <f>IFERROR(VLOOKUP(B40,Baza[],7,0),"")</f>
        <v/>
      </c>
      <c r="F40" s="9" t="str">
        <f>IF(AND(B40="",B39&gt;0),"                           Total:   Games: "&amp;VLOOKUP($C$2,Data!$B$87:$N$9999,4,0)&amp;"     Buy-in: $ "&amp;TEXT(VLOOKUP($C$2,Data!$B$87:$N$9999,5,0),"0,0")&amp;"     ABI: $ "&amp;TEXT(VLOOKUP($C$2,Data!$B$87:$N$9999,6,0),"0,0"),IFERROR( IF(VLOOKUP(B40,Baza[],18,0)&gt;0," ["&amp;VLOOKUP(B40,Baza[],18,0)+1&amp;"] ","   ")      &amp;IFERROR(IF(OR(VLOOKUP(B40,Baza[],9,0)="WN",VLOOKUP(B40,Baza[],9,0)="ES"),"€ ","$ ")&amp;      VLOOKUP(B40,Baza[],8,0),"")         &amp;" ["&amp;VLOOKUP(B40,Baza[],9,0)&amp;"] "&amp;VLOOKUP(B40,Baza[],10,0)&amp;IF(VLOOKUP(B40,Baza[],12,0)="T"," [Turbo]",   IF(VLOOKUP(B40,Baza[],12,0)="H"," [Hyper]",                                 "") )            &amp;  IF(VLOOKUP(B40,Baza[],14,0)="s",   ", "&amp;VLOOKUP(B40,Baza[],15,0)&amp;" Tickets",                                                                                                 IF(OR(VLOOKUP(B40,Baza[],14,0)="XP",VLOOKUP(B40,Baza[],14,0)="XP2"),VLOOKUP(B40,Baza[],15,0),            IF(OR(VLOOKUP(B40,Baza[],9,0)="WN",VLOOKUP(B40,Baza[],9,0)="ES"),", €",", $")&amp;                          IF(VLOOKUP(B40,Baza[],15,0)&lt;1000,VLOOKUP(B40,Baza[],15,0),IF(VLOOKUP(B40,Baza[],15,0)&lt;1000000,IF(VLOOKUP(B40,Baza[],15,0)/1000=INT(VLOOKUP(B40,Baza[],15,0)/1000),TEXT(VLOOKUP(B40,Baza[],15,0),"#0 K"),TEXT(VLOOKUP(B40,Baza[],15,0),"#0,0 K")), IF(VLOOKUP(B40,Baza[],15,0)/1000000=INT(VLOOKUP(B40,Baza[],15,0)/1000000),TEXT(VLOOKUP(B40,Baza[],15,0),"# ###  M"),TEXT(VLOOKUP(B40,Baza[],15,0),"# ###,0  M")))))),""))</f>
        <v/>
      </c>
      <c r="G40" s="10"/>
      <c r="H40" s="10"/>
      <c r="I40" s="10"/>
      <c r="J40" s="10"/>
      <c r="K40" s="11" t="str">
        <f>IFERROR(IF(VLOOKUP(B40,Baza[],14,0)="s","Sat",IF(VLOOKUP(B40,Baza[],14,0)="XP","Phase",                                         IF(VLOOKUP(B40,Baza[],19,0)="-","",VLOOKUP(B40,Baza[],19,0)))),"")</f>
        <v/>
      </c>
      <c r="L40" s="12" t="str">
        <f>IF(AND(B40="",B39&gt;0),SUM($L$5:L39),IFERROR(IF(VLOOKUP(B40,Baza[],21,0)=0,"-",VLOOKUP(B40,Baza[],21,0)),""))</f>
        <v/>
      </c>
      <c r="M40" s="12" t="str">
        <f>IF(AND(B40="",B39&gt;0),SUM($M$5:M39),IFERROR(IF(VLOOKUP(B40,Baza[],22,0)=0,"-",VLOOKUP(B40,Baza[],22,0)),""))</f>
        <v/>
      </c>
      <c r="N40" s="12" t="str">
        <f>IF(AND(B40="",B39&gt;0),SUM($N$5:N39),IFERROR(VLOOKUP(B40,Baza[],23,0),""))</f>
        <v/>
      </c>
      <c r="P40" s="13" t="str">
        <f>IFERROR(VLOOKUP(B40,Baza[],14,0),"")</f>
        <v/>
      </c>
      <c r="Q40" s="13" t="str">
        <f>IFERROR(VLOOKUP(B40,Baza[],13,0),"")</f>
        <v/>
      </c>
    </row>
    <row r="41" spans="1:17" ht="9.9499999999999993" customHeight="1" x14ac:dyDescent="0.25">
      <c r="A41" s="4">
        <v>2</v>
      </c>
      <c r="B41"/>
      <c r="C41" s="97"/>
      <c r="D41" s="111" t="str">
        <f t="shared" si="0"/>
        <v/>
      </c>
      <c r="E41" s="8" t="str">
        <f>IFERROR(VLOOKUP(B41,Baza[],7,0),"")</f>
        <v/>
      </c>
      <c r="F41" s="9" t="str">
        <f>IF(AND(B41="",B40&gt;0),"                           Total:   Games: "&amp;VLOOKUP($C$2,Data!$B$87:$N$9999,4,0)&amp;"     Buy-in: $ "&amp;TEXT(VLOOKUP($C$2,Data!$B$87:$N$9999,5,0),"0,0")&amp;"     ABI: $ "&amp;TEXT(VLOOKUP($C$2,Data!$B$87:$N$9999,6,0),"0,0"),IFERROR( IF(VLOOKUP(B41,Baza[],18,0)&gt;0," ["&amp;VLOOKUP(B41,Baza[],18,0)+1&amp;"] ","   ")      &amp;IFERROR(IF(OR(VLOOKUP(B41,Baza[],9,0)="WN",VLOOKUP(B41,Baza[],9,0)="ES"),"€ ","$ ")&amp;      VLOOKUP(B41,Baza[],8,0),"")         &amp;" ["&amp;VLOOKUP(B41,Baza[],9,0)&amp;"] "&amp;VLOOKUP(B41,Baza[],10,0)&amp;IF(VLOOKUP(B41,Baza[],12,0)="T"," [Turbo]",   IF(VLOOKUP(B41,Baza[],12,0)="H"," [Hyper]",                                 "") )            &amp;  IF(VLOOKUP(B41,Baza[],14,0)="s",   ", "&amp;VLOOKUP(B41,Baza[],15,0)&amp;" Tickets",                                                                                                 IF(OR(VLOOKUP(B41,Baza[],14,0)="XP",VLOOKUP(B41,Baza[],14,0)="XP2"),VLOOKUP(B41,Baza[],15,0),            IF(OR(VLOOKUP(B41,Baza[],9,0)="WN",VLOOKUP(B41,Baza[],9,0)="ES"),", €",", $")&amp;                          IF(VLOOKUP(B41,Baza[],15,0)&lt;1000,VLOOKUP(B41,Baza[],15,0),IF(VLOOKUP(B41,Baza[],15,0)&lt;1000000,IF(VLOOKUP(B41,Baza[],15,0)/1000=INT(VLOOKUP(B41,Baza[],15,0)/1000),TEXT(VLOOKUP(B41,Baza[],15,0),"#0 K"),TEXT(VLOOKUP(B41,Baza[],15,0),"#0,0 K")), IF(VLOOKUP(B41,Baza[],15,0)/1000000=INT(VLOOKUP(B41,Baza[],15,0)/1000000),TEXT(VLOOKUP(B41,Baza[],15,0),"# ###  M"),TEXT(VLOOKUP(B41,Baza[],15,0),"# ###,0  M")))))),""))</f>
        <v/>
      </c>
      <c r="G41" s="10"/>
      <c r="H41" s="10"/>
      <c r="I41" s="10"/>
      <c r="J41" s="10"/>
      <c r="K41" s="11" t="str">
        <f>IFERROR(IF(VLOOKUP(B41,Baza[],14,0)="s","Sat",IF(VLOOKUP(B41,Baza[],14,0)="XP","Phase",                                         IF(VLOOKUP(B41,Baza[],19,0)="-","",VLOOKUP(B41,Baza[],19,0)))),"")</f>
        <v/>
      </c>
      <c r="L41" s="12" t="str">
        <f>IF(AND(B41="",B40&gt;0),SUM($L$5:L40),IFERROR(IF(VLOOKUP(B41,Baza[],21,0)=0,"-",VLOOKUP(B41,Baza[],21,0)),""))</f>
        <v/>
      </c>
      <c r="M41" s="12" t="str">
        <f>IF(AND(B41="",B40&gt;0),SUM($M$5:M40),IFERROR(IF(VLOOKUP(B41,Baza[],22,0)=0,"-",VLOOKUP(B41,Baza[],22,0)),""))</f>
        <v/>
      </c>
      <c r="N41" s="12" t="str">
        <f>IF(AND(B41="",B40&gt;0),SUM($N$5:N40),IFERROR(VLOOKUP(B41,Baza[],23,0),""))</f>
        <v/>
      </c>
      <c r="P41" s="13" t="str">
        <f>IFERROR(VLOOKUP(B41,Baza[],14,0),"")</f>
        <v/>
      </c>
      <c r="Q41" s="13" t="str">
        <f>IFERROR(VLOOKUP(B41,Baza[],13,0),"")</f>
        <v/>
      </c>
    </row>
    <row r="42" spans="1:17" ht="9.9499999999999993" customHeight="1" x14ac:dyDescent="0.25">
      <c r="A42" s="4">
        <v>1</v>
      </c>
      <c r="B42"/>
      <c r="C42" s="97"/>
      <c r="D42" s="111" t="str">
        <f t="shared" si="0"/>
        <v/>
      </c>
      <c r="E42" s="8" t="str">
        <f>IFERROR(VLOOKUP(B42,Baza[],7,0),"")</f>
        <v/>
      </c>
      <c r="F42" s="9" t="str">
        <f>IF(AND(B42="",B41&gt;0),"                           Total:   Games: "&amp;VLOOKUP($C$2,Data!$B$87:$N$9999,4,0)&amp;"     Buy-in: $ "&amp;TEXT(VLOOKUP($C$2,Data!$B$87:$N$9999,5,0),"0,0")&amp;"     ABI: $ "&amp;TEXT(VLOOKUP($C$2,Data!$B$87:$N$9999,6,0),"0,0"),IFERROR( IF(VLOOKUP(B42,Baza[],18,0)&gt;0," ["&amp;VLOOKUP(B42,Baza[],18,0)+1&amp;"] ","   ")      &amp;IFERROR(IF(OR(VLOOKUP(B42,Baza[],9,0)="WN",VLOOKUP(B42,Baza[],9,0)="ES"),"€ ","$ ")&amp;      VLOOKUP(B42,Baza[],8,0),"")         &amp;" ["&amp;VLOOKUP(B42,Baza[],9,0)&amp;"] "&amp;VLOOKUP(B42,Baza[],10,0)&amp;IF(VLOOKUP(B42,Baza[],12,0)="T"," [Turbo]",   IF(VLOOKUP(B42,Baza[],12,0)="H"," [Hyper]",                                 "") )            &amp;  IF(VLOOKUP(B42,Baza[],14,0)="s",   ", "&amp;VLOOKUP(B42,Baza[],15,0)&amp;" Tickets",                                                                                                 IF(OR(VLOOKUP(B42,Baza[],14,0)="XP",VLOOKUP(B42,Baza[],14,0)="XP2"),VLOOKUP(B42,Baza[],15,0),            IF(OR(VLOOKUP(B42,Baza[],9,0)="WN",VLOOKUP(B42,Baza[],9,0)="ES"),", €",", $")&amp;                          IF(VLOOKUP(B42,Baza[],15,0)&lt;1000,VLOOKUP(B42,Baza[],15,0),IF(VLOOKUP(B42,Baza[],15,0)&lt;1000000,IF(VLOOKUP(B42,Baza[],15,0)/1000=INT(VLOOKUP(B42,Baza[],15,0)/1000),TEXT(VLOOKUP(B42,Baza[],15,0),"#0 K"),TEXT(VLOOKUP(B42,Baza[],15,0),"#0,0 K")), IF(VLOOKUP(B42,Baza[],15,0)/1000000=INT(VLOOKUP(B42,Baza[],15,0)/1000000),TEXT(VLOOKUP(B42,Baza[],15,0),"# ###  M"),TEXT(VLOOKUP(B42,Baza[],15,0),"# ###,0  M")))))),""))</f>
        <v/>
      </c>
      <c r="G42" s="10"/>
      <c r="H42" s="10"/>
      <c r="I42" s="10"/>
      <c r="J42" s="10"/>
      <c r="K42" s="11" t="str">
        <f>IFERROR(IF(VLOOKUP(B42,Baza[],14,0)="s","Sat",IF(VLOOKUP(B42,Baza[],14,0)="XP","Phase",                                         IF(VLOOKUP(B42,Baza[],19,0)="-","",VLOOKUP(B42,Baza[],19,0)))),"")</f>
        <v/>
      </c>
      <c r="L42" s="12" t="str">
        <f>IF(AND(B42="",B41&gt;0),SUM($L$5:L41),IFERROR(IF(VLOOKUP(B42,Baza[],21,0)=0,"-",VLOOKUP(B42,Baza[],21,0)),""))</f>
        <v/>
      </c>
      <c r="M42" s="12" t="str">
        <f>IF(AND(B42="",B41&gt;0),SUM($M$5:M41),IFERROR(IF(VLOOKUP(B42,Baza[],22,0)=0,"-",VLOOKUP(B42,Baza[],22,0)),""))</f>
        <v/>
      </c>
      <c r="N42" s="12" t="str">
        <f>IF(AND(B42="",B41&gt;0),SUM($N$5:N41),IFERROR(VLOOKUP(B42,Baza[],23,0),""))</f>
        <v/>
      </c>
      <c r="P42" s="13" t="str">
        <f>IFERROR(VLOOKUP(B42,Baza[],14,0),"")</f>
        <v/>
      </c>
      <c r="Q42" s="13" t="str">
        <f>IFERROR(VLOOKUP(B42,Baza[],13,0),"")</f>
        <v/>
      </c>
    </row>
    <row r="43" spans="1:17" ht="9.9499999999999993" customHeight="1" x14ac:dyDescent="0.25">
      <c r="A43" s="4">
        <v>2</v>
      </c>
      <c r="B43"/>
      <c r="C43" s="97"/>
      <c r="D43" s="111" t="str">
        <f t="shared" si="0"/>
        <v/>
      </c>
      <c r="E43" s="8" t="str">
        <f>IFERROR(VLOOKUP(B43,Baza[],7,0),"")</f>
        <v/>
      </c>
      <c r="F43" s="9" t="str">
        <f>IF(AND(B43="",B42&gt;0),"                           Total:   Games: "&amp;VLOOKUP($C$2,Data!$B$87:$N$9999,4,0)&amp;"     Buy-in: $ "&amp;TEXT(VLOOKUP($C$2,Data!$B$87:$N$9999,5,0),"0,0")&amp;"     ABI: $ "&amp;TEXT(VLOOKUP($C$2,Data!$B$87:$N$9999,6,0),"0,0"),IFERROR( IF(VLOOKUP(B43,Baza[],18,0)&gt;0," ["&amp;VLOOKUP(B43,Baza[],18,0)+1&amp;"] ","   ")      &amp;IFERROR(IF(OR(VLOOKUP(B43,Baza[],9,0)="WN",VLOOKUP(B43,Baza[],9,0)="ES"),"€ ","$ ")&amp;      VLOOKUP(B43,Baza[],8,0),"")         &amp;" ["&amp;VLOOKUP(B43,Baza[],9,0)&amp;"] "&amp;VLOOKUP(B43,Baza[],10,0)&amp;IF(VLOOKUP(B43,Baza[],12,0)="T"," [Turbo]",   IF(VLOOKUP(B43,Baza[],12,0)="H"," [Hyper]",                                 "") )            &amp;  IF(VLOOKUP(B43,Baza[],14,0)="s",   ", "&amp;VLOOKUP(B43,Baza[],15,0)&amp;" Tickets",                                                                                                 IF(OR(VLOOKUP(B43,Baza[],14,0)="XP",VLOOKUP(B43,Baza[],14,0)="XP2"),VLOOKUP(B43,Baza[],15,0),            IF(OR(VLOOKUP(B43,Baza[],9,0)="WN",VLOOKUP(B43,Baza[],9,0)="ES"),", €",", $")&amp;                          IF(VLOOKUP(B43,Baza[],15,0)&lt;1000,VLOOKUP(B43,Baza[],15,0),IF(VLOOKUP(B43,Baza[],15,0)&lt;1000000,IF(VLOOKUP(B43,Baza[],15,0)/1000=INT(VLOOKUP(B43,Baza[],15,0)/1000),TEXT(VLOOKUP(B43,Baza[],15,0),"#0 K"),TEXT(VLOOKUP(B43,Baza[],15,0),"#0,0 K")), IF(VLOOKUP(B43,Baza[],15,0)/1000000=INT(VLOOKUP(B43,Baza[],15,0)/1000000),TEXT(VLOOKUP(B43,Baza[],15,0),"# ###  M"),TEXT(VLOOKUP(B43,Baza[],15,0),"# ###,0  M")))))),""))</f>
        <v/>
      </c>
      <c r="G43" s="10"/>
      <c r="H43" s="10"/>
      <c r="I43" s="10"/>
      <c r="J43" s="10"/>
      <c r="K43" s="11" t="str">
        <f>IFERROR(IF(VLOOKUP(B43,Baza[],14,0)="s","Sat",IF(VLOOKUP(B43,Baza[],14,0)="XP","Phase",                                         IF(VLOOKUP(B43,Baza[],19,0)="-","",VLOOKUP(B43,Baza[],19,0)))),"")</f>
        <v/>
      </c>
      <c r="L43" s="12" t="str">
        <f>IF(AND(B43="",B42&gt;0),SUM($L$5:L42),IFERROR(IF(VLOOKUP(B43,Baza[],21,0)=0,"-",VLOOKUP(B43,Baza[],21,0)),""))</f>
        <v/>
      </c>
      <c r="M43" s="12" t="str">
        <f>IF(AND(B43="",B42&gt;0),SUM($M$5:M42),IFERROR(IF(VLOOKUP(B43,Baza[],22,0)=0,"-",VLOOKUP(B43,Baza[],22,0)),""))</f>
        <v/>
      </c>
      <c r="N43" s="12" t="str">
        <f>IF(AND(B43="",B42&gt;0),SUM($N$5:N42),IFERROR(VLOOKUP(B43,Baza[],23,0),""))</f>
        <v/>
      </c>
      <c r="P43" s="13" t="str">
        <f>IFERROR(VLOOKUP(B43,Baza[],14,0),"")</f>
        <v/>
      </c>
      <c r="Q43" s="13" t="str">
        <f>IFERROR(VLOOKUP(B43,Baza[],13,0),"")</f>
        <v/>
      </c>
    </row>
    <row r="44" spans="1:17" ht="9.9499999999999993" customHeight="1" x14ac:dyDescent="0.25">
      <c r="A44" s="4">
        <v>1</v>
      </c>
      <c r="B44"/>
      <c r="C44" s="97"/>
      <c r="D44" s="111" t="str">
        <f t="shared" si="0"/>
        <v/>
      </c>
      <c r="E44" s="8" t="str">
        <f>IFERROR(VLOOKUP(B44,Baza[],7,0),"")</f>
        <v/>
      </c>
      <c r="F44" s="9" t="str">
        <f>IF(AND(B44="",B43&gt;0),"                           Total:   Games: "&amp;VLOOKUP($C$2,Data!$B$87:$N$9999,4,0)&amp;"     Buy-in: $ "&amp;TEXT(VLOOKUP($C$2,Data!$B$87:$N$9999,5,0),"0,0")&amp;"     ABI: $ "&amp;TEXT(VLOOKUP($C$2,Data!$B$87:$N$9999,6,0),"0,0"),IFERROR( IF(VLOOKUP(B44,Baza[],18,0)&gt;0," ["&amp;VLOOKUP(B44,Baza[],18,0)+1&amp;"] ","   ")      &amp;IFERROR(IF(OR(VLOOKUP(B44,Baza[],9,0)="WN",VLOOKUP(B44,Baza[],9,0)="ES"),"€ ","$ ")&amp;      VLOOKUP(B44,Baza[],8,0),"")         &amp;" ["&amp;VLOOKUP(B44,Baza[],9,0)&amp;"] "&amp;VLOOKUP(B44,Baza[],10,0)&amp;IF(VLOOKUP(B44,Baza[],12,0)="T"," [Turbo]",   IF(VLOOKUP(B44,Baza[],12,0)="H"," [Hyper]",                                 "") )            &amp;  IF(VLOOKUP(B44,Baza[],14,0)="s",   ", "&amp;VLOOKUP(B44,Baza[],15,0)&amp;" Tickets",                                                                                                 IF(OR(VLOOKUP(B44,Baza[],14,0)="XP",VLOOKUP(B44,Baza[],14,0)="XP2"),VLOOKUP(B44,Baza[],15,0),            IF(OR(VLOOKUP(B44,Baza[],9,0)="WN",VLOOKUP(B44,Baza[],9,0)="ES"),", €",", $")&amp;                          IF(VLOOKUP(B44,Baza[],15,0)&lt;1000,VLOOKUP(B44,Baza[],15,0),IF(VLOOKUP(B44,Baza[],15,0)&lt;1000000,IF(VLOOKUP(B44,Baza[],15,0)/1000=INT(VLOOKUP(B44,Baza[],15,0)/1000),TEXT(VLOOKUP(B44,Baza[],15,0),"#0 K"),TEXT(VLOOKUP(B44,Baza[],15,0),"#0,0 K")), IF(VLOOKUP(B44,Baza[],15,0)/1000000=INT(VLOOKUP(B44,Baza[],15,0)/1000000),TEXT(VLOOKUP(B44,Baza[],15,0),"# ###  M"),TEXT(VLOOKUP(B44,Baza[],15,0),"# ###,0  M")))))),""))</f>
        <v/>
      </c>
      <c r="G44" s="10"/>
      <c r="H44" s="10"/>
      <c r="I44" s="10"/>
      <c r="J44" s="10"/>
      <c r="K44" s="11" t="str">
        <f>IFERROR(IF(VLOOKUP(B44,Baza[],14,0)="s","Sat",IF(VLOOKUP(B44,Baza[],14,0)="XP","Phase",                                         IF(VLOOKUP(B44,Baza[],19,0)="-","",VLOOKUP(B44,Baza[],19,0)))),"")</f>
        <v/>
      </c>
      <c r="L44" s="12" t="str">
        <f>IF(AND(B44="",B43&gt;0),SUM($L$5:L43),IFERROR(IF(VLOOKUP(B44,Baza[],21,0)=0,"-",VLOOKUP(B44,Baza[],21,0)),""))</f>
        <v/>
      </c>
      <c r="M44" s="12" t="str">
        <f>IF(AND(B44="",B43&gt;0),SUM($M$5:M43),IFERROR(IF(VLOOKUP(B44,Baza[],22,0)=0,"-",VLOOKUP(B44,Baza[],22,0)),""))</f>
        <v/>
      </c>
      <c r="N44" s="12" t="str">
        <f>IF(AND(B44="",B43&gt;0),SUM($N$5:N43),IFERROR(VLOOKUP(B44,Baza[],23,0),""))</f>
        <v/>
      </c>
      <c r="P44" s="13" t="str">
        <f>IFERROR(VLOOKUP(B44,Baza[],14,0),"")</f>
        <v/>
      </c>
      <c r="Q44" s="13" t="str">
        <f>IFERROR(VLOOKUP(B44,Baza[],13,0),"")</f>
        <v/>
      </c>
    </row>
    <row r="45" spans="1:17" ht="9.9499999999999993" customHeight="1" x14ac:dyDescent="0.25">
      <c r="A45" s="4">
        <v>2</v>
      </c>
      <c r="B45"/>
      <c r="C45" s="97"/>
      <c r="D45" s="111" t="str">
        <f t="shared" si="0"/>
        <v/>
      </c>
      <c r="E45" s="8" t="str">
        <f>IFERROR(VLOOKUP(B45,Baza[],7,0),"")</f>
        <v/>
      </c>
      <c r="F45" s="9" t="str">
        <f>IF(AND(B45="",B44&gt;0),"                           Total:   Games: "&amp;VLOOKUP($C$2,Data!$B$87:$N$9999,4,0)&amp;"     Buy-in: $ "&amp;TEXT(VLOOKUP($C$2,Data!$B$87:$N$9999,5,0),"0,0")&amp;"     ABI: $ "&amp;TEXT(VLOOKUP($C$2,Data!$B$87:$N$9999,6,0),"0,0"),IFERROR( IF(VLOOKUP(B45,Baza[],18,0)&gt;0," ["&amp;VLOOKUP(B45,Baza[],18,0)+1&amp;"] ","   ")      &amp;IFERROR(IF(OR(VLOOKUP(B45,Baza[],9,0)="WN",VLOOKUP(B45,Baza[],9,0)="ES"),"€ ","$ ")&amp;      VLOOKUP(B45,Baza[],8,0),"")         &amp;" ["&amp;VLOOKUP(B45,Baza[],9,0)&amp;"] "&amp;VLOOKUP(B45,Baza[],10,0)&amp;IF(VLOOKUP(B45,Baza[],12,0)="T"," [Turbo]",   IF(VLOOKUP(B45,Baza[],12,0)="H"," [Hyper]",                                 "") )            &amp;  IF(VLOOKUP(B45,Baza[],14,0)="s",   ", "&amp;VLOOKUP(B45,Baza[],15,0)&amp;" Tickets",                                                                                                 IF(OR(VLOOKUP(B45,Baza[],14,0)="XP",VLOOKUP(B45,Baza[],14,0)="XP2"),VLOOKUP(B45,Baza[],15,0),            IF(OR(VLOOKUP(B45,Baza[],9,0)="WN",VLOOKUP(B45,Baza[],9,0)="ES"),", €",", $")&amp;                          IF(VLOOKUP(B45,Baza[],15,0)&lt;1000,VLOOKUP(B45,Baza[],15,0),IF(VLOOKUP(B45,Baza[],15,0)&lt;1000000,IF(VLOOKUP(B45,Baza[],15,0)/1000=INT(VLOOKUP(B45,Baza[],15,0)/1000),TEXT(VLOOKUP(B45,Baza[],15,0),"#0 K"),TEXT(VLOOKUP(B45,Baza[],15,0),"#0,0 K")), IF(VLOOKUP(B45,Baza[],15,0)/1000000=INT(VLOOKUP(B45,Baza[],15,0)/1000000),TEXT(VLOOKUP(B45,Baza[],15,0),"# ###  M"),TEXT(VLOOKUP(B45,Baza[],15,0),"# ###,0  M")))))),""))</f>
        <v/>
      </c>
      <c r="G45" s="10"/>
      <c r="H45" s="10"/>
      <c r="I45" s="10"/>
      <c r="J45" s="10"/>
      <c r="K45" s="11" t="str">
        <f>IFERROR(IF(VLOOKUP(B45,Baza[],14,0)="s","Sat",IF(VLOOKUP(B45,Baza[],14,0)="XP","Phase",                                         IF(VLOOKUP(B45,Baza[],19,0)="-","",VLOOKUP(B45,Baza[],19,0)))),"")</f>
        <v/>
      </c>
      <c r="L45" s="12" t="str">
        <f>IF(AND(B45="",B44&gt;0),SUM($L$5:L44),IFERROR(IF(VLOOKUP(B45,Baza[],21,0)=0,"-",VLOOKUP(B45,Baza[],21,0)),""))</f>
        <v/>
      </c>
      <c r="M45" s="12" t="str">
        <f>IF(AND(B45="",B44&gt;0),SUM($M$5:M44),IFERROR(IF(VLOOKUP(B45,Baza[],22,0)=0,"-",VLOOKUP(B45,Baza[],22,0)),""))</f>
        <v/>
      </c>
      <c r="N45" s="12" t="str">
        <f>IF(AND(B45="",B44&gt;0),SUM($N$5:N44),IFERROR(VLOOKUP(B45,Baza[],23,0),""))</f>
        <v/>
      </c>
      <c r="P45" s="13" t="str">
        <f>IFERROR(VLOOKUP(B45,Baza[],14,0),"")</f>
        <v/>
      </c>
      <c r="Q45" s="13" t="str">
        <f>IFERROR(VLOOKUP(B45,Baza[],13,0),"")</f>
        <v/>
      </c>
    </row>
    <row r="46" spans="1:17" ht="9.9499999999999993" customHeight="1" x14ac:dyDescent="0.25">
      <c r="A46" s="4">
        <v>1</v>
      </c>
      <c r="B46"/>
      <c r="C46" s="97"/>
      <c r="D46" s="111" t="str">
        <f t="shared" si="0"/>
        <v/>
      </c>
      <c r="E46" s="8" t="str">
        <f>IFERROR(VLOOKUP(B46,Baza[],7,0),"")</f>
        <v/>
      </c>
      <c r="F46" s="9" t="str">
        <f>IF(AND(B46="",B45&gt;0),"                           Total:   Games: "&amp;VLOOKUP($C$2,Data!$B$87:$N$9999,4,0)&amp;"     Buy-in: $ "&amp;TEXT(VLOOKUP($C$2,Data!$B$87:$N$9999,5,0),"0,0")&amp;"     ABI: $ "&amp;TEXT(VLOOKUP($C$2,Data!$B$87:$N$9999,6,0),"0,0"),IFERROR( IF(VLOOKUP(B46,Baza[],18,0)&gt;0," ["&amp;VLOOKUP(B46,Baza[],18,0)+1&amp;"] ","   ")      &amp;IFERROR(IF(OR(VLOOKUP(B46,Baza[],9,0)="WN",VLOOKUP(B46,Baza[],9,0)="ES"),"€ ","$ ")&amp;      VLOOKUP(B46,Baza[],8,0),"")         &amp;" ["&amp;VLOOKUP(B46,Baza[],9,0)&amp;"] "&amp;VLOOKUP(B46,Baza[],10,0)&amp;IF(VLOOKUP(B46,Baza[],12,0)="T"," [Turbo]",   IF(VLOOKUP(B46,Baza[],12,0)="H"," [Hyper]",                                 "") )            &amp;  IF(VLOOKUP(B46,Baza[],14,0)="s",   ", "&amp;VLOOKUP(B46,Baza[],15,0)&amp;" Tickets",                                                                                                 IF(OR(VLOOKUP(B46,Baza[],14,0)="XP",VLOOKUP(B46,Baza[],14,0)="XP2"),VLOOKUP(B46,Baza[],15,0),            IF(OR(VLOOKUP(B46,Baza[],9,0)="WN",VLOOKUP(B46,Baza[],9,0)="ES"),", €",", $")&amp;                          IF(VLOOKUP(B46,Baza[],15,0)&lt;1000,VLOOKUP(B46,Baza[],15,0),IF(VLOOKUP(B46,Baza[],15,0)&lt;1000000,IF(VLOOKUP(B46,Baza[],15,0)/1000=INT(VLOOKUP(B46,Baza[],15,0)/1000),TEXT(VLOOKUP(B46,Baza[],15,0),"#0 K"),TEXT(VLOOKUP(B46,Baza[],15,0),"#0,0 K")), IF(VLOOKUP(B46,Baza[],15,0)/1000000=INT(VLOOKUP(B46,Baza[],15,0)/1000000),TEXT(VLOOKUP(B46,Baza[],15,0),"# ###  M"),TEXT(VLOOKUP(B46,Baza[],15,0),"# ###,0  M")))))),""))</f>
        <v/>
      </c>
      <c r="G46" s="10"/>
      <c r="H46" s="10"/>
      <c r="I46" s="10"/>
      <c r="J46" s="10"/>
      <c r="K46" s="11" t="str">
        <f>IFERROR(IF(VLOOKUP(B46,Baza[],14,0)="s","Sat",IF(VLOOKUP(B46,Baza[],14,0)="XP","Phase",                                         IF(VLOOKUP(B46,Baza[],19,0)="-","",VLOOKUP(B46,Baza[],19,0)))),"")</f>
        <v/>
      </c>
      <c r="L46" s="12" t="str">
        <f>IF(AND(B46="",B45&gt;0),SUM($L$5:L45),IFERROR(IF(VLOOKUP(B46,Baza[],21,0)=0,"-",VLOOKUP(B46,Baza[],21,0)),""))</f>
        <v/>
      </c>
      <c r="M46" s="12" t="str">
        <f>IF(AND(B46="",B45&gt;0),SUM($M$5:M45),IFERROR(IF(VLOOKUP(B46,Baza[],22,0)=0,"-",VLOOKUP(B46,Baza[],22,0)),""))</f>
        <v/>
      </c>
      <c r="N46" s="12" t="str">
        <f>IF(AND(B46="",B45&gt;0),SUM($N$5:N45),IFERROR(VLOOKUP(B46,Baza[],23,0),""))</f>
        <v/>
      </c>
      <c r="P46" s="13" t="str">
        <f>IFERROR(VLOOKUP(B46,Baza[],14,0),"")</f>
        <v/>
      </c>
      <c r="Q46" s="13" t="str">
        <f>IFERROR(VLOOKUP(B46,Baza[],13,0),"")</f>
        <v/>
      </c>
    </row>
    <row r="47" spans="1:17" ht="9.9499999999999993" customHeight="1" x14ac:dyDescent="0.25">
      <c r="A47" s="4">
        <v>2</v>
      </c>
      <c r="B47"/>
      <c r="C47" s="97"/>
      <c r="D47" s="111" t="str">
        <f t="shared" si="0"/>
        <v/>
      </c>
      <c r="E47" s="8" t="str">
        <f>IFERROR(VLOOKUP(B47,Baza[],7,0),"")</f>
        <v/>
      </c>
      <c r="F47" s="9" t="str">
        <f>IF(AND(B47="",B46&gt;0),"                           Total:   Games: "&amp;VLOOKUP($C$2,Data!$B$87:$N$9999,4,0)&amp;"     Buy-in: $ "&amp;TEXT(VLOOKUP($C$2,Data!$B$87:$N$9999,5,0),"0,0")&amp;"     ABI: $ "&amp;TEXT(VLOOKUP($C$2,Data!$B$87:$N$9999,6,0),"0,0"),IFERROR( IF(VLOOKUP(B47,Baza[],18,0)&gt;0," ["&amp;VLOOKUP(B47,Baza[],18,0)+1&amp;"] ","   ")      &amp;IFERROR(IF(OR(VLOOKUP(B47,Baza[],9,0)="WN",VLOOKUP(B47,Baza[],9,0)="ES"),"€ ","$ ")&amp;      VLOOKUP(B47,Baza[],8,0),"")         &amp;" ["&amp;VLOOKUP(B47,Baza[],9,0)&amp;"] "&amp;VLOOKUP(B47,Baza[],10,0)&amp;IF(VLOOKUP(B47,Baza[],12,0)="T"," [Turbo]",   IF(VLOOKUP(B47,Baza[],12,0)="H"," [Hyper]",                                 "") )            &amp;  IF(VLOOKUP(B47,Baza[],14,0)="s",   ", "&amp;VLOOKUP(B47,Baza[],15,0)&amp;" Tickets",                                                                                                 IF(OR(VLOOKUP(B47,Baza[],14,0)="XP",VLOOKUP(B47,Baza[],14,0)="XP2"),VLOOKUP(B47,Baza[],15,0),            IF(OR(VLOOKUP(B47,Baza[],9,0)="WN",VLOOKUP(B47,Baza[],9,0)="ES"),", €",", $")&amp;                          IF(VLOOKUP(B47,Baza[],15,0)&lt;1000,VLOOKUP(B47,Baza[],15,0),IF(VLOOKUP(B47,Baza[],15,0)&lt;1000000,IF(VLOOKUP(B47,Baza[],15,0)/1000=INT(VLOOKUP(B47,Baza[],15,0)/1000),TEXT(VLOOKUP(B47,Baza[],15,0),"#0 K"),TEXT(VLOOKUP(B47,Baza[],15,0),"#0,0 K")), IF(VLOOKUP(B47,Baza[],15,0)/1000000=INT(VLOOKUP(B47,Baza[],15,0)/1000000),TEXT(VLOOKUP(B47,Baza[],15,0),"# ###  M"),TEXT(VLOOKUP(B47,Baza[],15,0),"# ###,0  M")))))),""))</f>
        <v/>
      </c>
      <c r="G47" s="10"/>
      <c r="H47" s="10"/>
      <c r="I47" s="10"/>
      <c r="J47" s="10"/>
      <c r="K47" s="11" t="str">
        <f>IFERROR(IF(VLOOKUP(B47,Baza[],14,0)="s","Sat",IF(VLOOKUP(B47,Baza[],14,0)="XP","Phase",                                         IF(VLOOKUP(B47,Baza[],19,0)="-","",VLOOKUP(B47,Baza[],19,0)))),"")</f>
        <v/>
      </c>
      <c r="L47" s="12" t="str">
        <f>IF(AND(B47="",B46&gt;0),SUM($L$5:L46),IFERROR(IF(VLOOKUP(B47,Baza[],21,0)=0,"-",VLOOKUP(B47,Baza[],21,0)),""))</f>
        <v/>
      </c>
      <c r="M47" s="12" t="str">
        <f>IF(AND(B47="",B46&gt;0),SUM($M$5:M46),IFERROR(IF(VLOOKUP(B47,Baza[],22,0)=0,"-",VLOOKUP(B47,Baza[],22,0)),""))</f>
        <v/>
      </c>
      <c r="N47" s="12" t="str">
        <f>IF(AND(B47="",B46&gt;0),SUM($N$5:N46),IFERROR(VLOOKUP(B47,Baza[],23,0),""))</f>
        <v/>
      </c>
      <c r="P47" s="13" t="str">
        <f>IFERROR(VLOOKUP(B47,Baza[],14,0),"")</f>
        <v/>
      </c>
      <c r="Q47" s="13" t="str">
        <f>IFERROR(VLOOKUP(B47,Baza[],13,0),"")</f>
        <v/>
      </c>
    </row>
    <row r="48" spans="1:17" ht="9.9499999999999993" customHeight="1" x14ac:dyDescent="0.25">
      <c r="A48" s="4">
        <v>1</v>
      </c>
      <c r="B48"/>
      <c r="C48" s="97"/>
      <c r="D48" s="111" t="str">
        <f t="shared" si="0"/>
        <v/>
      </c>
      <c r="E48" s="8" t="str">
        <f>IFERROR(VLOOKUP(B48,Baza[],7,0),"")</f>
        <v/>
      </c>
      <c r="F48" s="9" t="str">
        <f>IF(AND(B48="",B47&gt;0),"                           Total:   Games: "&amp;VLOOKUP($C$2,Data!$B$87:$N$9999,4,0)&amp;"     Buy-in: $ "&amp;TEXT(VLOOKUP($C$2,Data!$B$87:$N$9999,5,0),"0,0")&amp;"     ABI: $ "&amp;TEXT(VLOOKUP($C$2,Data!$B$87:$N$9999,6,0),"0,0"),IFERROR( IF(VLOOKUP(B48,Baza[],18,0)&gt;0," ["&amp;VLOOKUP(B48,Baza[],18,0)+1&amp;"] ","   ")      &amp;IFERROR(IF(OR(VLOOKUP(B48,Baza[],9,0)="WN",VLOOKUP(B48,Baza[],9,0)="ES"),"€ ","$ ")&amp;      VLOOKUP(B48,Baza[],8,0),"")         &amp;" ["&amp;VLOOKUP(B48,Baza[],9,0)&amp;"] "&amp;VLOOKUP(B48,Baza[],10,0)&amp;IF(VLOOKUP(B48,Baza[],12,0)="T"," [Turbo]",   IF(VLOOKUP(B48,Baza[],12,0)="H"," [Hyper]",                                 "") )            &amp;  IF(VLOOKUP(B48,Baza[],14,0)="s",   ", "&amp;VLOOKUP(B48,Baza[],15,0)&amp;" Tickets",                                                                                                 IF(OR(VLOOKUP(B48,Baza[],14,0)="XP",VLOOKUP(B48,Baza[],14,0)="XP2"),VLOOKUP(B48,Baza[],15,0),            IF(OR(VLOOKUP(B48,Baza[],9,0)="WN",VLOOKUP(B48,Baza[],9,0)="ES"),", €",", $")&amp;                          IF(VLOOKUP(B48,Baza[],15,0)&lt;1000,VLOOKUP(B48,Baza[],15,0),IF(VLOOKUP(B48,Baza[],15,0)&lt;1000000,IF(VLOOKUP(B48,Baza[],15,0)/1000=INT(VLOOKUP(B48,Baza[],15,0)/1000),TEXT(VLOOKUP(B48,Baza[],15,0),"#0 K"),TEXT(VLOOKUP(B48,Baza[],15,0),"#0,0 K")), IF(VLOOKUP(B48,Baza[],15,0)/1000000=INT(VLOOKUP(B48,Baza[],15,0)/1000000),TEXT(VLOOKUP(B48,Baza[],15,0),"# ###  M"),TEXT(VLOOKUP(B48,Baza[],15,0),"# ###,0  M")))))),""))</f>
        <v/>
      </c>
      <c r="G48" s="10"/>
      <c r="H48" s="10"/>
      <c r="I48" s="10"/>
      <c r="J48" s="10"/>
      <c r="K48" s="11" t="str">
        <f>IFERROR(IF(VLOOKUP(B48,Baza[],14,0)="s","Sat",IF(VLOOKUP(B48,Baza[],14,0)="XP","Phase",                                         IF(VLOOKUP(B48,Baza[],19,0)="-","",VLOOKUP(B48,Baza[],19,0)))),"")</f>
        <v/>
      </c>
      <c r="L48" s="12" t="str">
        <f>IF(AND(B48="",B47&gt;0),SUM($L$5:L47),IFERROR(IF(VLOOKUP(B48,Baza[],21,0)=0,"-",VLOOKUP(B48,Baza[],21,0)),""))</f>
        <v/>
      </c>
      <c r="M48" s="12" t="str">
        <f>IF(AND(B48="",B47&gt;0),SUM($M$5:M47),IFERROR(IF(VLOOKUP(B48,Baza[],22,0)=0,"-",VLOOKUP(B48,Baza[],22,0)),""))</f>
        <v/>
      </c>
      <c r="N48" s="12" t="str">
        <f>IF(AND(B48="",B47&gt;0),SUM($N$5:N47),IFERROR(VLOOKUP(B48,Baza[],23,0),""))</f>
        <v/>
      </c>
      <c r="P48" s="13" t="str">
        <f>IFERROR(VLOOKUP(B48,Baza[],14,0),"")</f>
        <v/>
      </c>
      <c r="Q48" s="13" t="str">
        <f>IFERROR(VLOOKUP(B48,Baza[],13,0),"")</f>
        <v/>
      </c>
    </row>
    <row r="49" spans="1:17" ht="9.9499999999999993" customHeight="1" x14ac:dyDescent="0.25">
      <c r="A49" s="4">
        <v>2</v>
      </c>
      <c r="B49"/>
      <c r="C49" s="97"/>
      <c r="D49" s="111" t="str">
        <f t="shared" si="0"/>
        <v/>
      </c>
      <c r="E49" s="8" t="str">
        <f>IFERROR(VLOOKUP(B49,Baza[],7,0),"")</f>
        <v/>
      </c>
      <c r="F49" s="9" t="str">
        <f>IF(AND(B49="",B48&gt;0),"                           Total:   Games: "&amp;VLOOKUP($C$2,Data!$B$87:$N$9999,4,0)&amp;"     Buy-in: $ "&amp;TEXT(VLOOKUP($C$2,Data!$B$87:$N$9999,5,0),"0,0")&amp;"     ABI: $ "&amp;TEXT(VLOOKUP($C$2,Data!$B$87:$N$9999,6,0),"0,0"),IFERROR( IF(VLOOKUP(B49,Baza[],18,0)&gt;0," ["&amp;VLOOKUP(B49,Baza[],18,0)+1&amp;"] ","   ")      &amp;IFERROR(IF(OR(VLOOKUP(B49,Baza[],9,0)="WN",VLOOKUP(B49,Baza[],9,0)="ES"),"€ ","$ ")&amp;      VLOOKUP(B49,Baza[],8,0),"")         &amp;" ["&amp;VLOOKUP(B49,Baza[],9,0)&amp;"] "&amp;VLOOKUP(B49,Baza[],10,0)&amp;IF(VLOOKUP(B49,Baza[],12,0)="T"," [Turbo]",   IF(VLOOKUP(B49,Baza[],12,0)="H"," [Hyper]",                                 "") )            &amp;  IF(VLOOKUP(B49,Baza[],14,0)="s",   ", "&amp;VLOOKUP(B49,Baza[],15,0)&amp;" Tickets",                                                                                                 IF(OR(VLOOKUP(B49,Baza[],14,0)="XP",VLOOKUP(B49,Baza[],14,0)="XP2"),VLOOKUP(B49,Baza[],15,0),            IF(OR(VLOOKUP(B49,Baza[],9,0)="WN",VLOOKUP(B49,Baza[],9,0)="ES"),", €",", $")&amp;                          IF(VLOOKUP(B49,Baza[],15,0)&lt;1000,VLOOKUP(B49,Baza[],15,0),IF(VLOOKUP(B49,Baza[],15,0)&lt;1000000,IF(VLOOKUP(B49,Baza[],15,0)/1000=INT(VLOOKUP(B49,Baza[],15,0)/1000),TEXT(VLOOKUP(B49,Baza[],15,0),"#0 K"),TEXT(VLOOKUP(B49,Baza[],15,0),"#0,0 K")), IF(VLOOKUP(B49,Baza[],15,0)/1000000=INT(VLOOKUP(B49,Baza[],15,0)/1000000),TEXT(VLOOKUP(B49,Baza[],15,0),"# ###  M"),TEXT(VLOOKUP(B49,Baza[],15,0),"# ###,0  M")))))),""))</f>
        <v/>
      </c>
      <c r="G49" s="10"/>
      <c r="H49" s="10"/>
      <c r="I49" s="10"/>
      <c r="J49" s="10"/>
      <c r="K49" s="11" t="str">
        <f>IFERROR(IF(VLOOKUP(B49,Baza[],14,0)="s","Sat",IF(VLOOKUP(B49,Baza[],14,0)="XP","Phase",                                         IF(VLOOKUP(B49,Baza[],19,0)="-","",VLOOKUP(B49,Baza[],19,0)))),"")</f>
        <v/>
      </c>
      <c r="L49" s="12" t="str">
        <f>IF(AND(B49="",B48&gt;0),SUM($L$5:L48),IFERROR(IF(VLOOKUP(B49,Baza[],21,0)=0,"-",VLOOKUP(B49,Baza[],21,0)),""))</f>
        <v/>
      </c>
      <c r="M49" s="12" t="str">
        <f>IF(AND(B49="",B48&gt;0),SUM($M$5:M48),IFERROR(IF(VLOOKUP(B49,Baza[],22,0)=0,"-",VLOOKUP(B49,Baza[],22,0)),""))</f>
        <v/>
      </c>
      <c r="N49" s="12" t="str">
        <f>IF(AND(B49="",B48&gt;0),SUM($N$5:N48),IFERROR(VLOOKUP(B49,Baza[],23,0),""))</f>
        <v/>
      </c>
      <c r="P49" s="13" t="str">
        <f>IFERROR(VLOOKUP(B49,Baza[],14,0),"")</f>
        <v/>
      </c>
      <c r="Q49" s="13" t="str">
        <f>IFERROR(VLOOKUP(B49,Baza[],13,0),"")</f>
        <v/>
      </c>
    </row>
    <row r="50" spans="1:17" ht="9.9499999999999993" customHeight="1" x14ac:dyDescent="0.25">
      <c r="A50" s="4">
        <v>1</v>
      </c>
      <c r="B50"/>
      <c r="C50" s="97"/>
      <c r="D50" s="111" t="str">
        <f t="shared" si="0"/>
        <v/>
      </c>
      <c r="E50" s="8" t="str">
        <f>IFERROR(VLOOKUP(B50,Baza[],7,0),"")</f>
        <v/>
      </c>
      <c r="F50" s="9" t="str">
        <f>IF(AND(B50="",B49&gt;0),"                           Total:   Games: "&amp;VLOOKUP($C$2,Data!$B$87:$N$9999,4,0)&amp;"     Buy-in: $ "&amp;TEXT(VLOOKUP($C$2,Data!$B$87:$N$9999,5,0),"0,0")&amp;"     ABI: $ "&amp;TEXT(VLOOKUP($C$2,Data!$B$87:$N$9999,6,0),"0,0"),IFERROR( IF(VLOOKUP(B50,Baza[],18,0)&gt;0," ["&amp;VLOOKUP(B50,Baza[],18,0)+1&amp;"] ","   ")      &amp;IFERROR(IF(OR(VLOOKUP(B50,Baza[],9,0)="WN",VLOOKUP(B50,Baza[],9,0)="ES"),"€ ","$ ")&amp;      VLOOKUP(B50,Baza[],8,0),"")         &amp;" ["&amp;VLOOKUP(B50,Baza[],9,0)&amp;"] "&amp;VLOOKUP(B50,Baza[],10,0)&amp;IF(VLOOKUP(B50,Baza[],12,0)="T"," [Turbo]",   IF(VLOOKUP(B50,Baza[],12,0)="H"," [Hyper]",                                 "") )            &amp;  IF(VLOOKUP(B50,Baza[],14,0)="s",   ", "&amp;VLOOKUP(B50,Baza[],15,0)&amp;" Tickets",                                                                                                 IF(OR(VLOOKUP(B50,Baza[],14,0)="XP",VLOOKUP(B50,Baza[],14,0)="XP2"),VLOOKUP(B50,Baza[],15,0),            IF(OR(VLOOKUP(B50,Baza[],9,0)="WN",VLOOKUP(B50,Baza[],9,0)="ES"),", €",", $")&amp;                          IF(VLOOKUP(B50,Baza[],15,0)&lt;1000,VLOOKUP(B50,Baza[],15,0),IF(VLOOKUP(B50,Baza[],15,0)&lt;1000000,IF(VLOOKUP(B50,Baza[],15,0)/1000=INT(VLOOKUP(B50,Baza[],15,0)/1000),TEXT(VLOOKUP(B50,Baza[],15,0),"#0 K"),TEXT(VLOOKUP(B50,Baza[],15,0),"#0,0 K")), IF(VLOOKUP(B50,Baza[],15,0)/1000000=INT(VLOOKUP(B50,Baza[],15,0)/1000000),TEXT(VLOOKUP(B50,Baza[],15,0),"# ###  M"),TEXT(VLOOKUP(B50,Baza[],15,0),"# ###,0  M")))))),""))</f>
        <v/>
      </c>
      <c r="G50" s="10"/>
      <c r="H50" s="10"/>
      <c r="I50" s="10"/>
      <c r="J50" s="10"/>
      <c r="K50" s="11" t="str">
        <f>IFERROR(IF(VLOOKUP(B50,Baza[],14,0)="s","Sat",IF(VLOOKUP(B50,Baza[],14,0)="XP","Phase",                                         IF(VLOOKUP(B50,Baza[],19,0)="-","",VLOOKUP(B50,Baza[],19,0)))),"")</f>
        <v/>
      </c>
      <c r="L50" s="12" t="str">
        <f>IF(AND(B50="",B49&gt;0),SUM($L$5:L49),IFERROR(IF(VLOOKUP(B50,Baza[],21,0)=0,"-",VLOOKUP(B50,Baza[],21,0)),""))</f>
        <v/>
      </c>
      <c r="M50" s="12" t="str">
        <f>IF(AND(B50="",B49&gt;0),SUM($M$5:M49),IFERROR(IF(VLOOKUP(B50,Baza[],22,0)=0,"-",VLOOKUP(B50,Baza[],22,0)),""))</f>
        <v/>
      </c>
      <c r="N50" s="12" t="str">
        <f>IF(AND(B50="",B49&gt;0),SUM($N$5:N49),IFERROR(VLOOKUP(B50,Baza[],23,0),""))</f>
        <v/>
      </c>
      <c r="P50" s="13" t="str">
        <f>IFERROR(VLOOKUP(B50,Baza[],14,0),"")</f>
        <v/>
      </c>
      <c r="Q50" s="13" t="str">
        <f>IFERROR(VLOOKUP(B50,Baza[],13,0),"")</f>
        <v/>
      </c>
    </row>
    <row r="51" spans="1:17" ht="9.9499999999999993" customHeight="1" x14ac:dyDescent="0.25">
      <c r="A51" s="4">
        <v>2</v>
      </c>
      <c r="B51"/>
      <c r="C51" s="97"/>
      <c r="D51" s="111" t="str">
        <f t="shared" si="0"/>
        <v/>
      </c>
      <c r="E51" s="8" t="str">
        <f>IFERROR(VLOOKUP(B51,Baza[],7,0),"")</f>
        <v/>
      </c>
      <c r="F51" s="9" t="str">
        <f>IF(AND(B51="",B50&gt;0),"                           Total:   Games: "&amp;VLOOKUP($C$2,Data!$B$87:$N$9999,4,0)&amp;"     Buy-in: $ "&amp;TEXT(VLOOKUP($C$2,Data!$B$87:$N$9999,5,0),"0,0")&amp;"     ABI: $ "&amp;TEXT(VLOOKUP($C$2,Data!$B$87:$N$9999,6,0),"0,0"),IFERROR( IF(VLOOKUP(B51,Baza[],18,0)&gt;0," ["&amp;VLOOKUP(B51,Baza[],18,0)+1&amp;"] ","   ")      &amp;IFERROR(IF(OR(VLOOKUP(B51,Baza[],9,0)="WN",VLOOKUP(B51,Baza[],9,0)="ES"),"€ ","$ ")&amp;      VLOOKUP(B51,Baza[],8,0),"")         &amp;" ["&amp;VLOOKUP(B51,Baza[],9,0)&amp;"] "&amp;VLOOKUP(B51,Baza[],10,0)&amp;IF(VLOOKUP(B51,Baza[],12,0)="T"," [Turbo]",   IF(VLOOKUP(B51,Baza[],12,0)="H"," [Hyper]",                                 "") )            &amp;  IF(VLOOKUP(B51,Baza[],14,0)="s",   ", "&amp;VLOOKUP(B51,Baza[],15,0)&amp;" Tickets",                                                                                                 IF(OR(VLOOKUP(B51,Baza[],14,0)="XP",VLOOKUP(B51,Baza[],14,0)="XP2"),VLOOKUP(B51,Baza[],15,0),            IF(OR(VLOOKUP(B51,Baza[],9,0)="WN",VLOOKUP(B51,Baza[],9,0)="ES"),", €",", $")&amp;                          IF(VLOOKUP(B51,Baza[],15,0)&lt;1000,VLOOKUP(B51,Baza[],15,0),IF(VLOOKUP(B51,Baza[],15,0)&lt;1000000,IF(VLOOKUP(B51,Baza[],15,0)/1000=INT(VLOOKUP(B51,Baza[],15,0)/1000),TEXT(VLOOKUP(B51,Baza[],15,0),"#0 K"),TEXT(VLOOKUP(B51,Baza[],15,0),"#0,0 K")), IF(VLOOKUP(B51,Baza[],15,0)/1000000=INT(VLOOKUP(B51,Baza[],15,0)/1000000),TEXT(VLOOKUP(B51,Baza[],15,0),"# ###  M"),TEXT(VLOOKUP(B51,Baza[],15,0),"# ###,0  M")))))),""))</f>
        <v/>
      </c>
      <c r="G51" s="10"/>
      <c r="H51" s="10"/>
      <c r="I51" s="10"/>
      <c r="J51" s="10"/>
      <c r="K51" s="11" t="str">
        <f>IFERROR(IF(VLOOKUP(B51,Baza[],14,0)="s","Sat",IF(VLOOKUP(B51,Baza[],14,0)="XP","Phase",                                         IF(VLOOKUP(B51,Baza[],19,0)="-","",VLOOKUP(B51,Baza[],19,0)))),"")</f>
        <v/>
      </c>
      <c r="L51" s="12" t="str">
        <f>IF(AND(B51="",B50&gt;0),SUM($L$5:L50),IFERROR(IF(VLOOKUP(B51,Baza[],21,0)=0,"-",VLOOKUP(B51,Baza[],21,0)),""))</f>
        <v/>
      </c>
      <c r="M51" s="12" t="str">
        <f>IF(AND(B51="",B50&gt;0),SUM($M$5:M50),IFERROR(IF(VLOOKUP(B51,Baza[],22,0)=0,"-",VLOOKUP(B51,Baza[],22,0)),""))</f>
        <v/>
      </c>
      <c r="N51" s="12" t="str">
        <f>IF(AND(B51="",B50&gt;0),SUM($N$5:N50),IFERROR(VLOOKUP(B51,Baza[],23,0),""))</f>
        <v/>
      </c>
      <c r="P51" s="13" t="str">
        <f>IFERROR(VLOOKUP(B51,Baza[],14,0),"")</f>
        <v/>
      </c>
      <c r="Q51" s="13" t="str">
        <f>IFERROR(VLOOKUP(B51,Baza[],13,0),"")</f>
        <v/>
      </c>
    </row>
    <row r="52" spans="1:17" ht="9.9499999999999993" customHeight="1" x14ac:dyDescent="0.25">
      <c r="A52" s="4">
        <v>1</v>
      </c>
      <c r="B52"/>
      <c r="C52" s="97"/>
      <c r="D52" s="111" t="str">
        <f t="shared" si="0"/>
        <v/>
      </c>
      <c r="E52" s="8" t="str">
        <f>IFERROR(VLOOKUP(B52,Baza[],7,0),"")</f>
        <v/>
      </c>
      <c r="F52" s="9" t="str">
        <f>IF(AND(B52="",B51&gt;0),"                           Total:   Games: "&amp;VLOOKUP($C$2,Data!$B$87:$N$9999,4,0)&amp;"     Buy-in: $ "&amp;TEXT(VLOOKUP($C$2,Data!$B$87:$N$9999,5,0),"0,0")&amp;"     ABI: $ "&amp;TEXT(VLOOKUP($C$2,Data!$B$87:$N$9999,6,0),"0,0"),IFERROR( IF(VLOOKUP(B52,Baza[],18,0)&gt;0," ["&amp;VLOOKUP(B52,Baza[],18,0)+1&amp;"] ","   ")      &amp;IFERROR(IF(OR(VLOOKUP(B52,Baza[],9,0)="WN",VLOOKUP(B52,Baza[],9,0)="ES"),"€ ","$ ")&amp;      VLOOKUP(B52,Baza[],8,0),"")         &amp;" ["&amp;VLOOKUP(B52,Baza[],9,0)&amp;"] "&amp;VLOOKUP(B52,Baza[],10,0)&amp;IF(VLOOKUP(B52,Baza[],12,0)="T"," [Turbo]",   IF(VLOOKUP(B52,Baza[],12,0)="H"," [Hyper]",                                 "") )            &amp;  IF(VLOOKUP(B52,Baza[],14,0)="s",   ", "&amp;VLOOKUP(B52,Baza[],15,0)&amp;" Tickets",                                                                                                 IF(OR(VLOOKUP(B52,Baza[],14,0)="XP",VLOOKUP(B52,Baza[],14,0)="XP2"),VLOOKUP(B52,Baza[],15,0),            IF(OR(VLOOKUP(B52,Baza[],9,0)="WN",VLOOKUP(B52,Baza[],9,0)="ES"),", €",", $")&amp;                          IF(VLOOKUP(B52,Baza[],15,0)&lt;1000,VLOOKUP(B52,Baza[],15,0),IF(VLOOKUP(B52,Baza[],15,0)&lt;1000000,IF(VLOOKUP(B52,Baza[],15,0)/1000=INT(VLOOKUP(B52,Baza[],15,0)/1000),TEXT(VLOOKUP(B52,Baza[],15,0),"#0 K"),TEXT(VLOOKUP(B52,Baza[],15,0),"#0,0 K")), IF(VLOOKUP(B52,Baza[],15,0)/1000000=INT(VLOOKUP(B52,Baza[],15,0)/1000000),TEXT(VLOOKUP(B52,Baza[],15,0),"# ###  M"),TEXT(VLOOKUP(B52,Baza[],15,0),"# ###,0  M")))))),""))</f>
        <v/>
      </c>
      <c r="G52" s="10"/>
      <c r="H52" s="10"/>
      <c r="I52" s="10"/>
      <c r="J52" s="10"/>
      <c r="K52" s="11" t="str">
        <f>IFERROR(IF(VLOOKUP(B52,Baza[],14,0)="s","Sat",IF(VLOOKUP(B52,Baza[],14,0)="XP","Phase",                                         IF(VLOOKUP(B52,Baza[],19,0)="-","",VLOOKUP(B52,Baza[],19,0)))),"")</f>
        <v/>
      </c>
      <c r="L52" s="12" t="str">
        <f>IF(AND(B52="",B51&gt;0),SUM($L$5:L51),IFERROR(IF(VLOOKUP(B52,Baza[],21,0)=0,"-",VLOOKUP(B52,Baza[],21,0)),""))</f>
        <v/>
      </c>
      <c r="M52" s="12" t="str">
        <f>IF(AND(B52="",B51&gt;0),SUM($M$5:M51),IFERROR(IF(VLOOKUP(B52,Baza[],22,0)=0,"-",VLOOKUP(B52,Baza[],22,0)),""))</f>
        <v/>
      </c>
      <c r="N52" s="12" t="str">
        <f>IF(AND(B52="",B51&gt;0),SUM($N$5:N51),IFERROR(VLOOKUP(B52,Baza[],23,0),""))</f>
        <v/>
      </c>
      <c r="P52" s="13" t="str">
        <f>IFERROR(VLOOKUP(B52,Baza[],14,0),"")</f>
        <v/>
      </c>
      <c r="Q52" s="13" t="str">
        <f>IFERROR(VLOOKUP(B52,Baza[],13,0),"")</f>
        <v/>
      </c>
    </row>
    <row r="53" spans="1:17" ht="9.9499999999999993" customHeight="1" x14ac:dyDescent="0.25">
      <c r="A53" s="4">
        <v>2</v>
      </c>
      <c r="B53"/>
      <c r="C53" s="97"/>
      <c r="D53" s="111" t="str">
        <f t="shared" si="0"/>
        <v/>
      </c>
      <c r="E53" s="8" t="str">
        <f>IFERROR(VLOOKUP(B53,Baza[],7,0),"")</f>
        <v/>
      </c>
      <c r="F53" s="9" t="str">
        <f>IF(AND(B53="",B52&gt;0),"                           Total:   Games: "&amp;VLOOKUP($C$2,Data!$B$87:$N$9999,4,0)&amp;"     Buy-in: $ "&amp;TEXT(VLOOKUP($C$2,Data!$B$87:$N$9999,5,0),"0,0")&amp;"     ABI: $ "&amp;TEXT(VLOOKUP($C$2,Data!$B$87:$N$9999,6,0),"0,0"),IFERROR( IF(VLOOKUP(B53,Baza[],18,0)&gt;0," ["&amp;VLOOKUP(B53,Baza[],18,0)+1&amp;"] ","   ")      &amp;IFERROR(IF(OR(VLOOKUP(B53,Baza[],9,0)="WN",VLOOKUP(B53,Baza[],9,0)="ES"),"€ ","$ ")&amp;      VLOOKUP(B53,Baza[],8,0),"")         &amp;" ["&amp;VLOOKUP(B53,Baza[],9,0)&amp;"] "&amp;VLOOKUP(B53,Baza[],10,0)&amp;IF(VLOOKUP(B53,Baza[],12,0)="T"," [Turbo]",   IF(VLOOKUP(B53,Baza[],12,0)="H"," [Hyper]",                                 "") )            &amp;  IF(VLOOKUP(B53,Baza[],14,0)="s",   ", "&amp;VLOOKUP(B53,Baza[],15,0)&amp;" Tickets",                                                                                                 IF(OR(VLOOKUP(B53,Baza[],14,0)="XP",VLOOKUP(B53,Baza[],14,0)="XP2"),VLOOKUP(B53,Baza[],15,0),            IF(OR(VLOOKUP(B53,Baza[],9,0)="WN",VLOOKUP(B53,Baza[],9,0)="ES"),", €",", $")&amp;                          IF(VLOOKUP(B53,Baza[],15,0)&lt;1000,VLOOKUP(B53,Baza[],15,0),IF(VLOOKUP(B53,Baza[],15,0)&lt;1000000,IF(VLOOKUP(B53,Baza[],15,0)/1000=INT(VLOOKUP(B53,Baza[],15,0)/1000),TEXT(VLOOKUP(B53,Baza[],15,0),"#0 K"),TEXT(VLOOKUP(B53,Baza[],15,0),"#0,0 K")), IF(VLOOKUP(B53,Baza[],15,0)/1000000=INT(VLOOKUP(B53,Baza[],15,0)/1000000),TEXT(VLOOKUP(B53,Baza[],15,0),"# ###  M"),TEXT(VLOOKUP(B53,Baza[],15,0),"# ###,0  M")))))),""))</f>
        <v/>
      </c>
      <c r="G53" s="10"/>
      <c r="H53" s="10"/>
      <c r="I53" s="10"/>
      <c r="J53" s="10"/>
      <c r="K53" s="11" t="str">
        <f>IFERROR(IF(VLOOKUP(B53,Baza[],14,0)="s","Sat",IF(VLOOKUP(B53,Baza[],14,0)="XP","Phase",                                         IF(VLOOKUP(B53,Baza[],19,0)="-","",VLOOKUP(B53,Baza[],19,0)))),"")</f>
        <v/>
      </c>
      <c r="L53" s="12" t="str">
        <f>IF(AND(B53="",B52&gt;0),SUM($L$5:L52),IFERROR(IF(VLOOKUP(B53,Baza[],21,0)=0,"-",VLOOKUP(B53,Baza[],21,0)),""))</f>
        <v/>
      </c>
      <c r="M53" s="12" t="str">
        <f>IF(AND(B53="",B52&gt;0),SUM($M$5:M52),IFERROR(IF(VLOOKUP(B53,Baza[],22,0)=0,"-",VLOOKUP(B53,Baza[],22,0)),""))</f>
        <v/>
      </c>
      <c r="N53" s="12" t="str">
        <f>IF(AND(B53="",B52&gt;0),SUM($N$5:N52),IFERROR(VLOOKUP(B53,Baza[],23,0),""))</f>
        <v/>
      </c>
      <c r="P53" s="13" t="str">
        <f>IFERROR(VLOOKUP(B53,Baza[],14,0),"")</f>
        <v/>
      </c>
      <c r="Q53" s="13" t="str">
        <f>IFERROR(VLOOKUP(B53,Baza[],13,0),"")</f>
        <v/>
      </c>
    </row>
    <row r="54" spans="1:17" ht="9.9499999999999993" customHeight="1" x14ac:dyDescent="0.25">
      <c r="A54" s="4">
        <v>1</v>
      </c>
      <c r="B54" s="48"/>
      <c r="C54" s="97"/>
      <c r="D54" s="111" t="str">
        <f t="shared" si="0"/>
        <v/>
      </c>
      <c r="E54" s="8" t="str">
        <f>IFERROR(VLOOKUP(B54,Baza[],7,0),"")</f>
        <v/>
      </c>
      <c r="F54" s="9" t="str">
        <f>IF(AND(B54="",B53&gt;0),"                           Total:   Games: "&amp;VLOOKUP($C$2,Data!$B$87:$N$9999,4,0)&amp;"     Buy-in: $ "&amp;TEXT(VLOOKUP($C$2,Data!$B$87:$N$9999,5,0),"0,0")&amp;"     ABI: $ "&amp;TEXT(VLOOKUP($C$2,Data!$B$87:$N$9999,6,0),"0,0"),IFERROR( IF(VLOOKUP(B54,Baza[],18,0)&gt;0," ["&amp;VLOOKUP(B54,Baza[],18,0)+1&amp;"] ","   ")      &amp;IFERROR(IF(OR(VLOOKUP(B54,Baza[],9,0)="WN",VLOOKUP(B54,Baza[],9,0)="ES"),"€ ","$ ")&amp;      VLOOKUP(B54,Baza[],8,0),"")         &amp;" ["&amp;VLOOKUP(B54,Baza[],9,0)&amp;"] "&amp;VLOOKUP(B54,Baza[],10,0)&amp;IF(VLOOKUP(B54,Baza[],12,0)="T"," [Turbo]",   IF(VLOOKUP(B54,Baza[],12,0)="H"," [Hyper]",                                 "") )            &amp;  IF(VLOOKUP(B54,Baza[],14,0)="s",   ", "&amp;VLOOKUP(B54,Baza[],15,0)&amp;" Tickets",                                                                                                 IF(OR(VLOOKUP(B54,Baza[],14,0)="XP",VLOOKUP(B54,Baza[],14,0)="XP2"),VLOOKUP(B54,Baza[],15,0),            IF(OR(VLOOKUP(B54,Baza[],9,0)="WN",VLOOKUP(B54,Baza[],9,0)="ES"),", €",", $")&amp;                          IF(VLOOKUP(B54,Baza[],15,0)&lt;1000,VLOOKUP(B54,Baza[],15,0),IF(VLOOKUP(B54,Baza[],15,0)&lt;1000000,IF(VLOOKUP(B54,Baza[],15,0)/1000=INT(VLOOKUP(B54,Baza[],15,0)/1000),TEXT(VLOOKUP(B54,Baza[],15,0),"#0 K"),TEXT(VLOOKUP(B54,Baza[],15,0),"#0,0 K")), IF(VLOOKUP(B54,Baza[],15,0)/1000000=INT(VLOOKUP(B54,Baza[],15,0)/1000000),TEXT(VLOOKUP(B54,Baza[],15,0),"# ###  M"),TEXT(VLOOKUP(B54,Baza[],15,0),"# ###,0  M")))))),""))</f>
        <v/>
      </c>
      <c r="G54" s="10"/>
      <c r="H54" s="10"/>
      <c r="I54" s="10"/>
      <c r="J54" s="10"/>
      <c r="K54" s="11" t="str">
        <f>IFERROR(IF(VLOOKUP(B54,Baza[],14,0)="s","Sat",IF(VLOOKUP(B54,Baza[],14,0)="XP","Phase",                                         IF(VLOOKUP(B54,Baza[],19,0)="-","",VLOOKUP(B54,Baza[],19,0)))),"")</f>
        <v/>
      </c>
      <c r="L54" s="12" t="str">
        <f>IF(AND(B54="",B53&gt;0),SUM($L$5:L53),IFERROR(IF(VLOOKUP(B54,Baza[],21,0)=0,"-",VLOOKUP(B54,Baza[],21,0)),""))</f>
        <v/>
      </c>
      <c r="M54" s="12" t="str">
        <f>IF(AND(B54="",B53&gt;0),SUM($M$5:M53),IFERROR(IF(VLOOKUP(B54,Baza[],22,0)=0,"-",VLOOKUP(B54,Baza[],22,0)),""))</f>
        <v/>
      </c>
      <c r="N54" s="12" t="str">
        <f>IF(AND(B54="",B53&gt;0),SUM($N$5:N53),IFERROR(VLOOKUP(B54,Baza[],23,0),""))</f>
        <v/>
      </c>
      <c r="P54" s="13" t="str">
        <f>IFERROR(VLOOKUP(B54,Baza[],14,0),"")</f>
        <v/>
      </c>
      <c r="Q54" s="13" t="str">
        <f>IFERROR(VLOOKUP(B54,Baza[],13,0),"")</f>
        <v/>
      </c>
    </row>
    <row r="55" spans="1:17" ht="9.9499999999999993" customHeight="1" x14ac:dyDescent="0.25">
      <c r="A55" s="4">
        <v>2</v>
      </c>
      <c r="B55" s="48"/>
      <c r="C55" s="97"/>
      <c r="D55" s="111" t="str">
        <f t="shared" si="0"/>
        <v/>
      </c>
      <c r="E55" s="8" t="str">
        <f>IFERROR(VLOOKUP(B55,Baza[],7,0),"")</f>
        <v/>
      </c>
      <c r="F55" s="9" t="str">
        <f>IF(AND(B55="",B54&gt;0),"                           Total:   Games: "&amp;VLOOKUP($C$2,Data!$B$87:$N$9999,4,0)&amp;"     Buy-in: $ "&amp;TEXT(VLOOKUP($C$2,Data!$B$87:$N$9999,5,0),"0,0")&amp;"     ABI: $ "&amp;TEXT(VLOOKUP($C$2,Data!$B$87:$N$9999,6,0),"0,0"),IFERROR( IF(VLOOKUP(B55,Baza[],18,0)&gt;0," ["&amp;VLOOKUP(B55,Baza[],18,0)+1&amp;"] ","   ")      &amp;IFERROR(IF(OR(VLOOKUP(B55,Baza[],9,0)="WN",VLOOKUP(B55,Baza[],9,0)="ES"),"€ ","$ ")&amp;      VLOOKUP(B55,Baza[],8,0),"")         &amp;" ["&amp;VLOOKUP(B55,Baza[],9,0)&amp;"] "&amp;VLOOKUP(B55,Baza[],10,0)&amp;IF(VLOOKUP(B55,Baza[],12,0)="T"," [Turbo]",   IF(VLOOKUP(B55,Baza[],12,0)="H"," [Hyper]",                                 "") )            &amp;  IF(VLOOKUP(B55,Baza[],14,0)="s",   ", "&amp;VLOOKUP(B55,Baza[],15,0)&amp;" Tickets",                                                                                                 IF(OR(VLOOKUP(B55,Baza[],14,0)="XP",VLOOKUP(B55,Baza[],14,0)="XP2"),VLOOKUP(B55,Baza[],15,0),            IF(OR(VLOOKUP(B55,Baza[],9,0)="WN",VLOOKUP(B55,Baza[],9,0)="ES"),", €",", $")&amp;                          IF(VLOOKUP(B55,Baza[],15,0)&lt;1000,VLOOKUP(B55,Baza[],15,0),IF(VLOOKUP(B55,Baza[],15,0)&lt;1000000,IF(VLOOKUP(B55,Baza[],15,0)/1000=INT(VLOOKUP(B55,Baza[],15,0)/1000),TEXT(VLOOKUP(B55,Baza[],15,0),"#0 K"),TEXT(VLOOKUP(B55,Baza[],15,0),"#0,0 K")), IF(VLOOKUP(B55,Baza[],15,0)/1000000=INT(VLOOKUP(B55,Baza[],15,0)/1000000),TEXT(VLOOKUP(B55,Baza[],15,0),"# ###  M"),TEXT(VLOOKUP(B55,Baza[],15,0),"# ###,0  M")))))),""))</f>
        <v/>
      </c>
      <c r="G55" s="10"/>
      <c r="H55" s="10"/>
      <c r="I55" s="10"/>
      <c r="J55" s="10"/>
      <c r="K55" s="11" t="str">
        <f>IFERROR(IF(VLOOKUP(B55,Baza[],14,0)="s","Sat",IF(VLOOKUP(B55,Baza[],14,0)="XP","Phase",                                         IF(VLOOKUP(B55,Baza[],19,0)="-","",VLOOKUP(B55,Baza[],19,0)))),"")</f>
        <v/>
      </c>
      <c r="L55" s="12" t="str">
        <f>IF(AND(B55="",B54&gt;0),SUM($L$5:L54),IFERROR(IF(VLOOKUP(B55,Baza[],21,0)=0,"-",VLOOKUP(B55,Baza[],21,0)),""))</f>
        <v/>
      </c>
      <c r="M55" s="12" t="str">
        <f>IF(AND(B55="",B54&gt;0),SUM($M$5:M54),IFERROR(IF(VLOOKUP(B55,Baza[],22,0)=0,"-",VLOOKUP(B55,Baza[],22,0)),""))</f>
        <v/>
      </c>
      <c r="N55" s="12" t="str">
        <f>IF(AND(B55="",B54&gt;0),SUM($N$5:N54),IFERROR(VLOOKUP(B55,Baza[],23,0),""))</f>
        <v/>
      </c>
      <c r="P55" s="13" t="str">
        <f>IFERROR(VLOOKUP(B55,Baza[],14,0),"")</f>
        <v/>
      </c>
      <c r="Q55" s="13" t="str">
        <f>IFERROR(VLOOKUP(B55,Baza[],13,0),"")</f>
        <v/>
      </c>
    </row>
    <row r="56" spans="1:17" ht="9.9499999999999993" customHeight="1" x14ac:dyDescent="0.25">
      <c r="A56" s="4">
        <v>1</v>
      </c>
      <c r="B56" s="48"/>
      <c r="C56" s="97"/>
      <c r="D56" s="111" t="str">
        <f t="shared" si="0"/>
        <v/>
      </c>
      <c r="E56" s="8" t="str">
        <f>IFERROR(VLOOKUP(B56,Baza[],7,0),"")</f>
        <v/>
      </c>
      <c r="F56" s="9" t="str">
        <f>IF(AND(B56="",B55&gt;0),"                           Total:   Games: "&amp;VLOOKUP($C$2,Data!$B$87:$N$9999,4,0)&amp;"     Buy-in: $ "&amp;TEXT(VLOOKUP($C$2,Data!$B$87:$N$9999,5,0),"0,0")&amp;"     ABI: $ "&amp;TEXT(VLOOKUP($C$2,Data!$B$87:$N$9999,6,0),"0,0"),IFERROR( IF(VLOOKUP(B56,Baza[],18,0)&gt;0," ["&amp;VLOOKUP(B56,Baza[],18,0)+1&amp;"] ","   ")      &amp;IFERROR(IF(OR(VLOOKUP(B56,Baza[],9,0)="WN",VLOOKUP(B56,Baza[],9,0)="ES"),"€ ","$ ")&amp;      VLOOKUP(B56,Baza[],8,0),"")         &amp;" ["&amp;VLOOKUP(B56,Baza[],9,0)&amp;"] "&amp;VLOOKUP(B56,Baza[],10,0)&amp;IF(VLOOKUP(B56,Baza[],12,0)="T"," [Turbo]",   IF(VLOOKUP(B56,Baza[],12,0)="H"," [Hyper]",                                 "") )            &amp;  IF(VLOOKUP(B56,Baza[],14,0)="s",   ", "&amp;VLOOKUP(B56,Baza[],15,0)&amp;" Tickets",                                                                                                 IF(OR(VLOOKUP(B56,Baza[],14,0)="XP",VLOOKUP(B56,Baza[],14,0)="XP2"),VLOOKUP(B56,Baza[],15,0),            IF(OR(VLOOKUP(B56,Baza[],9,0)="WN",VLOOKUP(B56,Baza[],9,0)="ES"),", €",", $")&amp;                          IF(VLOOKUP(B56,Baza[],15,0)&lt;1000,VLOOKUP(B56,Baza[],15,0),IF(VLOOKUP(B56,Baza[],15,0)&lt;1000000,IF(VLOOKUP(B56,Baza[],15,0)/1000=INT(VLOOKUP(B56,Baza[],15,0)/1000),TEXT(VLOOKUP(B56,Baza[],15,0),"#0 K"),TEXT(VLOOKUP(B56,Baza[],15,0),"#0,0 K")), IF(VLOOKUP(B56,Baza[],15,0)/1000000=INT(VLOOKUP(B56,Baza[],15,0)/1000000),TEXT(VLOOKUP(B56,Baza[],15,0),"# ###  M"),TEXT(VLOOKUP(B56,Baza[],15,0),"# ###,0  M")))))),""))</f>
        <v/>
      </c>
      <c r="G56" s="10"/>
      <c r="H56" s="10"/>
      <c r="I56" s="10"/>
      <c r="J56" s="10"/>
      <c r="K56" s="11" t="str">
        <f>IFERROR(IF(VLOOKUP(B56,Baza[],14,0)="s","Sat",IF(VLOOKUP(B56,Baza[],14,0)="XP","Phase",                                         IF(VLOOKUP(B56,Baza[],19,0)="-","",VLOOKUP(B56,Baza[],19,0)))),"")</f>
        <v/>
      </c>
      <c r="L56" s="12" t="str">
        <f>IF(AND(B56="",B55&gt;0),SUM($L$5:L55),IFERROR(IF(VLOOKUP(B56,Baza[],21,0)=0,"-",VLOOKUP(B56,Baza[],21,0)),""))</f>
        <v/>
      </c>
      <c r="M56" s="12" t="str">
        <f>IF(AND(B56="",B55&gt;0),SUM($M$5:M55),IFERROR(IF(VLOOKUP(B56,Baza[],22,0)=0,"-",VLOOKUP(B56,Baza[],22,0)),""))</f>
        <v/>
      </c>
      <c r="N56" s="12" t="str">
        <f>IF(AND(B56="",B55&gt;0),SUM($N$5:N55),IFERROR(VLOOKUP(B56,Baza[],23,0),""))</f>
        <v/>
      </c>
      <c r="P56" s="13" t="str">
        <f>IFERROR(VLOOKUP(B56,Baza[],14,0),"")</f>
        <v/>
      </c>
      <c r="Q56" s="13" t="str">
        <f>IFERROR(VLOOKUP(B56,Baza[],13,0),"")</f>
        <v/>
      </c>
    </row>
    <row r="57" spans="1:17" ht="9.9499999999999993" customHeight="1" x14ac:dyDescent="0.25">
      <c r="A57" s="4">
        <v>2</v>
      </c>
      <c r="B57" s="48"/>
      <c r="C57" s="97"/>
      <c r="D57" s="111" t="str">
        <f t="shared" si="0"/>
        <v/>
      </c>
      <c r="E57" s="8" t="str">
        <f>IFERROR(VLOOKUP(B57,Baza[],7,0),"")</f>
        <v/>
      </c>
      <c r="F57" s="9" t="str">
        <f>IF(AND(B57="",B56&gt;0),"                           Total:   Games: "&amp;VLOOKUP($C$2,Data!$B$87:$N$9999,4,0)&amp;"     Buy-in: $ "&amp;TEXT(VLOOKUP($C$2,Data!$B$87:$N$9999,5,0),"0,0")&amp;"     ABI: $ "&amp;TEXT(VLOOKUP($C$2,Data!$B$87:$N$9999,6,0),"0,0"),IFERROR( IF(VLOOKUP(B57,Baza[],18,0)&gt;0," ["&amp;VLOOKUP(B57,Baza[],18,0)+1&amp;"] ","   ")      &amp;IFERROR(IF(OR(VLOOKUP(B57,Baza[],9,0)="WN",VLOOKUP(B57,Baza[],9,0)="ES"),"€ ","$ ")&amp;      VLOOKUP(B57,Baza[],8,0),"")         &amp;" ["&amp;VLOOKUP(B57,Baza[],9,0)&amp;"] "&amp;VLOOKUP(B57,Baza[],10,0)&amp;IF(VLOOKUP(B57,Baza[],12,0)="T"," [Turbo]",   IF(VLOOKUP(B57,Baza[],12,0)="H"," [Hyper]",                                 "") )            &amp;  IF(VLOOKUP(B57,Baza[],14,0)="s",   ", "&amp;VLOOKUP(B57,Baza[],15,0)&amp;" Tickets",                                                                                                 IF(OR(VLOOKUP(B57,Baza[],14,0)="XP",VLOOKUP(B57,Baza[],14,0)="XP2"),VLOOKUP(B57,Baza[],15,0),            IF(OR(VLOOKUP(B57,Baza[],9,0)="WN",VLOOKUP(B57,Baza[],9,0)="ES"),", €",", $")&amp;                          IF(VLOOKUP(B57,Baza[],15,0)&lt;1000,VLOOKUP(B57,Baza[],15,0),IF(VLOOKUP(B57,Baza[],15,0)&lt;1000000,IF(VLOOKUP(B57,Baza[],15,0)/1000=INT(VLOOKUP(B57,Baza[],15,0)/1000),TEXT(VLOOKUP(B57,Baza[],15,0),"#0 K"),TEXT(VLOOKUP(B57,Baza[],15,0),"#0,0 K")), IF(VLOOKUP(B57,Baza[],15,0)/1000000=INT(VLOOKUP(B57,Baza[],15,0)/1000000),TEXT(VLOOKUP(B57,Baza[],15,0),"# ###  M"),TEXT(VLOOKUP(B57,Baza[],15,0),"# ###,0  M")))))),""))</f>
        <v/>
      </c>
      <c r="G57" s="10"/>
      <c r="H57" s="10"/>
      <c r="I57" s="10"/>
      <c r="J57" s="10"/>
      <c r="K57" s="11" t="str">
        <f>IFERROR(IF(VLOOKUP(B57,Baza[],14,0)="s","Sat",IF(VLOOKUP(B57,Baza[],14,0)="XP","Phase",                                         IF(VLOOKUP(B57,Baza[],19,0)="-","",VLOOKUP(B57,Baza[],19,0)))),"")</f>
        <v/>
      </c>
      <c r="L57" s="12" t="str">
        <f>IF(AND(B57="",B56&gt;0),SUM($L$5:L56),IFERROR(IF(VLOOKUP(B57,Baza[],21,0)=0,"-",VLOOKUP(B57,Baza[],21,0)),""))</f>
        <v/>
      </c>
      <c r="M57" s="12" t="str">
        <f>IF(AND(B57="",B56&gt;0),SUM($M$5:M56),IFERROR(IF(VLOOKUP(B57,Baza[],22,0)=0,"-",VLOOKUP(B57,Baza[],22,0)),""))</f>
        <v/>
      </c>
      <c r="N57" s="12" t="str">
        <f>IF(AND(B57="",B56&gt;0),SUM($N$5:N56),IFERROR(VLOOKUP(B57,Baza[],23,0),""))</f>
        <v/>
      </c>
      <c r="P57" s="13" t="str">
        <f>IFERROR(VLOOKUP(B57,Baza[],14,0),"")</f>
        <v/>
      </c>
      <c r="Q57" s="13" t="str">
        <f>IFERROR(VLOOKUP(B57,Baza[],13,0),"")</f>
        <v/>
      </c>
    </row>
    <row r="58" spans="1:17" ht="9.9499999999999993" customHeight="1" x14ac:dyDescent="0.25">
      <c r="A58" s="4">
        <v>1</v>
      </c>
      <c r="B58" s="48"/>
      <c r="C58" s="97"/>
      <c r="D58" s="111" t="str">
        <f t="shared" si="0"/>
        <v/>
      </c>
      <c r="E58" s="8" t="str">
        <f>IFERROR(VLOOKUP(B58,Baza[],7,0),"")</f>
        <v/>
      </c>
      <c r="F58" s="9" t="str">
        <f>IF(AND(B58="",B57&gt;0),"                           Total:   Games: "&amp;VLOOKUP($C$2,Data!$B$87:$N$9999,4,0)&amp;"     Buy-in: $ "&amp;TEXT(VLOOKUP($C$2,Data!$B$87:$N$9999,5,0),"0,0")&amp;"     ABI: $ "&amp;TEXT(VLOOKUP($C$2,Data!$B$87:$N$9999,6,0),"0,0"),IFERROR( IF(VLOOKUP(B58,Baza[],18,0)&gt;0," ["&amp;VLOOKUP(B58,Baza[],18,0)+1&amp;"] ","   ")      &amp;IFERROR(IF(OR(VLOOKUP(B58,Baza[],9,0)="WN",VLOOKUP(B58,Baza[],9,0)="ES"),"€ ","$ ")&amp;      VLOOKUP(B58,Baza[],8,0),"")         &amp;" ["&amp;VLOOKUP(B58,Baza[],9,0)&amp;"] "&amp;VLOOKUP(B58,Baza[],10,0)&amp;IF(VLOOKUP(B58,Baza[],12,0)="T"," [Turbo]",   IF(VLOOKUP(B58,Baza[],12,0)="H"," [Hyper]",                                 "") )            &amp;  IF(VLOOKUP(B58,Baza[],14,0)="s",   ", "&amp;VLOOKUP(B58,Baza[],15,0)&amp;" Tickets",                                                                                                 IF(OR(VLOOKUP(B58,Baza[],14,0)="XP",VLOOKUP(B58,Baza[],14,0)="XP2"),VLOOKUP(B58,Baza[],15,0),            IF(OR(VLOOKUP(B58,Baza[],9,0)="WN",VLOOKUP(B58,Baza[],9,0)="ES"),", €",", $")&amp;                          IF(VLOOKUP(B58,Baza[],15,0)&lt;1000,VLOOKUP(B58,Baza[],15,0),IF(VLOOKUP(B58,Baza[],15,0)&lt;1000000,IF(VLOOKUP(B58,Baza[],15,0)/1000=INT(VLOOKUP(B58,Baza[],15,0)/1000),TEXT(VLOOKUP(B58,Baza[],15,0),"#0 K"),TEXT(VLOOKUP(B58,Baza[],15,0),"#0,0 K")), IF(VLOOKUP(B58,Baza[],15,0)/1000000=INT(VLOOKUP(B58,Baza[],15,0)/1000000),TEXT(VLOOKUP(B58,Baza[],15,0),"# ###  M"),TEXT(VLOOKUP(B58,Baza[],15,0),"# ###,0  M")))))),""))</f>
        <v/>
      </c>
      <c r="G58" s="10"/>
      <c r="H58" s="10"/>
      <c r="I58" s="10"/>
      <c r="J58" s="10"/>
      <c r="K58" s="11" t="str">
        <f>IFERROR(IF(VLOOKUP(B58,Baza[],14,0)="s","Sat",IF(VLOOKUP(B58,Baza[],14,0)="XP","Phase",                                         IF(VLOOKUP(B58,Baza[],19,0)="-","",VLOOKUP(B58,Baza[],19,0)))),"")</f>
        <v/>
      </c>
      <c r="L58" s="12" t="str">
        <f>IF(AND(B58="",B57&gt;0),SUM($L$5:L57),IFERROR(IF(VLOOKUP(B58,Baza[],21,0)=0,"-",VLOOKUP(B58,Baza[],21,0)),""))</f>
        <v/>
      </c>
      <c r="M58" s="12" t="str">
        <f>IF(AND(B58="",B57&gt;0),SUM($M$5:M57),IFERROR(IF(VLOOKUP(B58,Baza[],22,0)=0,"-",VLOOKUP(B58,Baza[],22,0)),""))</f>
        <v/>
      </c>
      <c r="N58" s="12" t="str">
        <f>IF(AND(B58="",B57&gt;0),SUM($N$5:N57),IFERROR(VLOOKUP(B58,Baza[],23,0),""))</f>
        <v/>
      </c>
      <c r="P58" s="13" t="str">
        <f>IFERROR(VLOOKUP(B58,Baza[],14,0),"")</f>
        <v/>
      </c>
      <c r="Q58" s="13" t="str">
        <f>IFERROR(VLOOKUP(B58,Baza[],13,0),"")</f>
        <v/>
      </c>
    </row>
    <row r="59" spans="1:17" ht="9.9499999999999993" customHeight="1" x14ac:dyDescent="0.25">
      <c r="A59" s="4">
        <v>2</v>
      </c>
      <c r="B59" s="48"/>
      <c r="C59" s="97"/>
      <c r="D59" s="111" t="str">
        <f t="shared" si="0"/>
        <v/>
      </c>
      <c r="E59" s="8" t="str">
        <f>IFERROR(VLOOKUP(B59,Baza[],7,0),"")</f>
        <v/>
      </c>
      <c r="F59" s="9" t="str">
        <f>IF(AND(B59="",B58&gt;0),"                           Total:   Games: "&amp;VLOOKUP($C$2,Data!$B$87:$N$9999,4,0)&amp;"     Buy-in: $ "&amp;TEXT(VLOOKUP($C$2,Data!$B$87:$N$9999,5,0),"0,0")&amp;"     ABI: $ "&amp;TEXT(VLOOKUP($C$2,Data!$B$87:$N$9999,6,0),"0,0"),IFERROR( IF(VLOOKUP(B59,Baza[],18,0)&gt;0," ["&amp;VLOOKUP(B59,Baza[],18,0)+1&amp;"] ","   ")      &amp;IFERROR(IF(OR(VLOOKUP(B59,Baza[],9,0)="WN",VLOOKUP(B59,Baza[],9,0)="ES"),"€ ","$ ")&amp;      VLOOKUP(B59,Baza[],8,0),"")         &amp;" ["&amp;VLOOKUP(B59,Baza[],9,0)&amp;"] "&amp;VLOOKUP(B59,Baza[],10,0)&amp;IF(VLOOKUP(B59,Baza[],12,0)="T"," [Turbo]",   IF(VLOOKUP(B59,Baza[],12,0)="H"," [Hyper]",                                 "") )            &amp;  IF(VLOOKUP(B59,Baza[],14,0)="s",   ", "&amp;VLOOKUP(B59,Baza[],15,0)&amp;" Tickets",                                                                                                 IF(OR(VLOOKUP(B59,Baza[],14,0)="XP",VLOOKUP(B59,Baza[],14,0)="XP2"),VLOOKUP(B59,Baza[],15,0),            IF(OR(VLOOKUP(B59,Baza[],9,0)="WN",VLOOKUP(B59,Baza[],9,0)="ES"),", €",", $")&amp;                          IF(VLOOKUP(B59,Baza[],15,0)&lt;1000,VLOOKUP(B59,Baza[],15,0),IF(VLOOKUP(B59,Baza[],15,0)&lt;1000000,IF(VLOOKUP(B59,Baza[],15,0)/1000=INT(VLOOKUP(B59,Baza[],15,0)/1000),TEXT(VLOOKUP(B59,Baza[],15,0),"#0 K"),TEXT(VLOOKUP(B59,Baza[],15,0),"#0,0 K")), IF(VLOOKUP(B59,Baza[],15,0)/1000000=INT(VLOOKUP(B59,Baza[],15,0)/1000000),TEXT(VLOOKUP(B59,Baza[],15,0),"# ###  M"),TEXT(VLOOKUP(B59,Baza[],15,0),"# ###,0  M")))))),""))</f>
        <v/>
      </c>
      <c r="G59" s="10"/>
      <c r="H59" s="10"/>
      <c r="I59" s="10"/>
      <c r="J59" s="10"/>
      <c r="K59" s="11" t="str">
        <f>IFERROR(IF(VLOOKUP(B59,Baza[],14,0)="s","Sat",IF(VLOOKUP(B59,Baza[],14,0)="XP","Phase",                                         IF(VLOOKUP(B59,Baza[],19,0)="-","",VLOOKUP(B59,Baza[],19,0)))),"")</f>
        <v/>
      </c>
      <c r="L59" s="12" t="str">
        <f>IF(AND(B59="",B58&gt;0),SUM($L$5:L58),IFERROR(IF(VLOOKUP(B59,Baza[],21,0)=0,"-",VLOOKUP(B59,Baza[],21,0)),""))</f>
        <v/>
      </c>
      <c r="M59" s="12" t="str">
        <f>IF(AND(B59="",B58&gt;0),SUM($M$5:M58),IFERROR(IF(VLOOKUP(B59,Baza[],22,0)=0,"-",VLOOKUP(B59,Baza[],22,0)),""))</f>
        <v/>
      </c>
      <c r="N59" s="12" t="str">
        <f>IF(AND(B59="",B58&gt;0),SUM($N$5:N58),IFERROR(VLOOKUP(B59,Baza[],23,0),""))</f>
        <v/>
      </c>
      <c r="P59" s="13" t="str">
        <f>IFERROR(VLOOKUP(B59,Baza[],14,0),"")</f>
        <v/>
      </c>
      <c r="Q59" s="13" t="str">
        <f>IFERROR(VLOOKUP(B59,Baza[],13,0),"")</f>
        <v/>
      </c>
    </row>
    <row r="60" spans="1:17" ht="9.9499999999999993" customHeight="1" x14ac:dyDescent="0.25">
      <c r="A60" s="4">
        <v>1</v>
      </c>
      <c r="B60" s="48"/>
      <c r="C60" s="97"/>
      <c r="D60" s="111" t="str">
        <f t="shared" si="0"/>
        <v/>
      </c>
      <c r="E60" s="8" t="str">
        <f>IFERROR(VLOOKUP(B60,Baza[],7,0),"")</f>
        <v/>
      </c>
      <c r="F60" s="9" t="str">
        <f>IF(AND(B60="",B59&gt;0),"                           Total:   Games: "&amp;VLOOKUP($C$2,Data!$B$87:$N$9999,4,0)&amp;"     Buy-in: $ "&amp;TEXT(VLOOKUP($C$2,Data!$B$87:$N$9999,5,0),"0,0")&amp;"     ABI: $ "&amp;TEXT(VLOOKUP($C$2,Data!$B$87:$N$9999,6,0),"0,0"),IFERROR( IF(VLOOKUP(B60,Baza[],18,0)&gt;0," ["&amp;VLOOKUP(B60,Baza[],18,0)+1&amp;"] ","   ")      &amp;IFERROR(IF(OR(VLOOKUP(B60,Baza[],9,0)="WN",VLOOKUP(B60,Baza[],9,0)="ES"),"€ ","$ ")&amp;      VLOOKUP(B60,Baza[],8,0),"")         &amp;" ["&amp;VLOOKUP(B60,Baza[],9,0)&amp;"] "&amp;VLOOKUP(B60,Baza[],10,0)&amp;IF(VLOOKUP(B60,Baza[],12,0)="T"," [Turbo]",   IF(VLOOKUP(B60,Baza[],12,0)="H"," [Hyper]",                                 "") )            &amp;  IF(VLOOKUP(B60,Baza[],14,0)="s",   ", "&amp;VLOOKUP(B60,Baza[],15,0)&amp;" Tickets",                                                                                                 IF(OR(VLOOKUP(B60,Baza[],14,0)="XP",VLOOKUP(B60,Baza[],14,0)="XP2"),VLOOKUP(B60,Baza[],15,0),            IF(OR(VLOOKUP(B60,Baza[],9,0)="WN",VLOOKUP(B60,Baza[],9,0)="ES"),", €",", $")&amp;                          IF(VLOOKUP(B60,Baza[],15,0)&lt;1000,VLOOKUP(B60,Baza[],15,0),IF(VLOOKUP(B60,Baza[],15,0)&lt;1000000,IF(VLOOKUP(B60,Baza[],15,0)/1000=INT(VLOOKUP(B60,Baza[],15,0)/1000),TEXT(VLOOKUP(B60,Baza[],15,0),"#0 K"),TEXT(VLOOKUP(B60,Baza[],15,0),"#0,0 K")), IF(VLOOKUP(B60,Baza[],15,0)/1000000=INT(VLOOKUP(B60,Baza[],15,0)/1000000),TEXT(VLOOKUP(B60,Baza[],15,0),"# ###  M"),TEXT(VLOOKUP(B60,Baza[],15,0),"# ###,0  M")))))),""))</f>
        <v/>
      </c>
      <c r="G60" s="10"/>
      <c r="H60" s="10"/>
      <c r="I60" s="10"/>
      <c r="J60" s="10"/>
      <c r="K60" s="11" t="str">
        <f>IFERROR(IF(VLOOKUP(B60,Baza[],14,0)="s","Sat",IF(VLOOKUP(B60,Baza[],14,0)="XP","Phase",                                         IF(VLOOKUP(B60,Baza[],19,0)="-","",VLOOKUP(B60,Baza[],19,0)))),"")</f>
        <v/>
      </c>
      <c r="L60" s="12" t="str">
        <f>IF(AND(B60="",B59&gt;0),SUM($L$5:L59),IFERROR(IF(VLOOKUP(B60,Baza[],21,0)=0,"-",VLOOKUP(B60,Baza[],21,0)),""))</f>
        <v/>
      </c>
      <c r="M60" s="12" t="str">
        <f>IF(AND(B60="",B59&gt;0),SUM($M$5:M59),IFERROR(IF(VLOOKUP(B60,Baza[],22,0)=0,"-",VLOOKUP(B60,Baza[],22,0)),""))</f>
        <v/>
      </c>
      <c r="N60" s="12" t="str">
        <f>IF(AND(B60="",B59&gt;0),SUM($N$5:N59),IFERROR(VLOOKUP(B60,Baza[],23,0),""))</f>
        <v/>
      </c>
      <c r="P60" s="13" t="str">
        <f>IFERROR(VLOOKUP(B60,Baza[],14,0),"")</f>
        <v/>
      </c>
      <c r="Q60" s="13" t="str">
        <f>IFERROR(VLOOKUP(B60,Baza[],13,0),"")</f>
        <v/>
      </c>
    </row>
    <row r="61" spans="1:17" ht="9.9499999999999993" customHeight="1" x14ac:dyDescent="0.25">
      <c r="A61" s="4">
        <v>2</v>
      </c>
      <c r="B61" s="48"/>
      <c r="C61" s="97"/>
      <c r="D61" s="111" t="str">
        <f t="shared" si="0"/>
        <v/>
      </c>
      <c r="E61" s="8" t="str">
        <f>IFERROR(VLOOKUP(B61,Baza[],7,0),"")</f>
        <v/>
      </c>
      <c r="F61" s="9" t="str">
        <f>IF(AND(B61="",B60&gt;0),"                           Total:   Games: "&amp;VLOOKUP($C$2,Data!$B$87:$N$9999,4,0)&amp;"     Buy-in: $ "&amp;TEXT(VLOOKUP($C$2,Data!$B$87:$N$9999,5,0),"0,0")&amp;"     ABI: $ "&amp;TEXT(VLOOKUP($C$2,Data!$B$87:$N$9999,6,0),"0,0"),IFERROR( IF(VLOOKUP(B61,Baza[],18,0)&gt;0," ["&amp;VLOOKUP(B61,Baza[],18,0)+1&amp;"] ","   ")      &amp;IFERROR(IF(OR(VLOOKUP(B61,Baza[],9,0)="WN",VLOOKUP(B61,Baza[],9,0)="ES"),"€ ","$ ")&amp;      VLOOKUP(B61,Baza[],8,0),"")         &amp;" ["&amp;VLOOKUP(B61,Baza[],9,0)&amp;"] "&amp;VLOOKUP(B61,Baza[],10,0)&amp;IF(VLOOKUP(B61,Baza[],12,0)="T"," [Turbo]",   IF(VLOOKUP(B61,Baza[],12,0)="H"," [Hyper]",                                 "") )            &amp;  IF(VLOOKUP(B61,Baza[],14,0)="s",   ", "&amp;VLOOKUP(B61,Baza[],15,0)&amp;" Tickets",                                                                                                 IF(OR(VLOOKUP(B61,Baza[],14,0)="XP",VLOOKUP(B61,Baza[],14,0)="XP2"),VLOOKUP(B61,Baza[],15,0),            IF(OR(VLOOKUP(B61,Baza[],9,0)="WN",VLOOKUP(B61,Baza[],9,0)="ES"),", €",", $")&amp;                          IF(VLOOKUP(B61,Baza[],15,0)&lt;1000,VLOOKUP(B61,Baza[],15,0),IF(VLOOKUP(B61,Baza[],15,0)&lt;1000000,IF(VLOOKUP(B61,Baza[],15,0)/1000=INT(VLOOKUP(B61,Baza[],15,0)/1000),TEXT(VLOOKUP(B61,Baza[],15,0),"#0 K"),TEXT(VLOOKUP(B61,Baza[],15,0),"#0,0 K")), IF(VLOOKUP(B61,Baza[],15,0)/1000000=INT(VLOOKUP(B61,Baza[],15,0)/1000000),TEXT(VLOOKUP(B61,Baza[],15,0),"# ###  M"),TEXT(VLOOKUP(B61,Baza[],15,0),"# ###,0  M")))))),""))</f>
        <v/>
      </c>
      <c r="G61" s="10"/>
      <c r="H61" s="10"/>
      <c r="I61" s="10"/>
      <c r="J61" s="10"/>
      <c r="K61" s="11" t="str">
        <f>IFERROR(IF(VLOOKUP(B61,Baza[],14,0)="s","Sat",IF(VLOOKUP(B61,Baza[],14,0)="XP","Phase",                                         IF(VLOOKUP(B61,Baza[],19,0)="-","",VLOOKUP(B61,Baza[],19,0)))),"")</f>
        <v/>
      </c>
      <c r="L61" s="12" t="str">
        <f>IF(AND(B61="",B60&gt;0),SUM($L$5:L60),IFERROR(IF(VLOOKUP(B61,Baza[],21,0)=0,"-",VLOOKUP(B61,Baza[],21,0)),""))</f>
        <v/>
      </c>
      <c r="M61" s="12" t="str">
        <f>IF(AND(B61="",B60&gt;0),SUM($M$5:M60),IFERROR(IF(VLOOKUP(B61,Baza[],22,0)=0,"-",VLOOKUP(B61,Baza[],22,0)),""))</f>
        <v/>
      </c>
      <c r="N61" s="12" t="str">
        <f>IF(AND(B61="",B60&gt;0),SUM($N$5:N60),IFERROR(VLOOKUP(B61,Baza[],23,0),""))</f>
        <v/>
      </c>
      <c r="P61" s="13" t="str">
        <f>IFERROR(VLOOKUP(B61,Baza[],14,0),"")</f>
        <v/>
      </c>
      <c r="Q61" s="13" t="str">
        <f>IFERROR(VLOOKUP(B61,Baza[],13,0),"")</f>
        <v/>
      </c>
    </row>
    <row r="62" spans="1:17" ht="9.9499999999999993" customHeight="1" x14ac:dyDescent="0.25">
      <c r="A62" s="4">
        <v>1</v>
      </c>
      <c r="B62" s="48"/>
      <c r="C62" s="97"/>
      <c r="D62" s="111" t="str">
        <f t="shared" si="0"/>
        <v/>
      </c>
      <c r="E62" s="8" t="str">
        <f>IFERROR(VLOOKUP(B62,Baza[],7,0),"")</f>
        <v/>
      </c>
      <c r="F62" s="9" t="str">
        <f>IF(AND(B62="",B61&gt;0),"                           Total:   Games: "&amp;VLOOKUP($C$2,Data!$B$87:$N$9999,4,0)&amp;"     Buy-in: $ "&amp;TEXT(VLOOKUP($C$2,Data!$B$87:$N$9999,5,0),"0,0")&amp;"     ABI: $ "&amp;TEXT(VLOOKUP($C$2,Data!$B$87:$N$9999,6,0),"0,0"),IFERROR( IF(VLOOKUP(B62,Baza[],18,0)&gt;0," ["&amp;VLOOKUP(B62,Baza[],18,0)+1&amp;"] ","   ")      &amp;IFERROR(IF(OR(VLOOKUP(B62,Baza[],9,0)="WN",VLOOKUP(B62,Baza[],9,0)="ES"),"€ ","$ ")&amp;      VLOOKUP(B62,Baza[],8,0),"")         &amp;" ["&amp;VLOOKUP(B62,Baza[],9,0)&amp;"] "&amp;VLOOKUP(B62,Baza[],10,0)&amp;IF(VLOOKUP(B62,Baza[],12,0)="T"," [Turbo]",   IF(VLOOKUP(B62,Baza[],12,0)="H"," [Hyper]",                                 "") )            &amp;  IF(VLOOKUP(B62,Baza[],14,0)="s",   ", "&amp;VLOOKUP(B62,Baza[],15,0)&amp;" Tickets",                                                                                                 IF(OR(VLOOKUP(B62,Baza[],14,0)="XP",VLOOKUP(B62,Baza[],14,0)="XP2"),VLOOKUP(B62,Baza[],15,0),            IF(OR(VLOOKUP(B62,Baza[],9,0)="WN",VLOOKUP(B62,Baza[],9,0)="ES"),", €",", $")&amp;                          IF(VLOOKUP(B62,Baza[],15,0)&lt;1000,VLOOKUP(B62,Baza[],15,0),IF(VLOOKUP(B62,Baza[],15,0)&lt;1000000,IF(VLOOKUP(B62,Baza[],15,0)/1000=INT(VLOOKUP(B62,Baza[],15,0)/1000),TEXT(VLOOKUP(B62,Baza[],15,0),"#0 K"),TEXT(VLOOKUP(B62,Baza[],15,0),"#0,0 K")), IF(VLOOKUP(B62,Baza[],15,0)/1000000=INT(VLOOKUP(B62,Baza[],15,0)/1000000),TEXT(VLOOKUP(B62,Baza[],15,0),"# ###  M"),TEXT(VLOOKUP(B62,Baza[],15,0),"# ###,0  M")))))),""))</f>
        <v/>
      </c>
      <c r="G62" s="10"/>
      <c r="H62" s="10"/>
      <c r="I62" s="10"/>
      <c r="J62" s="10"/>
      <c r="K62" s="11" t="str">
        <f>IFERROR(IF(VLOOKUP(B62,Baza[],14,0)="s","Sat",IF(VLOOKUP(B62,Baza[],14,0)="XP","Phase",                                         IF(VLOOKUP(B62,Baza[],19,0)="-","",VLOOKUP(B62,Baza[],19,0)))),"")</f>
        <v/>
      </c>
      <c r="L62" s="12" t="str">
        <f>IF(AND(B62="",B61&gt;0),SUM($L$5:L61),IFERROR(IF(VLOOKUP(B62,Baza[],21,0)=0,"-",VLOOKUP(B62,Baza[],21,0)),""))</f>
        <v/>
      </c>
      <c r="M62" s="12" t="str">
        <f>IF(AND(B62="",B61&gt;0),SUM($M$5:M61),IFERROR(IF(VLOOKUP(B62,Baza[],22,0)=0,"-",VLOOKUP(B62,Baza[],22,0)),""))</f>
        <v/>
      </c>
      <c r="N62" s="12" t="str">
        <f>IF(AND(B62="",B61&gt;0),SUM($N$5:N61),IFERROR(VLOOKUP(B62,Baza[],23,0),""))</f>
        <v/>
      </c>
      <c r="P62" s="13" t="str">
        <f>IFERROR(VLOOKUP(B62,Baza[],14,0),"")</f>
        <v/>
      </c>
      <c r="Q62" s="13" t="str">
        <f>IFERROR(VLOOKUP(B62,Baza[],13,0),"")</f>
        <v/>
      </c>
    </row>
    <row r="63" spans="1:17" ht="9.9499999999999993" customHeight="1" x14ac:dyDescent="0.25">
      <c r="A63" s="4">
        <v>2</v>
      </c>
      <c r="B63" s="48"/>
      <c r="C63" s="97"/>
      <c r="D63" s="111" t="str">
        <f t="shared" si="0"/>
        <v/>
      </c>
      <c r="E63" s="8" t="str">
        <f>IFERROR(VLOOKUP(B63,Baza[],7,0),"")</f>
        <v/>
      </c>
      <c r="F63" s="9" t="str">
        <f>IF(AND(B63="",B62&gt;0),"                           Total:   Games: "&amp;VLOOKUP($C$2,Data!$B$87:$N$9999,4,0)&amp;"     Buy-in: $ "&amp;TEXT(VLOOKUP($C$2,Data!$B$87:$N$9999,5,0),"0,0")&amp;"     ABI: $ "&amp;TEXT(VLOOKUP($C$2,Data!$B$87:$N$9999,6,0),"0,0"),IFERROR( IF(VLOOKUP(B63,Baza[],18,0)&gt;0," ["&amp;VLOOKUP(B63,Baza[],18,0)+1&amp;"] ","   ")      &amp;IFERROR(IF(OR(VLOOKUP(B63,Baza[],9,0)="WN",VLOOKUP(B63,Baza[],9,0)="ES"),"€ ","$ ")&amp;      VLOOKUP(B63,Baza[],8,0),"")         &amp;" ["&amp;VLOOKUP(B63,Baza[],9,0)&amp;"] "&amp;VLOOKUP(B63,Baza[],10,0)&amp;IF(VLOOKUP(B63,Baza[],12,0)="T"," [Turbo]",   IF(VLOOKUP(B63,Baza[],12,0)="H"," [Hyper]",                                 "") )            &amp;  IF(VLOOKUP(B63,Baza[],14,0)="s",   ", "&amp;VLOOKUP(B63,Baza[],15,0)&amp;" Tickets",                                                                                                 IF(OR(VLOOKUP(B63,Baza[],14,0)="XP",VLOOKUP(B63,Baza[],14,0)="XP2"),VLOOKUP(B63,Baza[],15,0),            IF(OR(VLOOKUP(B63,Baza[],9,0)="WN",VLOOKUP(B63,Baza[],9,0)="ES"),", €",", $")&amp;                          IF(VLOOKUP(B63,Baza[],15,0)&lt;1000,VLOOKUP(B63,Baza[],15,0),IF(VLOOKUP(B63,Baza[],15,0)&lt;1000000,IF(VLOOKUP(B63,Baza[],15,0)/1000=INT(VLOOKUP(B63,Baza[],15,0)/1000),TEXT(VLOOKUP(B63,Baza[],15,0),"#0 K"),TEXT(VLOOKUP(B63,Baza[],15,0),"#0,0 K")), IF(VLOOKUP(B63,Baza[],15,0)/1000000=INT(VLOOKUP(B63,Baza[],15,0)/1000000),TEXT(VLOOKUP(B63,Baza[],15,0),"# ###  M"),TEXT(VLOOKUP(B63,Baza[],15,0),"# ###,0  M")))))),""))</f>
        <v/>
      </c>
      <c r="G63" s="10"/>
      <c r="H63" s="10"/>
      <c r="I63" s="10"/>
      <c r="J63" s="10"/>
      <c r="K63" s="11" t="str">
        <f>IFERROR(IF(VLOOKUP(B63,Baza[],14,0)="s","Sat",IF(VLOOKUP(B63,Baza[],14,0)="XP","Phase",                                         IF(VLOOKUP(B63,Baza[],19,0)="-","",VLOOKUP(B63,Baza[],19,0)))),"")</f>
        <v/>
      </c>
      <c r="L63" s="12" t="str">
        <f>IF(AND(B63="",B62&gt;0),SUM($L$5:L62),IFERROR(IF(VLOOKUP(B63,Baza[],21,0)=0,"-",VLOOKUP(B63,Baza[],21,0)),""))</f>
        <v/>
      </c>
      <c r="M63" s="12" t="str">
        <f>IF(AND(B63="",B62&gt;0),SUM($M$5:M62),IFERROR(IF(VLOOKUP(B63,Baza[],22,0)=0,"-",VLOOKUP(B63,Baza[],22,0)),""))</f>
        <v/>
      </c>
      <c r="N63" s="12" t="str">
        <f>IF(AND(B63="",B62&gt;0),SUM($N$5:N62),IFERROR(VLOOKUP(B63,Baza[],23,0),""))</f>
        <v/>
      </c>
      <c r="P63" s="13" t="str">
        <f>IFERROR(VLOOKUP(B63,Baza[],14,0),"")</f>
        <v/>
      </c>
      <c r="Q63" s="13" t="str">
        <f>IFERROR(VLOOKUP(B63,Baza[],13,0),"")</f>
        <v/>
      </c>
    </row>
    <row r="64" spans="1:17" ht="9.9499999999999993" customHeight="1" x14ac:dyDescent="0.25">
      <c r="A64" s="4">
        <v>1</v>
      </c>
      <c r="B64" s="48"/>
      <c r="C64" s="97"/>
      <c r="D64" s="111" t="str">
        <f t="shared" si="0"/>
        <v/>
      </c>
      <c r="E64" s="8" t="str">
        <f>IFERROR(VLOOKUP(B64,Baza[],7,0),"")</f>
        <v/>
      </c>
      <c r="F64" s="9" t="str">
        <f>IF(AND(B64="",B63&gt;0),"                           Total:   Games: "&amp;VLOOKUP($C$2,Data!$B$87:$N$9999,4,0)&amp;"     Buy-in: $ "&amp;TEXT(VLOOKUP($C$2,Data!$B$87:$N$9999,5,0),"0,0")&amp;"     ABI: $ "&amp;TEXT(VLOOKUP($C$2,Data!$B$87:$N$9999,6,0),"0,0"),IFERROR( IF(VLOOKUP(B64,Baza[],18,0)&gt;0," ["&amp;VLOOKUP(B64,Baza[],18,0)+1&amp;"] ","   ")      &amp;IFERROR(IF(OR(VLOOKUP(B64,Baza[],9,0)="WN",VLOOKUP(B64,Baza[],9,0)="ES"),"€ ","$ ")&amp;      VLOOKUP(B64,Baza[],8,0),"")         &amp;" ["&amp;VLOOKUP(B64,Baza[],9,0)&amp;"] "&amp;VLOOKUP(B64,Baza[],10,0)&amp;IF(VLOOKUP(B64,Baza[],12,0)="T"," [Turbo]",   IF(VLOOKUP(B64,Baza[],12,0)="H"," [Hyper]",                                 "") )            &amp;  IF(VLOOKUP(B64,Baza[],14,0)="s",   ", "&amp;VLOOKUP(B64,Baza[],15,0)&amp;" Tickets",                                                                                                 IF(OR(VLOOKUP(B64,Baza[],14,0)="XP",VLOOKUP(B64,Baza[],14,0)="XP2"),VLOOKUP(B64,Baza[],15,0),            IF(OR(VLOOKUP(B64,Baza[],9,0)="WN",VLOOKUP(B64,Baza[],9,0)="ES"),", €",", $")&amp;                          IF(VLOOKUP(B64,Baza[],15,0)&lt;1000,VLOOKUP(B64,Baza[],15,0),IF(VLOOKUP(B64,Baza[],15,0)&lt;1000000,IF(VLOOKUP(B64,Baza[],15,0)/1000=INT(VLOOKUP(B64,Baza[],15,0)/1000),TEXT(VLOOKUP(B64,Baza[],15,0),"#0 K"),TEXT(VLOOKUP(B64,Baza[],15,0),"#0,0 K")), IF(VLOOKUP(B64,Baza[],15,0)/1000000=INT(VLOOKUP(B64,Baza[],15,0)/1000000),TEXT(VLOOKUP(B64,Baza[],15,0),"# ###  M"),TEXT(VLOOKUP(B64,Baza[],15,0),"# ###,0  M")))))),""))</f>
        <v/>
      </c>
      <c r="G64" s="10"/>
      <c r="H64" s="10"/>
      <c r="I64" s="10"/>
      <c r="J64" s="10"/>
      <c r="K64" s="11" t="str">
        <f>IFERROR(IF(VLOOKUP(B64,Baza[],14,0)="s","Sat",IF(VLOOKUP(B64,Baza[],14,0)="XP","Phase",                                         IF(VLOOKUP(B64,Baza[],19,0)="-","",VLOOKUP(B64,Baza[],19,0)))),"")</f>
        <v/>
      </c>
      <c r="L64" s="12" t="str">
        <f>IF(AND(B64="",B63&gt;0),SUM($L$5:L63),IFERROR(IF(VLOOKUP(B64,Baza[],21,0)=0,"-",VLOOKUP(B64,Baza[],21,0)),""))</f>
        <v/>
      </c>
      <c r="M64" s="12" t="str">
        <f>IF(AND(B64="",B63&gt;0),SUM($M$5:M63),IFERROR(IF(VLOOKUP(B64,Baza[],22,0)=0,"-",VLOOKUP(B64,Baza[],22,0)),""))</f>
        <v/>
      </c>
      <c r="N64" s="12" t="str">
        <f>IF(AND(B64="",B63&gt;0),SUM($N$5:N63),IFERROR(VLOOKUP(B64,Baza[],23,0),""))</f>
        <v/>
      </c>
      <c r="P64" s="13" t="str">
        <f>IFERROR(VLOOKUP(B64,Baza[],14,0),"")</f>
        <v/>
      </c>
      <c r="Q64" s="13" t="str">
        <f>IFERROR(VLOOKUP(B64,Baza[],13,0),"")</f>
        <v/>
      </c>
    </row>
    <row r="65" spans="1:17" ht="9.9499999999999993" customHeight="1" x14ac:dyDescent="0.25">
      <c r="A65" s="4">
        <v>2</v>
      </c>
      <c r="B65" s="48"/>
      <c r="C65" s="97"/>
      <c r="D65" s="111" t="str">
        <f t="shared" si="0"/>
        <v/>
      </c>
      <c r="E65" s="8" t="str">
        <f>IFERROR(VLOOKUP(B65,Baza[],7,0),"")</f>
        <v/>
      </c>
      <c r="F65" s="9" t="str">
        <f>IF(AND(B65="",B64&gt;0),"                           Total:   Games: "&amp;VLOOKUP($C$2,Data!$B$87:$N$9999,4,0)&amp;"     Buy-in: $ "&amp;TEXT(VLOOKUP($C$2,Data!$B$87:$N$9999,5,0),"0,0")&amp;"     ABI: $ "&amp;TEXT(VLOOKUP($C$2,Data!$B$87:$N$9999,6,0),"0,0"),IFERROR( IF(VLOOKUP(B65,Baza[],18,0)&gt;0," ["&amp;VLOOKUP(B65,Baza[],18,0)+1&amp;"] ","   ")      &amp;IFERROR(IF(OR(VLOOKUP(B65,Baza[],9,0)="WN",VLOOKUP(B65,Baza[],9,0)="ES"),"€ ","$ ")&amp;      VLOOKUP(B65,Baza[],8,0),"")         &amp;" ["&amp;VLOOKUP(B65,Baza[],9,0)&amp;"] "&amp;VLOOKUP(B65,Baza[],10,0)&amp;IF(VLOOKUP(B65,Baza[],12,0)="T"," [Turbo]",   IF(VLOOKUP(B65,Baza[],12,0)="H"," [Hyper]",                                 "") )            &amp;  IF(VLOOKUP(B65,Baza[],14,0)="s",   ", "&amp;VLOOKUP(B65,Baza[],15,0)&amp;" Tickets",                                                                                                 IF(OR(VLOOKUP(B65,Baza[],14,0)="XP",VLOOKUP(B65,Baza[],14,0)="XP2"),VLOOKUP(B65,Baza[],15,0),            IF(OR(VLOOKUP(B65,Baza[],9,0)="WN",VLOOKUP(B65,Baza[],9,0)="ES"),", €",", $")&amp;                          IF(VLOOKUP(B65,Baza[],15,0)&lt;1000,VLOOKUP(B65,Baza[],15,0),IF(VLOOKUP(B65,Baza[],15,0)&lt;1000000,IF(VLOOKUP(B65,Baza[],15,0)/1000=INT(VLOOKUP(B65,Baza[],15,0)/1000),TEXT(VLOOKUP(B65,Baza[],15,0),"#0 K"),TEXT(VLOOKUP(B65,Baza[],15,0),"#0,0 K")), IF(VLOOKUP(B65,Baza[],15,0)/1000000=INT(VLOOKUP(B65,Baza[],15,0)/1000000),TEXT(VLOOKUP(B65,Baza[],15,0),"# ###  M"),TEXT(VLOOKUP(B65,Baza[],15,0),"# ###,0  M")))))),""))</f>
        <v/>
      </c>
      <c r="G65" s="10"/>
      <c r="H65" s="10"/>
      <c r="I65" s="10"/>
      <c r="J65" s="10"/>
      <c r="K65" s="11" t="str">
        <f>IFERROR(IF(VLOOKUP(B65,Baza[],14,0)="s","Sat",IF(VLOOKUP(B65,Baza[],14,0)="XP","Phase",                                         IF(VLOOKUP(B65,Baza[],19,0)="-","",VLOOKUP(B65,Baza[],19,0)))),"")</f>
        <v/>
      </c>
      <c r="L65" s="12" t="str">
        <f>IF(AND(B65="",B64&gt;0),SUM($L$5:L64),IFERROR(IF(VLOOKUP(B65,Baza[],21,0)=0,"-",VLOOKUP(B65,Baza[],21,0)),""))</f>
        <v/>
      </c>
      <c r="M65" s="12" t="str">
        <f>IF(AND(B65="",B64&gt;0),SUM($M$5:M64),IFERROR(IF(VLOOKUP(B65,Baza[],22,0)=0,"-",VLOOKUP(B65,Baza[],22,0)),""))</f>
        <v/>
      </c>
      <c r="N65" s="12" t="str">
        <f>IF(AND(B65="",B64&gt;0),SUM($N$5:N64),IFERROR(VLOOKUP(B65,Baza[],23,0),""))</f>
        <v/>
      </c>
      <c r="P65" s="13" t="str">
        <f>IFERROR(VLOOKUP(B65,Baza[],14,0),"")</f>
        <v/>
      </c>
      <c r="Q65" s="13" t="str">
        <f>IFERROR(VLOOKUP(B65,Baza[],13,0),"")</f>
        <v/>
      </c>
    </row>
    <row r="66" spans="1:17" ht="9.9499999999999993" customHeight="1" x14ac:dyDescent="0.25">
      <c r="A66" s="4">
        <v>1</v>
      </c>
      <c r="B66" s="48"/>
      <c r="C66" s="97"/>
      <c r="D66" s="111" t="str">
        <f t="shared" si="0"/>
        <v/>
      </c>
      <c r="E66" s="8" t="str">
        <f>IFERROR(VLOOKUP(B66,Baza[],7,0),"")</f>
        <v/>
      </c>
      <c r="F66" s="9" t="str">
        <f>IF(AND(B66="",B65&gt;0),"                           Total:   Games: "&amp;VLOOKUP($C$2,Data!$B$87:$N$9999,4,0)&amp;"     Buy-in: $ "&amp;TEXT(VLOOKUP($C$2,Data!$B$87:$N$9999,5,0),"0,0")&amp;"     ABI: $ "&amp;TEXT(VLOOKUP($C$2,Data!$B$87:$N$9999,6,0),"0,0"),IFERROR( IF(VLOOKUP(B66,Baza[],18,0)&gt;0," ["&amp;VLOOKUP(B66,Baza[],18,0)+1&amp;"] ","   ")      &amp;IFERROR(IF(OR(VLOOKUP(B66,Baza[],9,0)="WN",VLOOKUP(B66,Baza[],9,0)="ES"),"€ ","$ ")&amp;      VLOOKUP(B66,Baza[],8,0),"")         &amp;" ["&amp;VLOOKUP(B66,Baza[],9,0)&amp;"] "&amp;VLOOKUP(B66,Baza[],10,0)&amp;IF(VLOOKUP(B66,Baza[],12,0)="T"," [Turbo]",   IF(VLOOKUP(B66,Baza[],12,0)="H"," [Hyper]",                                 "") )            &amp;  IF(VLOOKUP(B66,Baza[],14,0)="s",   ", "&amp;VLOOKUP(B66,Baza[],15,0)&amp;" Tickets",                                                                                                 IF(OR(VLOOKUP(B66,Baza[],14,0)="XP",VLOOKUP(B66,Baza[],14,0)="XP2"),VLOOKUP(B66,Baza[],15,0),            IF(OR(VLOOKUP(B66,Baza[],9,0)="WN",VLOOKUP(B66,Baza[],9,0)="ES"),", €",", $")&amp;                          IF(VLOOKUP(B66,Baza[],15,0)&lt;1000,VLOOKUP(B66,Baza[],15,0),IF(VLOOKUP(B66,Baza[],15,0)&lt;1000000,IF(VLOOKUP(B66,Baza[],15,0)/1000=INT(VLOOKUP(B66,Baza[],15,0)/1000),TEXT(VLOOKUP(B66,Baza[],15,0),"#0 K"),TEXT(VLOOKUP(B66,Baza[],15,0),"#0,0 K")), IF(VLOOKUP(B66,Baza[],15,0)/1000000=INT(VLOOKUP(B66,Baza[],15,0)/1000000),TEXT(VLOOKUP(B66,Baza[],15,0),"# ###  M"),TEXT(VLOOKUP(B66,Baza[],15,0),"# ###,0  M")))))),""))</f>
        <v/>
      </c>
      <c r="G66" s="10"/>
      <c r="H66" s="10"/>
      <c r="I66" s="10"/>
      <c r="J66" s="10"/>
      <c r="K66" s="11" t="str">
        <f>IFERROR(IF(VLOOKUP(B66,Baza[],14,0)="s","Sat",IF(VLOOKUP(B66,Baza[],14,0)="XP","Phase",                                         IF(VLOOKUP(B66,Baza[],19,0)="-","",VLOOKUP(B66,Baza[],19,0)))),"")</f>
        <v/>
      </c>
      <c r="L66" s="12" t="str">
        <f>IF(AND(B66="",B65&gt;0),SUM($L$5:L65),IFERROR(IF(VLOOKUP(B66,Baza[],21,0)=0,"-",VLOOKUP(B66,Baza[],21,0)),""))</f>
        <v/>
      </c>
      <c r="M66" s="12" t="str">
        <f>IF(AND(B66="",B65&gt;0),SUM($M$5:M65),IFERROR(IF(VLOOKUP(B66,Baza[],22,0)=0,"-",VLOOKUP(B66,Baza[],22,0)),""))</f>
        <v/>
      </c>
      <c r="N66" s="12" t="str">
        <f>IF(AND(B66="",B65&gt;0),SUM($N$5:N65),IFERROR(VLOOKUP(B66,Baza[],23,0),""))</f>
        <v/>
      </c>
      <c r="P66" s="13" t="str">
        <f>IFERROR(VLOOKUP(B66,Baza[],14,0),"")</f>
        <v/>
      </c>
      <c r="Q66" s="13" t="str">
        <f>IFERROR(VLOOKUP(B66,Baza[],13,0),"")</f>
        <v/>
      </c>
    </row>
    <row r="67" spans="1:17" ht="9.9499999999999993" customHeight="1" x14ac:dyDescent="0.25">
      <c r="A67" s="4">
        <v>2</v>
      </c>
      <c r="B67" s="48"/>
      <c r="C67" s="97"/>
      <c r="D67" s="111" t="str">
        <f t="shared" si="0"/>
        <v/>
      </c>
      <c r="E67" s="8" t="str">
        <f>IFERROR(VLOOKUP(B67,Baza[],7,0),"")</f>
        <v/>
      </c>
      <c r="F67" s="9" t="str">
        <f>IF(AND(B67="",B66&gt;0),"                           Total:   Games: "&amp;VLOOKUP($C$2,Data!$B$87:$N$9999,4,0)&amp;"     Buy-in: $ "&amp;TEXT(VLOOKUP($C$2,Data!$B$87:$N$9999,5,0),"0,0")&amp;"     ABI: $ "&amp;TEXT(VLOOKUP($C$2,Data!$B$87:$N$9999,6,0),"0,0"),IFERROR( IF(VLOOKUP(B67,Baza[],18,0)&gt;0," ["&amp;VLOOKUP(B67,Baza[],18,0)+1&amp;"] ","   ")      &amp;IFERROR(IF(OR(VLOOKUP(B67,Baza[],9,0)="WN",VLOOKUP(B67,Baza[],9,0)="ES"),"€ ","$ ")&amp;      VLOOKUP(B67,Baza[],8,0),"")         &amp;" ["&amp;VLOOKUP(B67,Baza[],9,0)&amp;"] "&amp;VLOOKUP(B67,Baza[],10,0)&amp;IF(VLOOKUP(B67,Baza[],12,0)="T"," [Turbo]",   IF(VLOOKUP(B67,Baza[],12,0)="H"," [Hyper]",                                 "") )            &amp;  IF(VLOOKUP(B67,Baza[],14,0)="s",   ", "&amp;VLOOKUP(B67,Baza[],15,0)&amp;" Tickets",                                                                                                 IF(OR(VLOOKUP(B67,Baza[],14,0)="XP",VLOOKUP(B67,Baza[],14,0)="XP2"),VLOOKUP(B67,Baza[],15,0),            IF(OR(VLOOKUP(B67,Baza[],9,0)="WN",VLOOKUP(B67,Baza[],9,0)="ES"),", €",", $")&amp;                          IF(VLOOKUP(B67,Baza[],15,0)&lt;1000,VLOOKUP(B67,Baza[],15,0),IF(VLOOKUP(B67,Baza[],15,0)&lt;1000000,IF(VLOOKUP(B67,Baza[],15,0)/1000=INT(VLOOKUP(B67,Baza[],15,0)/1000),TEXT(VLOOKUP(B67,Baza[],15,0),"#0 K"),TEXT(VLOOKUP(B67,Baza[],15,0),"#0,0 K")), IF(VLOOKUP(B67,Baza[],15,0)/1000000=INT(VLOOKUP(B67,Baza[],15,0)/1000000),TEXT(VLOOKUP(B67,Baza[],15,0),"# ###  M"),TEXT(VLOOKUP(B67,Baza[],15,0),"# ###,0  M")))))),""))</f>
        <v/>
      </c>
      <c r="G67" s="10"/>
      <c r="H67" s="10"/>
      <c r="I67" s="10"/>
      <c r="J67" s="10"/>
      <c r="K67" s="11" t="str">
        <f>IFERROR(IF(VLOOKUP(B67,Baza[],14,0)="s","Sat",IF(VLOOKUP(B67,Baza[],14,0)="XP","Phase",                                         IF(VLOOKUP(B67,Baza[],19,0)="-","",VLOOKUP(B67,Baza[],19,0)))),"")</f>
        <v/>
      </c>
      <c r="L67" s="12" t="str">
        <f>IF(AND(B67="",B66&gt;0),SUM($L$5:L66),IFERROR(IF(VLOOKUP(B67,Baza[],21,0)=0,"-",VLOOKUP(B67,Baza[],21,0)),""))</f>
        <v/>
      </c>
      <c r="M67" s="12" t="str">
        <f>IF(AND(B67="",B66&gt;0),SUM($M$5:M66),IFERROR(IF(VLOOKUP(B67,Baza[],22,0)=0,"-",VLOOKUP(B67,Baza[],22,0)),""))</f>
        <v/>
      </c>
      <c r="N67" s="12" t="str">
        <f>IF(AND(B67="",B66&gt;0),SUM($N$5:N66),IFERROR(VLOOKUP(B67,Baza[],23,0),""))</f>
        <v/>
      </c>
      <c r="P67" s="13" t="str">
        <f>IFERROR(VLOOKUP(B67,Baza[],14,0),"")</f>
        <v/>
      </c>
      <c r="Q67" s="13" t="str">
        <f>IFERROR(VLOOKUP(B67,Baza[],13,0),"")</f>
        <v/>
      </c>
    </row>
    <row r="68" spans="1:17" ht="9.9499999999999993" customHeight="1" x14ac:dyDescent="0.25">
      <c r="A68" s="4">
        <v>1</v>
      </c>
      <c r="B68" s="48"/>
      <c r="C68" s="97"/>
      <c r="D68" s="111" t="str">
        <f t="shared" si="0"/>
        <v/>
      </c>
      <c r="E68" s="8" t="str">
        <f>IFERROR(VLOOKUP(B68,Baza[],7,0),"")</f>
        <v/>
      </c>
      <c r="F68" s="9" t="str">
        <f>IF(AND(B68="",B67&gt;0),"                           Total:   Games: "&amp;VLOOKUP($C$2,Data!$B$87:$N$9999,4,0)&amp;"     Buy-in: $ "&amp;TEXT(VLOOKUP($C$2,Data!$B$87:$N$9999,5,0),"0,0")&amp;"     ABI: $ "&amp;TEXT(VLOOKUP($C$2,Data!$B$87:$N$9999,6,0),"0,0"),IFERROR( IF(VLOOKUP(B68,Baza[],18,0)&gt;0," ["&amp;VLOOKUP(B68,Baza[],18,0)+1&amp;"] ","   ")      &amp;IFERROR(IF(OR(VLOOKUP(B68,Baza[],9,0)="WN",VLOOKUP(B68,Baza[],9,0)="ES"),"€ ","$ ")&amp;      VLOOKUP(B68,Baza[],8,0),"")         &amp;" ["&amp;VLOOKUP(B68,Baza[],9,0)&amp;"] "&amp;VLOOKUP(B68,Baza[],10,0)&amp;IF(VLOOKUP(B68,Baza[],12,0)="T"," [Turbo]",   IF(VLOOKUP(B68,Baza[],12,0)="H"," [Hyper]",                                 "") )            &amp;  IF(VLOOKUP(B68,Baza[],14,0)="s",   ", "&amp;VLOOKUP(B68,Baza[],15,0)&amp;" Tickets",                                                                                                 IF(OR(VLOOKUP(B68,Baza[],14,0)="XP",VLOOKUP(B68,Baza[],14,0)="XP2"),VLOOKUP(B68,Baza[],15,0),            IF(OR(VLOOKUP(B68,Baza[],9,0)="WN",VLOOKUP(B68,Baza[],9,0)="ES"),", €",", $")&amp;                          IF(VLOOKUP(B68,Baza[],15,0)&lt;1000,VLOOKUP(B68,Baza[],15,0),IF(VLOOKUP(B68,Baza[],15,0)&lt;1000000,IF(VLOOKUP(B68,Baza[],15,0)/1000=INT(VLOOKUP(B68,Baza[],15,0)/1000),TEXT(VLOOKUP(B68,Baza[],15,0),"#0 K"),TEXT(VLOOKUP(B68,Baza[],15,0),"#0,0 K")), IF(VLOOKUP(B68,Baza[],15,0)/1000000=INT(VLOOKUP(B68,Baza[],15,0)/1000000),TEXT(VLOOKUP(B68,Baza[],15,0),"# ###  M"),TEXT(VLOOKUP(B68,Baza[],15,0),"# ###,0  M")))))),""))</f>
        <v/>
      </c>
      <c r="G68" s="10"/>
      <c r="H68" s="10"/>
      <c r="I68" s="10"/>
      <c r="J68" s="10"/>
      <c r="K68" s="11" t="str">
        <f>IFERROR(IF(VLOOKUP(B68,Baza[],14,0)="s","Sat",IF(VLOOKUP(B68,Baza[],14,0)="XP","Phase",                                         IF(VLOOKUP(B68,Baza[],19,0)="-","",VLOOKUP(B68,Baza[],19,0)))),"")</f>
        <v/>
      </c>
      <c r="L68" s="12" t="str">
        <f>IF(AND(B68="",B67&gt;0),SUM($L$5:L67),IFERROR(IF(VLOOKUP(B68,Baza[],21,0)=0,"-",VLOOKUP(B68,Baza[],21,0)),""))</f>
        <v/>
      </c>
      <c r="M68" s="12" t="str">
        <f>IF(AND(B68="",B67&gt;0),SUM($M$5:M67),IFERROR(IF(VLOOKUP(B68,Baza[],22,0)=0,"-",VLOOKUP(B68,Baza[],22,0)),""))</f>
        <v/>
      </c>
      <c r="N68" s="12" t="str">
        <f>IF(AND(B68="",B67&gt;0),SUM($N$5:N67),IFERROR(VLOOKUP(B68,Baza[],23,0),""))</f>
        <v/>
      </c>
      <c r="P68" s="13" t="str">
        <f>IFERROR(VLOOKUP(B68,Baza[],14,0),"")</f>
        <v/>
      </c>
      <c r="Q68" s="13" t="str">
        <f>IFERROR(VLOOKUP(B68,Baza[],13,0),"")</f>
        <v/>
      </c>
    </row>
    <row r="69" spans="1:17" ht="9.9499999999999993" customHeight="1" x14ac:dyDescent="0.25">
      <c r="A69" s="4">
        <v>2</v>
      </c>
      <c r="B69" s="48"/>
      <c r="C69" s="97"/>
      <c r="D69" s="111" t="str">
        <f t="shared" si="0"/>
        <v/>
      </c>
      <c r="E69" s="8" t="str">
        <f>IFERROR(VLOOKUP(B69,Baza[],7,0),"")</f>
        <v/>
      </c>
      <c r="F69" s="9" t="str">
        <f>IF(AND(B69="",B68&gt;0),"                           Total:   Games: "&amp;VLOOKUP($C$2,Data!$B$87:$N$9999,4,0)&amp;"     Buy-in: $ "&amp;TEXT(VLOOKUP($C$2,Data!$B$87:$N$9999,5,0),"0,0")&amp;"     ABI: $ "&amp;TEXT(VLOOKUP($C$2,Data!$B$87:$N$9999,6,0),"0,0"),IFERROR( IF(VLOOKUP(B69,Baza[],18,0)&gt;0," ["&amp;VLOOKUP(B69,Baza[],18,0)+1&amp;"] ","   ")      &amp;IFERROR(IF(OR(VLOOKUP(B69,Baza[],9,0)="WN",VLOOKUP(B69,Baza[],9,0)="ES"),"€ ","$ ")&amp;      VLOOKUP(B69,Baza[],8,0),"")         &amp;" ["&amp;VLOOKUP(B69,Baza[],9,0)&amp;"] "&amp;VLOOKUP(B69,Baza[],10,0)&amp;IF(VLOOKUP(B69,Baza[],12,0)="T"," [Turbo]",   IF(VLOOKUP(B69,Baza[],12,0)="H"," [Hyper]",                                 "") )            &amp;  IF(VLOOKUP(B69,Baza[],14,0)="s",   ", "&amp;VLOOKUP(B69,Baza[],15,0)&amp;" Tickets",                                                                                                 IF(OR(VLOOKUP(B69,Baza[],14,0)="XP",VLOOKUP(B69,Baza[],14,0)="XP2"),VLOOKUP(B69,Baza[],15,0),            IF(OR(VLOOKUP(B69,Baza[],9,0)="WN",VLOOKUP(B69,Baza[],9,0)="ES"),", €",", $")&amp;                          IF(VLOOKUP(B69,Baza[],15,0)&lt;1000,VLOOKUP(B69,Baza[],15,0),IF(VLOOKUP(B69,Baza[],15,0)&lt;1000000,IF(VLOOKUP(B69,Baza[],15,0)/1000=INT(VLOOKUP(B69,Baza[],15,0)/1000),TEXT(VLOOKUP(B69,Baza[],15,0),"#0 K"),TEXT(VLOOKUP(B69,Baza[],15,0),"#0,0 K")), IF(VLOOKUP(B69,Baza[],15,0)/1000000=INT(VLOOKUP(B69,Baza[],15,0)/1000000),TEXT(VLOOKUP(B69,Baza[],15,0),"# ###  M"),TEXT(VLOOKUP(B69,Baza[],15,0),"# ###,0  M")))))),""))</f>
        <v/>
      </c>
      <c r="G69" s="10"/>
      <c r="H69" s="10"/>
      <c r="I69" s="10"/>
      <c r="J69" s="10"/>
      <c r="K69" s="11" t="str">
        <f>IFERROR(IF(VLOOKUP(B69,Baza[],14,0)="s","Sat",IF(VLOOKUP(B69,Baza[],14,0)="XP","Phase",                                         IF(VLOOKUP(B69,Baza[],19,0)="-","",VLOOKUP(B69,Baza[],19,0)))),"")</f>
        <v/>
      </c>
      <c r="L69" s="12" t="str">
        <f>IF(AND(B69="",B68&gt;0),SUM($L$5:L68),IFERROR(IF(VLOOKUP(B69,Baza[],21,0)=0,"-",VLOOKUP(B69,Baza[],21,0)),""))</f>
        <v/>
      </c>
      <c r="M69" s="12" t="str">
        <f>IF(AND(B69="",B68&gt;0),SUM($M$5:M68),IFERROR(IF(VLOOKUP(B69,Baza[],22,0)=0,"-",VLOOKUP(B69,Baza[],22,0)),""))</f>
        <v/>
      </c>
      <c r="N69" s="12" t="str">
        <f>IF(AND(B69="",B68&gt;0),SUM($N$5:N68),IFERROR(VLOOKUP(B69,Baza[],23,0),""))</f>
        <v/>
      </c>
      <c r="P69" s="13" t="str">
        <f>IFERROR(VLOOKUP(B69,Baza[],14,0),"")</f>
        <v/>
      </c>
      <c r="Q69" s="13" t="str">
        <f>IFERROR(VLOOKUP(B69,Baza[],13,0),"")</f>
        <v/>
      </c>
    </row>
    <row r="70" spans="1:17" ht="9.9499999999999993" customHeight="1" x14ac:dyDescent="0.25">
      <c r="A70" s="4">
        <v>1</v>
      </c>
      <c r="B70" s="48"/>
      <c r="C70" s="97"/>
      <c r="D70" s="111" t="str">
        <f t="shared" ref="D70:D116" si="1">IF(B70="","",D69+1)</f>
        <v/>
      </c>
      <c r="E70" s="8" t="str">
        <f>IFERROR(VLOOKUP(B70,Baza[],7,0),"")</f>
        <v/>
      </c>
      <c r="F70" s="9" t="str">
        <f>IF(AND(B70="",B69&gt;0),"                           Total:   Games: "&amp;VLOOKUP($C$2,Data!$B$87:$N$9999,4,0)&amp;"     Buy-in: $ "&amp;TEXT(VLOOKUP($C$2,Data!$B$87:$N$9999,5,0),"0,0")&amp;"     ABI: $ "&amp;TEXT(VLOOKUP($C$2,Data!$B$87:$N$9999,6,0),"0,0"),IFERROR( IF(VLOOKUP(B70,Baza[],18,0)&gt;0," ["&amp;VLOOKUP(B70,Baza[],18,0)+1&amp;"] ","   ")      &amp;IFERROR(IF(OR(VLOOKUP(B70,Baza[],9,0)="WN",VLOOKUP(B70,Baza[],9,0)="ES"),"€ ","$ ")&amp;      VLOOKUP(B70,Baza[],8,0),"")         &amp;" ["&amp;VLOOKUP(B70,Baza[],9,0)&amp;"] "&amp;VLOOKUP(B70,Baza[],10,0)&amp;IF(VLOOKUP(B70,Baza[],12,0)="T"," [Turbo]",   IF(VLOOKUP(B70,Baza[],12,0)="H"," [Hyper]",                                 "") )            &amp;  IF(VLOOKUP(B70,Baza[],14,0)="s",   ", "&amp;VLOOKUP(B70,Baza[],15,0)&amp;" Tickets",                                                                                                 IF(OR(VLOOKUP(B70,Baza[],14,0)="XP",VLOOKUP(B70,Baza[],14,0)="XP2"),VLOOKUP(B70,Baza[],15,0),            IF(OR(VLOOKUP(B70,Baza[],9,0)="WN",VLOOKUP(B70,Baza[],9,0)="ES"),", €",", $")&amp;                          IF(VLOOKUP(B70,Baza[],15,0)&lt;1000,VLOOKUP(B70,Baza[],15,0),IF(VLOOKUP(B70,Baza[],15,0)&lt;1000000,IF(VLOOKUP(B70,Baza[],15,0)/1000=INT(VLOOKUP(B70,Baza[],15,0)/1000),TEXT(VLOOKUP(B70,Baza[],15,0),"#0 K"),TEXT(VLOOKUP(B70,Baza[],15,0),"#0,0 K")), IF(VLOOKUP(B70,Baza[],15,0)/1000000=INT(VLOOKUP(B70,Baza[],15,0)/1000000),TEXT(VLOOKUP(B70,Baza[],15,0),"# ###  M"),TEXT(VLOOKUP(B70,Baza[],15,0),"# ###,0  M")))))),""))</f>
        <v/>
      </c>
      <c r="G70" s="10"/>
      <c r="H70" s="10"/>
      <c r="I70" s="10"/>
      <c r="J70" s="10"/>
      <c r="K70" s="11" t="str">
        <f>IFERROR(IF(VLOOKUP(B70,Baza[],14,0)="s","Sat",IF(VLOOKUP(B70,Baza[],14,0)="XP","Phase",                                         IF(VLOOKUP(B70,Baza[],19,0)="-","",VLOOKUP(B70,Baza[],19,0)))),"")</f>
        <v/>
      </c>
      <c r="L70" s="12" t="str">
        <f>IF(AND(B70="",B69&gt;0),SUM($L$5:L69),IFERROR(IF(VLOOKUP(B70,Baza[],21,0)=0,"-",VLOOKUP(B70,Baza[],21,0)),""))</f>
        <v/>
      </c>
      <c r="M70" s="12" t="str">
        <f>IF(AND(B70="",B69&gt;0),SUM($M$5:M69),IFERROR(IF(VLOOKUP(B70,Baza[],22,0)=0,"-",VLOOKUP(B70,Baza[],22,0)),""))</f>
        <v/>
      </c>
      <c r="N70" s="12" t="str">
        <f>IF(AND(B70="",B69&gt;0),SUM($N$5:N69),IFERROR(VLOOKUP(B70,Baza[],23,0),""))</f>
        <v/>
      </c>
      <c r="P70" s="13" t="str">
        <f>IFERROR(VLOOKUP(B70,Baza[],14,0),"")</f>
        <v/>
      </c>
      <c r="Q70" s="13" t="str">
        <f>IFERROR(VLOOKUP(B70,Baza[],13,0),"")</f>
        <v/>
      </c>
    </row>
    <row r="71" spans="1:17" ht="9.9499999999999993" customHeight="1" x14ac:dyDescent="0.25">
      <c r="A71" s="4">
        <v>2</v>
      </c>
      <c r="B71" s="48"/>
      <c r="C71" s="97"/>
      <c r="D71" s="111" t="str">
        <f t="shared" si="1"/>
        <v/>
      </c>
      <c r="E71" s="8" t="str">
        <f>IFERROR(VLOOKUP(B71,Baza[],7,0),"")</f>
        <v/>
      </c>
      <c r="F71" s="9" t="str">
        <f>IF(AND(B71="",B70&gt;0),"                           Total:   Games: "&amp;VLOOKUP($C$2,Data!$B$87:$N$9999,4,0)&amp;"     Buy-in: $ "&amp;TEXT(VLOOKUP($C$2,Data!$B$87:$N$9999,5,0),"0,0")&amp;"     ABI: $ "&amp;TEXT(VLOOKUP($C$2,Data!$B$87:$N$9999,6,0),"0,0"),IFERROR( IF(VLOOKUP(B71,Baza[],18,0)&gt;0," ["&amp;VLOOKUP(B71,Baza[],18,0)+1&amp;"] ","   ")      &amp;IFERROR(IF(OR(VLOOKUP(B71,Baza[],9,0)="WN",VLOOKUP(B71,Baza[],9,0)="ES"),"€ ","$ ")&amp;      VLOOKUP(B71,Baza[],8,0),"")         &amp;" ["&amp;VLOOKUP(B71,Baza[],9,0)&amp;"] "&amp;VLOOKUP(B71,Baza[],10,0)&amp;IF(VLOOKUP(B71,Baza[],12,0)="T"," [Turbo]",   IF(VLOOKUP(B71,Baza[],12,0)="H"," [Hyper]",                                 "") )            &amp;  IF(VLOOKUP(B71,Baza[],14,0)="s",   ", "&amp;VLOOKUP(B71,Baza[],15,0)&amp;" Tickets",                                                                                                 IF(OR(VLOOKUP(B71,Baza[],14,0)="XP",VLOOKUP(B71,Baza[],14,0)="XP2"),VLOOKUP(B71,Baza[],15,0),            IF(OR(VLOOKUP(B71,Baza[],9,0)="WN",VLOOKUP(B71,Baza[],9,0)="ES"),", €",", $")&amp;                          IF(VLOOKUP(B71,Baza[],15,0)&lt;1000,VLOOKUP(B71,Baza[],15,0),IF(VLOOKUP(B71,Baza[],15,0)&lt;1000000,IF(VLOOKUP(B71,Baza[],15,0)/1000=INT(VLOOKUP(B71,Baza[],15,0)/1000),TEXT(VLOOKUP(B71,Baza[],15,0),"#0 K"),TEXT(VLOOKUP(B71,Baza[],15,0),"#0,0 K")), IF(VLOOKUP(B71,Baza[],15,0)/1000000=INT(VLOOKUP(B71,Baza[],15,0)/1000000),TEXT(VLOOKUP(B71,Baza[],15,0),"# ###  M"),TEXT(VLOOKUP(B71,Baza[],15,0),"# ###,0  M")))))),""))</f>
        <v/>
      </c>
      <c r="G71" s="10"/>
      <c r="H71" s="10"/>
      <c r="I71" s="10"/>
      <c r="J71" s="10"/>
      <c r="K71" s="11" t="str">
        <f>IFERROR(IF(VLOOKUP(B71,Baza[],14,0)="s","Sat",IF(VLOOKUP(B71,Baza[],14,0)="XP","Phase",                                         IF(VLOOKUP(B71,Baza[],19,0)="-","",VLOOKUP(B71,Baza[],19,0)))),"")</f>
        <v/>
      </c>
      <c r="L71" s="12" t="str">
        <f>IF(AND(B71="",B70&gt;0),SUM($L$5:L70),IFERROR(IF(VLOOKUP(B71,Baza[],21,0)=0,"-",VLOOKUP(B71,Baza[],21,0)),""))</f>
        <v/>
      </c>
      <c r="M71" s="12" t="str">
        <f>IF(AND(B71="",B70&gt;0),SUM($M$5:M70),IFERROR(IF(VLOOKUP(B71,Baza[],22,0)=0,"-",VLOOKUP(B71,Baza[],22,0)),""))</f>
        <v/>
      </c>
      <c r="N71" s="12" t="str">
        <f>IF(AND(B71="",B70&gt;0),SUM($N$5:N70),IFERROR(VLOOKUP(B71,Baza[],23,0),""))</f>
        <v/>
      </c>
      <c r="P71" s="13" t="str">
        <f>IFERROR(VLOOKUP(B71,Baza[],14,0),"")</f>
        <v/>
      </c>
      <c r="Q71" s="13" t="str">
        <f>IFERROR(VLOOKUP(B71,Baza[],13,0),"")</f>
        <v/>
      </c>
    </row>
    <row r="72" spans="1:17" ht="9.9499999999999993" customHeight="1" x14ac:dyDescent="0.25">
      <c r="A72" s="4">
        <v>1</v>
      </c>
      <c r="B72" s="48"/>
      <c r="C72" s="97"/>
      <c r="D72" s="111" t="str">
        <f t="shared" si="1"/>
        <v/>
      </c>
      <c r="E72" s="8" t="str">
        <f>IFERROR(VLOOKUP(B72,Baza[],7,0),"")</f>
        <v/>
      </c>
      <c r="F72" s="9" t="str">
        <f>IF(AND(B72="",B71&gt;0),"                           Total:   Games: "&amp;VLOOKUP($C$2,Data!$B$87:$N$9999,4,0)&amp;"     Buy-in: $ "&amp;TEXT(VLOOKUP($C$2,Data!$B$87:$N$9999,5,0),"0,0")&amp;"     ABI: $ "&amp;TEXT(VLOOKUP($C$2,Data!$B$87:$N$9999,6,0),"0,0"),IFERROR( IF(VLOOKUP(B72,Baza[],18,0)&gt;0," ["&amp;VLOOKUP(B72,Baza[],18,0)+1&amp;"] ","   ")      &amp;IFERROR(IF(OR(VLOOKUP(B72,Baza[],9,0)="WN",VLOOKUP(B72,Baza[],9,0)="ES"),"€ ","$ ")&amp;      VLOOKUP(B72,Baza[],8,0),"")         &amp;" ["&amp;VLOOKUP(B72,Baza[],9,0)&amp;"] "&amp;VLOOKUP(B72,Baza[],10,0)&amp;IF(VLOOKUP(B72,Baza[],12,0)="T"," [Turbo]",   IF(VLOOKUP(B72,Baza[],12,0)="H"," [Hyper]",                                 "") )            &amp;  IF(VLOOKUP(B72,Baza[],14,0)="s",   ", "&amp;VLOOKUP(B72,Baza[],15,0)&amp;" Tickets",                                                                                                 IF(OR(VLOOKUP(B72,Baza[],14,0)="XP",VLOOKUP(B72,Baza[],14,0)="XP2"),VLOOKUP(B72,Baza[],15,0),            IF(OR(VLOOKUP(B72,Baza[],9,0)="WN",VLOOKUP(B72,Baza[],9,0)="ES"),", €",", $")&amp;                          IF(VLOOKUP(B72,Baza[],15,0)&lt;1000,VLOOKUP(B72,Baza[],15,0),IF(VLOOKUP(B72,Baza[],15,0)&lt;1000000,IF(VLOOKUP(B72,Baza[],15,0)/1000=INT(VLOOKUP(B72,Baza[],15,0)/1000),TEXT(VLOOKUP(B72,Baza[],15,0),"#0 K"),TEXT(VLOOKUP(B72,Baza[],15,0),"#0,0 K")), IF(VLOOKUP(B72,Baza[],15,0)/1000000=INT(VLOOKUP(B72,Baza[],15,0)/1000000),TEXT(VLOOKUP(B72,Baza[],15,0),"# ###  M"),TEXT(VLOOKUP(B72,Baza[],15,0),"# ###,0  M")))))),""))</f>
        <v/>
      </c>
      <c r="G72" s="10"/>
      <c r="H72" s="10"/>
      <c r="I72" s="10"/>
      <c r="J72" s="10"/>
      <c r="K72" s="11" t="str">
        <f>IFERROR(IF(VLOOKUP(B72,Baza[],14,0)="s","Sat",IF(VLOOKUP(B72,Baza[],14,0)="XP","Phase",                                         IF(VLOOKUP(B72,Baza[],19,0)="-","",VLOOKUP(B72,Baza[],19,0)))),"")</f>
        <v/>
      </c>
      <c r="L72" s="12" t="str">
        <f>IF(AND(B72="",B71&gt;0),SUM($L$5:L71),IFERROR(IF(VLOOKUP(B72,Baza[],21,0)=0,"-",VLOOKUP(B72,Baza[],21,0)),""))</f>
        <v/>
      </c>
      <c r="M72" s="12" t="str">
        <f>IF(AND(B72="",B71&gt;0),SUM($M$5:M71),IFERROR(IF(VLOOKUP(B72,Baza[],22,0)=0,"-",VLOOKUP(B72,Baza[],22,0)),""))</f>
        <v/>
      </c>
      <c r="N72" s="12" t="str">
        <f>IF(AND(B72="",B71&gt;0),SUM($N$5:N71),IFERROR(VLOOKUP(B72,Baza[],23,0),""))</f>
        <v/>
      </c>
      <c r="P72" s="13" t="str">
        <f>IFERROR(VLOOKUP(B72,Baza[],14,0),"")</f>
        <v/>
      </c>
      <c r="Q72" s="13" t="str">
        <f>IFERROR(VLOOKUP(B72,Baza[],13,0),"")</f>
        <v/>
      </c>
    </row>
    <row r="73" spans="1:17" ht="9.9499999999999993" customHeight="1" x14ac:dyDescent="0.25">
      <c r="A73" s="4">
        <v>2</v>
      </c>
      <c r="B73" s="48"/>
      <c r="C73" s="97"/>
      <c r="D73" s="111" t="str">
        <f t="shared" si="1"/>
        <v/>
      </c>
      <c r="E73" s="8" t="str">
        <f>IFERROR(VLOOKUP(B73,Baza[],7,0),"")</f>
        <v/>
      </c>
      <c r="F73" s="9" t="str">
        <f>IF(AND(B73="",B72&gt;0),"                           Total:   Games: "&amp;VLOOKUP($C$2,Data!$B$87:$N$9999,4,0)&amp;"     Buy-in: $ "&amp;TEXT(VLOOKUP($C$2,Data!$B$87:$N$9999,5,0),"0,0")&amp;"     ABI: $ "&amp;TEXT(VLOOKUP($C$2,Data!$B$87:$N$9999,6,0),"0,0"),IFERROR( IF(VLOOKUP(B73,Baza[],18,0)&gt;0," ["&amp;VLOOKUP(B73,Baza[],18,0)+1&amp;"] ","   ")      &amp;IFERROR(IF(OR(VLOOKUP(B73,Baza[],9,0)="WN",VLOOKUP(B73,Baza[],9,0)="ES"),"€ ","$ ")&amp;      VLOOKUP(B73,Baza[],8,0),"")         &amp;" ["&amp;VLOOKUP(B73,Baza[],9,0)&amp;"] "&amp;VLOOKUP(B73,Baza[],10,0)&amp;IF(VLOOKUP(B73,Baza[],12,0)="T"," [Turbo]",   IF(VLOOKUP(B73,Baza[],12,0)="H"," [Hyper]",                                 "") )            &amp;  IF(VLOOKUP(B73,Baza[],14,0)="s",   ", "&amp;VLOOKUP(B73,Baza[],15,0)&amp;" Tickets",                                                                                                 IF(OR(VLOOKUP(B73,Baza[],14,0)="XP",VLOOKUP(B73,Baza[],14,0)="XP2"),VLOOKUP(B73,Baza[],15,0),            IF(OR(VLOOKUP(B73,Baza[],9,0)="WN",VLOOKUP(B73,Baza[],9,0)="ES"),", €",", $")&amp;                          IF(VLOOKUP(B73,Baza[],15,0)&lt;1000,VLOOKUP(B73,Baza[],15,0),IF(VLOOKUP(B73,Baza[],15,0)&lt;1000000,IF(VLOOKUP(B73,Baza[],15,0)/1000=INT(VLOOKUP(B73,Baza[],15,0)/1000),TEXT(VLOOKUP(B73,Baza[],15,0),"#0 K"),TEXT(VLOOKUP(B73,Baza[],15,0),"#0,0 K")), IF(VLOOKUP(B73,Baza[],15,0)/1000000=INT(VLOOKUP(B73,Baza[],15,0)/1000000),TEXT(VLOOKUP(B73,Baza[],15,0),"# ###  M"),TEXT(VLOOKUP(B73,Baza[],15,0),"# ###,0  M")))))),""))</f>
        <v/>
      </c>
      <c r="G73" s="10"/>
      <c r="H73" s="10"/>
      <c r="I73" s="10"/>
      <c r="J73" s="10"/>
      <c r="K73" s="11" t="str">
        <f>IFERROR(IF(VLOOKUP(B73,Baza[],14,0)="s","Sat",IF(VLOOKUP(B73,Baza[],14,0)="XP","Phase",                                         IF(VLOOKUP(B73,Baza[],19,0)="-","",VLOOKUP(B73,Baza[],19,0)))),"")</f>
        <v/>
      </c>
      <c r="L73" s="12" t="str">
        <f>IF(AND(B73="",B72&gt;0),SUM($L$5:L72),IFERROR(IF(VLOOKUP(B73,Baza[],21,0)=0,"-",VLOOKUP(B73,Baza[],21,0)),""))</f>
        <v/>
      </c>
      <c r="M73" s="12" t="str">
        <f>IF(AND(B73="",B72&gt;0),SUM($M$5:M72),IFERROR(IF(VLOOKUP(B73,Baza[],22,0)=0,"-",VLOOKUP(B73,Baza[],22,0)),""))</f>
        <v/>
      </c>
      <c r="N73" s="12" t="str">
        <f>IF(AND(B73="",B72&gt;0),SUM($N$5:N72),IFERROR(VLOOKUP(B73,Baza[],23,0),""))</f>
        <v/>
      </c>
      <c r="P73" s="13" t="str">
        <f>IFERROR(VLOOKUP(B73,Baza[],14,0),"")</f>
        <v/>
      </c>
      <c r="Q73" s="13" t="str">
        <f>IFERROR(VLOOKUP(B73,Baza[],13,0),"")</f>
        <v/>
      </c>
    </row>
    <row r="74" spans="1:17" ht="9.9499999999999993" customHeight="1" x14ac:dyDescent="0.25">
      <c r="A74" s="4">
        <v>1</v>
      </c>
      <c r="B74" s="48"/>
      <c r="C74" s="97"/>
      <c r="D74" s="111" t="str">
        <f t="shared" si="1"/>
        <v/>
      </c>
      <c r="E74" s="8" t="str">
        <f>IFERROR(VLOOKUP(B74,Baza[],7,0),"")</f>
        <v/>
      </c>
      <c r="F74" s="9" t="str">
        <f>IF(AND(B74="",B73&gt;0),"                           Total:   Games: "&amp;VLOOKUP($C$2,Data!$B$87:$N$9999,4,0)&amp;"     Buy-in: $ "&amp;TEXT(VLOOKUP($C$2,Data!$B$87:$N$9999,5,0),"0,0")&amp;"     ABI: $ "&amp;TEXT(VLOOKUP($C$2,Data!$B$87:$N$9999,6,0),"0,0"),IFERROR( IF(VLOOKUP(B74,Baza[],18,0)&gt;0," ["&amp;VLOOKUP(B74,Baza[],18,0)+1&amp;"] ","   ")      &amp;IFERROR(IF(OR(VLOOKUP(B74,Baza[],9,0)="WN",VLOOKUP(B74,Baza[],9,0)="ES"),"€ ","$ ")&amp;      VLOOKUP(B74,Baza[],8,0),"")         &amp;" ["&amp;VLOOKUP(B74,Baza[],9,0)&amp;"] "&amp;VLOOKUP(B74,Baza[],10,0)&amp;IF(VLOOKUP(B74,Baza[],12,0)="T"," [Turbo]",   IF(VLOOKUP(B74,Baza[],12,0)="H"," [Hyper]",                                 "") )            &amp;  IF(VLOOKUP(B74,Baza[],14,0)="s",   ", "&amp;VLOOKUP(B74,Baza[],15,0)&amp;" Tickets",                                                                                                 IF(OR(VLOOKUP(B74,Baza[],14,0)="XP",VLOOKUP(B74,Baza[],14,0)="XP2"),VLOOKUP(B74,Baza[],15,0),            IF(OR(VLOOKUP(B74,Baza[],9,0)="WN",VLOOKUP(B74,Baza[],9,0)="ES"),", €",", $")&amp;                          IF(VLOOKUP(B74,Baza[],15,0)&lt;1000,VLOOKUP(B74,Baza[],15,0),IF(VLOOKUP(B74,Baza[],15,0)&lt;1000000,IF(VLOOKUP(B74,Baza[],15,0)/1000=INT(VLOOKUP(B74,Baza[],15,0)/1000),TEXT(VLOOKUP(B74,Baza[],15,0),"#0 K"),TEXT(VLOOKUP(B74,Baza[],15,0),"#0,0 K")), IF(VLOOKUP(B74,Baza[],15,0)/1000000=INT(VLOOKUP(B74,Baza[],15,0)/1000000),TEXT(VLOOKUP(B74,Baza[],15,0),"# ###  M"),TEXT(VLOOKUP(B74,Baza[],15,0),"# ###,0  M")))))),""))</f>
        <v/>
      </c>
      <c r="G74" s="10"/>
      <c r="H74" s="10"/>
      <c r="I74" s="10"/>
      <c r="J74" s="10"/>
      <c r="K74" s="11" t="str">
        <f>IFERROR(IF(VLOOKUP(B74,Baza[],14,0)="s","Sat",IF(VLOOKUP(B74,Baza[],14,0)="XP","Phase",                                         IF(VLOOKUP(B74,Baza[],19,0)="-","",VLOOKUP(B74,Baza[],19,0)))),"")</f>
        <v/>
      </c>
      <c r="L74" s="12" t="str">
        <f>IF(AND(B74="",B73&gt;0),SUM($L$5:L73),IFERROR(IF(VLOOKUP(B74,Baza[],21,0)=0,"-",VLOOKUP(B74,Baza[],21,0)),""))</f>
        <v/>
      </c>
      <c r="M74" s="12" t="str">
        <f>IF(AND(B74="",B73&gt;0),SUM($M$5:M73),IFERROR(IF(VLOOKUP(B74,Baza[],22,0)=0,"-",VLOOKUP(B74,Baza[],22,0)),""))</f>
        <v/>
      </c>
      <c r="N74" s="12" t="str">
        <f>IF(AND(B74="",B73&gt;0),SUM($N$5:N73),IFERROR(VLOOKUP(B74,Baza[],23,0),""))</f>
        <v/>
      </c>
      <c r="P74" s="13" t="str">
        <f>IFERROR(VLOOKUP(B74,Baza[],14,0),"")</f>
        <v/>
      </c>
      <c r="Q74" s="13" t="str">
        <f>IFERROR(VLOOKUP(B74,Baza[],13,0),"")</f>
        <v/>
      </c>
    </row>
    <row r="75" spans="1:17" ht="9.9499999999999993" customHeight="1" x14ac:dyDescent="0.25">
      <c r="A75" s="4">
        <v>2</v>
      </c>
      <c r="B75" s="48"/>
      <c r="C75" s="97"/>
      <c r="D75" s="111" t="str">
        <f t="shared" si="1"/>
        <v/>
      </c>
      <c r="E75" s="8" t="str">
        <f>IFERROR(VLOOKUP(B75,Baza[],7,0),"")</f>
        <v/>
      </c>
      <c r="F75" s="9" t="str">
        <f>IF(AND(B75="",B74&gt;0),"                           Total:   Games: "&amp;VLOOKUP($C$2,Data!$B$87:$N$9999,4,0)&amp;"     Buy-in: $ "&amp;TEXT(VLOOKUP($C$2,Data!$B$87:$N$9999,5,0),"0,0")&amp;"     ABI: $ "&amp;TEXT(VLOOKUP($C$2,Data!$B$87:$N$9999,6,0),"0,0"),IFERROR( IF(VLOOKUP(B75,Baza[],18,0)&gt;0," ["&amp;VLOOKUP(B75,Baza[],18,0)+1&amp;"] ","   ")      &amp;IFERROR(IF(OR(VLOOKUP(B75,Baza[],9,0)="WN",VLOOKUP(B75,Baza[],9,0)="ES"),"€ ","$ ")&amp;      VLOOKUP(B75,Baza[],8,0),"")         &amp;" ["&amp;VLOOKUP(B75,Baza[],9,0)&amp;"] "&amp;VLOOKUP(B75,Baza[],10,0)&amp;IF(VLOOKUP(B75,Baza[],12,0)="T"," [Turbo]",   IF(VLOOKUP(B75,Baza[],12,0)="H"," [Hyper]",                                 "") )            &amp;  IF(VLOOKUP(B75,Baza[],14,0)="s",   ", "&amp;VLOOKUP(B75,Baza[],15,0)&amp;" Tickets",                                                                                                 IF(OR(VLOOKUP(B75,Baza[],14,0)="XP",VLOOKUP(B75,Baza[],14,0)="XP2"),VLOOKUP(B75,Baza[],15,0),            IF(OR(VLOOKUP(B75,Baza[],9,0)="WN",VLOOKUP(B75,Baza[],9,0)="ES"),", €",", $")&amp;                          IF(VLOOKUP(B75,Baza[],15,0)&lt;1000,VLOOKUP(B75,Baza[],15,0),IF(VLOOKUP(B75,Baza[],15,0)&lt;1000000,IF(VLOOKUP(B75,Baza[],15,0)/1000=INT(VLOOKUP(B75,Baza[],15,0)/1000),TEXT(VLOOKUP(B75,Baza[],15,0),"#0 K"),TEXT(VLOOKUP(B75,Baza[],15,0),"#0,0 K")), IF(VLOOKUP(B75,Baza[],15,0)/1000000=INT(VLOOKUP(B75,Baza[],15,0)/1000000),TEXT(VLOOKUP(B75,Baza[],15,0),"# ###  M"),TEXT(VLOOKUP(B75,Baza[],15,0),"# ###,0  M")))))),""))</f>
        <v/>
      </c>
      <c r="G75" s="10"/>
      <c r="H75" s="10"/>
      <c r="I75" s="10"/>
      <c r="J75" s="10"/>
      <c r="K75" s="11" t="str">
        <f>IFERROR(IF(VLOOKUP(B75,Baza[],14,0)="s","Sat",IF(VLOOKUP(B75,Baza[],14,0)="XP","Phase",                                         IF(VLOOKUP(B75,Baza[],19,0)="-","",VLOOKUP(B75,Baza[],19,0)))),"")</f>
        <v/>
      </c>
      <c r="L75" s="12" t="str">
        <f>IF(AND(B75="",B74&gt;0),SUM($L$5:L74),IFERROR(IF(VLOOKUP(B75,Baza[],21,0)=0,"-",VLOOKUP(B75,Baza[],21,0)),""))</f>
        <v/>
      </c>
      <c r="M75" s="12" t="str">
        <f>IF(AND(B75="",B74&gt;0),SUM($M$5:M74),IFERROR(IF(VLOOKUP(B75,Baza[],22,0)=0,"-",VLOOKUP(B75,Baza[],22,0)),""))</f>
        <v/>
      </c>
      <c r="N75" s="12" t="str">
        <f>IF(AND(B75="",B74&gt;0),SUM($N$5:N74),IFERROR(VLOOKUP(B75,Baza[],23,0),""))</f>
        <v/>
      </c>
      <c r="P75" s="13" t="str">
        <f>IFERROR(VLOOKUP(B75,Baza[],14,0),"")</f>
        <v/>
      </c>
      <c r="Q75" s="13" t="str">
        <f>IFERROR(VLOOKUP(B75,Baza[],13,0),"")</f>
        <v/>
      </c>
    </row>
    <row r="76" spans="1:17" ht="9.9499999999999993" customHeight="1" x14ac:dyDescent="0.25">
      <c r="A76" s="4">
        <v>1</v>
      </c>
      <c r="B76" s="48"/>
      <c r="C76" s="97"/>
      <c r="D76" s="111" t="str">
        <f t="shared" si="1"/>
        <v/>
      </c>
      <c r="E76" s="8" t="str">
        <f>IFERROR(VLOOKUP(B76,Baza[],7,0),"")</f>
        <v/>
      </c>
      <c r="F76" s="9" t="str">
        <f>IF(AND(B76="",B75&gt;0),"                           Total:   Games: "&amp;VLOOKUP($C$2,Data!$B$87:$N$9999,4,0)&amp;"     Buy-in: $ "&amp;TEXT(VLOOKUP($C$2,Data!$B$87:$N$9999,5,0),"0,0")&amp;"     ABI: $ "&amp;TEXT(VLOOKUP($C$2,Data!$B$87:$N$9999,6,0),"0,0"),IFERROR( IF(VLOOKUP(B76,Baza[],18,0)&gt;0," ["&amp;VLOOKUP(B76,Baza[],18,0)+1&amp;"] ","   ")      &amp;IFERROR(IF(OR(VLOOKUP(B76,Baza[],9,0)="WN",VLOOKUP(B76,Baza[],9,0)="ES"),"€ ","$ ")&amp;      VLOOKUP(B76,Baza[],8,0),"")         &amp;" ["&amp;VLOOKUP(B76,Baza[],9,0)&amp;"] "&amp;VLOOKUP(B76,Baza[],10,0)&amp;IF(VLOOKUP(B76,Baza[],12,0)="T"," [Turbo]",   IF(VLOOKUP(B76,Baza[],12,0)="H"," [Hyper]",                                 "") )            &amp;  IF(VLOOKUP(B76,Baza[],14,0)="s",   ", "&amp;VLOOKUP(B76,Baza[],15,0)&amp;" Tickets",                                                                                                 IF(OR(VLOOKUP(B76,Baza[],14,0)="XP",VLOOKUP(B76,Baza[],14,0)="XP2"),VLOOKUP(B76,Baza[],15,0),            IF(OR(VLOOKUP(B76,Baza[],9,0)="WN",VLOOKUP(B76,Baza[],9,0)="ES"),", €",", $")&amp;                          IF(VLOOKUP(B76,Baza[],15,0)&lt;1000,VLOOKUP(B76,Baza[],15,0),IF(VLOOKUP(B76,Baza[],15,0)&lt;1000000,IF(VLOOKUP(B76,Baza[],15,0)/1000=INT(VLOOKUP(B76,Baza[],15,0)/1000),TEXT(VLOOKUP(B76,Baza[],15,0),"#0 K"),TEXT(VLOOKUP(B76,Baza[],15,0),"#0,0 K")), IF(VLOOKUP(B76,Baza[],15,0)/1000000=INT(VLOOKUP(B76,Baza[],15,0)/1000000),TEXT(VLOOKUP(B76,Baza[],15,0),"# ###  M"),TEXT(VLOOKUP(B76,Baza[],15,0),"# ###,0  M")))))),""))</f>
        <v/>
      </c>
      <c r="G76" s="10"/>
      <c r="H76" s="10"/>
      <c r="I76" s="10"/>
      <c r="J76" s="10"/>
      <c r="K76" s="11" t="str">
        <f>IFERROR(IF(VLOOKUP(B76,Baza[],14,0)="s","Sat",IF(VLOOKUP(B76,Baza[],14,0)="XP","Phase",                                         IF(VLOOKUP(B76,Baza[],19,0)="-","",VLOOKUP(B76,Baza[],19,0)))),"")</f>
        <v/>
      </c>
      <c r="L76" s="12" t="str">
        <f>IF(AND(B76="",B75&gt;0),SUM($L$5:L75),IFERROR(IF(VLOOKUP(B76,Baza[],21,0)=0,"-",VLOOKUP(B76,Baza[],21,0)),""))</f>
        <v/>
      </c>
      <c r="M76" s="12" t="str">
        <f>IF(AND(B76="",B75&gt;0),SUM($M$5:M75),IFERROR(IF(VLOOKUP(B76,Baza[],22,0)=0,"-",VLOOKUP(B76,Baza[],22,0)),""))</f>
        <v/>
      </c>
      <c r="N76" s="12" t="str">
        <f>IF(AND(B76="",B75&gt;0),SUM($N$5:N75),IFERROR(VLOOKUP(B76,Baza[],23,0),""))</f>
        <v/>
      </c>
      <c r="P76" s="13" t="str">
        <f>IFERROR(VLOOKUP(B76,Baza[],14,0),"")</f>
        <v/>
      </c>
      <c r="Q76" s="13" t="str">
        <f>IFERROR(VLOOKUP(B76,Baza[],13,0),"")</f>
        <v/>
      </c>
    </row>
    <row r="77" spans="1:17" ht="9.9499999999999993" customHeight="1" x14ac:dyDescent="0.25">
      <c r="A77" s="4">
        <v>2</v>
      </c>
      <c r="B77" s="48"/>
      <c r="C77" s="97"/>
      <c r="D77" s="111" t="str">
        <f t="shared" si="1"/>
        <v/>
      </c>
      <c r="E77" s="8" t="str">
        <f>IFERROR(VLOOKUP(B77,Baza[],7,0),"")</f>
        <v/>
      </c>
      <c r="F77" s="9" t="str">
        <f>IF(AND(B77="",B76&gt;0),"                           Total:   Games: "&amp;VLOOKUP($C$2,Data!$B$87:$N$9999,4,0)&amp;"     Buy-in: $ "&amp;TEXT(VLOOKUP($C$2,Data!$B$87:$N$9999,5,0),"0,0")&amp;"     ABI: $ "&amp;TEXT(VLOOKUP($C$2,Data!$B$87:$N$9999,6,0),"0,0"),IFERROR( IF(VLOOKUP(B77,Baza[],18,0)&gt;0," ["&amp;VLOOKUP(B77,Baza[],18,0)+1&amp;"] ","   ")      &amp;IFERROR(IF(OR(VLOOKUP(B77,Baza[],9,0)="WN",VLOOKUP(B77,Baza[],9,0)="ES"),"€ ","$ ")&amp;      VLOOKUP(B77,Baza[],8,0),"")         &amp;" ["&amp;VLOOKUP(B77,Baza[],9,0)&amp;"] "&amp;VLOOKUP(B77,Baza[],10,0)&amp;IF(VLOOKUP(B77,Baza[],12,0)="T"," [Turbo]",   IF(VLOOKUP(B77,Baza[],12,0)="H"," [Hyper]",                                 "") )            &amp;  IF(VLOOKUP(B77,Baza[],14,0)="s",   ", "&amp;VLOOKUP(B77,Baza[],15,0)&amp;" Tickets",                                                                                                 IF(OR(VLOOKUP(B77,Baza[],14,0)="XP",VLOOKUP(B77,Baza[],14,0)="XP2"),VLOOKUP(B77,Baza[],15,0),            IF(OR(VLOOKUP(B77,Baza[],9,0)="WN",VLOOKUP(B77,Baza[],9,0)="ES"),", €",", $")&amp;                          IF(VLOOKUP(B77,Baza[],15,0)&lt;1000,VLOOKUP(B77,Baza[],15,0),IF(VLOOKUP(B77,Baza[],15,0)&lt;1000000,IF(VLOOKUP(B77,Baza[],15,0)/1000=INT(VLOOKUP(B77,Baza[],15,0)/1000),TEXT(VLOOKUP(B77,Baza[],15,0),"#0 K"),TEXT(VLOOKUP(B77,Baza[],15,0),"#0,0 K")), IF(VLOOKUP(B77,Baza[],15,0)/1000000=INT(VLOOKUP(B77,Baza[],15,0)/1000000),TEXT(VLOOKUP(B77,Baza[],15,0),"# ###  M"),TEXT(VLOOKUP(B77,Baza[],15,0),"# ###,0  M")))))),""))</f>
        <v/>
      </c>
      <c r="G77" s="10"/>
      <c r="H77" s="10"/>
      <c r="I77" s="10"/>
      <c r="J77" s="10"/>
      <c r="K77" s="11" t="str">
        <f>IFERROR(IF(VLOOKUP(B77,Baza[],14,0)="s","Sat",IF(VLOOKUP(B77,Baza[],14,0)="XP","Phase",                                         IF(VLOOKUP(B77,Baza[],19,0)="-","",VLOOKUP(B77,Baza[],19,0)))),"")</f>
        <v/>
      </c>
      <c r="L77" s="12" t="str">
        <f>IF(AND(B77="",B76&gt;0),SUM($L$5:L76),IFERROR(IF(VLOOKUP(B77,Baza[],21,0)=0,"-",VLOOKUP(B77,Baza[],21,0)),""))</f>
        <v/>
      </c>
      <c r="M77" s="12" t="str">
        <f>IF(AND(B77="",B76&gt;0),SUM($M$5:M76),IFERROR(IF(VLOOKUP(B77,Baza[],22,0)=0,"-",VLOOKUP(B77,Baza[],22,0)),""))</f>
        <v/>
      </c>
      <c r="N77" s="12" t="str">
        <f>IF(AND(B77="",B76&gt;0),SUM($N$5:N76),IFERROR(VLOOKUP(B77,Baza[],23,0),""))</f>
        <v/>
      </c>
      <c r="P77" s="13" t="str">
        <f>IFERROR(VLOOKUP(B77,Baza[],14,0),"")</f>
        <v/>
      </c>
      <c r="Q77" s="13" t="str">
        <f>IFERROR(VLOOKUP(B77,Baza[],13,0),"")</f>
        <v/>
      </c>
    </row>
    <row r="78" spans="1:17" ht="9.9499999999999993" customHeight="1" x14ac:dyDescent="0.25">
      <c r="A78" s="4">
        <v>1</v>
      </c>
      <c r="B78" s="48"/>
      <c r="C78" s="97"/>
      <c r="D78" s="111" t="str">
        <f t="shared" si="1"/>
        <v/>
      </c>
      <c r="E78" s="8" t="str">
        <f>IFERROR(VLOOKUP(B78,Baza[],7,0),"")</f>
        <v/>
      </c>
      <c r="F78" s="9" t="str">
        <f>IF(AND(B78="",B77&gt;0),"                           Total:   Games: "&amp;VLOOKUP($C$2,Data!$B$87:$N$9999,4,0)&amp;"     Buy-in: $ "&amp;TEXT(VLOOKUP($C$2,Data!$B$87:$N$9999,5,0),"0,0")&amp;"     ABI: $ "&amp;TEXT(VLOOKUP($C$2,Data!$B$87:$N$9999,6,0),"0,0"),IFERROR( IF(VLOOKUP(B78,Baza[],18,0)&gt;0," ["&amp;VLOOKUP(B78,Baza[],18,0)+1&amp;"] ","   ")      &amp;IFERROR(IF(OR(VLOOKUP(B78,Baza[],9,0)="WN",VLOOKUP(B78,Baza[],9,0)="ES"),"€ ","$ ")&amp;      VLOOKUP(B78,Baza[],8,0),"")         &amp;" ["&amp;VLOOKUP(B78,Baza[],9,0)&amp;"] "&amp;VLOOKUP(B78,Baza[],10,0)&amp;IF(VLOOKUP(B78,Baza[],12,0)="T"," [Turbo]",   IF(VLOOKUP(B78,Baza[],12,0)="H"," [Hyper]",                                 "") )            &amp;  IF(VLOOKUP(B78,Baza[],14,0)="s",   ", "&amp;VLOOKUP(B78,Baza[],15,0)&amp;" Tickets",                                                                                                 IF(OR(VLOOKUP(B78,Baza[],14,0)="XP",VLOOKUP(B78,Baza[],14,0)="XP2"),VLOOKUP(B78,Baza[],15,0),            IF(OR(VLOOKUP(B78,Baza[],9,0)="WN",VLOOKUP(B78,Baza[],9,0)="ES"),", €",", $")&amp;                          IF(VLOOKUP(B78,Baza[],15,0)&lt;1000,VLOOKUP(B78,Baza[],15,0),IF(VLOOKUP(B78,Baza[],15,0)&lt;1000000,IF(VLOOKUP(B78,Baza[],15,0)/1000=INT(VLOOKUP(B78,Baza[],15,0)/1000),TEXT(VLOOKUP(B78,Baza[],15,0),"#0 K"),TEXT(VLOOKUP(B78,Baza[],15,0),"#0,0 K")), IF(VLOOKUP(B78,Baza[],15,0)/1000000=INT(VLOOKUP(B78,Baza[],15,0)/1000000),TEXT(VLOOKUP(B78,Baza[],15,0),"# ###  M"),TEXT(VLOOKUP(B78,Baza[],15,0),"# ###,0  M")))))),""))</f>
        <v/>
      </c>
      <c r="G78" s="10"/>
      <c r="H78" s="10"/>
      <c r="I78" s="10"/>
      <c r="J78" s="10"/>
      <c r="K78" s="11" t="str">
        <f>IFERROR(IF(VLOOKUP(B78,Baza[],14,0)="s","Sat",IF(VLOOKUP(B78,Baza[],14,0)="XP","Phase",                                         IF(VLOOKUP(B78,Baza[],19,0)="-","",VLOOKUP(B78,Baza[],19,0)))),"")</f>
        <v/>
      </c>
      <c r="L78" s="12" t="str">
        <f>IF(AND(B78="",B77&gt;0),SUM($L$5:L77),IFERROR(IF(VLOOKUP(B78,Baza[],21,0)=0,"-",VLOOKUP(B78,Baza[],21,0)),""))</f>
        <v/>
      </c>
      <c r="M78" s="12" t="str">
        <f>IF(AND(B78="",B77&gt;0),SUM($M$5:M77),IFERROR(IF(VLOOKUP(B78,Baza[],22,0)=0,"-",VLOOKUP(B78,Baza[],22,0)),""))</f>
        <v/>
      </c>
      <c r="N78" s="12" t="str">
        <f>IF(AND(B78="",B77&gt;0),SUM($N$5:N77),IFERROR(VLOOKUP(B78,Baza[],23,0),""))</f>
        <v/>
      </c>
      <c r="P78" s="13" t="str">
        <f>IFERROR(VLOOKUP(B78,Baza[],14,0),"")</f>
        <v/>
      </c>
      <c r="Q78" s="13" t="str">
        <f>IFERROR(VLOOKUP(B78,Baza[],13,0),"")</f>
        <v/>
      </c>
    </row>
    <row r="79" spans="1:17" ht="9.9499999999999993" customHeight="1" x14ac:dyDescent="0.25">
      <c r="A79" s="4">
        <v>2</v>
      </c>
      <c r="B79" s="48"/>
      <c r="C79" s="97"/>
      <c r="D79" s="111" t="str">
        <f t="shared" si="1"/>
        <v/>
      </c>
      <c r="E79" s="8" t="str">
        <f>IFERROR(VLOOKUP(B79,Baza[],7,0),"")</f>
        <v/>
      </c>
      <c r="F79" s="9" t="str">
        <f>IF(AND(B79="",B78&gt;0),"                           Total:   Games: "&amp;VLOOKUP($C$2,Data!$B$87:$N$9999,4,0)&amp;"     Buy-in: $ "&amp;TEXT(VLOOKUP($C$2,Data!$B$87:$N$9999,5,0),"0,0")&amp;"     ABI: $ "&amp;TEXT(VLOOKUP($C$2,Data!$B$87:$N$9999,6,0),"0,0"),IFERROR( IF(VLOOKUP(B79,Baza[],18,0)&gt;0," ["&amp;VLOOKUP(B79,Baza[],18,0)+1&amp;"] ","   ")      &amp;IFERROR(IF(OR(VLOOKUP(B79,Baza[],9,0)="WN",VLOOKUP(B79,Baza[],9,0)="ES"),"€ ","$ ")&amp;      VLOOKUP(B79,Baza[],8,0),"")         &amp;" ["&amp;VLOOKUP(B79,Baza[],9,0)&amp;"] "&amp;VLOOKUP(B79,Baza[],10,0)&amp;IF(VLOOKUP(B79,Baza[],12,0)="T"," [Turbo]",   IF(VLOOKUP(B79,Baza[],12,0)="H"," [Hyper]",                                 "") )            &amp;  IF(VLOOKUP(B79,Baza[],14,0)="s",   ", "&amp;VLOOKUP(B79,Baza[],15,0)&amp;" Tickets",                                                                                                 IF(OR(VLOOKUP(B79,Baza[],14,0)="XP",VLOOKUP(B79,Baza[],14,0)="XP2"),VLOOKUP(B79,Baza[],15,0),            IF(OR(VLOOKUP(B79,Baza[],9,0)="WN",VLOOKUP(B79,Baza[],9,0)="ES"),", €",", $")&amp;                          IF(VLOOKUP(B79,Baza[],15,0)&lt;1000,VLOOKUP(B79,Baza[],15,0),IF(VLOOKUP(B79,Baza[],15,0)&lt;1000000,IF(VLOOKUP(B79,Baza[],15,0)/1000=INT(VLOOKUP(B79,Baza[],15,0)/1000),TEXT(VLOOKUP(B79,Baza[],15,0),"#0 K"),TEXT(VLOOKUP(B79,Baza[],15,0),"#0,0 K")), IF(VLOOKUP(B79,Baza[],15,0)/1000000=INT(VLOOKUP(B79,Baza[],15,0)/1000000),TEXT(VLOOKUP(B79,Baza[],15,0),"# ###  M"),TEXT(VLOOKUP(B79,Baza[],15,0),"# ###,0  M")))))),""))</f>
        <v/>
      </c>
      <c r="G79" s="10"/>
      <c r="H79" s="10"/>
      <c r="I79" s="10"/>
      <c r="J79" s="10"/>
      <c r="K79" s="11" t="str">
        <f>IFERROR(IF(VLOOKUP(B79,Baza[],14,0)="s","Sat",IF(VLOOKUP(B79,Baza[],14,0)="XP","Phase",                                         IF(VLOOKUP(B79,Baza[],19,0)="-","",VLOOKUP(B79,Baza[],19,0)))),"")</f>
        <v/>
      </c>
      <c r="L79" s="12" t="str">
        <f>IF(AND(B79="",B78&gt;0),SUM($L$5:L78),IFERROR(IF(VLOOKUP(B79,Baza[],21,0)=0,"-",VLOOKUP(B79,Baza[],21,0)),""))</f>
        <v/>
      </c>
      <c r="M79" s="12" t="str">
        <f>IF(AND(B79="",B78&gt;0),SUM($M$5:M78),IFERROR(IF(VLOOKUP(B79,Baza[],22,0)=0,"-",VLOOKUP(B79,Baza[],22,0)),""))</f>
        <v/>
      </c>
      <c r="N79" s="12" t="str">
        <f>IF(AND(B79="",B78&gt;0),SUM($N$5:N78),IFERROR(VLOOKUP(B79,Baza[],23,0),""))</f>
        <v/>
      </c>
      <c r="P79" s="13" t="str">
        <f>IFERROR(VLOOKUP(B79,Baza[],14,0),"")</f>
        <v/>
      </c>
      <c r="Q79" s="13" t="str">
        <f>IFERROR(VLOOKUP(B79,Baza[],13,0),"")</f>
        <v/>
      </c>
    </row>
    <row r="80" spans="1:17" ht="9.9499999999999993" customHeight="1" x14ac:dyDescent="0.25">
      <c r="A80" s="4">
        <v>1</v>
      </c>
      <c r="B80" s="48"/>
      <c r="C80" s="97"/>
      <c r="D80" s="111" t="str">
        <f t="shared" si="1"/>
        <v/>
      </c>
      <c r="E80" s="8" t="str">
        <f>IFERROR(VLOOKUP(B80,Baza[],7,0),"")</f>
        <v/>
      </c>
      <c r="F80" s="9" t="str">
        <f>IF(AND(B80="",B79&gt;0),"                           Total:   Games: "&amp;VLOOKUP($C$2,Data!$B$87:$N$9999,4,0)&amp;"     Buy-in: $ "&amp;TEXT(VLOOKUP($C$2,Data!$B$87:$N$9999,5,0),"0,0")&amp;"     ABI: $ "&amp;TEXT(VLOOKUP($C$2,Data!$B$87:$N$9999,6,0),"0,0"),IFERROR( IF(VLOOKUP(B80,Baza[],18,0)&gt;0," ["&amp;VLOOKUP(B80,Baza[],18,0)+1&amp;"] ","   ")      &amp;IFERROR(IF(OR(VLOOKUP(B80,Baza[],9,0)="WN",VLOOKUP(B80,Baza[],9,0)="ES"),"€ ","$ ")&amp;      VLOOKUP(B80,Baza[],8,0),"")         &amp;" ["&amp;VLOOKUP(B80,Baza[],9,0)&amp;"] "&amp;VLOOKUP(B80,Baza[],10,0)&amp;IF(VLOOKUP(B80,Baza[],12,0)="T"," [Turbo]",   IF(VLOOKUP(B80,Baza[],12,0)="H"," [Hyper]",                                 "") )            &amp;  IF(VLOOKUP(B80,Baza[],14,0)="s",   ", "&amp;VLOOKUP(B80,Baza[],15,0)&amp;" Tickets",                                                                                                 IF(OR(VLOOKUP(B80,Baza[],14,0)="XP",VLOOKUP(B80,Baza[],14,0)="XP2"),VLOOKUP(B80,Baza[],15,0),            IF(OR(VLOOKUP(B80,Baza[],9,0)="WN",VLOOKUP(B80,Baza[],9,0)="ES"),", €",", $")&amp;                          IF(VLOOKUP(B80,Baza[],15,0)&lt;1000,VLOOKUP(B80,Baza[],15,0),IF(VLOOKUP(B80,Baza[],15,0)&lt;1000000,IF(VLOOKUP(B80,Baza[],15,0)/1000=INT(VLOOKUP(B80,Baza[],15,0)/1000),TEXT(VLOOKUP(B80,Baza[],15,0),"#0 K"),TEXT(VLOOKUP(B80,Baza[],15,0),"#0,0 K")), IF(VLOOKUP(B80,Baza[],15,0)/1000000=INT(VLOOKUP(B80,Baza[],15,0)/1000000),TEXT(VLOOKUP(B80,Baza[],15,0),"# ###  M"),TEXT(VLOOKUP(B80,Baza[],15,0),"# ###,0  M")))))),""))</f>
        <v/>
      </c>
      <c r="G80" s="10"/>
      <c r="H80" s="10"/>
      <c r="I80" s="10"/>
      <c r="J80" s="10"/>
      <c r="K80" s="11" t="str">
        <f>IFERROR(IF(VLOOKUP(B80,Baza[],14,0)="s","Sat",IF(VLOOKUP(B80,Baza[],14,0)="XP","Phase",                                         IF(VLOOKUP(B80,Baza[],19,0)="-","",VLOOKUP(B80,Baza[],19,0)))),"")</f>
        <v/>
      </c>
      <c r="L80" s="12" t="str">
        <f>IF(AND(B80="",B79&gt;0),SUM($L$5:L79),IFERROR(IF(VLOOKUP(B80,Baza[],21,0)=0,"-",VLOOKUP(B80,Baza[],21,0)),""))</f>
        <v/>
      </c>
      <c r="M80" s="12" t="str">
        <f>IF(AND(B80="",B79&gt;0),SUM($M$5:M79),IFERROR(IF(VLOOKUP(B80,Baza[],22,0)=0,"-",VLOOKUP(B80,Baza[],22,0)),""))</f>
        <v/>
      </c>
      <c r="N80" s="12" t="str">
        <f>IF(AND(B80="",B79&gt;0),SUM($N$5:N79),IFERROR(VLOOKUP(B80,Baza[],23,0),""))</f>
        <v/>
      </c>
      <c r="P80" s="13" t="str">
        <f>IFERROR(VLOOKUP(B80,Baza[],14,0),"")</f>
        <v/>
      </c>
      <c r="Q80" s="13" t="str">
        <f>IFERROR(VLOOKUP(B80,Baza[],13,0),"")</f>
        <v/>
      </c>
    </row>
    <row r="81" spans="1:17" ht="9.9499999999999993" customHeight="1" x14ac:dyDescent="0.25">
      <c r="A81" s="4">
        <v>2</v>
      </c>
      <c r="B81" s="48"/>
      <c r="C81" s="97"/>
      <c r="D81" s="111" t="str">
        <f t="shared" si="1"/>
        <v/>
      </c>
      <c r="E81" s="8" t="str">
        <f>IFERROR(VLOOKUP(B81,Baza[],7,0),"")</f>
        <v/>
      </c>
      <c r="F81" s="9" t="str">
        <f>IF(AND(B81="",B80&gt;0),"                           Total:   Games: "&amp;VLOOKUP($C$2,Data!$B$87:$N$9999,4,0)&amp;"     Buy-in: $ "&amp;TEXT(VLOOKUP($C$2,Data!$B$87:$N$9999,5,0),"0,0")&amp;"     ABI: $ "&amp;TEXT(VLOOKUP($C$2,Data!$B$87:$N$9999,6,0),"0,0"),IFERROR( IF(VLOOKUP(B81,Baza[],18,0)&gt;0," ["&amp;VLOOKUP(B81,Baza[],18,0)+1&amp;"] ","   ")      &amp;IFERROR(IF(OR(VLOOKUP(B81,Baza[],9,0)="WN",VLOOKUP(B81,Baza[],9,0)="ES"),"€ ","$ ")&amp;      VLOOKUP(B81,Baza[],8,0),"")         &amp;" ["&amp;VLOOKUP(B81,Baza[],9,0)&amp;"] "&amp;VLOOKUP(B81,Baza[],10,0)&amp;IF(VLOOKUP(B81,Baza[],12,0)="T"," [Turbo]",   IF(VLOOKUP(B81,Baza[],12,0)="H"," [Hyper]",                                 "") )            &amp;  IF(VLOOKUP(B81,Baza[],14,0)="s",   ", "&amp;VLOOKUP(B81,Baza[],15,0)&amp;" Tickets",                                                                                                 IF(OR(VLOOKUP(B81,Baza[],14,0)="XP",VLOOKUP(B81,Baza[],14,0)="XP2"),VLOOKUP(B81,Baza[],15,0),            IF(OR(VLOOKUP(B81,Baza[],9,0)="WN",VLOOKUP(B81,Baza[],9,0)="ES"),", €",", $")&amp;                          IF(VLOOKUP(B81,Baza[],15,0)&lt;1000,VLOOKUP(B81,Baza[],15,0),IF(VLOOKUP(B81,Baza[],15,0)&lt;1000000,IF(VLOOKUP(B81,Baza[],15,0)/1000=INT(VLOOKUP(B81,Baza[],15,0)/1000),TEXT(VLOOKUP(B81,Baza[],15,0),"#0 K"),TEXT(VLOOKUP(B81,Baza[],15,0),"#0,0 K")), IF(VLOOKUP(B81,Baza[],15,0)/1000000=INT(VLOOKUP(B81,Baza[],15,0)/1000000),TEXT(VLOOKUP(B81,Baza[],15,0),"# ###  M"),TEXT(VLOOKUP(B81,Baza[],15,0),"# ###,0  M")))))),""))</f>
        <v/>
      </c>
      <c r="G81" s="10"/>
      <c r="H81" s="10"/>
      <c r="I81" s="10"/>
      <c r="J81" s="10"/>
      <c r="K81" s="11" t="str">
        <f>IFERROR(IF(VLOOKUP(B81,Baza[],14,0)="s","Sat",IF(VLOOKUP(B81,Baza[],14,0)="XP","Phase",                                         IF(VLOOKUP(B81,Baza[],19,0)="-","",VLOOKUP(B81,Baza[],19,0)))),"")</f>
        <v/>
      </c>
      <c r="L81" s="12" t="str">
        <f>IF(AND(B81="",B80&gt;0),SUM($L$5:L80),IFERROR(IF(VLOOKUP(B81,Baza[],21,0)=0,"-",VLOOKUP(B81,Baza[],21,0)),""))</f>
        <v/>
      </c>
      <c r="M81" s="12" t="str">
        <f>IF(AND(B81="",B80&gt;0),SUM($M$5:M80),IFERROR(IF(VLOOKUP(B81,Baza[],22,0)=0,"-",VLOOKUP(B81,Baza[],22,0)),""))</f>
        <v/>
      </c>
      <c r="N81" s="12" t="str">
        <f>IF(AND(B81="",B80&gt;0),SUM($N$5:N80),IFERROR(VLOOKUP(B81,Baza[],23,0),""))</f>
        <v/>
      </c>
      <c r="P81" s="13" t="str">
        <f>IFERROR(VLOOKUP(B81,Baza[],14,0),"")</f>
        <v/>
      </c>
      <c r="Q81" s="13" t="str">
        <f>IFERROR(VLOOKUP(B81,Baza[],13,0),"")</f>
        <v/>
      </c>
    </row>
    <row r="82" spans="1:17" ht="9.9499999999999993" customHeight="1" x14ac:dyDescent="0.25">
      <c r="A82" s="4">
        <v>1</v>
      </c>
      <c r="B82" s="48"/>
      <c r="C82" s="97"/>
      <c r="D82" s="111" t="str">
        <f t="shared" si="1"/>
        <v/>
      </c>
      <c r="E82" s="8" t="str">
        <f>IFERROR(VLOOKUP(B82,Baza[],7,0),"")</f>
        <v/>
      </c>
      <c r="F82" s="9" t="str">
        <f>IF(AND(B82="",B81&gt;0),"                           Total:   Games: "&amp;VLOOKUP($C$2,Data!$B$87:$N$9999,4,0)&amp;"     Buy-in: $ "&amp;TEXT(VLOOKUP($C$2,Data!$B$87:$N$9999,5,0),"0,0")&amp;"     ABI: $ "&amp;TEXT(VLOOKUP($C$2,Data!$B$87:$N$9999,6,0),"0,0"),IFERROR( IF(VLOOKUP(B82,Baza[],18,0)&gt;0," ["&amp;VLOOKUP(B82,Baza[],18,0)+1&amp;"] ","   ")      &amp;IFERROR(IF(OR(VLOOKUP(B82,Baza[],9,0)="WN",VLOOKUP(B82,Baza[],9,0)="ES"),"€ ","$ ")&amp;      VLOOKUP(B82,Baza[],8,0),"")         &amp;" ["&amp;VLOOKUP(B82,Baza[],9,0)&amp;"] "&amp;VLOOKUP(B82,Baza[],10,0)&amp;IF(VLOOKUP(B82,Baza[],12,0)="T"," [Turbo]",   IF(VLOOKUP(B82,Baza[],12,0)="H"," [Hyper]",                                 "") )            &amp;  IF(VLOOKUP(B82,Baza[],14,0)="s",   ", "&amp;VLOOKUP(B82,Baza[],15,0)&amp;" Tickets",                                                                                                 IF(OR(VLOOKUP(B82,Baza[],14,0)="XP",VLOOKUP(B82,Baza[],14,0)="XP2"),VLOOKUP(B82,Baza[],15,0),            IF(OR(VLOOKUP(B82,Baza[],9,0)="WN",VLOOKUP(B82,Baza[],9,0)="ES"),", €",", $")&amp;                          IF(VLOOKUP(B82,Baza[],15,0)&lt;1000,VLOOKUP(B82,Baza[],15,0),IF(VLOOKUP(B82,Baza[],15,0)&lt;1000000,IF(VLOOKUP(B82,Baza[],15,0)/1000=INT(VLOOKUP(B82,Baza[],15,0)/1000),TEXT(VLOOKUP(B82,Baza[],15,0),"#0 K"),TEXT(VLOOKUP(B82,Baza[],15,0),"#0,0 K")), IF(VLOOKUP(B82,Baza[],15,0)/1000000=INT(VLOOKUP(B82,Baza[],15,0)/1000000),TEXT(VLOOKUP(B82,Baza[],15,0),"# ###  M"),TEXT(VLOOKUP(B82,Baza[],15,0),"# ###,0  M")))))),""))</f>
        <v/>
      </c>
      <c r="G82" s="10"/>
      <c r="H82" s="10"/>
      <c r="I82" s="10"/>
      <c r="J82" s="10"/>
      <c r="K82" s="11" t="str">
        <f>IFERROR(IF(VLOOKUP(B82,Baza[],14,0)="s","Sat",IF(VLOOKUP(B82,Baza[],14,0)="XP","Phase",                                         IF(VLOOKUP(B82,Baza[],19,0)="-","",VLOOKUP(B82,Baza[],19,0)))),"")</f>
        <v/>
      </c>
      <c r="L82" s="12" t="str">
        <f>IF(AND(B82="",B81&gt;0),SUM($L$5:L81),IFERROR(IF(VLOOKUP(B82,Baza[],21,0)=0,"-",VLOOKUP(B82,Baza[],21,0)),""))</f>
        <v/>
      </c>
      <c r="M82" s="12" t="str">
        <f>IF(AND(B82="",B81&gt;0),SUM($M$5:M81),IFERROR(IF(VLOOKUP(B82,Baza[],22,0)=0,"-",VLOOKUP(B82,Baza[],22,0)),""))</f>
        <v/>
      </c>
      <c r="N82" s="12" t="str">
        <f>IF(AND(B82="",B81&gt;0),SUM($N$5:N81),IFERROR(VLOOKUP(B82,Baza[],23,0),""))</f>
        <v/>
      </c>
      <c r="P82" s="13" t="str">
        <f>IFERROR(VLOOKUP(B82,Baza[],14,0),"")</f>
        <v/>
      </c>
      <c r="Q82" s="13" t="str">
        <f>IFERROR(VLOOKUP(B82,Baza[],13,0),"")</f>
        <v/>
      </c>
    </row>
    <row r="83" spans="1:17" ht="9.9499999999999993" customHeight="1" x14ac:dyDescent="0.25">
      <c r="A83" s="4">
        <v>2</v>
      </c>
      <c r="B83" s="48"/>
      <c r="C83" s="97"/>
      <c r="D83" s="111" t="str">
        <f t="shared" si="1"/>
        <v/>
      </c>
      <c r="E83" s="8" t="str">
        <f>IFERROR(VLOOKUP(B83,Baza[],7,0),"")</f>
        <v/>
      </c>
      <c r="F83" s="9" t="str">
        <f>IF(AND(B83="",B82&gt;0),"                           Total:   Games: "&amp;VLOOKUP($C$2,Data!$B$87:$N$9999,4,0)&amp;"     Buy-in: $ "&amp;TEXT(VLOOKUP($C$2,Data!$B$87:$N$9999,5,0),"0,0")&amp;"     ABI: $ "&amp;TEXT(VLOOKUP($C$2,Data!$B$87:$N$9999,6,0),"0,0"),IFERROR( IF(VLOOKUP(B83,Baza[],18,0)&gt;0," ["&amp;VLOOKUP(B83,Baza[],18,0)+1&amp;"] ","   ")      &amp;IFERROR(IF(OR(VLOOKUP(B83,Baza[],9,0)="WN",VLOOKUP(B83,Baza[],9,0)="ES"),"€ ","$ ")&amp;      VLOOKUP(B83,Baza[],8,0),"")         &amp;" ["&amp;VLOOKUP(B83,Baza[],9,0)&amp;"] "&amp;VLOOKUP(B83,Baza[],10,0)&amp;IF(VLOOKUP(B83,Baza[],12,0)="T"," [Turbo]",   IF(VLOOKUP(B83,Baza[],12,0)="H"," [Hyper]",                                 "") )            &amp;  IF(VLOOKUP(B83,Baza[],14,0)="s",   ", "&amp;VLOOKUP(B83,Baza[],15,0)&amp;" Tickets",                                                                                                 IF(OR(VLOOKUP(B83,Baza[],14,0)="XP",VLOOKUP(B83,Baza[],14,0)="XP2"),VLOOKUP(B83,Baza[],15,0),            IF(OR(VLOOKUP(B83,Baza[],9,0)="WN",VLOOKUP(B83,Baza[],9,0)="ES"),", €",", $")&amp;                          IF(VLOOKUP(B83,Baza[],15,0)&lt;1000,VLOOKUP(B83,Baza[],15,0),IF(VLOOKUP(B83,Baza[],15,0)&lt;1000000,IF(VLOOKUP(B83,Baza[],15,0)/1000=INT(VLOOKUP(B83,Baza[],15,0)/1000),TEXT(VLOOKUP(B83,Baza[],15,0),"#0 K"),TEXT(VLOOKUP(B83,Baza[],15,0),"#0,0 K")), IF(VLOOKUP(B83,Baza[],15,0)/1000000=INT(VLOOKUP(B83,Baza[],15,0)/1000000),TEXT(VLOOKUP(B83,Baza[],15,0),"# ###  M"),TEXT(VLOOKUP(B83,Baza[],15,0),"# ###,0  M")))))),""))</f>
        <v/>
      </c>
      <c r="G83" s="10"/>
      <c r="H83" s="10"/>
      <c r="I83" s="10"/>
      <c r="J83" s="10"/>
      <c r="K83" s="11" t="str">
        <f>IFERROR(IF(VLOOKUP(B83,Baza[],14,0)="s","Sat",IF(VLOOKUP(B83,Baza[],14,0)="XP","Phase",                                         IF(VLOOKUP(B83,Baza[],19,0)="-","",VLOOKUP(B83,Baza[],19,0)))),"")</f>
        <v/>
      </c>
      <c r="L83" s="12" t="str">
        <f>IF(AND(B83="",B82&gt;0),SUM($L$5:L82),IFERROR(IF(VLOOKUP(B83,Baza[],21,0)=0,"-",VLOOKUP(B83,Baza[],21,0)),""))</f>
        <v/>
      </c>
      <c r="M83" s="12" t="str">
        <f>IF(AND(B83="",B82&gt;0),SUM($M$5:M82),IFERROR(IF(VLOOKUP(B83,Baza[],22,0)=0,"-",VLOOKUP(B83,Baza[],22,0)),""))</f>
        <v/>
      </c>
      <c r="N83" s="12" t="str">
        <f>IF(AND(B83="",B82&gt;0),SUM($N$5:N82),IFERROR(VLOOKUP(B83,Baza[],23,0),""))</f>
        <v/>
      </c>
      <c r="P83" s="13" t="str">
        <f>IFERROR(VLOOKUP(B83,Baza[],14,0),"")</f>
        <v/>
      </c>
      <c r="Q83" s="13" t="str">
        <f>IFERROR(VLOOKUP(B83,Baza[],13,0),"")</f>
        <v/>
      </c>
    </row>
    <row r="84" spans="1:17" ht="9.9499999999999993" customHeight="1" x14ac:dyDescent="0.25">
      <c r="A84" s="4">
        <v>1</v>
      </c>
      <c r="B84" s="48"/>
      <c r="C84" s="97"/>
      <c r="D84" s="111" t="str">
        <f t="shared" si="1"/>
        <v/>
      </c>
      <c r="E84" s="8" t="str">
        <f>IFERROR(VLOOKUP(B84,Baza[],7,0),"")</f>
        <v/>
      </c>
      <c r="F84" s="9" t="str">
        <f>IF(AND(B84="",B83&gt;0),"                           Total:   Games: "&amp;VLOOKUP($C$2,Data!$B$87:$N$9999,4,0)&amp;"     Buy-in: $ "&amp;TEXT(VLOOKUP($C$2,Data!$B$87:$N$9999,5,0),"0,0")&amp;"     ABI: $ "&amp;TEXT(VLOOKUP($C$2,Data!$B$87:$N$9999,6,0),"0,0"),IFERROR( IF(VLOOKUP(B84,Baza[],18,0)&gt;0," ["&amp;VLOOKUP(B84,Baza[],18,0)+1&amp;"] ","   ")      &amp;IFERROR(IF(OR(VLOOKUP(B84,Baza[],9,0)="WN",VLOOKUP(B84,Baza[],9,0)="ES"),"€ ","$ ")&amp;      VLOOKUP(B84,Baza[],8,0),"")         &amp;" ["&amp;VLOOKUP(B84,Baza[],9,0)&amp;"] "&amp;VLOOKUP(B84,Baza[],10,0)&amp;IF(VLOOKUP(B84,Baza[],12,0)="T"," [Turbo]",   IF(VLOOKUP(B84,Baza[],12,0)="H"," [Hyper]",                                 "") )            &amp;  IF(VLOOKUP(B84,Baza[],14,0)="s",   ", "&amp;VLOOKUP(B84,Baza[],15,0)&amp;" Tickets",                                                                                                 IF(OR(VLOOKUP(B84,Baza[],14,0)="XP",VLOOKUP(B84,Baza[],14,0)="XP2"),VLOOKUP(B84,Baza[],15,0),            IF(OR(VLOOKUP(B84,Baza[],9,0)="WN",VLOOKUP(B84,Baza[],9,0)="ES"),", €",", $")&amp;                          IF(VLOOKUP(B84,Baza[],15,0)&lt;1000,VLOOKUP(B84,Baza[],15,0),IF(VLOOKUP(B84,Baza[],15,0)&lt;1000000,IF(VLOOKUP(B84,Baza[],15,0)/1000=INT(VLOOKUP(B84,Baza[],15,0)/1000),TEXT(VLOOKUP(B84,Baza[],15,0),"#0 K"),TEXT(VLOOKUP(B84,Baza[],15,0),"#0,0 K")), IF(VLOOKUP(B84,Baza[],15,0)/1000000=INT(VLOOKUP(B84,Baza[],15,0)/1000000),TEXT(VLOOKUP(B84,Baza[],15,0),"# ###  M"),TEXT(VLOOKUP(B84,Baza[],15,0),"# ###,0  M")))))),""))</f>
        <v/>
      </c>
      <c r="G84" s="10"/>
      <c r="H84" s="10"/>
      <c r="I84" s="10"/>
      <c r="J84" s="10"/>
      <c r="K84" s="11" t="str">
        <f>IFERROR(IF(VLOOKUP(B84,Baza[],14,0)="s","Sat",IF(VLOOKUP(B84,Baza[],14,0)="XP","Phase",                                         IF(VLOOKUP(B84,Baza[],19,0)="-","",VLOOKUP(B84,Baza[],19,0)))),"")</f>
        <v/>
      </c>
      <c r="L84" s="12" t="str">
        <f>IF(AND(B84="",B83&gt;0),SUM($L$5:L83),IFERROR(IF(VLOOKUP(B84,Baza[],21,0)=0,"-",VLOOKUP(B84,Baza[],21,0)),""))</f>
        <v/>
      </c>
      <c r="M84" s="12" t="str">
        <f>IF(AND(B84="",B83&gt;0),SUM($M$5:M83),IFERROR(IF(VLOOKUP(B84,Baza[],22,0)=0,"-",VLOOKUP(B84,Baza[],22,0)),""))</f>
        <v/>
      </c>
      <c r="N84" s="12" t="str">
        <f>IF(AND(B84="",B83&gt;0),SUM($N$5:N83),IFERROR(VLOOKUP(B84,Baza[],23,0),""))</f>
        <v/>
      </c>
      <c r="P84" s="13" t="str">
        <f>IFERROR(VLOOKUP(B84,Baza[],14,0),"")</f>
        <v/>
      </c>
      <c r="Q84" s="13" t="str">
        <f>IFERROR(VLOOKUP(B84,Baza[],13,0),"")</f>
        <v/>
      </c>
    </row>
    <row r="85" spans="1:17" ht="9.9499999999999993" customHeight="1" x14ac:dyDescent="0.25">
      <c r="A85" s="4">
        <v>2</v>
      </c>
      <c r="B85" s="48"/>
      <c r="C85" s="97"/>
      <c r="D85" s="111" t="str">
        <f t="shared" si="1"/>
        <v/>
      </c>
      <c r="E85" s="8" t="str">
        <f>IFERROR(VLOOKUP(B85,Baza[],7,0),"")</f>
        <v/>
      </c>
      <c r="F85" s="9" t="str">
        <f>IF(AND(B85="",B84&gt;0),"                           Total:   Games: "&amp;VLOOKUP($C$2,Data!$B$87:$N$9999,4,0)&amp;"     Buy-in: $ "&amp;TEXT(VLOOKUP($C$2,Data!$B$87:$N$9999,5,0),"0,0")&amp;"     ABI: $ "&amp;TEXT(VLOOKUP($C$2,Data!$B$87:$N$9999,6,0),"0,0"),IFERROR( IF(VLOOKUP(B85,Baza[],18,0)&gt;0," ["&amp;VLOOKUP(B85,Baza[],18,0)+1&amp;"] ","   ")      &amp;IFERROR(IF(OR(VLOOKUP(B85,Baza[],9,0)="WN",VLOOKUP(B85,Baza[],9,0)="ES"),"€ ","$ ")&amp;      VLOOKUP(B85,Baza[],8,0),"")         &amp;" ["&amp;VLOOKUP(B85,Baza[],9,0)&amp;"] "&amp;VLOOKUP(B85,Baza[],10,0)&amp;IF(VLOOKUP(B85,Baza[],12,0)="T"," [Turbo]",   IF(VLOOKUP(B85,Baza[],12,0)="H"," [Hyper]",                                 "") )            &amp;  IF(VLOOKUP(B85,Baza[],14,0)="s",   ", "&amp;VLOOKUP(B85,Baza[],15,0)&amp;" Tickets",                                                                                                 IF(OR(VLOOKUP(B85,Baza[],14,0)="XP",VLOOKUP(B85,Baza[],14,0)="XP2"),VLOOKUP(B85,Baza[],15,0),            IF(OR(VLOOKUP(B85,Baza[],9,0)="WN",VLOOKUP(B85,Baza[],9,0)="ES"),", €",", $")&amp;                          IF(VLOOKUP(B85,Baza[],15,0)&lt;1000,VLOOKUP(B85,Baza[],15,0),IF(VLOOKUP(B85,Baza[],15,0)&lt;1000000,IF(VLOOKUP(B85,Baza[],15,0)/1000=INT(VLOOKUP(B85,Baza[],15,0)/1000),TEXT(VLOOKUP(B85,Baza[],15,0),"#0 K"),TEXT(VLOOKUP(B85,Baza[],15,0),"#0,0 K")), IF(VLOOKUP(B85,Baza[],15,0)/1000000=INT(VLOOKUP(B85,Baza[],15,0)/1000000),TEXT(VLOOKUP(B85,Baza[],15,0),"# ###  M"),TEXT(VLOOKUP(B85,Baza[],15,0),"# ###,0  M")))))),""))</f>
        <v/>
      </c>
      <c r="G85" s="10"/>
      <c r="H85" s="10"/>
      <c r="I85" s="10"/>
      <c r="J85" s="10"/>
      <c r="K85" s="11" t="str">
        <f>IFERROR(IF(VLOOKUP(B85,Baza[],14,0)="s","Sat",IF(VLOOKUP(B85,Baza[],14,0)="XP","Phase",                                         IF(VLOOKUP(B85,Baza[],19,0)="-","",VLOOKUP(B85,Baza[],19,0)))),"")</f>
        <v/>
      </c>
      <c r="L85" s="12" t="str">
        <f>IF(AND(B85="",B84&gt;0),SUM($L$5:L84),IFERROR(IF(VLOOKUP(B85,Baza[],21,0)=0,"-",VLOOKUP(B85,Baza[],21,0)),""))</f>
        <v/>
      </c>
      <c r="M85" s="12" t="str">
        <f>IF(AND(B85="",B84&gt;0),SUM($M$5:M84),IFERROR(IF(VLOOKUP(B85,Baza[],22,0)=0,"-",VLOOKUP(B85,Baza[],22,0)),""))</f>
        <v/>
      </c>
      <c r="N85" s="12" t="str">
        <f>IF(AND(B85="",B84&gt;0),SUM($N$5:N84),IFERROR(VLOOKUP(B85,Baza[],23,0),""))</f>
        <v/>
      </c>
      <c r="P85" s="13" t="str">
        <f>IFERROR(VLOOKUP(B85,Baza[],14,0),"")</f>
        <v/>
      </c>
      <c r="Q85" s="13" t="str">
        <f>IFERROR(VLOOKUP(B85,Baza[],13,0),"")</f>
        <v/>
      </c>
    </row>
    <row r="86" spans="1:17" ht="9.9499999999999993" customHeight="1" x14ac:dyDescent="0.25">
      <c r="A86" s="4">
        <v>1</v>
      </c>
      <c r="B86" s="48"/>
      <c r="C86" s="97"/>
      <c r="D86" s="111" t="str">
        <f t="shared" si="1"/>
        <v/>
      </c>
      <c r="E86" s="8" t="str">
        <f>IFERROR(VLOOKUP(B86,Baza[],7,0),"")</f>
        <v/>
      </c>
      <c r="F86" s="9" t="str">
        <f>IF(AND(B86="",B85&gt;0),"                           Total:   Games: "&amp;VLOOKUP($C$2,Data!$B$87:$N$9999,4,0)&amp;"     Buy-in: $ "&amp;TEXT(VLOOKUP($C$2,Data!$B$87:$N$9999,5,0),"0,0")&amp;"     ABI: $ "&amp;TEXT(VLOOKUP($C$2,Data!$B$87:$N$9999,6,0),"0,0"),IFERROR( IF(VLOOKUP(B86,Baza[],18,0)&gt;0," ["&amp;VLOOKUP(B86,Baza[],18,0)+1&amp;"] ","   ")      &amp;IFERROR(IF(OR(VLOOKUP(B86,Baza[],9,0)="WN",VLOOKUP(B86,Baza[],9,0)="ES"),"€ ","$ ")&amp;      VLOOKUP(B86,Baza[],8,0),"")         &amp;" ["&amp;VLOOKUP(B86,Baza[],9,0)&amp;"] "&amp;VLOOKUP(B86,Baza[],10,0)&amp;IF(VLOOKUP(B86,Baza[],12,0)="T"," [Turbo]",   IF(VLOOKUP(B86,Baza[],12,0)="H"," [Hyper]",                                 "") )            &amp;  IF(VLOOKUP(B86,Baza[],14,0)="s",   ", "&amp;VLOOKUP(B86,Baza[],15,0)&amp;" Tickets",                                                                                                 IF(OR(VLOOKUP(B86,Baza[],14,0)="XP",VLOOKUP(B86,Baza[],14,0)="XP2"),VLOOKUP(B86,Baza[],15,0),            IF(OR(VLOOKUP(B86,Baza[],9,0)="WN",VLOOKUP(B86,Baza[],9,0)="ES"),", €",", $")&amp;                          IF(VLOOKUP(B86,Baza[],15,0)&lt;1000,VLOOKUP(B86,Baza[],15,0),IF(VLOOKUP(B86,Baza[],15,0)&lt;1000000,IF(VLOOKUP(B86,Baza[],15,0)/1000=INT(VLOOKUP(B86,Baza[],15,0)/1000),TEXT(VLOOKUP(B86,Baza[],15,0),"#0 K"),TEXT(VLOOKUP(B86,Baza[],15,0),"#0,0 K")), IF(VLOOKUP(B86,Baza[],15,0)/1000000=INT(VLOOKUP(B86,Baza[],15,0)/1000000),TEXT(VLOOKUP(B86,Baza[],15,0),"# ###  M"),TEXT(VLOOKUP(B86,Baza[],15,0),"# ###,0  M")))))),""))</f>
        <v/>
      </c>
      <c r="G86" s="10"/>
      <c r="H86" s="10"/>
      <c r="I86" s="10"/>
      <c r="J86" s="10"/>
      <c r="K86" s="11" t="str">
        <f>IFERROR(IF(VLOOKUP(B86,Baza[],14,0)="s","Sat",IF(VLOOKUP(B86,Baza[],14,0)="XP","Phase",                                         IF(VLOOKUP(B86,Baza[],19,0)="-","",VLOOKUP(B86,Baza[],19,0)))),"")</f>
        <v/>
      </c>
      <c r="L86" s="12" t="str">
        <f>IF(AND(B86="",B85&gt;0),SUM($L$5:L85),IFERROR(IF(VLOOKUP(B86,Baza[],21,0)=0,"-",VLOOKUP(B86,Baza[],21,0)),""))</f>
        <v/>
      </c>
      <c r="M86" s="12" t="str">
        <f>IF(AND(B86="",B85&gt;0),SUM($M$5:M85),IFERROR(IF(VLOOKUP(B86,Baza[],22,0)=0,"-",VLOOKUP(B86,Baza[],22,0)),""))</f>
        <v/>
      </c>
      <c r="N86" s="12" t="str">
        <f>IF(AND(B86="",B85&gt;0),SUM($N$5:N85),IFERROR(VLOOKUP(B86,Baza[],23,0),""))</f>
        <v/>
      </c>
      <c r="P86" s="13" t="str">
        <f>IFERROR(VLOOKUP(B86,Baza[],14,0),"")</f>
        <v/>
      </c>
      <c r="Q86" s="13" t="str">
        <f>IFERROR(VLOOKUP(B86,Baza[],13,0),"")</f>
        <v/>
      </c>
    </row>
    <row r="87" spans="1:17" ht="9.9499999999999993" customHeight="1" x14ac:dyDescent="0.25">
      <c r="A87" s="4">
        <v>2</v>
      </c>
      <c r="B87" s="48"/>
      <c r="C87" s="97"/>
      <c r="D87" s="111" t="str">
        <f t="shared" si="1"/>
        <v/>
      </c>
      <c r="E87" s="8" t="str">
        <f>IFERROR(VLOOKUP(B87,Baza[],7,0),"")</f>
        <v/>
      </c>
      <c r="F87" s="9" t="str">
        <f>IF(AND(B87="",B86&gt;0),"                           Total:   Games: "&amp;VLOOKUP($C$2,Data!$B$87:$N$9999,4,0)&amp;"     Buy-in: $ "&amp;TEXT(VLOOKUP($C$2,Data!$B$87:$N$9999,5,0),"0,0")&amp;"     ABI: $ "&amp;TEXT(VLOOKUP($C$2,Data!$B$87:$N$9999,6,0),"0,0"),IFERROR( IF(VLOOKUP(B87,Baza[],18,0)&gt;0," ["&amp;VLOOKUP(B87,Baza[],18,0)+1&amp;"] ","   ")      &amp;IFERROR(IF(OR(VLOOKUP(B87,Baza[],9,0)="WN",VLOOKUP(B87,Baza[],9,0)="ES"),"€ ","$ ")&amp;      VLOOKUP(B87,Baza[],8,0),"")         &amp;" ["&amp;VLOOKUP(B87,Baza[],9,0)&amp;"] "&amp;VLOOKUP(B87,Baza[],10,0)&amp;IF(VLOOKUP(B87,Baza[],12,0)="T"," [Turbo]",   IF(VLOOKUP(B87,Baza[],12,0)="H"," [Hyper]",                                 "") )            &amp;  IF(VLOOKUP(B87,Baza[],14,0)="s",   ", "&amp;VLOOKUP(B87,Baza[],15,0)&amp;" Tickets",                                                                                                 IF(OR(VLOOKUP(B87,Baza[],14,0)="XP",VLOOKUP(B87,Baza[],14,0)="XP2"),VLOOKUP(B87,Baza[],15,0),            IF(OR(VLOOKUP(B87,Baza[],9,0)="WN",VLOOKUP(B87,Baza[],9,0)="ES"),", €",", $")&amp;                          IF(VLOOKUP(B87,Baza[],15,0)&lt;1000,VLOOKUP(B87,Baza[],15,0),IF(VLOOKUP(B87,Baza[],15,0)&lt;1000000,IF(VLOOKUP(B87,Baza[],15,0)/1000=INT(VLOOKUP(B87,Baza[],15,0)/1000),TEXT(VLOOKUP(B87,Baza[],15,0),"#0 K"),TEXT(VLOOKUP(B87,Baza[],15,0),"#0,0 K")), IF(VLOOKUP(B87,Baza[],15,0)/1000000=INT(VLOOKUP(B87,Baza[],15,0)/1000000),TEXT(VLOOKUP(B87,Baza[],15,0),"# ###  M"),TEXT(VLOOKUP(B87,Baza[],15,0),"# ###,0  M")))))),""))</f>
        <v/>
      </c>
      <c r="G87" s="10"/>
      <c r="H87" s="10"/>
      <c r="I87" s="10"/>
      <c r="J87" s="10"/>
      <c r="K87" s="11" t="str">
        <f>IFERROR(IF(VLOOKUP(B87,Baza[],14,0)="s","Sat",IF(VLOOKUP(B87,Baza[],14,0)="XP","Phase",                                         IF(VLOOKUP(B87,Baza[],19,0)="-","",VLOOKUP(B87,Baza[],19,0)))),"")</f>
        <v/>
      </c>
      <c r="L87" s="12" t="str">
        <f>IF(AND(B87="",B86&gt;0),SUM($L$5:L86),IFERROR(IF(VLOOKUP(B87,Baza[],21,0)=0,"-",VLOOKUP(B87,Baza[],21,0)),""))</f>
        <v/>
      </c>
      <c r="M87" s="12" t="str">
        <f>IF(AND(B87="",B86&gt;0),SUM($M$5:M86),IFERROR(IF(VLOOKUP(B87,Baza[],22,0)=0,"-",VLOOKUP(B87,Baza[],22,0)),""))</f>
        <v/>
      </c>
      <c r="N87" s="12" t="str">
        <f>IF(AND(B87="",B86&gt;0),SUM($N$5:N86),IFERROR(VLOOKUP(B87,Baza[],23,0),""))</f>
        <v/>
      </c>
      <c r="P87" s="13" t="str">
        <f>IFERROR(VLOOKUP(B87,Baza[],14,0),"")</f>
        <v/>
      </c>
      <c r="Q87" s="13" t="str">
        <f>IFERROR(VLOOKUP(B87,Baza[],13,0),"")</f>
        <v/>
      </c>
    </row>
    <row r="88" spans="1:17" ht="9.9499999999999993" customHeight="1" x14ac:dyDescent="0.25">
      <c r="A88" s="4">
        <v>1</v>
      </c>
      <c r="B88" s="48"/>
      <c r="C88" s="97"/>
      <c r="D88" s="111" t="str">
        <f t="shared" si="1"/>
        <v/>
      </c>
      <c r="E88" s="8" t="str">
        <f>IFERROR(VLOOKUP(B88,Baza[],7,0),"")</f>
        <v/>
      </c>
      <c r="F88" s="9" t="str">
        <f>IF(AND(B88="",B87&gt;0),"                           Total:   Games: "&amp;VLOOKUP($C$2,Data!$B$87:$N$9999,4,0)&amp;"     Buy-in: $ "&amp;TEXT(VLOOKUP($C$2,Data!$B$87:$N$9999,5,0),"0,0")&amp;"     ABI: $ "&amp;TEXT(VLOOKUP($C$2,Data!$B$87:$N$9999,6,0),"0,0"),IFERROR( IF(VLOOKUP(B88,Baza[],18,0)&gt;0," ["&amp;VLOOKUP(B88,Baza[],18,0)+1&amp;"] ","   ")      &amp;IFERROR(IF(OR(VLOOKUP(B88,Baza[],9,0)="WN",VLOOKUP(B88,Baza[],9,0)="ES"),"€ ","$ ")&amp;      VLOOKUP(B88,Baza[],8,0),"")         &amp;" ["&amp;VLOOKUP(B88,Baza[],9,0)&amp;"] "&amp;VLOOKUP(B88,Baza[],10,0)&amp;IF(VLOOKUP(B88,Baza[],12,0)="T"," [Turbo]",   IF(VLOOKUP(B88,Baza[],12,0)="H"," [Hyper]",                                 "") )            &amp;  IF(VLOOKUP(B88,Baza[],14,0)="s",   ", "&amp;VLOOKUP(B88,Baza[],15,0)&amp;" Tickets",                                                                                                 IF(OR(VLOOKUP(B88,Baza[],14,0)="XP",VLOOKUP(B88,Baza[],14,0)="XP2"),VLOOKUP(B88,Baza[],15,0),            IF(OR(VLOOKUP(B88,Baza[],9,0)="WN",VLOOKUP(B88,Baza[],9,0)="ES"),", €",", $")&amp;                          IF(VLOOKUP(B88,Baza[],15,0)&lt;1000,VLOOKUP(B88,Baza[],15,0),IF(VLOOKUP(B88,Baza[],15,0)&lt;1000000,IF(VLOOKUP(B88,Baza[],15,0)/1000=INT(VLOOKUP(B88,Baza[],15,0)/1000),TEXT(VLOOKUP(B88,Baza[],15,0),"#0 K"),TEXT(VLOOKUP(B88,Baza[],15,0),"#0,0 K")), IF(VLOOKUP(B88,Baza[],15,0)/1000000=INT(VLOOKUP(B88,Baza[],15,0)/1000000),TEXT(VLOOKUP(B88,Baza[],15,0),"# ###  M"),TEXT(VLOOKUP(B88,Baza[],15,0),"# ###,0  M")))))),""))</f>
        <v/>
      </c>
      <c r="G88" s="10"/>
      <c r="H88" s="10"/>
      <c r="I88" s="10"/>
      <c r="J88" s="10"/>
      <c r="K88" s="11" t="str">
        <f>IFERROR(IF(VLOOKUP(B88,Baza[],14,0)="s","Sat",IF(VLOOKUP(B88,Baza[],14,0)="XP","Phase",                                         IF(VLOOKUP(B88,Baza[],19,0)="-","",VLOOKUP(B88,Baza[],19,0)))),"")</f>
        <v/>
      </c>
      <c r="L88" s="12" t="str">
        <f>IF(AND(B88="",B87&gt;0),SUM($L$5:L87),IFERROR(IF(VLOOKUP(B88,Baza[],21,0)=0,"-",VLOOKUP(B88,Baza[],21,0)),""))</f>
        <v/>
      </c>
      <c r="M88" s="12" t="str">
        <f>IF(AND(B88="",B87&gt;0),SUM($M$5:M87),IFERROR(IF(VLOOKUP(B88,Baza[],22,0)=0,"-",VLOOKUP(B88,Baza[],22,0)),""))</f>
        <v/>
      </c>
      <c r="N88" s="12" t="str">
        <f>IF(AND(B88="",B87&gt;0),SUM($N$5:N87),IFERROR(VLOOKUP(B88,Baza[],23,0),""))</f>
        <v/>
      </c>
      <c r="P88" s="13" t="str">
        <f>IFERROR(VLOOKUP(B88,Baza[],14,0),"")</f>
        <v/>
      </c>
      <c r="Q88" s="13" t="str">
        <f>IFERROR(VLOOKUP(B88,Baza[],13,0),"")</f>
        <v/>
      </c>
    </row>
    <row r="89" spans="1:17" ht="9.9499999999999993" customHeight="1" x14ac:dyDescent="0.25">
      <c r="A89" s="4">
        <v>2</v>
      </c>
      <c r="B89" s="48"/>
      <c r="C89" s="97"/>
      <c r="D89" s="111" t="str">
        <f t="shared" si="1"/>
        <v/>
      </c>
      <c r="E89" s="8" t="str">
        <f>IFERROR(VLOOKUP(B89,Baza[],7,0),"")</f>
        <v/>
      </c>
      <c r="F89" s="9" t="str">
        <f>IF(AND(B89="",B88&gt;0),"                           Total:   Games: "&amp;VLOOKUP($C$2,Data!$B$87:$N$9999,4,0)&amp;"     Buy-in: $ "&amp;TEXT(VLOOKUP($C$2,Data!$B$87:$N$9999,5,0),"0,0")&amp;"     ABI: $ "&amp;TEXT(VLOOKUP($C$2,Data!$B$87:$N$9999,6,0),"0,0"),IFERROR( IF(VLOOKUP(B89,Baza[],18,0)&gt;0," ["&amp;VLOOKUP(B89,Baza[],18,0)+1&amp;"] ","   ")      &amp;IFERROR(IF(OR(VLOOKUP(B89,Baza[],9,0)="WN",VLOOKUP(B89,Baza[],9,0)="ES"),"€ ","$ ")&amp;      VLOOKUP(B89,Baza[],8,0),"")         &amp;" ["&amp;VLOOKUP(B89,Baza[],9,0)&amp;"] "&amp;VLOOKUP(B89,Baza[],10,0)&amp;IF(VLOOKUP(B89,Baza[],12,0)="T"," [Turbo]",   IF(VLOOKUP(B89,Baza[],12,0)="H"," [Hyper]",                                 "") )            &amp;  IF(VLOOKUP(B89,Baza[],14,0)="s",   ", "&amp;VLOOKUP(B89,Baza[],15,0)&amp;" Tickets",                                                                                                 IF(OR(VLOOKUP(B89,Baza[],14,0)="XP",VLOOKUP(B89,Baza[],14,0)="XP2"),VLOOKUP(B89,Baza[],15,0),            IF(OR(VLOOKUP(B89,Baza[],9,0)="WN",VLOOKUP(B89,Baza[],9,0)="ES"),", €",", $")&amp;                          IF(VLOOKUP(B89,Baza[],15,0)&lt;1000,VLOOKUP(B89,Baza[],15,0),IF(VLOOKUP(B89,Baza[],15,0)&lt;1000000,IF(VLOOKUP(B89,Baza[],15,0)/1000=INT(VLOOKUP(B89,Baza[],15,0)/1000),TEXT(VLOOKUP(B89,Baza[],15,0),"#0 K"),TEXT(VLOOKUP(B89,Baza[],15,0),"#0,0 K")), IF(VLOOKUP(B89,Baza[],15,0)/1000000=INT(VLOOKUP(B89,Baza[],15,0)/1000000),TEXT(VLOOKUP(B89,Baza[],15,0),"# ###  M"),TEXT(VLOOKUP(B89,Baza[],15,0),"# ###,0  M")))))),""))</f>
        <v/>
      </c>
      <c r="G89" s="10"/>
      <c r="H89" s="10"/>
      <c r="I89" s="10"/>
      <c r="J89" s="10"/>
      <c r="K89" s="11" t="str">
        <f>IFERROR(IF(VLOOKUP(B89,Baza[],14,0)="s","Sat",IF(VLOOKUP(B89,Baza[],14,0)="XP","Phase",                                         IF(VLOOKUP(B89,Baza[],19,0)="-","",VLOOKUP(B89,Baza[],19,0)))),"")</f>
        <v/>
      </c>
      <c r="L89" s="12" t="str">
        <f>IF(AND(B89="",B88&gt;0),SUM($L$5:L88),IFERROR(IF(VLOOKUP(B89,Baza[],21,0)=0,"-",VLOOKUP(B89,Baza[],21,0)),""))</f>
        <v/>
      </c>
      <c r="M89" s="12" t="str">
        <f>IF(AND(B89="",B88&gt;0),SUM($M$5:M88),IFERROR(IF(VLOOKUP(B89,Baza[],22,0)=0,"-",VLOOKUP(B89,Baza[],22,0)),""))</f>
        <v/>
      </c>
      <c r="N89" s="12" t="str">
        <f>IF(AND(B89="",B88&gt;0),SUM($N$5:N88),IFERROR(VLOOKUP(B89,Baza[],23,0),""))</f>
        <v/>
      </c>
      <c r="P89" s="13" t="str">
        <f>IFERROR(VLOOKUP(B89,Baza[],14,0),"")</f>
        <v/>
      </c>
      <c r="Q89" s="13" t="str">
        <f>IFERROR(VLOOKUP(B89,Baza[],13,0),"")</f>
        <v/>
      </c>
    </row>
    <row r="90" spans="1:17" ht="9.9499999999999993" customHeight="1" x14ac:dyDescent="0.25">
      <c r="A90" s="4">
        <v>1</v>
      </c>
      <c r="B90" s="48"/>
      <c r="C90" s="97"/>
      <c r="D90" s="111" t="str">
        <f t="shared" si="1"/>
        <v/>
      </c>
      <c r="E90" s="8" t="str">
        <f>IFERROR(VLOOKUP(B90,Baza[],7,0),"")</f>
        <v/>
      </c>
      <c r="F90" s="9" t="str">
        <f>IF(AND(B90="",B89&gt;0),"                           Total:   Games: "&amp;VLOOKUP($C$2,Data!$B$87:$N$9999,4,0)&amp;"     Buy-in: $ "&amp;TEXT(VLOOKUP($C$2,Data!$B$87:$N$9999,5,0),"0,0")&amp;"     ABI: $ "&amp;TEXT(VLOOKUP($C$2,Data!$B$87:$N$9999,6,0),"0,0"),IFERROR( IF(VLOOKUP(B90,Baza[],18,0)&gt;0," ["&amp;VLOOKUP(B90,Baza[],18,0)+1&amp;"] ","   ")      &amp;IFERROR(IF(OR(VLOOKUP(B90,Baza[],9,0)="WN",VLOOKUP(B90,Baza[],9,0)="ES"),"€ ","$ ")&amp;      VLOOKUP(B90,Baza[],8,0),"")         &amp;" ["&amp;VLOOKUP(B90,Baza[],9,0)&amp;"] "&amp;VLOOKUP(B90,Baza[],10,0)&amp;IF(VLOOKUP(B90,Baza[],12,0)="T"," [Turbo]",   IF(VLOOKUP(B90,Baza[],12,0)="H"," [Hyper]",                                 "") )            &amp;  IF(VLOOKUP(B90,Baza[],14,0)="s",   ", "&amp;VLOOKUP(B90,Baza[],15,0)&amp;" Tickets",                                                                                                 IF(OR(VLOOKUP(B90,Baza[],14,0)="XP",VLOOKUP(B90,Baza[],14,0)="XP2"),VLOOKUP(B90,Baza[],15,0),            IF(OR(VLOOKUP(B90,Baza[],9,0)="WN",VLOOKUP(B90,Baza[],9,0)="ES"),", €",", $")&amp;                          IF(VLOOKUP(B90,Baza[],15,0)&lt;1000,VLOOKUP(B90,Baza[],15,0),IF(VLOOKUP(B90,Baza[],15,0)&lt;1000000,IF(VLOOKUP(B90,Baza[],15,0)/1000=INT(VLOOKUP(B90,Baza[],15,0)/1000),TEXT(VLOOKUP(B90,Baza[],15,0),"#0 K"),TEXT(VLOOKUP(B90,Baza[],15,0),"#0,0 K")), IF(VLOOKUP(B90,Baza[],15,0)/1000000=INT(VLOOKUP(B90,Baza[],15,0)/1000000),TEXT(VLOOKUP(B90,Baza[],15,0),"# ###  M"),TEXT(VLOOKUP(B90,Baza[],15,0),"# ###,0  M")))))),""))</f>
        <v/>
      </c>
      <c r="G90" s="10"/>
      <c r="H90" s="10"/>
      <c r="I90" s="10"/>
      <c r="J90" s="10"/>
      <c r="K90" s="11" t="str">
        <f>IFERROR(IF(VLOOKUP(B90,Baza[],14,0)="s","Sat",IF(VLOOKUP(B90,Baza[],14,0)="XP","Phase",                                         IF(VLOOKUP(B90,Baza[],19,0)="-","",VLOOKUP(B90,Baza[],19,0)))),"")</f>
        <v/>
      </c>
      <c r="L90" s="12" t="str">
        <f>IF(AND(B90="",B89&gt;0),SUM($L$5:L89),IFERROR(IF(VLOOKUP(B90,Baza[],21,0)=0,"-",VLOOKUP(B90,Baza[],21,0)),""))</f>
        <v/>
      </c>
      <c r="M90" s="12" t="str">
        <f>IF(AND(B90="",B89&gt;0),SUM($M$5:M89),IFERROR(IF(VLOOKUP(B90,Baza[],22,0)=0,"-",VLOOKUP(B90,Baza[],22,0)),""))</f>
        <v/>
      </c>
      <c r="N90" s="12" t="str">
        <f>IF(AND(B90="",B89&gt;0),SUM($N$5:N89),IFERROR(VLOOKUP(B90,Baza[],23,0),""))</f>
        <v/>
      </c>
      <c r="P90" s="13" t="str">
        <f>IFERROR(VLOOKUP(B90,Baza[],14,0),"")</f>
        <v/>
      </c>
      <c r="Q90" s="13" t="str">
        <f>IFERROR(VLOOKUP(B90,Baza[],13,0),"")</f>
        <v/>
      </c>
    </row>
    <row r="91" spans="1:17" ht="9.9499999999999993" customHeight="1" x14ac:dyDescent="0.25">
      <c r="A91" s="4">
        <v>2</v>
      </c>
      <c r="B91" s="48"/>
      <c r="C91" s="97"/>
      <c r="D91" s="111" t="str">
        <f t="shared" si="1"/>
        <v/>
      </c>
      <c r="E91" s="8" t="str">
        <f>IFERROR(VLOOKUP(B91,Baza[],7,0),"")</f>
        <v/>
      </c>
      <c r="F91" s="9" t="str">
        <f>IF(AND(B91="",B90&gt;0),"                           Total:   Games: "&amp;VLOOKUP($C$2,Data!$B$87:$N$9999,4,0)&amp;"     Buy-in: $ "&amp;TEXT(VLOOKUP($C$2,Data!$B$87:$N$9999,5,0),"0,0")&amp;"     ABI: $ "&amp;TEXT(VLOOKUP($C$2,Data!$B$87:$N$9999,6,0),"0,0"),IFERROR( IF(VLOOKUP(B91,Baza[],18,0)&gt;0," ["&amp;VLOOKUP(B91,Baza[],18,0)+1&amp;"] ","   ")      &amp;IFERROR(IF(OR(VLOOKUP(B91,Baza[],9,0)="WN",VLOOKUP(B91,Baza[],9,0)="ES"),"€ ","$ ")&amp;      VLOOKUP(B91,Baza[],8,0),"")         &amp;" ["&amp;VLOOKUP(B91,Baza[],9,0)&amp;"] "&amp;VLOOKUP(B91,Baza[],10,0)&amp;IF(VLOOKUP(B91,Baza[],12,0)="T"," [Turbo]",   IF(VLOOKUP(B91,Baza[],12,0)="H"," [Hyper]",                                 "") )            &amp;  IF(VLOOKUP(B91,Baza[],14,0)="s",   ", "&amp;VLOOKUP(B91,Baza[],15,0)&amp;" Tickets",                                                                                                 IF(OR(VLOOKUP(B91,Baza[],14,0)="XP",VLOOKUP(B91,Baza[],14,0)="XP2"),VLOOKUP(B91,Baza[],15,0),            IF(OR(VLOOKUP(B91,Baza[],9,0)="WN",VLOOKUP(B91,Baza[],9,0)="ES"),", €",", $")&amp;                          IF(VLOOKUP(B91,Baza[],15,0)&lt;1000,VLOOKUP(B91,Baza[],15,0),IF(VLOOKUP(B91,Baza[],15,0)&lt;1000000,IF(VLOOKUP(B91,Baza[],15,0)/1000=INT(VLOOKUP(B91,Baza[],15,0)/1000),TEXT(VLOOKUP(B91,Baza[],15,0),"#0 K"),TEXT(VLOOKUP(B91,Baza[],15,0),"#0,0 K")), IF(VLOOKUP(B91,Baza[],15,0)/1000000=INT(VLOOKUP(B91,Baza[],15,0)/1000000),TEXT(VLOOKUP(B91,Baza[],15,0),"# ###  M"),TEXT(VLOOKUP(B91,Baza[],15,0),"# ###,0  M")))))),""))</f>
        <v/>
      </c>
      <c r="G91" s="10"/>
      <c r="H91" s="10"/>
      <c r="I91" s="10"/>
      <c r="J91" s="10"/>
      <c r="K91" s="11" t="str">
        <f>IFERROR(IF(VLOOKUP(B91,Baza[],14,0)="s","Sat",IF(VLOOKUP(B91,Baza[],14,0)="XP","Phase",                                         IF(VLOOKUP(B91,Baza[],19,0)="-","",VLOOKUP(B91,Baza[],19,0)))),"")</f>
        <v/>
      </c>
      <c r="L91" s="12" t="str">
        <f>IF(AND(B91="",B90&gt;0),SUM($L$5:L90),IFERROR(IF(VLOOKUP(B91,Baza[],21,0)=0,"-",VLOOKUP(B91,Baza[],21,0)),""))</f>
        <v/>
      </c>
      <c r="M91" s="12" t="str">
        <f>IF(AND(B91="",B90&gt;0),SUM($M$5:M90),IFERROR(IF(VLOOKUP(B91,Baza[],22,0)=0,"-",VLOOKUP(B91,Baza[],22,0)),""))</f>
        <v/>
      </c>
      <c r="N91" s="12" t="str">
        <f>IF(AND(B91="",B90&gt;0),SUM($N$5:N90),IFERROR(VLOOKUP(B91,Baza[],23,0),""))</f>
        <v/>
      </c>
      <c r="P91" s="13" t="str">
        <f>IFERROR(VLOOKUP(B91,Baza[],14,0),"")</f>
        <v/>
      </c>
      <c r="Q91" s="13" t="str">
        <f>IFERROR(VLOOKUP(B91,Baza[],13,0),"")</f>
        <v/>
      </c>
    </row>
    <row r="92" spans="1:17" ht="9.9499999999999993" customHeight="1" x14ac:dyDescent="0.25">
      <c r="A92" s="4">
        <v>1</v>
      </c>
      <c r="B92" s="48"/>
      <c r="C92" s="97"/>
      <c r="D92" s="111" t="str">
        <f t="shared" si="1"/>
        <v/>
      </c>
      <c r="E92" s="8" t="str">
        <f>IFERROR(VLOOKUP(B92,Baza[],7,0),"")</f>
        <v/>
      </c>
      <c r="F92" s="9" t="str">
        <f>IF(AND(B92="",B91&gt;0),"                           Total:   Games: "&amp;VLOOKUP($C$2,Data!$B$87:$N$9999,4,0)&amp;"     Buy-in: $ "&amp;TEXT(VLOOKUP($C$2,Data!$B$87:$N$9999,5,0),"0,0")&amp;"     ABI: $ "&amp;TEXT(VLOOKUP($C$2,Data!$B$87:$N$9999,6,0),"0,0"),IFERROR( IF(VLOOKUP(B92,Baza[],18,0)&gt;0," ["&amp;VLOOKUP(B92,Baza[],18,0)+1&amp;"] ","   ")      &amp;IFERROR(IF(OR(VLOOKUP(B92,Baza[],9,0)="WN",VLOOKUP(B92,Baza[],9,0)="ES"),"€ ","$ ")&amp;      VLOOKUP(B92,Baza[],8,0),"")         &amp;" ["&amp;VLOOKUP(B92,Baza[],9,0)&amp;"] "&amp;VLOOKUP(B92,Baza[],10,0)&amp;IF(VLOOKUP(B92,Baza[],12,0)="T"," [Turbo]",   IF(VLOOKUP(B92,Baza[],12,0)="H"," [Hyper]",                                 "") )            &amp;  IF(VLOOKUP(B92,Baza[],14,0)="s",   ", "&amp;VLOOKUP(B92,Baza[],15,0)&amp;" Tickets",                                                                                                 IF(OR(VLOOKUP(B92,Baza[],14,0)="XP",VLOOKUP(B92,Baza[],14,0)="XP2"),VLOOKUP(B92,Baza[],15,0),            IF(OR(VLOOKUP(B92,Baza[],9,0)="WN",VLOOKUP(B92,Baza[],9,0)="ES"),", €",", $")&amp;                          IF(VLOOKUP(B92,Baza[],15,0)&lt;1000,VLOOKUP(B92,Baza[],15,0),IF(VLOOKUP(B92,Baza[],15,0)&lt;1000000,IF(VLOOKUP(B92,Baza[],15,0)/1000=INT(VLOOKUP(B92,Baza[],15,0)/1000),TEXT(VLOOKUP(B92,Baza[],15,0),"#0 K"),TEXT(VLOOKUP(B92,Baza[],15,0),"#0,0 K")), IF(VLOOKUP(B92,Baza[],15,0)/1000000=INT(VLOOKUP(B92,Baza[],15,0)/1000000),TEXT(VLOOKUP(B92,Baza[],15,0),"# ###  M"),TEXT(VLOOKUP(B92,Baza[],15,0),"# ###,0  M")))))),""))</f>
        <v/>
      </c>
      <c r="G92" s="10"/>
      <c r="H92" s="10"/>
      <c r="I92" s="10"/>
      <c r="J92" s="10"/>
      <c r="K92" s="11" t="str">
        <f>IFERROR(IF(VLOOKUP(B92,Baza[],14,0)="s","Sat",IF(VLOOKUP(B92,Baza[],14,0)="XP","Phase",                                         IF(VLOOKUP(B92,Baza[],19,0)="-","",VLOOKUP(B92,Baza[],19,0)))),"")</f>
        <v/>
      </c>
      <c r="L92" s="12" t="str">
        <f>IF(AND(B92="",B91&gt;0),SUM($L$5:L91),IFERROR(IF(VLOOKUP(B92,Baza[],21,0)=0,"-",VLOOKUP(B92,Baza[],21,0)),""))</f>
        <v/>
      </c>
      <c r="M92" s="12" t="str">
        <f>IF(AND(B92="",B91&gt;0),SUM($M$5:M91),IFERROR(IF(VLOOKUP(B92,Baza[],22,0)=0,"-",VLOOKUP(B92,Baza[],22,0)),""))</f>
        <v/>
      </c>
      <c r="N92" s="12" t="str">
        <f>IF(AND(B92="",B91&gt;0),SUM($N$5:N91),IFERROR(VLOOKUP(B92,Baza[],23,0),""))</f>
        <v/>
      </c>
      <c r="P92" s="13" t="str">
        <f>IFERROR(VLOOKUP(B92,Baza[],14,0),"")</f>
        <v/>
      </c>
      <c r="Q92" s="13" t="str">
        <f>IFERROR(VLOOKUP(B92,Baza[],13,0),"")</f>
        <v/>
      </c>
    </row>
    <row r="93" spans="1:17" ht="9.9499999999999993" customHeight="1" x14ac:dyDescent="0.25">
      <c r="A93" s="4">
        <v>2</v>
      </c>
      <c r="B93" s="48"/>
      <c r="C93" s="97"/>
      <c r="D93" s="111" t="str">
        <f t="shared" si="1"/>
        <v/>
      </c>
      <c r="E93" s="8" t="str">
        <f>IFERROR(VLOOKUP(B93,Baza[],7,0),"")</f>
        <v/>
      </c>
      <c r="F93" s="9" t="str">
        <f>IF(AND(B93="",B92&gt;0),"                           Total:   Games: "&amp;VLOOKUP($C$2,Data!$B$87:$N$9999,4,0)&amp;"     Buy-in: $ "&amp;TEXT(VLOOKUP($C$2,Data!$B$87:$N$9999,5,0),"0,0")&amp;"     ABI: $ "&amp;TEXT(VLOOKUP($C$2,Data!$B$87:$N$9999,6,0),"0,0"),IFERROR( IF(VLOOKUP(B93,Baza[],18,0)&gt;0," ["&amp;VLOOKUP(B93,Baza[],18,0)+1&amp;"] ","   ")      &amp;IFERROR(IF(OR(VLOOKUP(B93,Baza[],9,0)="WN",VLOOKUP(B93,Baza[],9,0)="ES"),"€ ","$ ")&amp;      VLOOKUP(B93,Baza[],8,0),"")         &amp;" ["&amp;VLOOKUP(B93,Baza[],9,0)&amp;"] "&amp;VLOOKUP(B93,Baza[],10,0)&amp;IF(VLOOKUP(B93,Baza[],12,0)="T"," [Turbo]",   IF(VLOOKUP(B93,Baza[],12,0)="H"," [Hyper]",                                 "") )            &amp;  IF(VLOOKUP(B93,Baza[],14,0)="s",   ", "&amp;VLOOKUP(B93,Baza[],15,0)&amp;" Tickets",                                                                                                 IF(OR(VLOOKUP(B93,Baza[],14,0)="XP",VLOOKUP(B93,Baza[],14,0)="XP2"),VLOOKUP(B93,Baza[],15,0),            IF(OR(VLOOKUP(B93,Baza[],9,0)="WN",VLOOKUP(B93,Baza[],9,0)="ES"),", €",", $")&amp;                          IF(VLOOKUP(B93,Baza[],15,0)&lt;1000,VLOOKUP(B93,Baza[],15,0),IF(VLOOKUP(B93,Baza[],15,0)&lt;1000000,IF(VLOOKUP(B93,Baza[],15,0)/1000=INT(VLOOKUP(B93,Baza[],15,0)/1000),TEXT(VLOOKUP(B93,Baza[],15,0),"#0 K"),TEXT(VLOOKUP(B93,Baza[],15,0),"#0,0 K")), IF(VLOOKUP(B93,Baza[],15,0)/1000000=INT(VLOOKUP(B93,Baza[],15,0)/1000000),TEXT(VLOOKUP(B93,Baza[],15,0),"# ###  M"),TEXT(VLOOKUP(B93,Baza[],15,0),"# ###,0  M")))))),""))</f>
        <v/>
      </c>
      <c r="G93" s="10"/>
      <c r="H93" s="10"/>
      <c r="I93" s="10"/>
      <c r="J93" s="10"/>
      <c r="K93" s="11" t="str">
        <f>IFERROR(IF(VLOOKUP(B93,Baza[],14,0)="s","Sat",IF(VLOOKUP(B93,Baza[],14,0)="XP","Phase",                                         IF(VLOOKUP(B93,Baza[],19,0)="-","",VLOOKUP(B93,Baza[],19,0)))),"")</f>
        <v/>
      </c>
      <c r="L93" s="12" t="str">
        <f>IF(AND(B93="",B92&gt;0),SUM($L$5:L92),IFERROR(IF(VLOOKUP(B93,Baza[],21,0)=0,"-",VLOOKUP(B93,Baza[],21,0)),""))</f>
        <v/>
      </c>
      <c r="M93" s="12" t="str">
        <f>IF(AND(B93="",B92&gt;0),SUM($M$5:M92),IFERROR(IF(VLOOKUP(B93,Baza[],22,0)=0,"-",VLOOKUP(B93,Baza[],22,0)),""))</f>
        <v/>
      </c>
      <c r="N93" s="12" t="str">
        <f>IF(AND(B93="",B92&gt;0),SUM($N$5:N92),IFERROR(VLOOKUP(B93,Baza[],23,0),""))</f>
        <v/>
      </c>
      <c r="P93" s="13" t="str">
        <f>IFERROR(VLOOKUP(B93,Baza[],14,0),"")</f>
        <v/>
      </c>
      <c r="Q93" s="13" t="str">
        <f>IFERROR(VLOOKUP(B93,Baza[],13,0),"")</f>
        <v/>
      </c>
    </row>
    <row r="94" spans="1:17" ht="9.9499999999999993" customHeight="1" x14ac:dyDescent="0.25">
      <c r="A94" s="4">
        <v>1</v>
      </c>
      <c r="B94" s="48"/>
      <c r="C94" s="97"/>
      <c r="D94" s="111" t="str">
        <f t="shared" si="1"/>
        <v/>
      </c>
      <c r="E94" s="8" t="str">
        <f>IFERROR(VLOOKUP(B94,Baza[],7,0),"")</f>
        <v/>
      </c>
      <c r="F94" s="9" t="str">
        <f>IF(AND(B94="",B93&gt;0),"                           Total:   Games: "&amp;VLOOKUP($C$2,Data!$B$87:$N$9999,4,0)&amp;"     Buy-in: $ "&amp;TEXT(VLOOKUP($C$2,Data!$B$87:$N$9999,5,0),"0,0")&amp;"     ABI: $ "&amp;TEXT(VLOOKUP($C$2,Data!$B$87:$N$9999,6,0),"0,0"),IFERROR( IF(VLOOKUP(B94,Baza[],18,0)&gt;0," ["&amp;VLOOKUP(B94,Baza[],18,0)+1&amp;"] ","   ")      &amp;IFERROR(IF(OR(VLOOKUP(B94,Baza[],9,0)="WN",VLOOKUP(B94,Baza[],9,0)="ES"),"€ ","$ ")&amp;      VLOOKUP(B94,Baza[],8,0),"")         &amp;" ["&amp;VLOOKUP(B94,Baza[],9,0)&amp;"] "&amp;VLOOKUP(B94,Baza[],10,0)&amp;IF(VLOOKUP(B94,Baza[],12,0)="T"," [Turbo]",   IF(VLOOKUP(B94,Baza[],12,0)="H"," [Hyper]",                                 "") )            &amp;  IF(VLOOKUP(B94,Baza[],14,0)="s",   ", "&amp;VLOOKUP(B94,Baza[],15,0)&amp;" Tickets",                                                                                                 IF(OR(VLOOKUP(B94,Baza[],14,0)="XP",VLOOKUP(B94,Baza[],14,0)="XP2"),VLOOKUP(B94,Baza[],15,0),            IF(OR(VLOOKUP(B94,Baza[],9,0)="WN",VLOOKUP(B94,Baza[],9,0)="ES"),", €",", $")&amp;                          IF(VLOOKUP(B94,Baza[],15,0)&lt;1000,VLOOKUP(B94,Baza[],15,0),IF(VLOOKUP(B94,Baza[],15,0)&lt;1000000,IF(VLOOKUP(B94,Baza[],15,0)/1000=INT(VLOOKUP(B94,Baza[],15,0)/1000),TEXT(VLOOKUP(B94,Baza[],15,0),"#0 K"),TEXT(VLOOKUP(B94,Baza[],15,0),"#0,0 K")), IF(VLOOKUP(B94,Baza[],15,0)/1000000=INT(VLOOKUP(B94,Baza[],15,0)/1000000),TEXT(VLOOKUP(B94,Baza[],15,0),"# ###  M"),TEXT(VLOOKUP(B94,Baza[],15,0),"# ###,0  M")))))),""))</f>
        <v/>
      </c>
      <c r="G94" s="10"/>
      <c r="H94" s="10"/>
      <c r="I94" s="10"/>
      <c r="J94" s="10"/>
      <c r="K94" s="11" t="str">
        <f>IFERROR(IF(VLOOKUP(B94,Baza[],14,0)="s","Sat",IF(VLOOKUP(B94,Baza[],14,0)="XP","Phase",                                         IF(VLOOKUP(B94,Baza[],19,0)="-","",VLOOKUP(B94,Baza[],19,0)))),"")</f>
        <v/>
      </c>
      <c r="L94" s="12" t="str">
        <f>IF(AND(B94="",B93&gt;0),SUM($L$5:L93),IFERROR(IF(VLOOKUP(B94,Baza[],21,0)=0,"-",VLOOKUP(B94,Baza[],21,0)),""))</f>
        <v/>
      </c>
      <c r="M94" s="12" t="str">
        <f>IF(AND(B94="",B93&gt;0),SUM($M$5:M93),IFERROR(IF(VLOOKUP(B94,Baza[],22,0)=0,"-",VLOOKUP(B94,Baza[],22,0)),""))</f>
        <v/>
      </c>
      <c r="N94" s="12" t="str">
        <f>IF(AND(B94="",B93&gt;0),SUM($N$5:N93),IFERROR(VLOOKUP(B94,Baza[],23,0),""))</f>
        <v/>
      </c>
      <c r="P94" s="13" t="str">
        <f>IFERROR(VLOOKUP(B94,Baza[],14,0),"")</f>
        <v/>
      </c>
      <c r="Q94" s="13" t="str">
        <f>IFERROR(VLOOKUP(B94,Baza[],13,0),"")</f>
        <v/>
      </c>
    </row>
    <row r="95" spans="1:17" ht="9.9499999999999993" customHeight="1" x14ac:dyDescent="0.25">
      <c r="A95" s="4">
        <v>2</v>
      </c>
      <c r="B95" s="48"/>
      <c r="C95" s="97"/>
      <c r="D95" s="111" t="str">
        <f t="shared" si="1"/>
        <v/>
      </c>
      <c r="E95" s="8" t="str">
        <f>IFERROR(VLOOKUP(B95,Baza[],7,0),"")</f>
        <v/>
      </c>
      <c r="F95" s="9" t="str">
        <f>IF(AND(B95="",B94&gt;0),"                           Total:   Games: "&amp;VLOOKUP($C$2,Data!$B$87:$N$9999,4,0)&amp;"     Buy-in: $ "&amp;TEXT(VLOOKUP($C$2,Data!$B$87:$N$9999,5,0),"0,0")&amp;"     ABI: $ "&amp;TEXT(VLOOKUP($C$2,Data!$B$87:$N$9999,6,0),"0,0"),IFERROR( IF(VLOOKUP(B95,Baza[],18,0)&gt;0," ["&amp;VLOOKUP(B95,Baza[],18,0)+1&amp;"] ","   ")      &amp;IFERROR(IF(OR(VLOOKUP(B95,Baza[],9,0)="WN",VLOOKUP(B95,Baza[],9,0)="ES"),"€ ","$ ")&amp;      VLOOKUP(B95,Baza[],8,0),"")         &amp;" ["&amp;VLOOKUP(B95,Baza[],9,0)&amp;"] "&amp;VLOOKUP(B95,Baza[],10,0)&amp;IF(VLOOKUP(B95,Baza[],12,0)="T"," [Turbo]",   IF(VLOOKUP(B95,Baza[],12,0)="H"," [Hyper]",                                 "") )            &amp;  IF(VLOOKUP(B95,Baza[],14,0)="s",   ", "&amp;VLOOKUP(B95,Baza[],15,0)&amp;" Tickets",                                                                                                 IF(OR(VLOOKUP(B95,Baza[],14,0)="XP",VLOOKUP(B95,Baza[],14,0)="XP2"),VLOOKUP(B95,Baza[],15,0),            IF(OR(VLOOKUP(B95,Baza[],9,0)="WN",VLOOKUP(B95,Baza[],9,0)="ES"),", €",", $")&amp;                          IF(VLOOKUP(B95,Baza[],15,0)&lt;1000,VLOOKUP(B95,Baza[],15,0),IF(VLOOKUP(B95,Baza[],15,0)&lt;1000000,IF(VLOOKUP(B95,Baza[],15,0)/1000=INT(VLOOKUP(B95,Baza[],15,0)/1000),TEXT(VLOOKUP(B95,Baza[],15,0),"#0 K"),TEXT(VLOOKUP(B95,Baza[],15,0),"#0,0 K")), IF(VLOOKUP(B95,Baza[],15,0)/1000000=INT(VLOOKUP(B95,Baza[],15,0)/1000000),TEXT(VLOOKUP(B95,Baza[],15,0),"# ###  M"),TEXT(VLOOKUP(B95,Baza[],15,0),"# ###,0  M")))))),""))</f>
        <v/>
      </c>
      <c r="G95" s="10"/>
      <c r="H95" s="10"/>
      <c r="I95" s="10"/>
      <c r="J95" s="10"/>
      <c r="K95" s="11" t="str">
        <f>IFERROR(IF(VLOOKUP(B95,Baza[],14,0)="s","Sat",IF(VLOOKUP(B95,Baza[],14,0)="XP","Phase",                                         IF(VLOOKUP(B95,Baza[],19,0)="-","",VLOOKUP(B95,Baza[],19,0)))),"")</f>
        <v/>
      </c>
      <c r="L95" s="12" t="str">
        <f>IF(AND(B95="",B94&gt;0),SUM($L$5:L94),IFERROR(IF(VLOOKUP(B95,Baza[],21,0)=0,"-",VLOOKUP(B95,Baza[],21,0)),""))</f>
        <v/>
      </c>
      <c r="M95" s="12" t="str">
        <f>IF(AND(B95="",B94&gt;0),SUM($M$5:M94),IFERROR(IF(VLOOKUP(B95,Baza[],22,0)=0,"-",VLOOKUP(B95,Baza[],22,0)),""))</f>
        <v/>
      </c>
      <c r="N95" s="12" t="str">
        <f>IF(AND(B95="",B94&gt;0),SUM($N$5:N94),IFERROR(VLOOKUP(B95,Baza[],23,0),""))</f>
        <v/>
      </c>
      <c r="P95" s="13" t="str">
        <f>IFERROR(VLOOKUP(B95,Baza[],14,0),"")</f>
        <v/>
      </c>
      <c r="Q95" s="13" t="str">
        <f>IFERROR(VLOOKUP(B95,Baza[],13,0),"")</f>
        <v/>
      </c>
    </row>
    <row r="96" spans="1:17" ht="9.9499999999999993" customHeight="1" x14ac:dyDescent="0.25">
      <c r="A96" s="4">
        <v>1</v>
      </c>
      <c r="B96" s="48"/>
      <c r="C96" s="97"/>
      <c r="D96" s="111" t="str">
        <f t="shared" si="1"/>
        <v/>
      </c>
      <c r="E96" s="8" t="str">
        <f>IFERROR(VLOOKUP(B96,Baza[],7,0),"")</f>
        <v/>
      </c>
      <c r="F96" s="9" t="str">
        <f>IF(AND(B96="",B95&gt;0),"                           Total:   Games: "&amp;VLOOKUP($C$2,Data!$B$87:$N$9999,4,0)&amp;"     Buy-in: $ "&amp;TEXT(VLOOKUP($C$2,Data!$B$87:$N$9999,5,0),"0,0")&amp;"     ABI: $ "&amp;TEXT(VLOOKUP($C$2,Data!$B$87:$N$9999,6,0),"0,0"),IFERROR( IF(VLOOKUP(B96,Baza[],18,0)&gt;0," ["&amp;VLOOKUP(B96,Baza[],18,0)+1&amp;"] ","   ")      &amp;IFERROR(IF(OR(VLOOKUP(B96,Baza[],9,0)="WN",VLOOKUP(B96,Baza[],9,0)="ES"),"€ ","$ ")&amp;      VLOOKUP(B96,Baza[],8,0),"")         &amp;" ["&amp;VLOOKUP(B96,Baza[],9,0)&amp;"] "&amp;VLOOKUP(B96,Baza[],10,0)&amp;IF(VLOOKUP(B96,Baza[],12,0)="T"," [Turbo]",   IF(VLOOKUP(B96,Baza[],12,0)="H"," [Hyper]",                                 "") )            &amp;  IF(VLOOKUP(B96,Baza[],14,0)="s",   ", "&amp;VLOOKUP(B96,Baza[],15,0)&amp;" Tickets",                                                                                                 IF(OR(VLOOKUP(B96,Baza[],14,0)="XP",VLOOKUP(B96,Baza[],14,0)="XP2"),VLOOKUP(B96,Baza[],15,0),            IF(OR(VLOOKUP(B96,Baza[],9,0)="WN",VLOOKUP(B96,Baza[],9,0)="ES"),", €",", $")&amp;                          IF(VLOOKUP(B96,Baza[],15,0)&lt;1000,VLOOKUP(B96,Baza[],15,0),IF(VLOOKUP(B96,Baza[],15,0)&lt;1000000,IF(VLOOKUP(B96,Baza[],15,0)/1000=INT(VLOOKUP(B96,Baza[],15,0)/1000),TEXT(VLOOKUP(B96,Baza[],15,0),"#0 K"),TEXT(VLOOKUP(B96,Baza[],15,0),"#0,0 K")), IF(VLOOKUP(B96,Baza[],15,0)/1000000=INT(VLOOKUP(B96,Baza[],15,0)/1000000),TEXT(VLOOKUP(B96,Baza[],15,0),"# ###  M"),TEXT(VLOOKUP(B96,Baza[],15,0),"# ###,0  M")))))),""))</f>
        <v/>
      </c>
      <c r="G96" s="10"/>
      <c r="H96" s="10"/>
      <c r="I96" s="10"/>
      <c r="J96" s="10"/>
      <c r="K96" s="11" t="str">
        <f>IFERROR(IF(VLOOKUP(B96,Baza[],14,0)="s","Sat",IF(VLOOKUP(B96,Baza[],14,0)="XP","Phase",                                         IF(VLOOKUP(B96,Baza[],19,0)="-","",VLOOKUP(B96,Baza[],19,0)))),"")</f>
        <v/>
      </c>
      <c r="L96" s="12" t="str">
        <f>IF(AND(B96="",B95&gt;0),SUM($L$5:L95),IFERROR(IF(VLOOKUP(B96,Baza[],21,0)=0,"-",VLOOKUP(B96,Baza[],21,0)),""))</f>
        <v/>
      </c>
      <c r="M96" s="12" t="str">
        <f>IF(AND(B96="",B95&gt;0),SUM($M$5:M95),IFERROR(IF(VLOOKUP(B96,Baza[],22,0)=0,"-",VLOOKUP(B96,Baza[],22,0)),""))</f>
        <v/>
      </c>
      <c r="N96" s="12" t="str">
        <f>IF(AND(B96="",B95&gt;0),SUM($N$5:N95),IFERROR(VLOOKUP(B96,Baza[],23,0),""))</f>
        <v/>
      </c>
      <c r="P96" s="13" t="str">
        <f>IFERROR(VLOOKUP(B96,Baza[],14,0),"")</f>
        <v/>
      </c>
      <c r="Q96" s="13" t="str">
        <f>IFERROR(VLOOKUP(B96,Baza[],13,0),"")</f>
        <v/>
      </c>
    </row>
    <row r="97" spans="1:17" ht="9.9499999999999993" customHeight="1" x14ac:dyDescent="0.25">
      <c r="A97" s="4">
        <v>2</v>
      </c>
      <c r="B97" s="48"/>
      <c r="C97" s="97"/>
      <c r="D97" s="111" t="str">
        <f t="shared" si="1"/>
        <v/>
      </c>
      <c r="E97" s="8" t="str">
        <f>IFERROR(VLOOKUP(B97,Baza[],7,0),"")</f>
        <v/>
      </c>
      <c r="F97" s="9" t="str">
        <f>IF(AND(B97="",B96&gt;0),"                           Total:   Games: "&amp;VLOOKUP($C$2,Data!$B$87:$N$9999,4,0)&amp;"     Buy-in: $ "&amp;TEXT(VLOOKUP($C$2,Data!$B$87:$N$9999,5,0),"0,0")&amp;"     ABI: $ "&amp;TEXT(VLOOKUP($C$2,Data!$B$87:$N$9999,6,0),"0,0"),IFERROR( IF(VLOOKUP(B97,Baza[],18,0)&gt;0," ["&amp;VLOOKUP(B97,Baza[],18,0)+1&amp;"] ","   ")      &amp;IFERROR(IF(OR(VLOOKUP(B97,Baza[],9,0)="WN",VLOOKUP(B97,Baza[],9,0)="ES"),"€ ","$ ")&amp;      VLOOKUP(B97,Baza[],8,0),"")         &amp;" ["&amp;VLOOKUP(B97,Baza[],9,0)&amp;"] "&amp;VLOOKUP(B97,Baza[],10,0)&amp;IF(VLOOKUP(B97,Baza[],12,0)="T"," [Turbo]",   IF(VLOOKUP(B97,Baza[],12,0)="H"," [Hyper]",                                 "") )            &amp;  IF(VLOOKUP(B97,Baza[],14,0)="s",   ", "&amp;VLOOKUP(B97,Baza[],15,0)&amp;" Tickets",                                                                                                 IF(OR(VLOOKUP(B97,Baza[],14,0)="XP",VLOOKUP(B97,Baza[],14,0)="XP2"),VLOOKUP(B97,Baza[],15,0),            IF(OR(VLOOKUP(B97,Baza[],9,0)="WN",VLOOKUP(B97,Baza[],9,0)="ES"),", €",", $")&amp;                          IF(VLOOKUP(B97,Baza[],15,0)&lt;1000,VLOOKUP(B97,Baza[],15,0),IF(VLOOKUP(B97,Baza[],15,0)&lt;1000000,IF(VLOOKUP(B97,Baza[],15,0)/1000=INT(VLOOKUP(B97,Baza[],15,0)/1000),TEXT(VLOOKUP(B97,Baza[],15,0),"#0 K"),TEXT(VLOOKUP(B97,Baza[],15,0),"#0,0 K")), IF(VLOOKUP(B97,Baza[],15,0)/1000000=INT(VLOOKUP(B97,Baza[],15,0)/1000000),TEXT(VLOOKUP(B97,Baza[],15,0),"# ###  M"),TEXT(VLOOKUP(B97,Baza[],15,0),"# ###,0  M")))))),""))</f>
        <v/>
      </c>
      <c r="G97" s="10"/>
      <c r="H97" s="10"/>
      <c r="I97" s="10"/>
      <c r="J97" s="10"/>
      <c r="K97" s="11" t="str">
        <f>IFERROR(IF(VLOOKUP(B97,Baza[],14,0)="s","Sat",IF(VLOOKUP(B97,Baza[],14,0)="XP","Phase",                                         IF(VLOOKUP(B97,Baza[],19,0)="-","",VLOOKUP(B97,Baza[],19,0)))),"")</f>
        <v/>
      </c>
      <c r="L97" s="12" t="str">
        <f>IF(AND(B97="",B96&gt;0),SUM($L$5:L96),IFERROR(IF(VLOOKUP(B97,Baza[],21,0)=0,"-",VLOOKUP(B97,Baza[],21,0)),""))</f>
        <v/>
      </c>
      <c r="M97" s="12" t="str">
        <f>IF(AND(B97="",B96&gt;0),SUM($M$5:M96),IFERROR(IF(VLOOKUP(B97,Baza[],22,0)=0,"-",VLOOKUP(B97,Baza[],22,0)),""))</f>
        <v/>
      </c>
      <c r="N97" s="12" t="str">
        <f>IF(AND(B97="",B96&gt;0),SUM($N$5:N96),IFERROR(VLOOKUP(B97,Baza[],23,0),""))</f>
        <v/>
      </c>
      <c r="P97" s="13" t="str">
        <f>IFERROR(VLOOKUP(B97,Baza[],14,0),"")</f>
        <v/>
      </c>
      <c r="Q97" s="13" t="str">
        <f>IFERROR(VLOOKUP(B97,Baza[],13,0),"")</f>
        <v/>
      </c>
    </row>
    <row r="98" spans="1:17" ht="9.9499999999999993" customHeight="1" x14ac:dyDescent="0.25">
      <c r="A98" s="4">
        <v>1</v>
      </c>
      <c r="B98" s="48"/>
      <c r="C98" s="97"/>
      <c r="D98" s="111" t="str">
        <f t="shared" si="1"/>
        <v/>
      </c>
      <c r="E98" s="8" t="str">
        <f>IFERROR(VLOOKUP(B98,Baza[],7,0),"")</f>
        <v/>
      </c>
      <c r="F98" s="9" t="str">
        <f>IF(AND(B98="",B97&gt;0),"                           Total:   Games: "&amp;VLOOKUP($C$2,Data!$B$87:$N$9999,4,0)&amp;"     Buy-in: $ "&amp;TEXT(VLOOKUP($C$2,Data!$B$87:$N$9999,5,0),"0,0")&amp;"     ABI: $ "&amp;TEXT(VLOOKUP($C$2,Data!$B$87:$N$9999,6,0),"0,0"),IFERROR( IF(VLOOKUP(B98,Baza[],18,0)&gt;0," ["&amp;VLOOKUP(B98,Baza[],18,0)+1&amp;"] ","   ")      &amp;IFERROR(IF(OR(VLOOKUP(B98,Baza[],9,0)="WN",VLOOKUP(B98,Baza[],9,0)="ES"),"€ ","$ ")&amp;      VLOOKUP(B98,Baza[],8,0),"")         &amp;" ["&amp;VLOOKUP(B98,Baza[],9,0)&amp;"] "&amp;VLOOKUP(B98,Baza[],10,0)&amp;IF(VLOOKUP(B98,Baza[],12,0)="T"," [Turbo]",   IF(VLOOKUP(B98,Baza[],12,0)="H"," [Hyper]",                                 "") )            &amp;  IF(VLOOKUP(B98,Baza[],14,0)="s",   ", "&amp;VLOOKUP(B98,Baza[],15,0)&amp;" Tickets",                                                                                                 IF(OR(VLOOKUP(B98,Baza[],14,0)="XP",VLOOKUP(B98,Baza[],14,0)="XP2"),VLOOKUP(B98,Baza[],15,0),            IF(OR(VLOOKUP(B98,Baza[],9,0)="WN",VLOOKUP(B98,Baza[],9,0)="ES"),", €",", $")&amp;                          IF(VLOOKUP(B98,Baza[],15,0)&lt;1000,VLOOKUP(B98,Baza[],15,0),IF(VLOOKUP(B98,Baza[],15,0)&lt;1000000,IF(VLOOKUP(B98,Baza[],15,0)/1000=INT(VLOOKUP(B98,Baza[],15,0)/1000),TEXT(VLOOKUP(B98,Baza[],15,0),"#0 K"),TEXT(VLOOKUP(B98,Baza[],15,0),"#0,0 K")), IF(VLOOKUP(B98,Baza[],15,0)/1000000=INT(VLOOKUP(B98,Baza[],15,0)/1000000),TEXT(VLOOKUP(B98,Baza[],15,0),"# ###  M"),TEXT(VLOOKUP(B98,Baza[],15,0),"# ###,0  M")))))),""))</f>
        <v/>
      </c>
      <c r="G98" s="10"/>
      <c r="H98" s="10"/>
      <c r="I98" s="10"/>
      <c r="J98" s="10"/>
      <c r="K98" s="11" t="str">
        <f>IFERROR(IF(VLOOKUP(B98,Baza[],14,0)="s","Sat",IF(VLOOKUP(B98,Baza[],14,0)="XP","Phase",                                         IF(VLOOKUP(B98,Baza[],19,0)="-","",VLOOKUP(B98,Baza[],19,0)))),"")</f>
        <v/>
      </c>
      <c r="L98" s="12" t="str">
        <f>IF(AND(B98="",B97&gt;0),SUM($L$5:L97),IFERROR(IF(VLOOKUP(B98,Baza[],21,0)=0,"-",VLOOKUP(B98,Baza[],21,0)),""))</f>
        <v/>
      </c>
      <c r="M98" s="12" t="str">
        <f>IF(AND(B98="",B97&gt;0),SUM($M$5:M97),IFERROR(IF(VLOOKUP(B98,Baza[],22,0)=0,"-",VLOOKUP(B98,Baza[],22,0)),""))</f>
        <v/>
      </c>
      <c r="N98" s="12" t="str">
        <f>IF(AND(B98="",B97&gt;0),SUM($N$5:N97),IFERROR(VLOOKUP(B98,Baza[],23,0),""))</f>
        <v/>
      </c>
      <c r="P98" s="13" t="str">
        <f>IFERROR(VLOOKUP(B98,Baza[],14,0),"")</f>
        <v/>
      </c>
      <c r="Q98" s="13" t="str">
        <f>IFERROR(VLOOKUP(B98,Baza[],13,0),"")</f>
        <v/>
      </c>
    </row>
    <row r="99" spans="1:17" ht="9.9499999999999993" customHeight="1" x14ac:dyDescent="0.25">
      <c r="A99" s="4">
        <v>2</v>
      </c>
      <c r="B99" s="48"/>
      <c r="C99" s="97"/>
      <c r="D99" s="111" t="str">
        <f t="shared" si="1"/>
        <v/>
      </c>
      <c r="E99" s="8" t="str">
        <f>IFERROR(VLOOKUP(B99,Baza[],7,0),"")</f>
        <v/>
      </c>
      <c r="F99" s="9" t="str">
        <f>IF(AND(B99="",B98&gt;0),"                           Total:   Games: "&amp;VLOOKUP($C$2,Data!$B$87:$N$9999,4,0)&amp;"     Buy-in: $ "&amp;TEXT(VLOOKUP($C$2,Data!$B$87:$N$9999,5,0),"0,0")&amp;"     ABI: $ "&amp;TEXT(VLOOKUP($C$2,Data!$B$87:$N$9999,6,0),"0,0"),IFERROR( IF(VLOOKUP(B99,Baza[],18,0)&gt;0," ["&amp;VLOOKUP(B99,Baza[],18,0)+1&amp;"] ","   ")      &amp;IFERROR(IF(OR(VLOOKUP(B99,Baza[],9,0)="WN",VLOOKUP(B99,Baza[],9,0)="ES"),"€ ","$ ")&amp;      VLOOKUP(B99,Baza[],8,0),"")         &amp;" ["&amp;VLOOKUP(B99,Baza[],9,0)&amp;"] "&amp;VLOOKUP(B99,Baza[],10,0)&amp;IF(VLOOKUP(B99,Baza[],12,0)="T"," [Turbo]",   IF(VLOOKUP(B99,Baza[],12,0)="H"," [Hyper]",                                 "") )            &amp;  IF(VLOOKUP(B99,Baza[],14,0)="s",   ", "&amp;VLOOKUP(B99,Baza[],15,0)&amp;" Tickets",                                                                                                 IF(OR(VLOOKUP(B99,Baza[],14,0)="XP",VLOOKUP(B99,Baza[],14,0)="XP2"),VLOOKUP(B99,Baza[],15,0),            IF(OR(VLOOKUP(B99,Baza[],9,0)="WN",VLOOKUP(B99,Baza[],9,0)="ES"),", €",", $")&amp;                          IF(VLOOKUP(B99,Baza[],15,0)&lt;1000,VLOOKUP(B99,Baza[],15,0),IF(VLOOKUP(B99,Baza[],15,0)&lt;1000000,IF(VLOOKUP(B99,Baza[],15,0)/1000=INT(VLOOKUP(B99,Baza[],15,0)/1000),TEXT(VLOOKUP(B99,Baza[],15,0),"#0 K"),TEXT(VLOOKUP(B99,Baza[],15,0),"#0,0 K")), IF(VLOOKUP(B99,Baza[],15,0)/1000000=INT(VLOOKUP(B99,Baza[],15,0)/1000000),TEXT(VLOOKUP(B99,Baza[],15,0),"# ###  M"),TEXT(VLOOKUP(B99,Baza[],15,0),"# ###,0  M")))))),""))</f>
        <v/>
      </c>
      <c r="G99" s="10"/>
      <c r="H99" s="10"/>
      <c r="I99" s="10"/>
      <c r="J99" s="10"/>
      <c r="K99" s="11" t="str">
        <f>IFERROR(IF(VLOOKUP(B99,Baza[],14,0)="s","Sat",IF(VLOOKUP(B99,Baza[],14,0)="XP","Phase",                                         IF(VLOOKUP(B99,Baza[],19,0)="-","",VLOOKUP(B99,Baza[],19,0)))),"")</f>
        <v/>
      </c>
      <c r="L99" s="12" t="str">
        <f>IF(AND(B99="",B98&gt;0),SUM($L$5:L98),IFERROR(IF(VLOOKUP(B99,Baza[],21,0)=0,"-",VLOOKUP(B99,Baza[],21,0)),""))</f>
        <v/>
      </c>
      <c r="M99" s="12" t="str">
        <f>IF(AND(B99="",B98&gt;0),SUM($M$5:M98),IFERROR(IF(VLOOKUP(B99,Baza[],22,0)=0,"-",VLOOKUP(B99,Baza[],22,0)),""))</f>
        <v/>
      </c>
      <c r="N99" s="12" t="str">
        <f>IF(AND(B99="",B98&gt;0),SUM($N$5:N98),IFERROR(VLOOKUP(B99,Baza[],23,0),""))</f>
        <v/>
      </c>
      <c r="P99" s="13" t="str">
        <f>IFERROR(VLOOKUP(B99,Baza[],14,0),"")</f>
        <v/>
      </c>
      <c r="Q99" s="13" t="str">
        <f>IFERROR(VLOOKUP(B99,Baza[],13,0),"")</f>
        <v/>
      </c>
    </row>
    <row r="100" spans="1:17" ht="9.9499999999999993" customHeight="1" x14ac:dyDescent="0.25">
      <c r="A100" s="4">
        <v>1</v>
      </c>
      <c r="B100" s="48"/>
      <c r="C100" s="97"/>
      <c r="D100" s="111" t="str">
        <f t="shared" si="1"/>
        <v/>
      </c>
      <c r="E100" s="8" t="str">
        <f>IFERROR(VLOOKUP(B100,Baza[],7,0),"")</f>
        <v/>
      </c>
      <c r="F100" s="9" t="str">
        <f>IF(AND(B100="",B99&gt;0),"                           Total:   Games: "&amp;VLOOKUP($C$2,Data!$B$87:$N$9999,4,0)&amp;"     Buy-in: $ "&amp;TEXT(VLOOKUP($C$2,Data!$B$87:$N$9999,5,0),"0,0")&amp;"     ABI: $ "&amp;TEXT(VLOOKUP($C$2,Data!$B$87:$N$9999,6,0),"0,0"),IFERROR( IF(VLOOKUP(B100,Baza[],18,0)&gt;0," ["&amp;VLOOKUP(B100,Baza[],18,0)+1&amp;"] ","   ")      &amp;IFERROR(IF(OR(VLOOKUP(B100,Baza[],9,0)="WN",VLOOKUP(B100,Baza[],9,0)="ES"),"€ ","$ ")&amp;      VLOOKUP(B100,Baza[],8,0),"")         &amp;" ["&amp;VLOOKUP(B100,Baza[],9,0)&amp;"] "&amp;VLOOKUP(B100,Baza[],10,0)&amp;IF(VLOOKUP(B100,Baza[],12,0)="T"," [Turbo]",   IF(VLOOKUP(B100,Baza[],12,0)="H"," [Hyper]",                                 "") )            &amp;  IF(VLOOKUP(B100,Baza[],14,0)="s",   ", "&amp;VLOOKUP(B100,Baza[],15,0)&amp;" Tickets",                                                                                                 IF(OR(VLOOKUP(B100,Baza[],14,0)="XP",VLOOKUP(B100,Baza[],14,0)="XP2"),VLOOKUP(B100,Baza[],15,0),            IF(OR(VLOOKUP(B100,Baza[],9,0)="WN",VLOOKUP(B100,Baza[],9,0)="ES"),", €",", $")&amp;                          IF(VLOOKUP(B100,Baza[],15,0)&lt;1000,VLOOKUP(B100,Baza[],15,0),IF(VLOOKUP(B100,Baza[],15,0)&lt;1000000,IF(VLOOKUP(B100,Baza[],15,0)/1000=INT(VLOOKUP(B100,Baza[],15,0)/1000),TEXT(VLOOKUP(B100,Baza[],15,0),"#0 K"),TEXT(VLOOKUP(B100,Baza[],15,0),"#0,0 K")), IF(VLOOKUP(B100,Baza[],15,0)/1000000=INT(VLOOKUP(B100,Baza[],15,0)/1000000),TEXT(VLOOKUP(B100,Baza[],15,0),"# ###  M"),TEXT(VLOOKUP(B100,Baza[],15,0),"# ###,0  M")))))),""))</f>
        <v/>
      </c>
      <c r="G100" s="10"/>
      <c r="H100" s="10"/>
      <c r="I100" s="10"/>
      <c r="J100" s="10"/>
      <c r="K100" s="11" t="str">
        <f>IFERROR(IF(VLOOKUP(B100,Baza[],14,0)="s","Sat",IF(VLOOKUP(B100,Baza[],14,0)="XP","Phase",                                         IF(VLOOKUP(B100,Baza[],19,0)="-","",VLOOKUP(B100,Baza[],19,0)))),"")</f>
        <v/>
      </c>
      <c r="L100" s="12" t="str">
        <f>IF(AND(B100="",B99&gt;0),SUM($L$5:L99),IFERROR(IF(VLOOKUP(B100,Baza[],21,0)=0,"-",VLOOKUP(B100,Baza[],21,0)),""))</f>
        <v/>
      </c>
      <c r="M100" s="12" t="str">
        <f>IF(AND(B100="",B99&gt;0),SUM($M$5:M99),IFERROR(IF(VLOOKUP(B100,Baza[],22,0)=0,"-",VLOOKUP(B100,Baza[],22,0)),""))</f>
        <v/>
      </c>
      <c r="N100" s="12" t="str">
        <f>IF(AND(B100="",B99&gt;0),SUM($N$5:N99),IFERROR(VLOOKUP(B100,Baza[],23,0),""))</f>
        <v/>
      </c>
      <c r="P100" s="13" t="str">
        <f>IFERROR(VLOOKUP(B100,Baza[],14,0),"")</f>
        <v/>
      </c>
      <c r="Q100" s="13" t="str">
        <f>IFERROR(VLOOKUP(B100,Baza[],13,0),"")</f>
        <v/>
      </c>
    </row>
    <row r="101" spans="1:17" ht="9.9499999999999993" customHeight="1" x14ac:dyDescent="0.25">
      <c r="A101" s="4">
        <v>2</v>
      </c>
      <c r="B101" s="48"/>
      <c r="C101" s="97"/>
      <c r="D101" s="111" t="str">
        <f t="shared" si="1"/>
        <v/>
      </c>
      <c r="E101" s="8" t="str">
        <f>IFERROR(VLOOKUP(B101,Baza[],7,0),"")</f>
        <v/>
      </c>
      <c r="F101" s="9" t="str">
        <f>IF(AND(B101="",B100&gt;0),"                           Total:   Games: "&amp;VLOOKUP($C$2,Data!$B$87:$N$9999,4,0)&amp;"     Buy-in: $ "&amp;TEXT(VLOOKUP($C$2,Data!$B$87:$N$9999,5,0),"0,0")&amp;"     ABI: $ "&amp;TEXT(VLOOKUP($C$2,Data!$B$87:$N$9999,6,0),"0,0"),IFERROR( IF(VLOOKUP(B101,Baza[],18,0)&gt;0," ["&amp;VLOOKUP(B101,Baza[],18,0)+1&amp;"] ","   ")      &amp;IFERROR(IF(OR(VLOOKUP(B101,Baza[],9,0)="WN",VLOOKUP(B101,Baza[],9,0)="ES"),"€ ","$ ")&amp;      VLOOKUP(B101,Baza[],8,0),"")         &amp;" ["&amp;VLOOKUP(B101,Baza[],9,0)&amp;"] "&amp;VLOOKUP(B101,Baza[],10,0)&amp;IF(VLOOKUP(B101,Baza[],12,0)="T"," [Turbo]",   IF(VLOOKUP(B101,Baza[],12,0)="H"," [Hyper]",                                 "") )            &amp;  IF(VLOOKUP(B101,Baza[],14,0)="s",   ", "&amp;VLOOKUP(B101,Baza[],15,0)&amp;" Tickets",                                                                                                 IF(OR(VLOOKUP(B101,Baza[],14,0)="XP",VLOOKUP(B101,Baza[],14,0)="XP2"),VLOOKUP(B101,Baza[],15,0),            IF(OR(VLOOKUP(B101,Baza[],9,0)="WN",VLOOKUP(B101,Baza[],9,0)="ES"),", €",", $")&amp;                          IF(VLOOKUP(B101,Baza[],15,0)&lt;1000,VLOOKUP(B101,Baza[],15,0),IF(VLOOKUP(B101,Baza[],15,0)&lt;1000000,IF(VLOOKUP(B101,Baza[],15,0)/1000=INT(VLOOKUP(B101,Baza[],15,0)/1000),TEXT(VLOOKUP(B101,Baza[],15,0),"#0 K"),TEXT(VLOOKUP(B101,Baza[],15,0),"#0,0 K")), IF(VLOOKUP(B101,Baza[],15,0)/1000000=INT(VLOOKUP(B101,Baza[],15,0)/1000000),TEXT(VLOOKUP(B101,Baza[],15,0),"# ###  M"),TEXT(VLOOKUP(B101,Baza[],15,0),"# ###,0  M")))))),""))</f>
        <v/>
      </c>
      <c r="G101" s="10"/>
      <c r="H101" s="10"/>
      <c r="I101" s="10"/>
      <c r="J101" s="10"/>
      <c r="K101" s="11" t="str">
        <f>IFERROR(IF(VLOOKUP(B101,Baza[],14,0)="s","Sat",IF(VLOOKUP(B101,Baza[],14,0)="XP","Phase",                                         IF(VLOOKUP(B101,Baza[],19,0)="-","",VLOOKUP(B101,Baza[],19,0)))),"")</f>
        <v/>
      </c>
      <c r="L101" s="12" t="str">
        <f>IF(AND(B101="",B100&gt;0),SUM($L$5:L100),IFERROR(IF(VLOOKUP(B101,Baza[],21,0)=0,"-",VLOOKUP(B101,Baza[],21,0)),""))</f>
        <v/>
      </c>
      <c r="M101" s="12" t="str">
        <f>IF(AND(B101="",B100&gt;0),SUM($M$5:M100),IFERROR(IF(VLOOKUP(B101,Baza[],22,0)=0,"-",VLOOKUP(B101,Baza[],22,0)),""))</f>
        <v/>
      </c>
      <c r="N101" s="12" t="str">
        <f>IF(AND(B101="",B100&gt;0),SUM($N$5:N100),IFERROR(VLOOKUP(B101,Baza[],23,0),""))</f>
        <v/>
      </c>
      <c r="P101" s="13" t="str">
        <f>IFERROR(VLOOKUP(B101,Baza[],14,0),"")</f>
        <v/>
      </c>
      <c r="Q101" s="13" t="str">
        <f>IFERROR(VLOOKUP(B101,Baza[],13,0),"")</f>
        <v/>
      </c>
    </row>
    <row r="102" spans="1:17" ht="9.9499999999999993" customHeight="1" x14ac:dyDescent="0.25">
      <c r="A102" s="4">
        <v>1</v>
      </c>
      <c r="B102" s="48"/>
      <c r="C102" s="97"/>
      <c r="D102" s="111" t="str">
        <f t="shared" si="1"/>
        <v/>
      </c>
      <c r="E102" s="8" t="str">
        <f>IFERROR(VLOOKUP(B102,Baza[],7,0),"")</f>
        <v/>
      </c>
      <c r="F102" s="9" t="str">
        <f>IF(AND(B102="",B101&gt;0),"                           Total:   Games: "&amp;VLOOKUP($C$2,Data!$B$87:$N$9999,4,0)&amp;"     Buy-in: $ "&amp;TEXT(VLOOKUP($C$2,Data!$B$87:$N$9999,5,0),"0,0")&amp;"     ABI: $ "&amp;TEXT(VLOOKUP($C$2,Data!$B$87:$N$9999,6,0),"0,0"),IFERROR( IF(VLOOKUP(B102,Baza[],18,0)&gt;0," ["&amp;VLOOKUP(B102,Baza[],18,0)+1&amp;"] ","   ")      &amp;IFERROR(IF(OR(VLOOKUP(B102,Baza[],9,0)="WN",VLOOKUP(B102,Baza[],9,0)="ES"),"€ ","$ ")&amp;      VLOOKUP(B102,Baza[],8,0),"")         &amp;" ["&amp;VLOOKUP(B102,Baza[],9,0)&amp;"] "&amp;VLOOKUP(B102,Baza[],10,0)&amp;IF(VLOOKUP(B102,Baza[],12,0)="T"," [Turbo]",   IF(VLOOKUP(B102,Baza[],12,0)="H"," [Hyper]",                                 "") )            &amp;  IF(VLOOKUP(B102,Baza[],14,0)="s",   ", "&amp;VLOOKUP(B102,Baza[],15,0)&amp;" Tickets",                                                                                                 IF(OR(VLOOKUP(B102,Baza[],14,0)="XP",VLOOKUP(B102,Baza[],14,0)="XP2"),VLOOKUP(B102,Baza[],15,0),            IF(OR(VLOOKUP(B102,Baza[],9,0)="WN",VLOOKUP(B102,Baza[],9,0)="ES"),", €",", $")&amp;                          IF(VLOOKUP(B102,Baza[],15,0)&lt;1000,VLOOKUP(B102,Baza[],15,0),IF(VLOOKUP(B102,Baza[],15,0)&lt;1000000,IF(VLOOKUP(B102,Baza[],15,0)/1000=INT(VLOOKUP(B102,Baza[],15,0)/1000),TEXT(VLOOKUP(B102,Baza[],15,0),"#0 K"),TEXT(VLOOKUP(B102,Baza[],15,0),"#0,0 K")), IF(VLOOKUP(B102,Baza[],15,0)/1000000=INT(VLOOKUP(B102,Baza[],15,0)/1000000),TEXT(VLOOKUP(B102,Baza[],15,0),"# ###  M"),TEXT(VLOOKUP(B102,Baza[],15,0),"# ###,0  M")))))),""))</f>
        <v/>
      </c>
      <c r="G102" s="10"/>
      <c r="H102" s="10"/>
      <c r="I102" s="10"/>
      <c r="J102" s="10"/>
      <c r="K102" s="11" t="str">
        <f>IFERROR(IF(VLOOKUP(B102,Baza[],14,0)="s","Sat",IF(VLOOKUP(B102,Baza[],14,0)="XP","Phase",                                         IF(VLOOKUP(B102,Baza[],19,0)="-","",VLOOKUP(B102,Baza[],19,0)))),"")</f>
        <v/>
      </c>
      <c r="L102" s="12" t="str">
        <f>IF(AND(B102="",B101&gt;0),SUM($L$5:L101),IFERROR(IF(VLOOKUP(B102,Baza[],21,0)=0,"-",VLOOKUP(B102,Baza[],21,0)),""))</f>
        <v/>
      </c>
      <c r="M102" s="12" t="str">
        <f>IF(AND(B102="",B101&gt;0),SUM($M$5:M101),IFERROR(IF(VLOOKUP(B102,Baza[],22,0)=0,"-",VLOOKUP(B102,Baza[],22,0)),""))</f>
        <v/>
      </c>
      <c r="N102" s="12" t="str">
        <f>IF(AND(B102="",B101&gt;0),SUM($N$5:N101),IFERROR(VLOOKUP(B102,Baza[],23,0),""))</f>
        <v/>
      </c>
      <c r="P102" s="13" t="str">
        <f>IFERROR(VLOOKUP(B102,Baza[],14,0),"")</f>
        <v/>
      </c>
      <c r="Q102" s="13" t="str">
        <f>IFERROR(VLOOKUP(B102,Baza[],13,0),"")</f>
        <v/>
      </c>
    </row>
    <row r="103" spans="1:17" ht="9.9499999999999993" customHeight="1" x14ac:dyDescent="0.25">
      <c r="A103" s="4">
        <v>2</v>
      </c>
      <c r="B103" s="48"/>
      <c r="C103" s="97"/>
      <c r="D103" s="111" t="str">
        <f t="shared" si="1"/>
        <v/>
      </c>
      <c r="E103" s="8" t="str">
        <f>IFERROR(VLOOKUP(B103,Baza[],7,0),"")</f>
        <v/>
      </c>
      <c r="F103" s="9" t="str">
        <f>IF(AND(B103="",B102&gt;0),"                           Total:   Games: "&amp;VLOOKUP($C$2,Data!$B$87:$N$9999,4,0)&amp;"     Buy-in: $ "&amp;TEXT(VLOOKUP($C$2,Data!$B$87:$N$9999,5,0),"0,0")&amp;"     ABI: $ "&amp;TEXT(VLOOKUP($C$2,Data!$B$87:$N$9999,6,0),"0,0"),IFERROR( IF(VLOOKUP(B103,Baza[],18,0)&gt;0," ["&amp;VLOOKUP(B103,Baza[],18,0)+1&amp;"] ","   ")      &amp;IFERROR(IF(OR(VLOOKUP(B103,Baza[],9,0)="WN",VLOOKUP(B103,Baza[],9,0)="ES"),"€ ","$ ")&amp;      VLOOKUP(B103,Baza[],8,0),"")         &amp;" ["&amp;VLOOKUP(B103,Baza[],9,0)&amp;"] "&amp;VLOOKUP(B103,Baza[],10,0)&amp;IF(VLOOKUP(B103,Baza[],12,0)="T"," [Turbo]",   IF(VLOOKUP(B103,Baza[],12,0)="H"," [Hyper]",                                 "") )            &amp;  IF(VLOOKUP(B103,Baza[],14,0)="s",   ", "&amp;VLOOKUP(B103,Baza[],15,0)&amp;" Tickets",                                                                                                 IF(OR(VLOOKUP(B103,Baza[],14,0)="XP",VLOOKUP(B103,Baza[],14,0)="XP2"),VLOOKUP(B103,Baza[],15,0),            IF(OR(VLOOKUP(B103,Baza[],9,0)="WN",VLOOKUP(B103,Baza[],9,0)="ES"),", €",", $")&amp;                          IF(VLOOKUP(B103,Baza[],15,0)&lt;1000,VLOOKUP(B103,Baza[],15,0),IF(VLOOKUP(B103,Baza[],15,0)&lt;1000000,IF(VLOOKUP(B103,Baza[],15,0)/1000=INT(VLOOKUP(B103,Baza[],15,0)/1000),TEXT(VLOOKUP(B103,Baza[],15,0),"#0 K"),TEXT(VLOOKUP(B103,Baza[],15,0),"#0,0 K")), IF(VLOOKUP(B103,Baza[],15,0)/1000000=INT(VLOOKUP(B103,Baza[],15,0)/1000000),TEXT(VLOOKUP(B103,Baza[],15,0),"# ###  M"),TEXT(VLOOKUP(B103,Baza[],15,0),"# ###,0  M")))))),""))</f>
        <v/>
      </c>
      <c r="G103" s="10"/>
      <c r="H103" s="10"/>
      <c r="I103" s="10"/>
      <c r="J103" s="10"/>
      <c r="K103" s="11" t="str">
        <f>IFERROR(IF(VLOOKUP(B103,Baza[],14,0)="s","Sat",IF(VLOOKUP(B103,Baza[],14,0)="XP","Phase",                                         IF(VLOOKUP(B103,Baza[],19,0)="-","",VLOOKUP(B103,Baza[],19,0)))),"")</f>
        <v/>
      </c>
      <c r="L103" s="12" t="str">
        <f>IF(AND(B103="",B102&gt;0),SUM($L$5:L102),IFERROR(IF(VLOOKUP(B103,Baza[],21,0)=0,"-",VLOOKUP(B103,Baza[],21,0)),""))</f>
        <v/>
      </c>
      <c r="M103" s="12" t="str">
        <f>IF(AND(B103="",B102&gt;0),SUM($M$5:M102),IFERROR(IF(VLOOKUP(B103,Baza[],22,0)=0,"-",VLOOKUP(B103,Baza[],22,0)),""))</f>
        <v/>
      </c>
      <c r="N103" s="12" t="str">
        <f>IF(AND(B103="",B102&gt;0),SUM($N$5:N102),IFERROR(VLOOKUP(B103,Baza[],23,0),""))</f>
        <v/>
      </c>
      <c r="P103" s="13" t="str">
        <f>IFERROR(VLOOKUP(B103,Baza[],14,0),"")</f>
        <v/>
      </c>
      <c r="Q103" s="13" t="str">
        <f>IFERROR(VLOOKUP(B103,Baza[],13,0),"")</f>
        <v/>
      </c>
    </row>
    <row r="104" spans="1:17" ht="9.9499999999999993" customHeight="1" x14ac:dyDescent="0.25">
      <c r="A104" s="4">
        <v>1</v>
      </c>
      <c r="B104" s="48"/>
      <c r="C104" s="97"/>
      <c r="D104" s="111" t="str">
        <f t="shared" si="1"/>
        <v/>
      </c>
      <c r="E104" s="8" t="str">
        <f>IFERROR(VLOOKUP(B104,Baza[],7,0),"")</f>
        <v/>
      </c>
      <c r="F104" s="9" t="str">
        <f>IF(AND(B104="",B103&gt;0),"                           Total:   Games: "&amp;VLOOKUP($C$2,Data!$B$87:$N$9999,4,0)&amp;"     Buy-in: $ "&amp;TEXT(VLOOKUP($C$2,Data!$B$87:$N$9999,5,0),"0,0")&amp;"     ABI: $ "&amp;TEXT(VLOOKUP($C$2,Data!$B$87:$N$9999,6,0),"0,0"),IFERROR( IF(VLOOKUP(B104,Baza[],18,0)&gt;0," ["&amp;VLOOKUP(B104,Baza[],18,0)+1&amp;"] ","   ")      &amp;IFERROR(IF(OR(VLOOKUP(B104,Baza[],9,0)="WN",VLOOKUP(B104,Baza[],9,0)="ES"),"€ ","$ ")&amp;      VLOOKUP(B104,Baza[],8,0),"")         &amp;" ["&amp;VLOOKUP(B104,Baza[],9,0)&amp;"] "&amp;VLOOKUP(B104,Baza[],10,0)&amp;IF(VLOOKUP(B104,Baza[],12,0)="T"," [Turbo]",   IF(VLOOKUP(B104,Baza[],12,0)="H"," [Hyper]",                                 "") )            &amp;  IF(VLOOKUP(B104,Baza[],14,0)="s",   ", "&amp;VLOOKUP(B104,Baza[],15,0)&amp;" Tickets",                                                                                                 IF(OR(VLOOKUP(B104,Baza[],14,0)="XP",VLOOKUP(B104,Baza[],14,0)="XP2"),VLOOKUP(B104,Baza[],15,0),            IF(OR(VLOOKUP(B104,Baza[],9,0)="WN",VLOOKUP(B104,Baza[],9,0)="ES"),", €",", $")&amp;                          IF(VLOOKUP(B104,Baza[],15,0)&lt;1000,VLOOKUP(B104,Baza[],15,0),IF(VLOOKUP(B104,Baza[],15,0)&lt;1000000,IF(VLOOKUP(B104,Baza[],15,0)/1000=INT(VLOOKUP(B104,Baza[],15,0)/1000),TEXT(VLOOKUP(B104,Baza[],15,0),"#0 K"),TEXT(VLOOKUP(B104,Baza[],15,0),"#0,0 K")), IF(VLOOKUP(B104,Baza[],15,0)/1000000=INT(VLOOKUP(B104,Baza[],15,0)/1000000),TEXT(VLOOKUP(B104,Baza[],15,0),"# ###  M"),TEXT(VLOOKUP(B104,Baza[],15,0),"# ###,0  M")))))),""))</f>
        <v/>
      </c>
      <c r="G104" s="10"/>
      <c r="H104" s="10"/>
      <c r="I104" s="10"/>
      <c r="J104" s="10"/>
      <c r="K104" s="11" t="str">
        <f>IFERROR(IF(VLOOKUP(B104,Baza[],14,0)="s","Sat",IF(VLOOKUP(B104,Baza[],14,0)="XP","Phase",                                         IF(VLOOKUP(B104,Baza[],19,0)="-","",VLOOKUP(B104,Baza[],19,0)))),"")</f>
        <v/>
      </c>
      <c r="L104" s="12" t="str">
        <f>IF(AND(B104="",B103&gt;0),SUM($L$5:L103),IFERROR(IF(VLOOKUP(B104,Baza[],21,0)=0,"-",VLOOKUP(B104,Baza[],21,0)),""))</f>
        <v/>
      </c>
      <c r="M104" s="12" t="str">
        <f>IF(AND(B104="",B103&gt;0),SUM($M$5:M103),IFERROR(IF(VLOOKUP(B104,Baza[],22,0)=0,"-",VLOOKUP(B104,Baza[],22,0)),""))</f>
        <v/>
      </c>
      <c r="N104" s="12" t="str">
        <f>IF(AND(B104="",B103&gt;0),SUM($N$5:N103),IFERROR(VLOOKUP(B104,Baza[],23,0),""))</f>
        <v/>
      </c>
      <c r="P104" s="13" t="str">
        <f>IFERROR(VLOOKUP(B104,Baza[],14,0),"")</f>
        <v/>
      </c>
      <c r="Q104" s="13" t="str">
        <f>IFERROR(VLOOKUP(B104,Baza[],13,0),"")</f>
        <v/>
      </c>
    </row>
    <row r="105" spans="1:17" ht="9.9499999999999993" customHeight="1" x14ac:dyDescent="0.25">
      <c r="A105" s="4">
        <v>2</v>
      </c>
      <c r="B105" s="48"/>
      <c r="C105" s="97"/>
      <c r="D105" s="111" t="str">
        <f t="shared" si="1"/>
        <v/>
      </c>
      <c r="E105" s="8" t="str">
        <f>IFERROR(VLOOKUP(B105,Baza[],7,0),"")</f>
        <v/>
      </c>
      <c r="F105" s="9" t="str">
        <f>IF(AND(B105="",B104&gt;0),"                           Total:   Games: "&amp;VLOOKUP($C$2,Data!$B$87:$N$9999,4,0)&amp;"     Buy-in: $ "&amp;TEXT(VLOOKUP($C$2,Data!$B$87:$N$9999,5,0),"0,0")&amp;"     ABI: $ "&amp;TEXT(VLOOKUP($C$2,Data!$B$87:$N$9999,6,0),"0,0"),IFERROR( IF(VLOOKUP(B105,Baza[],18,0)&gt;0," ["&amp;VLOOKUP(B105,Baza[],18,0)+1&amp;"] ","   ")      &amp;IFERROR(IF(OR(VLOOKUP(B105,Baza[],9,0)="WN",VLOOKUP(B105,Baza[],9,0)="ES"),"€ ","$ ")&amp;      VLOOKUP(B105,Baza[],8,0),"")         &amp;" ["&amp;VLOOKUP(B105,Baza[],9,0)&amp;"] "&amp;VLOOKUP(B105,Baza[],10,0)&amp;IF(VLOOKUP(B105,Baza[],12,0)="T"," [Turbo]",   IF(VLOOKUP(B105,Baza[],12,0)="H"," [Hyper]",                                 "") )            &amp;  IF(VLOOKUP(B105,Baza[],14,0)="s",   ", "&amp;VLOOKUP(B105,Baza[],15,0)&amp;" Tickets",                                                                                                 IF(OR(VLOOKUP(B105,Baza[],14,0)="XP",VLOOKUP(B105,Baza[],14,0)="XP2"),VLOOKUP(B105,Baza[],15,0),            IF(OR(VLOOKUP(B105,Baza[],9,0)="WN",VLOOKUP(B105,Baza[],9,0)="ES"),", €",", $")&amp;                          IF(VLOOKUP(B105,Baza[],15,0)&lt;1000,VLOOKUP(B105,Baza[],15,0),IF(VLOOKUP(B105,Baza[],15,0)&lt;1000000,IF(VLOOKUP(B105,Baza[],15,0)/1000=INT(VLOOKUP(B105,Baza[],15,0)/1000),TEXT(VLOOKUP(B105,Baza[],15,0),"#0 K"),TEXT(VLOOKUP(B105,Baza[],15,0),"#0,0 K")), IF(VLOOKUP(B105,Baza[],15,0)/1000000=INT(VLOOKUP(B105,Baza[],15,0)/1000000),TEXT(VLOOKUP(B105,Baza[],15,0),"# ###  M"),TEXT(VLOOKUP(B105,Baza[],15,0),"# ###,0  M")))))),""))</f>
        <v/>
      </c>
      <c r="G105" s="10"/>
      <c r="H105" s="10"/>
      <c r="I105" s="10"/>
      <c r="J105" s="10"/>
      <c r="K105" s="11" t="str">
        <f>IFERROR(IF(VLOOKUP(B105,Baza[],14,0)="s","Sat",IF(VLOOKUP(B105,Baza[],14,0)="XP","Phase",                                         IF(VLOOKUP(B105,Baza[],19,0)="-","",VLOOKUP(B105,Baza[],19,0)))),"")</f>
        <v/>
      </c>
      <c r="L105" s="12" t="str">
        <f>IF(AND(B105="",B104&gt;0),SUM($L$5:L104),IFERROR(IF(VLOOKUP(B105,Baza[],21,0)=0,"-",VLOOKUP(B105,Baza[],21,0)),""))</f>
        <v/>
      </c>
      <c r="M105" s="12" t="str">
        <f>IF(AND(B105="",B104&gt;0),SUM($M$5:M104),IFERROR(IF(VLOOKUP(B105,Baza[],22,0)=0,"-",VLOOKUP(B105,Baza[],22,0)),""))</f>
        <v/>
      </c>
      <c r="N105" s="12" t="str">
        <f>IF(AND(B105="",B104&gt;0),SUM($N$5:N104),IFERROR(VLOOKUP(B105,Baza[],23,0),""))</f>
        <v/>
      </c>
      <c r="P105" s="13" t="str">
        <f>IFERROR(VLOOKUP(B105,Baza[],14,0),"")</f>
        <v/>
      </c>
      <c r="Q105" s="13" t="str">
        <f>IFERROR(VLOOKUP(B105,Baza[],13,0),"")</f>
        <v/>
      </c>
    </row>
    <row r="106" spans="1:17" ht="9.9499999999999993" customHeight="1" x14ac:dyDescent="0.25">
      <c r="A106" s="4">
        <v>1</v>
      </c>
      <c r="B106" s="48"/>
      <c r="C106" s="97"/>
      <c r="D106" s="111" t="str">
        <f t="shared" si="1"/>
        <v/>
      </c>
      <c r="E106" s="8" t="str">
        <f>IFERROR(VLOOKUP(B106,Baza[],7,0),"")</f>
        <v/>
      </c>
      <c r="F106" s="9" t="str">
        <f>IF(AND(B106="",B105&gt;0),"                           Total:   Games: "&amp;VLOOKUP($C$2,Data!$B$87:$N$9999,4,0)&amp;"     Buy-in: $ "&amp;TEXT(VLOOKUP($C$2,Data!$B$87:$N$9999,5,0),"0,0")&amp;"     ABI: $ "&amp;TEXT(VLOOKUP($C$2,Data!$B$87:$N$9999,6,0),"0,0"),IFERROR( IF(VLOOKUP(B106,Baza[],18,0)&gt;0," ["&amp;VLOOKUP(B106,Baza[],18,0)+1&amp;"] ","   ")      &amp;IFERROR(IF(OR(VLOOKUP(B106,Baza[],9,0)="WN",VLOOKUP(B106,Baza[],9,0)="ES"),"€ ","$ ")&amp;      VLOOKUP(B106,Baza[],8,0),"")         &amp;" ["&amp;VLOOKUP(B106,Baza[],9,0)&amp;"] "&amp;VLOOKUP(B106,Baza[],10,0)&amp;IF(VLOOKUP(B106,Baza[],12,0)="T"," [Turbo]",   IF(VLOOKUP(B106,Baza[],12,0)="H"," [Hyper]",                                 "") )            &amp;  IF(VLOOKUP(B106,Baza[],14,0)="s",   ", "&amp;VLOOKUP(B106,Baza[],15,0)&amp;" Tickets",                                                                                                 IF(OR(VLOOKUP(B106,Baza[],14,0)="XP",VLOOKUP(B106,Baza[],14,0)="XP2"),VLOOKUP(B106,Baza[],15,0),            IF(OR(VLOOKUP(B106,Baza[],9,0)="WN",VLOOKUP(B106,Baza[],9,0)="ES"),", €",", $")&amp;                          IF(VLOOKUP(B106,Baza[],15,0)&lt;1000,VLOOKUP(B106,Baza[],15,0),IF(VLOOKUP(B106,Baza[],15,0)&lt;1000000,IF(VLOOKUP(B106,Baza[],15,0)/1000=INT(VLOOKUP(B106,Baza[],15,0)/1000),TEXT(VLOOKUP(B106,Baza[],15,0),"#0 K"),TEXT(VLOOKUP(B106,Baza[],15,0),"#0,0 K")), IF(VLOOKUP(B106,Baza[],15,0)/1000000=INT(VLOOKUP(B106,Baza[],15,0)/1000000),TEXT(VLOOKUP(B106,Baza[],15,0),"# ###  M"),TEXT(VLOOKUP(B106,Baza[],15,0),"# ###,0  M")))))),""))</f>
        <v/>
      </c>
      <c r="G106" s="10"/>
      <c r="H106" s="10"/>
      <c r="I106" s="10"/>
      <c r="J106" s="10"/>
      <c r="K106" s="11" t="str">
        <f>IFERROR(IF(VLOOKUP(B106,Baza[],14,0)="s","Sat",IF(VLOOKUP(B106,Baza[],14,0)="XP","Phase",                                         IF(VLOOKUP(B106,Baza[],19,0)="-","",VLOOKUP(B106,Baza[],19,0)))),"")</f>
        <v/>
      </c>
      <c r="L106" s="12" t="str">
        <f>IF(AND(B106="",B105&gt;0),SUM($L$5:L105),IFERROR(IF(VLOOKUP(B106,Baza[],21,0)=0,"-",VLOOKUP(B106,Baza[],21,0)),""))</f>
        <v/>
      </c>
      <c r="M106" s="12" t="str">
        <f>IF(AND(B106="",B105&gt;0),SUM($M$5:M105),IFERROR(IF(VLOOKUP(B106,Baza[],22,0)=0,"-",VLOOKUP(B106,Baza[],22,0)),""))</f>
        <v/>
      </c>
      <c r="N106" s="12" t="str">
        <f>IF(AND(B106="",B105&gt;0),SUM($N$5:N105),IFERROR(VLOOKUP(B106,Baza[],23,0),""))</f>
        <v/>
      </c>
      <c r="P106" s="13" t="str">
        <f>IFERROR(VLOOKUP(B106,Baza[],14,0),"")</f>
        <v/>
      </c>
      <c r="Q106" s="13" t="str">
        <f>IFERROR(VLOOKUP(B106,Baza[],13,0),"")</f>
        <v/>
      </c>
    </row>
    <row r="107" spans="1:17" ht="9.9499999999999993" customHeight="1" x14ac:dyDescent="0.25">
      <c r="A107" s="4">
        <v>2</v>
      </c>
      <c r="B107" s="48"/>
      <c r="C107" s="97"/>
      <c r="D107" s="111" t="str">
        <f t="shared" si="1"/>
        <v/>
      </c>
      <c r="E107" s="8" t="str">
        <f>IFERROR(VLOOKUP(B107,Baza[],7,0),"")</f>
        <v/>
      </c>
      <c r="F107" s="9" t="str">
        <f>IF(AND(B107="",B106&gt;0),"                           Total:   Games: "&amp;VLOOKUP($C$2,Data!$B$87:$N$9999,4,0)&amp;"     Buy-in: $ "&amp;TEXT(VLOOKUP($C$2,Data!$B$87:$N$9999,5,0),"0,0")&amp;"     ABI: $ "&amp;TEXT(VLOOKUP($C$2,Data!$B$87:$N$9999,6,0),"0,0"),IFERROR( IF(VLOOKUP(B107,Baza[],18,0)&gt;0," ["&amp;VLOOKUP(B107,Baza[],18,0)+1&amp;"] ","   ")      &amp;IFERROR(IF(OR(VLOOKUP(B107,Baza[],9,0)="WN",VLOOKUP(B107,Baza[],9,0)="ES"),"€ ","$ ")&amp;      VLOOKUP(B107,Baza[],8,0),"")         &amp;" ["&amp;VLOOKUP(B107,Baza[],9,0)&amp;"] "&amp;VLOOKUP(B107,Baza[],10,0)&amp;IF(VLOOKUP(B107,Baza[],12,0)="T"," [Turbo]",   IF(VLOOKUP(B107,Baza[],12,0)="H"," [Hyper]",                                 "") )            &amp;  IF(VLOOKUP(B107,Baza[],14,0)="s",   ", "&amp;VLOOKUP(B107,Baza[],15,0)&amp;" Tickets",                                                                                                 IF(OR(VLOOKUP(B107,Baza[],14,0)="XP",VLOOKUP(B107,Baza[],14,0)="XP2"),VLOOKUP(B107,Baza[],15,0),            IF(OR(VLOOKUP(B107,Baza[],9,0)="WN",VLOOKUP(B107,Baza[],9,0)="ES"),", €",", $")&amp;                          IF(VLOOKUP(B107,Baza[],15,0)&lt;1000,VLOOKUP(B107,Baza[],15,0),IF(VLOOKUP(B107,Baza[],15,0)&lt;1000000,IF(VLOOKUP(B107,Baza[],15,0)/1000=INT(VLOOKUP(B107,Baza[],15,0)/1000),TEXT(VLOOKUP(B107,Baza[],15,0),"#0 K"),TEXT(VLOOKUP(B107,Baza[],15,0),"#0,0 K")), IF(VLOOKUP(B107,Baza[],15,0)/1000000=INT(VLOOKUP(B107,Baza[],15,0)/1000000),TEXT(VLOOKUP(B107,Baza[],15,0),"# ###  M"),TEXT(VLOOKUP(B107,Baza[],15,0),"# ###,0  M")))))),""))</f>
        <v/>
      </c>
      <c r="G107" s="10"/>
      <c r="H107" s="10"/>
      <c r="I107" s="10"/>
      <c r="J107" s="10"/>
      <c r="K107" s="11" t="str">
        <f>IFERROR(IF(VLOOKUP(B107,Baza[],14,0)="s","Sat",IF(VLOOKUP(B107,Baza[],14,0)="XP","Phase",                                         IF(VLOOKUP(B107,Baza[],19,0)="-","",VLOOKUP(B107,Baza[],19,0)))),"")</f>
        <v/>
      </c>
      <c r="L107" s="12" t="str">
        <f>IF(AND(B107="",B106&gt;0),SUM($L$5:L106),IFERROR(IF(VLOOKUP(B107,Baza[],21,0)=0,"-",VLOOKUP(B107,Baza[],21,0)),""))</f>
        <v/>
      </c>
      <c r="M107" s="12" t="str">
        <f>IF(AND(B107="",B106&gt;0),SUM($M$5:M106),IFERROR(IF(VLOOKUP(B107,Baza[],22,0)=0,"-",VLOOKUP(B107,Baza[],22,0)),""))</f>
        <v/>
      </c>
      <c r="N107" s="12" t="str">
        <f>IF(AND(B107="",B106&gt;0),SUM($N$5:N106),IFERROR(VLOOKUP(B107,Baza[],23,0),""))</f>
        <v/>
      </c>
      <c r="P107" s="13" t="str">
        <f>IFERROR(VLOOKUP(B107,Baza[],14,0),"")</f>
        <v/>
      </c>
      <c r="Q107" s="13" t="str">
        <f>IFERROR(VLOOKUP(B107,Baza[],13,0),"")</f>
        <v/>
      </c>
    </row>
    <row r="108" spans="1:17" ht="9.9499999999999993" customHeight="1" x14ac:dyDescent="0.25">
      <c r="A108" s="4">
        <v>1</v>
      </c>
      <c r="B108" s="48"/>
      <c r="C108" s="97"/>
      <c r="D108" s="111" t="str">
        <f t="shared" si="1"/>
        <v/>
      </c>
      <c r="E108" s="8" t="str">
        <f>IFERROR(VLOOKUP(B108,Baza[],7,0),"")</f>
        <v/>
      </c>
      <c r="F108" s="9" t="str">
        <f>IF(AND(B108="",B107&gt;0),"                           Total:   Games: "&amp;VLOOKUP($C$2,Data!$B$87:$N$9999,4,0)&amp;"     Buy-in: $ "&amp;TEXT(VLOOKUP($C$2,Data!$B$87:$N$9999,5,0),"0,0")&amp;"     ABI: $ "&amp;TEXT(VLOOKUP($C$2,Data!$B$87:$N$9999,6,0),"0,0"),IFERROR( IF(VLOOKUP(B108,Baza[],18,0)&gt;0," ["&amp;VLOOKUP(B108,Baza[],18,0)+1&amp;"] ","   ")      &amp;IFERROR(IF(OR(VLOOKUP(B108,Baza[],9,0)="WN",VLOOKUP(B108,Baza[],9,0)="ES"),"€ ","$ ")&amp;      VLOOKUP(B108,Baza[],8,0),"")         &amp;" ["&amp;VLOOKUP(B108,Baza[],9,0)&amp;"] "&amp;VLOOKUP(B108,Baza[],10,0)&amp;IF(VLOOKUP(B108,Baza[],12,0)="T"," [Turbo]",   IF(VLOOKUP(B108,Baza[],12,0)="H"," [Hyper]",                                 "") )            &amp;  IF(VLOOKUP(B108,Baza[],14,0)="s",   ", "&amp;VLOOKUP(B108,Baza[],15,0)&amp;" Tickets",                                                                                                 IF(OR(VLOOKUP(B108,Baza[],14,0)="XP",VLOOKUP(B108,Baza[],14,0)="XP2"),VLOOKUP(B108,Baza[],15,0),            IF(OR(VLOOKUP(B108,Baza[],9,0)="WN",VLOOKUP(B108,Baza[],9,0)="ES"),", €",", $")&amp;                          IF(VLOOKUP(B108,Baza[],15,0)&lt;1000,VLOOKUP(B108,Baza[],15,0),IF(VLOOKUP(B108,Baza[],15,0)&lt;1000000,IF(VLOOKUP(B108,Baza[],15,0)/1000=INT(VLOOKUP(B108,Baza[],15,0)/1000),TEXT(VLOOKUP(B108,Baza[],15,0),"#0 K"),TEXT(VLOOKUP(B108,Baza[],15,0),"#0,0 K")), IF(VLOOKUP(B108,Baza[],15,0)/1000000=INT(VLOOKUP(B108,Baza[],15,0)/1000000),TEXT(VLOOKUP(B108,Baza[],15,0),"# ###  M"),TEXT(VLOOKUP(B108,Baza[],15,0),"# ###,0  M")))))),""))</f>
        <v/>
      </c>
      <c r="G108" s="10"/>
      <c r="H108" s="10"/>
      <c r="I108" s="10"/>
      <c r="J108" s="10"/>
      <c r="K108" s="11" t="str">
        <f>IFERROR(IF(VLOOKUP(B108,Baza[],14,0)="s","Sat",IF(VLOOKUP(B108,Baza[],14,0)="XP","Phase",                                         IF(VLOOKUP(B108,Baza[],19,0)="-","",VLOOKUP(B108,Baza[],19,0)))),"")</f>
        <v/>
      </c>
      <c r="L108" s="12" t="str">
        <f>IF(AND(B108="",B107&gt;0),SUM($L$5:L107),IFERROR(IF(VLOOKUP(B108,Baza[],21,0)=0,"-",VLOOKUP(B108,Baza[],21,0)),""))</f>
        <v/>
      </c>
      <c r="M108" s="12" t="str">
        <f>IF(AND(B108="",B107&gt;0),SUM($M$5:M107),IFERROR(IF(VLOOKUP(B108,Baza[],22,0)=0,"-",VLOOKUP(B108,Baza[],22,0)),""))</f>
        <v/>
      </c>
      <c r="N108" s="12" t="str">
        <f>IF(AND(B108="",B107&gt;0),SUM($N$5:N107),IFERROR(VLOOKUP(B108,Baza[],23,0),""))</f>
        <v/>
      </c>
      <c r="P108" s="13" t="str">
        <f>IFERROR(VLOOKUP(B108,Baza[],14,0),"")</f>
        <v/>
      </c>
      <c r="Q108" s="13" t="str">
        <f>IFERROR(VLOOKUP(B108,Baza[],13,0),"")</f>
        <v/>
      </c>
    </row>
    <row r="109" spans="1:17" ht="9.9499999999999993" customHeight="1" x14ac:dyDescent="0.25">
      <c r="A109" s="4">
        <v>2</v>
      </c>
      <c r="B109" s="48"/>
      <c r="C109" s="97"/>
      <c r="D109" s="111" t="str">
        <f t="shared" si="1"/>
        <v/>
      </c>
      <c r="E109" s="8" t="str">
        <f>IFERROR(VLOOKUP(B109,Baza[],7,0),"")</f>
        <v/>
      </c>
      <c r="F109" s="9" t="str">
        <f>IF(AND(B109="",B108&gt;0),"                           Total:   Games: "&amp;VLOOKUP($C$2,Data!$B$87:$N$9999,4,0)&amp;"     Buy-in: $ "&amp;TEXT(VLOOKUP($C$2,Data!$B$87:$N$9999,5,0),"0,0")&amp;"     ABI: $ "&amp;TEXT(VLOOKUP($C$2,Data!$B$87:$N$9999,6,0),"0,0"),IFERROR( IF(VLOOKUP(B109,Baza[],18,0)&gt;0," ["&amp;VLOOKUP(B109,Baza[],18,0)+1&amp;"] ","   ")      &amp;IFERROR(IF(OR(VLOOKUP(B109,Baza[],9,0)="WN",VLOOKUP(B109,Baza[],9,0)="ES"),"€ ","$ ")&amp;      VLOOKUP(B109,Baza[],8,0),"")         &amp;" ["&amp;VLOOKUP(B109,Baza[],9,0)&amp;"] "&amp;VLOOKUP(B109,Baza[],10,0)&amp;IF(VLOOKUP(B109,Baza[],12,0)="T"," [Turbo]",   IF(VLOOKUP(B109,Baza[],12,0)="H"," [Hyper]",                                 "") )            &amp;  IF(VLOOKUP(B109,Baza[],14,0)="s",   ", "&amp;VLOOKUP(B109,Baza[],15,0)&amp;" Tickets",                                                                                                 IF(OR(VLOOKUP(B109,Baza[],14,0)="XP",VLOOKUP(B109,Baza[],14,0)="XP2"),VLOOKUP(B109,Baza[],15,0),            IF(OR(VLOOKUP(B109,Baza[],9,0)="WN",VLOOKUP(B109,Baza[],9,0)="ES"),", €",", $")&amp;                          IF(VLOOKUP(B109,Baza[],15,0)&lt;1000,VLOOKUP(B109,Baza[],15,0),IF(VLOOKUP(B109,Baza[],15,0)&lt;1000000,IF(VLOOKUP(B109,Baza[],15,0)/1000=INT(VLOOKUP(B109,Baza[],15,0)/1000),TEXT(VLOOKUP(B109,Baza[],15,0),"#0 K"),TEXT(VLOOKUP(B109,Baza[],15,0),"#0,0 K")), IF(VLOOKUP(B109,Baza[],15,0)/1000000=INT(VLOOKUP(B109,Baza[],15,0)/1000000),TEXT(VLOOKUP(B109,Baza[],15,0),"# ###  M"),TEXT(VLOOKUP(B109,Baza[],15,0),"# ###,0  M")))))),""))</f>
        <v/>
      </c>
      <c r="G109" s="10"/>
      <c r="H109" s="10"/>
      <c r="I109" s="10"/>
      <c r="J109" s="10"/>
      <c r="K109" s="11" t="str">
        <f>IFERROR(IF(VLOOKUP(B109,Baza[],14,0)="s","Sat",IF(VLOOKUP(B109,Baza[],14,0)="XP","Phase",                                         IF(VLOOKUP(B109,Baza[],19,0)="-","",VLOOKUP(B109,Baza[],19,0)))),"")</f>
        <v/>
      </c>
      <c r="L109" s="12" t="str">
        <f>IF(AND(B109="",B108&gt;0),SUM($L$5:L108),IFERROR(IF(VLOOKUP(B109,Baza[],21,0)=0,"-",VLOOKUP(B109,Baza[],21,0)),""))</f>
        <v/>
      </c>
      <c r="M109" s="12" t="str">
        <f>IF(AND(B109="",B108&gt;0),SUM($M$5:M108),IFERROR(IF(VLOOKUP(B109,Baza[],22,0)=0,"-",VLOOKUP(B109,Baza[],22,0)),""))</f>
        <v/>
      </c>
      <c r="N109" s="12" t="str">
        <f>IF(AND(B109="",B108&gt;0),SUM($N$5:N108),IFERROR(VLOOKUP(B109,Baza[],23,0),""))</f>
        <v/>
      </c>
      <c r="P109" s="13" t="str">
        <f>IFERROR(VLOOKUP(B109,Baza[],14,0),"")</f>
        <v/>
      </c>
      <c r="Q109" s="13" t="str">
        <f>IFERROR(VLOOKUP(B109,Baza[],13,0),"")</f>
        <v/>
      </c>
    </row>
    <row r="110" spans="1:17" ht="9.9499999999999993" customHeight="1" x14ac:dyDescent="0.25">
      <c r="A110" s="4">
        <v>1</v>
      </c>
      <c r="B110" s="48"/>
      <c r="C110" s="97"/>
      <c r="D110" s="111" t="str">
        <f t="shared" si="1"/>
        <v/>
      </c>
      <c r="E110" s="8" t="str">
        <f>IFERROR(VLOOKUP(B110,Baza[],7,0),"")</f>
        <v/>
      </c>
      <c r="F110" s="9" t="str">
        <f>IF(AND(B110="",B109&gt;0),"                           Total:   Games: "&amp;VLOOKUP($C$2,Data!$B$87:$N$9999,4,0)&amp;"     Buy-in: $ "&amp;TEXT(VLOOKUP($C$2,Data!$B$87:$N$9999,5,0),"0,0")&amp;"     ABI: $ "&amp;TEXT(VLOOKUP($C$2,Data!$B$87:$N$9999,6,0),"0,0"),IFERROR( IF(VLOOKUP(B110,Baza[],18,0)&gt;0," ["&amp;VLOOKUP(B110,Baza[],18,0)+1&amp;"] ","   ")      &amp;IFERROR(IF(OR(VLOOKUP(B110,Baza[],9,0)="WN",VLOOKUP(B110,Baza[],9,0)="ES"),"€ ","$ ")&amp;      VLOOKUP(B110,Baza[],8,0),"")         &amp;" ["&amp;VLOOKUP(B110,Baza[],9,0)&amp;"] "&amp;VLOOKUP(B110,Baza[],10,0)&amp;IF(VLOOKUP(B110,Baza[],12,0)="T"," [Turbo]",   IF(VLOOKUP(B110,Baza[],12,0)="H"," [Hyper]",                                 "") )            &amp;  IF(VLOOKUP(B110,Baza[],14,0)="s",   ", "&amp;VLOOKUP(B110,Baza[],15,0)&amp;" Tickets",                                                                                                 IF(OR(VLOOKUP(B110,Baza[],14,0)="XP",VLOOKUP(B110,Baza[],14,0)="XP2"),VLOOKUP(B110,Baza[],15,0),            IF(OR(VLOOKUP(B110,Baza[],9,0)="WN",VLOOKUP(B110,Baza[],9,0)="ES"),", €",", $")&amp;                          IF(VLOOKUP(B110,Baza[],15,0)&lt;1000,VLOOKUP(B110,Baza[],15,0),IF(VLOOKUP(B110,Baza[],15,0)&lt;1000000,IF(VLOOKUP(B110,Baza[],15,0)/1000=INT(VLOOKUP(B110,Baza[],15,0)/1000),TEXT(VLOOKUP(B110,Baza[],15,0),"#0 K"),TEXT(VLOOKUP(B110,Baza[],15,0),"#0,0 K")), IF(VLOOKUP(B110,Baza[],15,0)/1000000=INT(VLOOKUP(B110,Baza[],15,0)/1000000),TEXT(VLOOKUP(B110,Baza[],15,0),"# ###  M"),TEXT(VLOOKUP(B110,Baza[],15,0),"# ###,0  M")))))),""))</f>
        <v/>
      </c>
      <c r="G110" s="10"/>
      <c r="H110" s="10"/>
      <c r="I110" s="10"/>
      <c r="J110" s="10"/>
      <c r="K110" s="11" t="str">
        <f>IFERROR(IF(VLOOKUP(B110,Baza[],14,0)="s","Sat",IF(VLOOKUP(B110,Baza[],14,0)="XP","Phase",                                         IF(VLOOKUP(B110,Baza[],19,0)="-","",VLOOKUP(B110,Baza[],19,0)))),"")</f>
        <v/>
      </c>
      <c r="L110" s="12" t="str">
        <f>IF(AND(B110="",B109&gt;0),SUM($L$5:L109),IFERROR(IF(VLOOKUP(B110,Baza[],21,0)=0,"-",VLOOKUP(B110,Baza[],21,0)),""))</f>
        <v/>
      </c>
      <c r="M110" s="12" t="str">
        <f>IF(AND(B110="",B109&gt;0),SUM($M$5:M109),IFERROR(IF(VLOOKUP(B110,Baza[],22,0)=0,"-",VLOOKUP(B110,Baza[],22,0)),""))</f>
        <v/>
      </c>
      <c r="N110" s="12" t="str">
        <f>IF(AND(B110="",B109&gt;0),SUM($N$5:N109),IFERROR(VLOOKUP(B110,Baza[],23,0),""))</f>
        <v/>
      </c>
      <c r="P110" s="13" t="str">
        <f>IFERROR(VLOOKUP(B110,Baza[],14,0),"")</f>
        <v/>
      </c>
      <c r="Q110" s="13" t="str">
        <f>IFERROR(VLOOKUP(B110,Baza[],13,0),"")</f>
        <v/>
      </c>
    </row>
    <row r="111" spans="1:17" ht="9.9499999999999993" customHeight="1" x14ac:dyDescent="0.25">
      <c r="A111" s="4">
        <v>2</v>
      </c>
      <c r="B111" s="48"/>
      <c r="C111" s="97"/>
      <c r="D111" s="111" t="str">
        <f t="shared" si="1"/>
        <v/>
      </c>
      <c r="E111" s="8" t="str">
        <f>IFERROR(VLOOKUP(B111,Baza[],7,0),"")</f>
        <v/>
      </c>
      <c r="F111" s="9" t="str">
        <f>IF(AND(B111="",B110&gt;0),"                           Total:   Games: "&amp;VLOOKUP($C$2,Data!$B$87:$N$9999,4,0)&amp;"     Buy-in: $ "&amp;TEXT(VLOOKUP($C$2,Data!$B$87:$N$9999,5,0),"0,0")&amp;"     ABI: $ "&amp;TEXT(VLOOKUP($C$2,Data!$B$87:$N$9999,6,0),"0,0"),IFERROR( IF(VLOOKUP(B111,Baza[],18,0)&gt;0," ["&amp;VLOOKUP(B111,Baza[],18,0)+1&amp;"] ","   ")      &amp;IFERROR(IF(OR(VLOOKUP(B111,Baza[],9,0)="WN",VLOOKUP(B111,Baza[],9,0)="ES"),"€ ","$ ")&amp;      VLOOKUP(B111,Baza[],8,0),"")         &amp;" ["&amp;VLOOKUP(B111,Baza[],9,0)&amp;"] "&amp;VLOOKUP(B111,Baza[],10,0)&amp;IF(VLOOKUP(B111,Baza[],12,0)="T"," [Turbo]",   IF(VLOOKUP(B111,Baza[],12,0)="H"," [Hyper]",                                 "") )            &amp;  IF(VLOOKUP(B111,Baza[],14,0)="s",   ", "&amp;VLOOKUP(B111,Baza[],15,0)&amp;" Tickets",                                                                                                 IF(OR(VLOOKUP(B111,Baza[],14,0)="XP",VLOOKUP(B111,Baza[],14,0)="XP2"),VLOOKUP(B111,Baza[],15,0),            IF(OR(VLOOKUP(B111,Baza[],9,0)="WN",VLOOKUP(B111,Baza[],9,0)="ES"),", €",", $")&amp;                          IF(VLOOKUP(B111,Baza[],15,0)&lt;1000,VLOOKUP(B111,Baza[],15,0),IF(VLOOKUP(B111,Baza[],15,0)&lt;1000000,IF(VLOOKUP(B111,Baza[],15,0)/1000=INT(VLOOKUP(B111,Baza[],15,0)/1000),TEXT(VLOOKUP(B111,Baza[],15,0),"#0 K"),TEXT(VLOOKUP(B111,Baza[],15,0),"#0,0 K")), IF(VLOOKUP(B111,Baza[],15,0)/1000000=INT(VLOOKUP(B111,Baza[],15,0)/1000000),TEXT(VLOOKUP(B111,Baza[],15,0),"# ###  M"),TEXT(VLOOKUP(B111,Baza[],15,0),"# ###,0  M")))))),""))</f>
        <v/>
      </c>
      <c r="G111" s="10"/>
      <c r="H111" s="10"/>
      <c r="I111" s="10"/>
      <c r="J111" s="10"/>
      <c r="K111" s="11" t="str">
        <f>IFERROR(IF(VLOOKUP(B111,Baza[],14,0)="s","Sat",IF(VLOOKUP(B111,Baza[],14,0)="XP","Phase",                                         IF(VLOOKUP(B111,Baza[],19,0)="-","",VLOOKUP(B111,Baza[],19,0)))),"")</f>
        <v/>
      </c>
      <c r="L111" s="12" t="str">
        <f>IF(AND(B111="",B110&gt;0),SUM($L$5:L110),IFERROR(IF(VLOOKUP(B111,Baza[],21,0)=0,"-",VLOOKUP(B111,Baza[],21,0)),""))</f>
        <v/>
      </c>
      <c r="M111" s="12" t="str">
        <f>IF(AND(B111="",B110&gt;0),SUM($M$5:M110),IFERROR(IF(VLOOKUP(B111,Baza[],22,0)=0,"-",VLOOKUP(B111,Baza[],22,0)),""))</f>
        <v/>
      </c>
      <c r="N111" s="12" t="str">
        <f>IF(AND(B111="",B110&gt;0),SUM($N$5:N110),IFERROR(VLOOKUP(B111,Baza[],23,0),""))</f>
        <v/>
      </c>
      <c r="P111" s="13" t="str">
        <f>IFERROR(VLOOKUP(B111,Baza[],14,0),"")</f>
        <v/>
      </c>
      <c r="Q111" s="13" t="str">
        <f>IFERROR(VLOOKUP(B111,Baza[],13,0),"")</f>
        <v/>
      </c>
    </row>
    <row r="112" spans="1:17" ht="9.9499999999999993" customHeight="1" x14ac:dyDescent="0.25">
      <c r="A112" s="4">
        <v>1</v>
      </c>
      <c r="B112" s="48"/>
      <c r="C112" s="97"/>
      <c r="D112" s="111" t="str">
        <f t="shared" si="1"/>
        <v/>
      </c>
      <c r="E112" s="8" t="str">
        <f>IFERROR(VLOOKUP(B112,Baza[],7,0),"")</f>
        <v/>
      </c>
      <c r="F112" s="9" t="str">
        <f>IF(AND(B112="",B111&gt;0),"                           Total:   Games: "&amp;VLOOKUP($C$2,Data!$B$87:$N$9999,4,0)&amp;"     Buy-in: $ "&amp;TEXT(VLOOKUP($C$2,Data!$B$87:$N$9999,5,0),"0,0")&amp;"     ABI: $ "&amp;TEXT(VLOOKUP($C$2,Data!$B$87:$N$9999,6,0),"0,0"),IFERROR( IF(VLOOKUP(B112,Baza[],18,0)&gt;0," ["&amp;VLOOKUP(B112,Baza[],18,0)+1&amp;"] ","   ")      &amp;IFERROR(IF(OR(VLOOKUP(B112,Baza[],9,0)="WN",VLOOKUP(B112,Baza[],9,0)="ES"),"€ ","$ ")&amp;      VLOOKUP(B112,Baza[],8,0),"")         &amp;" ["&amp;VLOOKUP(B112,Baza[],9,0)&amp;"] "&amp;VLOOKUP(B112,Baza[],10,0)&amp;IF(VLOOKUP(B112,Baza[],12,0)="T"," [Turbo]",   IF(VLOOKUP(B112,Baza[],12,0)="H"," [Hyper]",                                 "") )            &amp;  IF(VLOOKUP(B112,Baza[],14,0)="s",   ", "&amp;VLOOKUP(B112,Baza[],15,0)&amp;" Tickets",                                                                                                 IF(OR(VLOOKUP(B112,Baza[],14,0)="XP",VLOOKUP(B112,Baza[],14,0)="XP2"),VLOOKUP(B112,Baza[],15,0),            IF(OR(VLOOKUP(B112,Baza[],9,0)="WN",VLOOKUP(B112,Baza[],9,0)="ES"),", €",", $")&amp;                          IF(VLOOKUP(B112,Baza[],15,0)&lt;1000,VLOOKUP(B112,Baza[],15,0),IF(VLOOKUP(B112,Baza[],15,0)&lt;1000000,IF(VLOOKUP(B112,Baza[],15,0)/1000=INT(VLOOKUP(B112,Baza[],15,0)/1000),TEXT(VLOOKUP(B112,Baza[],15,0),"#0 K"),TEXT(VLOOKUP(B112,Baza[],15,0),"#0,0 K")), IF(VLOOKUP(B112,Baza[],15,0)/1000000=INT(VLOOKUP(B112,Baza[],15,0)/1000000),TEXT(VLOOKUP(B112,Baza[],15,0),"# ###  M"),TEXT(VLOOKUP(B112,Baza[],15,0),"# ###,0  M")))))),""))</f>
        <v/>
      </c>
      <c r="G112" s="10"/>
      <c r="H112" s="10"/>
      <c r="I112" s="10"/>
      <c r="J112" s="10"/>
      <c r="K112" s="11" t="str">
        <f>IFERROR(IF(VLOOKUP(B112,Baza[],14,0)="s","Sat",IF(VLOOKUP(B112,Baza[],14,0)="XP","Phase",                                         IF(VLOOKUP(B112,Baza[],19,0)="-","",VLOOKUP(B112,Baza[],19,0)))),"")</f>
        <v/>
      </c>
      <c r="L112" s="12" t="str">
        <f>IF(AND(B112="",B111&gt;0),SUM($L$5:L111),IFERROR(IF(VLOOKUP(B112,Baza[],21,0)=0,"-",VLOOKUP(B112,Baza[],21,0)),""))</f>
        <v/>
      </c>
      <c r="M112" s="12" t="str">
        <f>IF(AND(B112="",B111&gt;0),SUM($M$5:M111),IFERROR(IF(VLOOKUP(B112,Baza[],22,0)=0,"-",VLOOKUP(B112,Baza[],22,0)),""))</f>
        <v/>
      </c>
      <c r="N112" s="12" t="str">
        <f>IF(AND(B112="",B111&gt;0),SUM($N$5:N111),IFERROR(VLOOKUP(B112,Baza[],23,0),""))</f>
        <v/>
      </c>
      <c r="P112" s="13" t="str">
        <f>IFERROR(VLOOKUP(B112,Baza[],14,0),"")</f>
        <v/>
      </c>
      <c r="Q112" s="13" t="str">
        <f>IFERROR(VLOOKUP(B112,Baza[],13,0),"")</f>
        <v/>
      </c>
    </row>
    <row r="113" spans="1:17" ht="9.9499999999999993" customHeight="1" x14ac:dyDescent="0.25">
      <c r="A113" s="4">
        <v>2</v>
      </c>
      <c r="B113" s="48"/>
      <c r="C113" s="97"/>
      <c r="D113" s="111" t="str">
        <f t="shared" si="1"/>
        <v/>
      </c>
      <c r="E113" s="8" t="str">
        <f>IFERROR(VLOOKUP(B113,Baza[],7,0),"")</f>
        <v/>
      </c>
      <c r="F113" s="9" t="str">
        <f>IF(AND(B113="",B112&gt;0),"                           Total:   Games: "&amp;VLOOKUP($C$2,Data!$B$87:$N$9999,4,0)&amp;"     Buy-in: $ "&amp;TEXT(VLOOKUP($C$2,Data!$B$87:$N$9999,5,0),"0,0")&amp;"     ABI: $ "&amp;TEXT(VLOOKUP($C$2,Data!$B$87:$N$9999,6,0),"0,0"),IFERROR( IF(VLOOKUP(B113,Baza[],18,0)&gt;0," ["&amp;VLOOKUP(B113,Baza[],18,0)+1&amp;"] ","   ")      &amp;IFERROR(IF(OR(VLOOKUP(B113,Baza[],9,0)="WN",VLOOKUP(B113,Baza[],9,0)="ES"),"€ ","$ ")&amp;      VLOOKUP(B113,Baza[],8,0),"")         &amp;" ["&amp;VLOOKUP(B113,Baza[],9,0)&amp;"] "&amp;VLOOKUP(B113,Baza[],10,0)&amp;IF(VLOOKUP(B113,Baza[],12,0)="T"," [Turbo]",   IF(VLOOKUP(B113,Baza[],12,0)="H"," [Hyper]",                                 "") )            &amp;  IF(VLOOKUP(B113,Baza[],14,0)="s",   ", "&amp;VLOOKUP(B113,Baza[],15,0)&amp;" Tickets",                                                                                                 IF(OR(VLOOKUP(B113,Baza[],14,0)="XP",VLOOKUP(B113,Baza[],14,0)="XP2"),VLOOKUP(B113,Baza[],15,0),            IF(OR(VLOOKUP(B113,Baza[],9,0)="WN",VLOOKUP(B113,Baza[],9,0)="ES"),", €",", $")&amp;                          IF(VLOOKUP(B113,Baza[],15,0)&lt;1000,VLOOKUP(B113,Baza[],15,0),IF(VLOOKUP(B113,Baza[],15,0)&lt;1000000,IF(VLOOKUP(B113,Baza[],15,0)/1000=INT(VLOOKUP(B113,Baza[],15,0)/1000),TEXT(VLOOKUP(B113,Baza[],15,0),"#0 K"),TEXT(VLOOKUP(B113,Baza[],15,0),"#0,0 K")), IF(VLOOKUP(B113,Baza[],15,0)/1000000=INT(VLOOKUP(B113,Baza[],15,0)/1000000),TEXT(VLOOKUP(B113,Baza[],15,0),"# ###  M"),TEXT(VLOOKUP(B113,Baza[],15,0),"# ###,0  M")))))),""))</f>
        <v/>
      </c>
      <c r="G113" s="10"/>
      <c r="H113" s="10"/>
      <c r="I113" s="10"/>
      <c r="J113" s="10"/>
      <c r="K113" s="11" t="str">
        <f>IFERROR(IF(VLOOKUP(B113,Baza[],14,0)="s","Sat",IF(VLOOKUP(B113,Baza[],14,0)="XP","Phase",                                         IF(VLOOKUP(B113,Baza[],19,0)="-","",VLOOKUP(B113,Baza[],19,0)))),"")</f>
        <v/>
      </c>
      <c r="L113" s="12" t="str">
        <f>IF(AND(B113="",B112&gt;0),SUM($L$5:L112),IFERROR(IF(VLOOKUP(B113,Baza[],21,0)=0,"-",VLOOKUP(B113,Baza[],21,0)),""))</f>
        <v/>
      </c>
      <c r="M113" s="12" t="str">
        <f>IF(AND(B113="",B112&gt;0),SUM($M$5:M112),IFERROR(IF(VLOOKUP(B113,Baza[],22,0)=0,"-",VLOOKUP(B113,Baza[],22,0)),""))</f>
        <v/>
      </c>
      <c r="N113" s="12" t="str">
        <f>IF(AND(B113="",B112&gt;0),SUM($N$5:N112),IFERROR(VLOOKUP(B113,Baza[],23,0),""))</f>
        <v/>
      </c>
      <c r="P113" s="13" t="str">
        <f>IFERROR(VLOOKUP(B113,Baza[],14,0),"")</f>
        <v/>
      </c>
      <c r="Q113" s="13" t="str">
        <f>IFERROR(VLOOKUP(B113,Baza[],13,0),"")</f>
        <v/>
      </c>
    </row>
    <row r="114" spans="1:17" ht="9.9499999999999993" customHeight="1" x14ac:dyDescent="0.25">
      <c r="A114" s="4">
        <v>1</v>
      </c>
      <c r="B114" s="48"/>
      <c r="C114" s="97"/>
      <c r="D114" s="111" t="str">
        <f t="shared" si="1"/>
        <v/>
      </c>
      <c r="E114" s="8" t="str">
        <f>IFERROR(VLOOKUP(B114,Baza[],7,0),"")</f>
        <v/>
      </c>
      <c r="F114" s="9" t="str">
        <f>IF(AND(B114="",B113&gt;0),"                           Total:   Games: "&amp;VLOOKUP($C$2,Data!$B$87:$N$9999,4,0)&amp;"     Buy-in: $ "&amp;TEXT(VLOOKUP($C$2,Data!$B$87:$N$9999,5,0),"0,0")&amp;"     ABI: $ "&amp;TEXT(VLOOKUP($C$2,Data!$B$87:$N$9999,6,0),"0,0"),IFERROR( IF(VLOOKUP(B114,Baza[],18,0)&gt;0," ["&amp;VLOOKUP(B114,Baza[],18,0)+1&amp;"] ","   ")      &amp;IFERROR(IF(OR(VLOOKUP(B114,Baza[],9,0)="WN",VLOOKUP(B114,Baza[],9,0)="ES"),"€ ","$ ")&amp;      VLOOKUP(B114,Baza[],8,0),"")         &amp;" ["&amp;VLOOKUP(B114,Baza[],9,0)&amp;"] "&amp;VLOOKUP(B114,Baza[],10,0)&amp;IF(VLOOKUP(B114,Baza[],12,0)="T"," [Turbo]",   IF(VLOOKUP(B114,Baza[],12,0)="H"," [Hyper]",                                 "") )            &amp;  IF(VLOOKUP(B114,Baza[],14,0)="s",   ", "&amp;VLOOKUP(B114,Baza[],15,0)&amp;" Tickets",                                                                                                 IF(OR(VLOOKUP(B114,Baza[],14,0)="XP",VLOOKUP(B114,Baza[],14,0)="XP2"),VLOOKUP(B114,Baza[],15,0),            IF(OR(VLOOKUP(B114,Baza[],9,0)="WN",VLOOKUP(B114,Baza[],9,0)="ES"),", €",", $")&amp;                          IF(VLOOKUP(B114,Baza[],15,0)&lt;1000,VLOOKUP(B114,Baza[],15,0),IF(VLOOKUP(B114,Baza[],15,0)&lt;1000000,IF(VLOOKUP(B114,Baza[],15,0)/1000=INT(VLOOKUP(B114,Baza[],15,0)/1000),TEXT(VLOOKUP(B114,Baza[],15,0),"#0 K"),TEXT(VLOOKUP(B114,Baza[],15,0),"#0,0 K")), IF(VLOOKUP(B114,Baza[],15,0)/1000000=INT(VLOOKUP(B114,Baza[],15,0)/1000000),TEXT(VLOOKUP(B114,Baza[],15,0),"# ###  M"),TEXT(VLOOKUP(B114,Baza[],15,0),"# ###,0  M")))))),""))</f>
        <v/>
      </c>
      <c r="G114" s="10"/>
      <c r="H114" s="10"/>
      <c r="I114" s="10"/>
      <c r="J114" s="10"/>
      <c r="K114" s="11" t="str">
        <f>IFERROR(IF(VLOOKUP(B114,Baza[],14,0)="s","Sat",IF(VLOOKUP(B114,Baza[],14,0)="XP","Phase",                                         IF(VLOOKUP(B114,Baza[],19,0)="-","",VLOOKUP(B114,Baza[],19,0)))),"")</f>
        <v/>
      </c>
      <c r="L114" s="12" t="str">
        <f>IF(AND(B114="",B113&gt;0),SUM($L$5:L113),IFERROR(IF(VLOOKUP(B114,Baza[],21,0)=0,"-",VLOOKUP(B114,Baza[],21,0)),""))</f>
        <v/>
      </c>
      <c r="M114" s="12" t="str">
        <f>IF(AND(B114="",B113&gt;0),SUM($M$5:M113),IFERROR(IF(VLOOKUP(B114,Baza[],22,0)=0,"-",VLOOKUP(B114,Baza[],22,0)),""))</f>
        <v/>
      </c>
      <c r="N114" s="12" t="str">
        <f>IF(AND(B114="",B113&gt;0),SUM($N$5:N113),IFERROR(VLOOKUP(B114,Baza[],23,0),""))</f>
        <v/>
      </c>
      <c r="P114" s="13" t="str">
        <f>IFERROR(VLOOKUP(B114,Baza[],14,0),"")</f>
        <v/>
      </c>
      <c r="Q114" s="13" t="str">
        <f>IFERROR(VLOOKUP(B114,Baza[],13,0),"")</f>
        <v/>
      </c>
    </row>
    <row r="115" spans="1:17" ht="9.9499999999999993" customHeight="1" x14ac:dyDescent="0.25">
      <c r="A115" s="4">
        <v>2</v>
      </c>
      <c r="B115" s="48"/>
      <c r="C115" s="97"/>
      <c r="D115" s="111" t="str">
        <f t="shared" si="1"/>
        <v/>
      </c>
      <c r="E115" s="8" t="str">
        <f>IFERROR(VLOOKUP(B115,Baza[],7,0),"")</f>
        <v/>
      </c>
      <c r="F115" s="9" t="str">
        <f>IF(AND(B115="",B114&gt;0),"                           Total:   Games: "&amp;VLOOKUP($C$2,Data!$B$87:$N$9999,4,0)&amp;"     Buy-in: $ "&amp;TEXT(VLOOKUP($C$2,Data!$B$87:$N$9999,5,0),"0,0")&amp;"     ABI: $ "&amp;TEXT(VLOOKUP($C$2,Data!$B$87:$N$9999,6,0),"0,0"),IFERROR( IF(VLOOKUP(B115,Baza[],18,0)&gt;0," ["&amp;VLOOKUP(B115,Baza[],18,0)+1&amp;"] ","   ")      &amp;IFERROR(IF(OR(VLOOKUP(B115,Baza[],9,0)="WN",VLOOKUP(B115,Baza[],9,0)="ES"),"€ ","$ ")&amp;      VLOOKUP(B115,Baza[],8,0),"")         &amp;" ["&amp;VLOOKUP(B115,Baza[],9,0)&amp;"] "&amp;VLOOKUP(B115,Baza[],10,0)&amp;IF(VLOOKUP(B115,Baza[],12,0)="T"," [Turbo]",   IF(VLOOKUP(B115,Baza[],12,0)="H"," [Hyper]",                                 "") )            &amp;  IF(VLOOKUP(B115,Baza[],14,0)="s",   ", "&amp;VLOOKUP(B115,Baza[],15,0)&amp;" Tickets",                                                                                                 IF(OR(VLOOKUP(B115,Baza[],14,0)="XP",VLOOKUP(B115,Baza[],14,0)="XP2"),VLOOKUP(B115,Baza[],15,0),            IF(OR(VLOOKUP(B115,Baza[],9,0)="WN",VLOOKUP(B115,Baza[],9,0)="ES"),", €",", $")&amp;                          IF(VLOOKUP(B115,Baza[],15,0)&lt;1000,VLOOKUP(B115,Baza[],15,0),IF(VLOOKUP(B115,Baza[],15,0)&lt;1000000,IF(VLOOKUP(B115,Baza[],15,0)/1000=INT(VLOOKUP(B115,Baza[],15,0)/1000),TEXT(VLOOKUP(B115,Baza[],15,0),"#0 K"),TEXT(VLOOKUP(B115,Baza[],15,0),"#0,0 K")), IF(VLOOKUP(B115,Baza[],15,0)/1000000=INT(VLOOKUP(B115,Baza[],15,0)/1000000),TEXT(VLOOKUP(B115,Baza[],15,0),"# ###  M"),TEXT(VLOOKUP(B115,Baza[],15,0),"# ###,0  M")))))),""))</f>
        <v/>
      </c>
      <c r="G115" s="10"/>
      <c r="H115" s="10"/>
      <c r="I115" s="10"/>
      <c r="J115" s="10"/>
      <c r="K115" s="11" t="str">
        <f>IFERROR(IF(VLOOKUP(B115,Baza[],14,0)="s","Sat",IF(VLOOKUP(B115,Baza[],14,0)="XP","Phase",                                         IF(VLOOKUP(B115,Baza[],19,0)="-","",VLOOKUP(B115,Baza[],19,0)))),"")</f>
        <v/>
      </c>
      <c r="L115" s="12" t="str">
        <f>IF(AND(B115="",B114&gt;0),SUM($L$5:L114),IFERROR(IF(VLOOKUP(B115,Baza[],21,0)=0,"-",VLOOKUP(B115,Baza[],21,0)),""))</f>
        <v/>
      </c>
      <c r="M115" s="12" t="str">
        <f>IF(AND(B115="",B114&gt;0),SUM($M$5:M114),IFERROR(IF(VLOOKUP(B115,Baza[],22,0)=0,"-",VLOOKUP(B115,Baza[],22,0)),""))</f>
        <v/>
      </c>
      <c r="N115" s="12" t="str">
        <f>IF(AND(B115="",B114&gt;0),SUM($N$5:N114),IFERROR(VLOOKUP(B115,Baza[],23,0),""))</f>
        <v/>
      </c>
      <c r="P115" s="13" t="str">
        <f>IFERROR(VLOOKUP(B115,Baza[],14,0),"")</f>
        <v/>
      </c>
      <c r="Q115" s="13" t="str">
        <f>IFERROR(VLOOKUP(B115,Baza[],13,0),"")</f>
        <v/>
      </c>
    </row>
    <row r="116" spans="1:17" ht="9.9499999999999993" customHeight="1" x14ac:dyDescent="0.25">
      <c r="A116" s="4">
        <v>1</v>
      </c>
      <c r="B116" s="48"/>
      <c r="C116" s="97"/>
      <c r="D116" s="111" t="str">
        <f t="shared" si="1"/>
        <v/>
      </c>
      <c r="E116" s="8" t="str">
        <f>IFERROR(VLOOKUP(B116,Baza[],7,0),"")</f>
        <v/>
      </c>
      <c r="F116" s="9" t="str">
        <f>IF(AND(B116="",B115&gt;0),"                           Total:   Games: "&amp;VLOOKUP($C$2,Data!$B$87:$N$9999,4,0)&amp;"     Buy-in: $ "&amp;TEXT(VLOOKUP($C$2,Data!$B$87:$N$9999,5,0),"0,0")&amp;"     ABI: $ "&amp;TEXT(VLOOKUP($C$2,Data!$B$87:$N$9999,6,0),"0,0"),IFERROR( IF(VLOOKUP(B116,Baza[],18,0)&gt;0," ["&amp;VLOOKUP(B116,Baza[],18,0)+1&amp;"] ","   ")      &amp;IFERROR(IF(OR(VLOOKUP(B116,Baza[],9,0)="WN",VLOOKUP(B116,Baza[],9,0)="ES"),"€ ","$ ")&amp;      VLOOKUP(B116,Baza[],8,0),"")         &amp;" ["&amp;VLOOKUP(B116,Baza[],9,0)&amp;"] "&amp;VLOOKUP(B116,Baza[],10,0)&amp;IF(VLOOKUP(B116,Baza[],12,0)="T"," [Turbo]",   IF(VLOOKUP(B116,Baza[],12,0)="H"," [Hyper]",                                 "") )            &amp;  IF(VLOOKUP(B116,Baza[],14,0)="s",   ", "&amp;VLOOKUP(B116,Baza[],15,0)&amp;" Tickets",                                                                                                 IF(OR(VLOOKUP(B116,Baza[],14,0)="XP",VLOOKUP(B116,Baza[],14,0)="XP2"),VLOOKUP(B116,Baza[],15,0),            IF(OR(VLOOKUP(B116,Baza[],9,0)="WN",VLOOKUP(B116,Baza[],9,0)="ES"),", €",", $")&amp;                          IF(VLOOKUP(B116,Baza[],15,0)&lt;1000,VLOOKUP(B116,Baza[],15,0),IF(VLOOKUP(B116,Baza[],15,0)&lt;1000000,IF(VLOOKUP(B116,Baza[],15,0)/1000=INT(VLOOKUP(B116,Baza[],15,0)/1000),TEXT(VLOOKUP(B116,Baza[],15,0),"#0 K"),TEXT(VLOOKUP(B116,Baza[],15,0),"#0,0 K")), IF(VLOOKUP(B116,Baza[],15,0)/1000000=INT(VLOOKUP(B116,Baza[],15,0)/1000000),TEXT(VLOOKUP(B116,Baza[],15,0),"# ###  M"),TEXT(VLOOKUP(B116,Baza[],15,0),"# ###,0  M")))))),""))</f>
        <v/>
      </c>
      <c r="G116" s="10"/>
      <c r="H116" s="10"/>
      <c r="I116" s="10"/>
      <c r="J116" s="10"/>
      <c r="K116" s="11" t="str">
        <f>IFERROR(IF(VLOOKUP(B116,Baza[],14,0)="s","Sat",IF(VLOOKUP(B116,Baza[],14,0)="XP","Phase",                                         IF(VLOOKUP(B116,Baza[],19,0)="-","",VLOOKUP(B116,Baza[],19,0)))),"")</f>
        <v/>
      </c>
      <c r="L116" s="12" t="str">
        <f>IF(AND(B116="",B115&gt;0),SUM($L$5:L115),IFERROR(IF(VLOOKUP(B116,Baza[],21,0)=0,"-",VLOOKUP(B116,Baza[],21,0)),""))</f>
        <v/>
      </c>
      <c r="M116" s="12" t="str">
        <f>IF(AND(B116="",B115&gt;0),SUM($M$5:M115),IFERROR(IF(VLOOKUP(B116,Baza[],22,0)=0,"-",VLOOKUP(B116,Baza[],22,0)),""))</f>
        <v/>
      </c>
      <c r="N116" s="12" t="str">
        <f>IF(AND(B116="",B115&gt;0),SUM($N$5:N115),IFERROR(VLOOKUP(B116,Baza[],23,0),""))</f>
        <v/>
      </c>
      <c r="P116" s="13" t="str">
        <f>IFERROR(VLOOKUP(B116,Baza[],14,0),"")</f>
        <v/>
      </c>
      <c r="Q116" s="13" t="str">
        <f>IFERROR(VLOOKUP(B116,Baza[],13,0),"")</f>
        <v/>
      </c>
    </row>
    <row r="117" spans="1:17" ht="9.9499999999999993" customHeight="1" x14ac:dyDescent="0.25">
      <c r="A117" s="4">
        <v>2</v>
      </c>
      <c r="B117" s="48"/>
      <c r="C117" s="97"/>
      <c r="D117" s="17"/>
      <c r="E117" s="8" t="str">
        <f>IFERROR(VLOOKUP(B117,Baza[],7,0),"")</f>
        <v/>
      </c>
      <c r="F117" s="9" t="str">
        <f>IF(AND(B117="",B116&gt;0),"                           Total:   Games: "&amp;VLOOKUP($C$2,Data!$B$87:$N$9999,4,0)&amp;"     Buy-in: $ "&amp;TEXT(VLOOKUP($C$2,Data!$B$87:$N$9999,5,0),"0,0")&amp;"     ABI: $ "&amp;TEXT(VLOOKUP($C$2,Data!$B$87:$N$9999,6,0),"0,0"),IFERROR( IF(VLOOKUP(B117,Baza[],18,0)&gt;0," ["&amp;VLOOKUP(B117,Baza[],18,0)+1&amp;"] ","   ")      &amp;IFERROR(IF(OR(VLOOKUP(B117,Baza[],9,0)="WN",VLOOKUP(B117,Baza[],9,0)="ES"),"€ ","$ ")&amp;      VLOOKUP(B117,Baza[],8,0),"")         &amp;" ["&amp;VLOOKUP(B117,Baza[],9,0)&amp;"] "&amp;VLOOKUP(B117,Baza[],10,0)&amp;IF(VLOOKUP(B117,Baza[],12,0)="T"," [Turbo]",   IF(VLOOKUP(B117,Baza[],12,0)="H"," [Hyper]",                                 "") )            &amp;  IF(VLOOKUP(B117,Baza[],14,0)="s",   ", "&amp;VLOOKUP(B117,Baza[],15,0)&amp;" Tickets",                                                                                                 IF(OR(VLOOKUP(B117,Baza[],14,0)="XP",VLOOKUP(B117,Baza[],14,0)="XP2"),VLOOKUP(B117,Baza[],15,0),            IF(OR(VLOOKUP(B117,Baza[],9,0)="WN",VLOOKUP(B117,Baza[],9,0)="ES"),", €",", $")&amp;                          IF(VLOOKUP(B117,Baza[],15,0)&lt;1000,VLOOKUP(B117,Baza[],15,0),IF(VLOOKUP(B117,Baza[],15,0)&lt;1000000,IF(VLOOKUP(B117,Baza[],15,0)/1000=INT(VLOOKUP(B117,Baza[],15,0)/1000),TEXT(VLOOKUP(B117,Baza[],15,0),"#0 K"),TEXT(VLOOKUP(B117,Baza[],15,0),"#0,0 K")), IF(VLOOKUP(B117,Baza[],15,0)/1000000=INT(VLOOKUP(B117,Baza[],15,0)/1000000),TEXT(VLOOKUP(B117,Baza[],15,0),"# ###  M"),TEXT(VLOOKUP(B117,Baza[],15,0),"# ###,0  M")))))),""))</f>
        <v/>
      </c>
      <c r="G117" s="10"/>
      <c r="H117" s="10"/>
      <c r="I117" s="10"/>
      <c r="J117" s="10"/>
      <c r="K117" s="11" t="str">
        <f>IFERROR(IF(VLOOKUP(B117,Baza[],14,0)="s","Sat",IF(VLOOKUP(B117,Baza[],14,0)="XP","Phase",                                         IF(VLOOKUP(B117,Baza[],19,0)="-","",VLOOKUP(B117,Baza[],19,0)))),"")</f>
        <v/>
      </c>
      <c r="L117" s="12" t="str">
        <f>IF(AND(B117="",B116&gt;0),SUM($L$5:L116),IFERROR(IF(VLOOKUP(B117,Baza[],21,0)=0,"-",VLOOKUP(B117,Baza[],21,0)),""))</f>
        <v/>
      </c>
      <c r="M117" s="12" t="str">
        <f>IF(AND(B117="",B116&gt;0),SUM($M$5:M116),IFERROR(IF(VLOOKUP(B117,Baza[],22,0)=0,"-",VLOOKUP(B117,Baza[],22,0)),""))</f>
        <v/>
      </c>
      <c r="N117" s="12" t="str">
        <f>IF(AND(B117="",B116&gt;0),SUM($N$5:N116),IFERROR(VLOOKUP(B117,Baza[],23,0),""))</f>
        <v/>
      </c>
      <c r="P117" s="13" t="str">
        <f>IFERROR(VLOOKUP(B117,Baza[],14,0),"")</f>
        <v/>
      </c>
      <c r="Q117" s="13" t="str">
        <f>IFERROR(VLOOKUP(B117,Baza[],13,0),"")</f>
        <v/>
      </c>
    </row>
    <row r="118" spans="1:17" ht="9.9499999999999993" customHeight="1" x14ac:dyDescent="0.25">
      <c r="A118" s="4">
        <v>1</v>
      </c>
      <c r="B118" s="48"/>
      <c r="C118" s="6" t="str">
        <f t="shared" ref="C118:C119" si="2">IF(B118="","",C117+1)</f>
        <v/>
      </c>
      <c r="D118" s="17"/>
      <c r="E118" s="8" t="str">
        <f>IFERROR(VLOOKUP(B118,Baza[],7,0),"")</f>
        <v/>
      </c>
      <c r="F118" s="9" t="str">
        <f>IF(AND(B118="",B117&gt;0),"                           Total:   Games: "&amp;VLOOKUP($C$2,Data!$B$87:$N$9999,4,0)&amp;"     Buy-in: $ "&amp;TEXT(VLOOKUP($C$2,Data!$B$87:$N$9999,5,0),"0,0")&amp;"     ABI: $ "&amp;TEXT(VLOOKUP($C$2,Data!$B$87:$N$9999,6,0),"0,0"),IFERROR( IF(VLOOKUP(B118,Baza[],18,0)&gt;0," ["&amp;VLOOKUP(B118,Baza[],18,0)+1&amp;"] ","   ")      &amp;IFERROR(IF(OR(VLOOKUP(B118,Baza[],9,0)="WN",VLOOKUP(B118,Baza[],9,0)="ES"),"€ ","$ ")&amp;      VLOOKUP(B118,Baza[],8,0),"")         &amp;" ["&amp;VLOOKUP(B118,Baza[],9,0)&amp;"] "&amp;VLOOKUP(B118,Baza[],10,0)&amp;IF(VLOOKUP(B118,Baza[],12,0)="T"," [Turbo]",   IF(VLOOKUP(B118,Baza[],12,0)="H"," [Hyper]",                                 "") )            &amp;  IF(VLOOKUP(B118,Baza[],14,0)="s",   ", "&amp;VLOOKUP(B118,Baza[],15,0)&amp;" Tickets",                                                                                                 IF(OR(VLOOKUP(B118,Baza[],14,0)="XP",VLOOKUP(B118,Baza[],14,0)="XP2"),VLOOKUP(B118,Baza[],15,0),            IF(OR(VLOOKUP(B118,Baza[],9,0)="WN",VLOOKUP(B118,Baza[],9,0)="ES"),", €",", $")&amp;                          IF(VLOOKUP(B118,Baza[],15,0)&lt;1000,VLOOKUP(B118,Baza[],15,0),IF(VLOOKUP(B118,Baza[],15,0)&lt;1000000,IF(VLOOKUP(B118,Baza[],15,0)/1000=INT(VLOOKUP(B118,Baza[],15,0)/1000),TEXT(VLOOKUP(B118,Baza[],15,0),"#0 K"),TEXT(VLOOKUP(B118,Baza[],15,0),"#0,0 K")), IF(VLOOKUP(B118,Baza[],15,0)/1000000=INT(VLOOKUP(B118,Baza[],15,0)/1000000),TEXT(VLOOKUP(B118,Baza[],15,0),"# ###  M"),TEXT(VLOOKUP(B118,Baza[],15,0),"# ###,0  M")))))),""))</f>
        <v/>
      </c>
      <c r="G118" s="10"/>
      <c r="H118" s="10"/>
      <c r="I118" s="10"/>
      <c r="J118" s="10"/>
      <c r="K118" s="11" t="str">
        <f>IFERROR(IF(VLOOKUP(B118,Baza[],14,0)="s","Sat",IF(VLOOKUP(B118,Baza[],14,0)="XP","Phase",                                         IF(VLOOKUP(B118,Baza[],19,0)="-","",VLOOKUP(B118,Baza[],19,0)))),"")</f>
        <v/>
      </c>
      <c r="L118" s="12" t="str">
        <f>IF(AND(B118="",B117&gt;0),SUM($L$5:L117),IFERROR(IF(VLOOKUP(B118,Baza[],21,0)=0,"-",VLOOKUP(B118,Baza[],21,0)),""))</f>
        <v/>
      </c>
      <c r="M118" s="12" t="str">
        <f>IF(AND(B118="",B117&gt;0),SUM($M$5:M117),IFERROR(IF(VLOOKUP(B118,Baza[],22,0)=0,"-",VLOOKUP(B118,Baza[],22,0)),""))</f>
        <v/>
      </c>
      <c r="N118" s="12" t="str">
        <f>IF(AND(B118="",B117&gt;0),SUM($N$5:N117),IFERROR(VLOOKUP(B118,Baza[],23,0),""))</f>
        <v/>
      </c>
      <c r="P118" s="13" t="str">
        <f>IFERROR(VLOOKUP(B118,Baza[],14,0),"")</f>
        <v/>
      </c>
      <c r="Q118" s="13" t="str">
        <f>IFERROR(VLOOKUP(B118,Baza[],13,0),"")</f>
        <v/>
      </c>
    </row>
    <row r="119" spans="1:17" ht="9.9499999999999993" customHeight="1" x14ac:dyDescent="0.25">
      <c r="A119" s="4">
        <v>2</v>
      </c>
      <c r="B119" s="48"/>
      <c r="C119" s="6" t="str">
        <f t="shared" si="2"/>
        <v/>
      </c>
      <c r="D119" s="17"/>
      <c r="E119" s="8" t="str">
        <f>IFERROR(VLOOKUP(B119,Baza[],7,0),"")</f>
        <v/>
      </c>
      <c r="F119" s="9" t="str">
        <f>IF(AND(B119="",B118&gt;0),"                           Total:   Games: "&amp;VLOOKUP($C$2,Data!$B$87:$N$9999,4,0)&amp;"     Buy-in: $ "&amp;TEXT(VLOOKUP($C$2,Data!$B$87:$N$9999,5,0),"0,0")&amp;"     ABI: $ "&amp;TEXT(VLOOKUP($C$2,Data!$B$87:$N$9999,6,0),"0,0"),IFERROR( IF(VLOOKUP(B119,Baza[],18,0)&gt;0," ["&amp;VLOOKUP(B119,Baza[],18,0)+1&amp;"] ","   ")      &amp;IFERROR(IF(OR(VLOOKUP(B119,Baza[],9,0)="WN",VLOOKUP(B119,Baza[],9,0)="ES"),"€ ","$ ")&amp;      VLOOKUP(B119,Baza[],8,0),"")         &amp;" ["&amp;VLOOKUP(B119,Baza[],9,0)&amp;"] "&amp;VLOOKUP(B119,Baza[],10,0)&amp;IF(VLOOKUP(B119,Baza[],12,0)="T"," [Turbo]",   IF(VLOOKUP(B119,Baza[],12,0)="H"," [Hyper]",                                 "") )            &amp;  IF(VLOOKUP(B119,Baza[],14,0)="s",   ", "&amp;VLOOKUP(B119,Baza[],15,0)&amp;" Tickets",                                                                                                 IF(OR(VLOOKUP(B119,Baza[],14,0)="XP",VLOOKUP(B119,Baza[],14,0)="XP2"),VLOOKUP(B119,Baza[],15,0),            IF(OR(VLOOKUP(B119,Baza[],9,0)="WN",VLOOKUP(B119,Baza[],9,0)="ES"),", €",", $")&amp;                          IF(VLOOKUP(B119,Baza[],15,0)&lt;1000,VLOOKUP(B119,Baza[],15,0),IF(VLOOKUP(B119,Baza[],15,0)&lt;1000000,IF(VLOOKUP(B119,Baza[],15,0)/1000=INT(VLOOKUP(B119,Baza[],15,0)/1000),TEXT(VLOOKUP(B119,Baza[],15,0),"#0 K"),TEXT(VLOOKUP(B119,Baza[],15,0),"#0,0 K")), IF(VLOOKUP(B119,Baza[],15,0)/1000000=INT(VLOOKUP(B119,Baza[],15,0)/1000000),TEXT(VLOOKUP(B119,Baza[],15,0),"# ###  M"),TEXT(VLOOKUP(B119,Baza[],15,0),"# ###,0  M")))))),""))</f>
        <v/>
      </c>
      <c r="G119" s="10"/>
      <c r="H119" s="10"/>
      <c r="I119" s="10"/>
      <c r="J119" s="10"/>
      <c r="K119" s="11" t="str">
        <f>IFERROR(IF(VLOOKUP(B119,Baza[],14,0)="s","Sat",IF(VLOOKUP(B119,Baza[],14,0)="XP","Phase",                                         IF(VLOOKUP(B119,Baza[],19,0)="-","",VLOOKUP(B119,Baza[],19,0)))),"")</f>
        <v/>
      </c>
      <c r="L119" s="12" t="str">
        <f>IF(AND(B119="",B118&gt;0),SUM($L$5:L118),IFERROR(IF(VLOOKUP(B119,Baza[],21,0)=0,"-",VLOOKUP(B119,Baza[],21,0)),""))</f>
        <v/>
      </c>
      <c r="M119" s="12" t="str">
        <f>IF(AND(B119="",B118&gt;0),SUM($M$5:M118),IFERROR(IF(VLOOKUP(B119,Baza[],22,0)=0,"-",VLOOKUP(B119,Baza[],22,0)),""))</f>
        <v/>
      </c>
      <c r="N119" s="12" t="str">
        <f>IF(AND(B119="",B118&gt;0),SUM($N$5:N118),IFERROR(VLOOKUP(B119,Baza[],23,0),""))</f>
        <v/>
      </c>
      <c r="P119" s="13" t="str">
        <f>IFERROR(VLOOKUP(B119,Baza[],14,0),"")</f>
        <v/>
      </c>
      <c r="Q119" s="13" t="str">
        <f>IFERROR(VLOOKUP(B119,Baza[],13,0),"")</f>
        <v/>
      </c>
    </row>
    <row r="120" spans="1:17" ht="9.9499999999999993" customHeight="1" x14ac:dyDescent="0.25">
      <c r="A120" s="4">
        <v>1</v>
      </c>
      <c r="B120" s="48"/>
    </row>
    <row r="121" spans="1:17" ht="9.9499999999999993" customHeight="1" x14ac:dyDescent="0.25">
      <c r="A121" s="4">
        <v>2</v>
      </c>
      <c r="B121" s="48"/>
    </row>
    <row r="122" spans="1:17" ht="9.9499999999999993" customHeight="1" x14ac:dyDescent="0.25">
      <c r="A122" s="4">
        <v>1</v>
      </c>
      <c r="B122" s="48"/>
    </row>
    <row r="123" spans="1:17" ht="9.9499999999999993" customHeight="1" x14ac:dyDescent="0.25">
      <c r="A123" s="4">
        <v>2</v>
      </c>
      <c r="B123" s="48"/>
    </row>
    <row r="124" spans="1:17" ht="9.9499999999999993" customHeight="1" x14ac:dyDescent="0.25">
      <c r="A124" s="4">
        <v>1</v>
      </c>
      <c r="B124" s="48"/>
    </row>
    <row r="125" spans="1:17" ht="9.9499999999999993" customHeight="1" x14ac:dyDescent="0.25">
      <c r="A125" s="4">
        <v>2</v>
      </c>
      <c r="B125" s="48"/>
    </row>
    <row r="126" spans="1:17" ht="9.9499999999999993" customHeight="1" x14ac:dyDescent="0.25">
      <c r="A126" s="4">
        <v>1</v>
      </c>
      <c r="B126" s="48"/>
    </row>
    <row r="127" spans="1:17" ht="9.9499999999999993" customHeight="1" x14ac:dyDescent="0.25">
      <c r="A127" s="4">
        <v>2</v>
      </c>
      <c r="B127" s="48"/>
    </row>
    <row r="128" spans="1:17" ht="9.9499999999999993" customHeight="1" x14ac:dyDescent="0.25">
      <c r="A128" s="4">
        <v>1</v>
      </c>
      <c r="B128" s="48"/>
    </row>
    <row r="129" spans="1:2" ht="9.9499999999999993" customHeight="1" x14ac:dyDescent="0.25">
      <c r="A129" s="4">
        <v>2</v>
      </c>
      <c r="B129" s="48"/>
    </row>
    <row r="130" spans="1:2" ht="9.9499999999999993" customHeight="1" x14ac:dyDescent="0.25">
      <c r="A130" s="4">
        <v>1</v>
      </c>
      <c r="B130" s="48"/>
    </row>
    <row r="131" spans="1:2" ht="9.9499999999999993" customHeight="1" x14ac:dyDescent="0.25">
      <c r="A131" s="4">
        <v>2</v>
      </c>
      <c r="B131" s="48"/>
    </row>
    <row r="132" spans="1:2" ht="9.9499999999999993" customHeight="1" x14ac:dyDescent="0.25">
      <c r="A132" s="4">
        <v>1</v>
      </c>
      <c r="B132" s="48"/>
    </row>
    <row r="133" spans="1:2" ht="9.9499999999999993" customHeight="1" x14ac:dyDescent="0.25">
      <c r="A133" s="4">
        <v>2</v>
      </c>
      <c r="B133" s="48"/>
    </row>
    <row r="134" spans="1:2" ht="9.9499999999999993" customHeight="1" x14ac:dyDescent="0.25">
      <c r="A134" s="4">
        <v>1</v>
      </c>
      <c r="B134" s="48"/>
    </row>
    <row r="135" spans="1:2" ht="9.9499999999999993" customHeight="1" x14ac:dyDescent="0.25">
      <c r="A135" s="4">
        <v>2</v>
      </c>
      <c r="B135" s="48"/>
    </row>
    <row r="136" spans="1:2" ht="9.9499999999999993" customHeight="1" x14ac:dyDescent="0.25">
      <c r="A136" s="4">
        <v>1</v>
      </c>
      <c r="B136" s="48"/>
    </row>
    <row r="137" spans="1:2" ht="9.9499999999999993" customHeight="1" x14ac:dyDescent="0.25">
      <c r="A137" s="4">
        <v>2</v>
      </c>
      <c r="B137" s="48"/>
    </row>
    <row r="138" spans="1:2" ht="9.9499999999999993" customHeight="1" x14ac:dyDescent="0.25">
      <c r="A138" s="4">
        <v>1</v>
      </c>
      <c r="B138" s="48"/>
    </row>
    <row r="139" spans="1:2" ht="9.9499999999999993" customHeight="1" x14ac:dyDescent="0.25">
      <c r="A139" s="4">
        <v>2</v>
      </c>
      <c r="B139" s="48"/>
    </row>
    <row r="140" spans="1:2" ht="9.9499999999999993" customHeight="1" x14ac:dyDescent="0.25">
      <c r="A140" s="4">
        <v>1</v>
      </c>
      <c r="B140" s="48"/>
    </row>
    <row r="141" spans="1:2" ht="9.9499999999999993" customHeight="1" x14ac:dyDescent="0.25">
      <c r="A141" s="4">
        <v>2</v>
      </c>
      <c r="B141" s="48"/>
    </row>
    <row r="142" spans="1:2" ht="9.9499999999999993" customHeight="1" x14ac:dyDescent="0.25">
      <c r="A142" s="4">
        <v>1</v>
      </c>
      <c r="B142" s="48"/>
    </row>
    <row r="143" spans="1:2" ht="9.9499999999999993" customHeight="1" x14ac:dyDescent="0.25">
      <c r="A143" s="4">
        <v>2</v>
      </c>
      <c r="B143" s="48"/>
    </row>
    <row r="144" spans="1:2" ht="9.9499999999999993" customHeight="1" x14ac:dyDescent="0.25">
      <c r="A144" s="4">
        <v>1</v>
      </c>
      <c r="B144" s="48"/>
    </row>
    <row r="145" spans="1:2" ht="9.9499999999999993" customHeight="1" x14ac:dyDescent="0.25">
      <c r="A145" s="4">
        <v>2</v>
      </c>
      <c r="B145" s="48"/>
    </row>
    <row r="146" spans="1:2" ht="9.9499999999999993" customHeight="1" x14ac:dyDescent="0.25">
      <c r="A146" s="4">
        <v>1</v>
      </c>
      <c r="B146" s="48"/>
    </row>
    <row r="147" spans="1:2" ht="9.9499999999999993" customHeight="1" x14ac:dyDescent="0.25">
      <c r="A147" s="4">
        <v>2</v>
      </c>
      <c r="B147" s="48"/>
    </row>
    <row r="148" spans="1:2" ht="9.9499999999999993" customHeight="1" x14ac:dyDescent="0.25">
      <c r="B148" s="48"/>
    </row>
    <row r="149" spans="1:2" ht="9.9499999999999993" customHeight="1" x14ac:dyDescent="0.25">
      <c r="B149" s="48"/>
    </row>
    <row r="150" spans="1:2" ht="9.9499999999999993" customHeight="1" x14ac:dyDescent="0.25">
      <c r="B150" s="48"/>
    </row>
    <row r="151" spans="1:2" ht="9.9499999999999993" customHeight="1" x14ac:dyDescent="0.25">
      <c r="B151" s="48"/>
    </row>
    <row r="152" spans="1:2" ht="9.9499999999999993" customHeight="1" x14ac:dyDescent="0.25">
      <c r="B152" s="48"/>
    </row>
    <row r="153" spans="1:2" ht="9.9499999999999993" customHeight="1" x14ac:dyDescent="0.25">
      <c r="B153" s="48"/>
    </row>
    <row r="154" spans="1:2" ht="9.9499999999999993" customHeight="1" x14ac:dyDescent="0.25">
      <c r="B154" s="48"/>
    </row>
    <row r="155" spans="1:2" ht="9.9499999999999993" customHeight="1" x14ac:dyDescent="0.25">
      <c r="B155" s="48"/>
    </row>
    <row r="156" spans="1:2" ht="9.9499999999999993" customHeight="1" x14ac:dyDescent="0.25">
      <c r="B156" s="48"/>
    </row>
    <row r="157" spans="1:2" ht="9.9499999999999993" customHeight="1" x14ac:dyDescent="0.25">
      <c r="B157" s="48"/>
    </row>
    <row r="158" spans="1:2" ht="9.9499999999999993" customHeight="1" x14ac:dyDescent="0.25">
      <c r="B158" s="48"/>
    </row>
    <row r="159" spans="1:2" ht="9.9499999999999993" customHeight="1" x14ac:dyDescent="0.25">
      <c r="B159" s="48"/>
    </row>
    <row r="160" spans="1:2" ht="9.9499999999999993" customHeight="1" x14ac:dyDescent="0.25">
      <c r="B160" s="48"/>
    </row>
    <row r="161" spans="2:2" ht="9.9499999999999993" customHeight="1" x14ac:dyDescent="0.25">
      <c r="B161" s="48"/>
    </row>
    <row r="162" spans="2:2" ht="9.9499999999999993" customHeight="1" x14ac:dyDescent="0.25">
      <c r="B162" s="48"/>
    </row>
    <row r="163" spans="2:2" ht="9.9499999999999993" customHeight="1" x14ac:dyDescent="0.25">
      <c r="B163" s="48"/>
    </row>
    <row r="164" spans="2:2" ht="9.9499999999999993" customHeight="1" x14ac:dyDescent="0.25">
      <c r="B164" s="48"/>
    </row>
    <row r="165" spans="2:2" ht="9.9499999999999993" customHeight="1" x14ac:dyDescent="0.25">
      <c r="B165" s="48"/>
    </row>
    <row r="166" spans="2:2" ht="9.9499999999999993" customHeight="1" x14ac:dyDescent="0.25">
      <c r="B166" s="48"/>
    </row>
    <row r="167" spans="2:2" ht="9.9499999999999993" customHeight="1" x14ac:dyDescent="0.25">
      <c r="B167" s="48"/>
    </row>
    <row r="168" spans="2:2" ht="9.9499999999999993" customHeight="1" x14ac:dyDescent="0.25">
      <c r="B168" s="48"/>
    </row>
    <row r="169" spans="2:2" ht="9.9499999999999993" customHeight="1" x14ac:dyDescent="0.25">
      <c r="B169" s="48"/>
    </row>
    <row r="170" spans="2:2" ht="9.9499999999999993" customHeight="1" x14ac:dyDescent="0.25">
      <c r="B170" s="48"/>
    </row>
    <row r="171" spans="2:2" ht="9.9499999999999993" customHeight="1" x14ac:dyDescent="0.25">
      <c r="B171" s="48"/>
    </row>
    <row r="172" spans="2:2" ht="9.9499999999999993" customHeight="1" x14ac:dyDescent="0.25">
      <c r="B172" s="48"/>
    </row>
    <row r="173" spans="2:2" ht="9.9499999999999993" customHeight="1" x14ac:dyDescent="0.25">
      <c r="B173" s="48"/>
    </row>
    <row r="174" spans="2:2" ht="9.9499999999999993" customHeight="1" x14ac:dyDescent="0.25">
      <c r="B174" s="48"/>
    </row>
    <row r="175" spans="2:2" ht="9.9499999999999993" customHeight="1" x14ac:dyDescent="0.25">
      <c r="B175" s="48"/>
    </row>
    <row r="176" spans="2:2" ht="9.9499999999999993" customHeight="1" x14ac:dyDescent="0.25">
      <c r="B176" s="48"/>
    </row>
    <row r="177" spans="2:2" ht="9.9499999999999993" customHeight="1" x14ac:dyDescent="0.25">
      <c r="B177" s="48"/>
    </row>
    <row r="178" spans="2:2" ht="9.9499999999999993" customHeight="1" x14ac:dyDescent="0.25">
      <c r="B178" s="48"/>
    </row>
    <row r="179" spans="2:2" ht="9.9499999999999993" customHeight="1" x14ac:dyDescent="0.25">
      <c r="B179" s="48"/>
    </row>
    <row r="180" spans="2:2" ht="9.9499999999999993" customHeight="1" x14ac:dyDescent="0.25">
      <c r="B180" s="48"/>
    </row>
    <row r="181" spans="2:2" ht="9.9499999999999993" customHeight="1" x14ac:dyDescent="0.25">
      <c r="B181" s="48"/>
    </row>
    <row r="182" spans="2:2" ht="9.9499999999999993" customHeight="1" x14ac:dyDescent="0.25">
      <c r="B182" s="48"/>
    </row>
    <row r="183" spans="2:2" ht="9.9499999999999993" customHeight="1" x14ac:dyDescent="0.25">
      <c r="B183" s="48"/>
    </row>
    <row r="184" spans="2:2" ht="9.9499999999999993" customHeight="1" x14ac:dyDescent="0.25">
      <c r="B184" s="48"/>
    </row>
    <row r="185" spans="2:2" ht="9.9499999999999993" customHeight="1" x14ac:dyDescent="0.25">
      <c r="B185" s="48"/>
    </row>
    <row r="186" spans="2:2" ht="9.9499999999999993" customHeight="1" x14ac:dyDescent="0.25">
      <c r="B186" s="48"/>
    </row>
    <row r="187" spans="2:2" ht="9.9499999999999993" customHeight="1" x14ac:dyDescent="0.25">
      <c r="B187" s="48"/>
    </row>
    <row r="188" spans="2:2" ht="9.9499999999999993" customHeight="1" x14ac:dyDescent="0.25">
      <c r="B188" s="48"/>
    </row>
    <row r="189" spans="2:2" ht="9.9499999999999993" customHeight="1" x14ac:dyDescent="0.25">
      <c r="B189" s="48"/>
    </row>
    <row r="190" spans="2:2" ht="9.9499999999999993" customHeight="1" x14ac:dyDescent="0.25">
      <c r="B190" s="48"/>
    </row>
    <row r="191" spans="2:2" ht="9.9499999999999993" customHeight="1" x14ac:dyDescent="0.25">
      <c r="B191" s="48"/>
    </row>
    <row r="192" spans="2:2" ht="9.9499999999999993" customHeight="1" x14ac:dyDescent="0.25">
      <c r="B192" s="48"/>
    </row>
    <row r="193" spans="2:2" ht="9.9499999999999993" customHeight="1" x14ac:dyDescent="0.25">
      <c r="B193" s="48"/>
    </row>
    <row r="194" spans="2:2" ht="9.9499999999999993" customHeight="1" x14ac:dyDescent="0.25">
      <c r="B194" s="48"/>
    </row>
    <row r="195" spans="2:2" ht="9.9499999999999993" customHeight="1" x14ac:dyDescent="0.25">
      <c r="B195" s="48"/>
    </row>
    <row r="196" spans="2:2" ht="9.9499999999999993" customHeight="1" x14ac:dyDescent="0.25">
      <c r="B196" s="48"/>
    </row>
    <row r="197" spans="2:2" ht="9.9499999999999993" customHeight="1" x14ac:dyDescent="0.25">
      <c r="B197" s="48"/>
    </row>
    <row r="198" spans="2:2" ht="9.9499999999999993" customHeight="1" x14ac:dyDescent="0.25">
      <c r="B198" s="48"/>
    </row>
    <row r="199" spans="2:2" ht="9.9499999999999993" customHeight="1" x14ac:dyDescent="0.25">
      <c r="B199" s="48"/>
    </row>
    <row r="200" spans="2:2" ht="9.9499999999999993" customHeight="1" x14ac:dyDescent="0.25">
      <c r="B200" s="48"/>
    </row>
    <row r="201" spans="2:2" ht="9.9499999999999993" customHeight="1" x14ac:dyDescent="0.25">
      <c r="B201" s="48"/>
    </row>
    <row r="202" spans="2:2" ht="9.9499999999999993" customHeight="1" x14ac:dyDescent="0.25">
      <c r="B202" s="48"/>
    </row>
    <row r="203" spans="2:2" ht="9.9499999999999993" customHeight="1" x14ac:dyDescent="0.25">
      <c r="B203" s="48"/>
    </row>
    <row r="204" spans="2:2" ht="9.9499999999999993" customHeight="1" x14ac:dyDescent="0.25">
      <c r="B204" s="48"/>
    </row>
    <row r="205" spans="2:2" ht="9.9499999999999993" customHeight="1" x14ac:dyDescent="0.25">
      <c r="B205" s="48"/>
    </row>
    <row r="206" spans="2:2" ht="9.9499999999999993" customHeight="1" x14ac:dyDescent="0.25">
      <c r="B206" s="48"/>
    </row>
    <row r="207" spans="2:2" ht="9.9499999999999993" customHeight="1" x14ac:dyDescent="0.25">
      <c r="B207" s="48"/>
    </row>
    <row r="208" spans="2:2" ht="9.9499999999999993" customHeight="1" x14ac:dyDescent="0.25">
      <c r="B208" s="48"/>
    </row>
    <row r="209" spans="2:2" ht="9.9499999999999993" customHeight="1" x14ac:dyDescent="0.25">
      <c r="B209" s="48"/>
    </row>
    <row r="210" spans="2:2" ht="9.9499999999999993" customHeight="1" x14ac:dyDescent="0.25">
      <c r="B210" s="48"/>
    </row>
    <row r="211" spans="2:2" ht="9.9499999999999993" customHeight="1" x14ac:dyDescent="0.25">
      <c r="B211" s="48"/>
    </row>
    <row r="212" spans="2:2" ht="9.9499999999999993" customHeight="1" x14ac:dyDescent="0.25">
      <c r="B212" s="48"/>
    </row>
    <row r="213" spans="2:2" ht="9.9499999999999993" customHeight="1" x14ac:dyDescent="0.25">
      <c r="B213" s="48"/>
    </row>
    <row r="214" spans="2:2" ht="9.9499999999999993" customHeight="1" x14ac:dyDescent="0.25">
      <c r="B214" s="48"/>
    </row>
    <row r="215" spans="2:2" ht="9.9499999999999993" customHeight="1" x14ac:dyDescent="0.25">
      <c r="B215" s="48"/>
    </row>
    <row r="216" spans="2:2" ht="9.9499999999999993" customHeight="1" x14ac:dyDescent="0.25">
      <c r="B216" s="48"/>
    </row>
    <row r="217" spans="2:2" ht="9.9499999999999993" customHeight="1" x14ac:dyDescent="0.25">
      <c r="B217" s="48"/>
    </row>
    <row r="218" spans="2:2" ht="9.9499999999999993" customHeight="1" x14ac:dyDescent="0.25">
      <c r="B218" s="48"/>
    </row>
    <row r="219" spans="2:2" ht="9.9499999999999993" customHeight="1" x14ac:dyDescent="0.25">
      <c r="B219" s="48"/>
    </row>
    <row r="220" spans="2:2" ht="9.9499999999999993" customHeight="1" x14ac:dyDescent="0.25">
      <c r="B220" s="48"/>
    </row>
    <row r="221" spans="2:2" ht="9.9499999999999993" customHeight="1" x14ac:dyDescent="0.25">
      <c r="B221" s="48"/>
    </row>
    <row r="222" spans="2:2" ht="9.9499999999999993" customHeight="1" x14ac:dyDescent="0.25">
      <c r="B222" s="48"/>
    </row>
    <row r="223" spans="2:2" ht="9.9499999999999993" customHeight="1" x14ac:dyDescent="0.25">
      <c r="B223" s="48"/>
    </row>
    <row r="224" spans="2:2" ht="9.9499999999999993" customHeight="1" x14ac:dyDescent="0.25">
      <c r="B224" s="48"/>
    </row>
    <row r="225" spans="2:2" ht="9.9499999999999993" customHeight="1" x14ac:dyDescent="0.25">
      <c r="B225" s="48"/>
    </row>
    <row r="226" spans="2:2" ht="9.9499999999999993" customHeight="1" x14ac:dyDescent="0.25">
      <c r="B226" s="48"/>
    </row>
    <row r="227" spans="2:2" ht="9.9499999999999993" customHeight="1" x14ac:dyDescent="0.25">
      <c r="B227" s="48"/>
    </row>
    <row r="228" spans="2:2" ht="9.9499999999999993" customHeight="1" x14ac:dyDescent="0.25">
      <c r="B228" s="48"/>
    </row>
    <row r="229" spans="2:2" ht="9.9499999999999993" customHeight="1" x14ac:dyDescent="0.25">
      <c r="B229" s="48"/>
    </row>
    <row r="230" spans="2:2" ht="9.9499999999999993" customHeight="1" x14ac:dyDescent="0.25">
      <c r="B230" s="48"/>
    </row>
    <row r="231" spans="2:2" ht="9.9499999999999993" customHeight="1" x14ac:dyDescent="0.25">
      <c r="B231" s="48"/>
    </row>
  </sheetData>
  <mergeCells count="4">
    <mergeCell ref="F4:K4"/>
    <mergeCell ref="E2:N2"/>
    <mergeCell ref="P2:Q2"/>
    <mergeCell ref="E1:N1"/>
  </mergeCells>
  <conditionalFormatting sqref="B2:C2 B4">
    <cfRule type="expression" dxfId="50" priority="47">
      <formula>$B$5&gt;0</formula>
    </cfRule>
  </conditionalFormatting>
  <conditionalFormatting sqref="E5:N119">
    <cfRule type="expression" dxfId="49" priority="136">
      <formula>$N5=""</formula>
    </cfRule>
    <cfRule type="expression" dxfId="48" priority="137">
      <formula>$B5=""</formula>
    </cfRule>
    <cfRule type="expression" dxfId="47" priority="138">
      <formula>$A5=1</formula>
    </cfRule>
    <cfRule type="expression" dxfId="46" priority="139">
      <formula>$A5=2</formula>
    </cfRule>
  </conditionalFormatting>
  <conditionalFormatting sqref="B5:B999">
    <cfRule type="expression" dxfId="45" priority="134">
      <formula>$B5&gt;0</formula>
    </cfRule>
    <cfRule type="expression" dxfId="44" priority="135">
      <formula>$E5=""</formula>
    </cfRule>
  </conditionalFormatting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CAC04-CDAF-4C53-9D68-A341E2051D25}">
  <sheetPr codeName="Лист4"/>
  <dimension ref="A1:AK238"/>
  <sheetViews>
    <sheetView tabSelected="1" topLeftCell="B1" workbookViewId="0">
      <pane ySplit="37" topLeftCell="A38" activePane="bottomLeft" state="frozen"/>
      <selection activeCell="B1" sqref="B1"/>
      <selection pane="bottomLeft" activeCell="P1" sqref="P1"/>
    </sheetView>
  </sheetViews>
  <sheetFormatPr defaultRowHeight="11.1" customHeight="1" x14ac:dyDescent="0.25"/>
  <cols>
    <col min="1" max="1" width="10.7109375" style="124" hidden="1" customWidth="1"/>
    <col min="2" max="2" width="3.5703125" style="107" customWidth="1"/>
    <col min="3" max="3" width="6" style="16" customWidth="1"/>
    <col min="4" max="4" width="2.7109375" style="16" customWidth="1"/>
    <col min="5" max="5" width="10.7109375" style="16" hidden="1" customWidth="1"/>
    <col min="6" max="6" width="10.7109375" style="1" hidden="1" customWidth="1"/>
    <col min="7" max="7" width="6.140625" style="1" customWidth="1"/>
    <col min="8" max="8" width="5.85546875" style="1" customWidth="1"/>
    <col min="9" max="9" width="5.7109375" style="1" customWidth="1"/>
    <col min="10" max="10" width="6.7109375" style="1" customWidth="1"/>
    <col min="11" max="11" width="44.7109375" style="1" customWidth="1"/>
    <col min="12" max="12" width="6.7109375" style="1" customWidth="1"/>
    <col min="13" max="13" width="7.140625" style="1" customWidth="1"/>
    <col min="14" max="14" width="7.28515625" style="1" customWidth="1"/>
    <col min="15" max="15" width="4.7109375" style="1" customWidth="1"/>
    <col min="16" max="16" width="7.7109375" style="1" customWidth="1"/>
    <col min="17" max="20" width="5.7109375" style="1" customWidth="1"/>
    <col min="21" max="23" width="10.7109375" style="1" hidden="1" customWidth="1"/>
    <col min="24" max="24" width="0.85546875" style="1" customWidth="1"/>
    <col min="25" max="28" width="10.7109375" style="1" hidden="1" customWidth="1"/>
    <col min="29" max="29" width="40.28515625" style="1" hidden="1" customWidth="1"/>
    <col min="30" max="33" width="10.7109375" style="1" hidden="1" customWidth="1"/>
    <col min="34" max="34" width="3.7109375" style="16" customWidth="1"/>
    <col min="35" max="35" width="5.7109375" style="16" customWidth="1"/>
    <col min="36" max="36" width="9.140625" style="218"/>
    <col min="37" max="16384" width="9.140625" style="16"/>
  </cols>
  <sheetData>
    <row r="1" spans="1:37" ht="11.1" customHeight="1" x14ac:dyDescent="0.25">
      <c r="A1" s="124" t="str">
        <f t="array" aca="1" ref="A1" ca="1">IFERROR(INDEX($F$39:$F$238,MATCH(0,IF(TRUE=setca[28],0,1)+COUNTIF($F$38:F38,$F$39:$F$238),0)),"")</f>
        <v/>
      </c>
      <c r="B1" s="1"/>
      <c r="C1" s="1">
        <f ca="1">IF(AND(SUM(E39:E238)&lt;400,SECOND(C36)&lt;6),1,2)</f>
        <v>2</v>
      </c>
      <c r="D1" s="1"/>
      <c r="E1" s="1"/>
      <c r="H1" s="1">
        <f ca="1">COUNTIFS(H3:H32,TRUE)</f>
        <v>0</v>
      </c>
      <c r="I1" s="1">
        <f ca="1">COUNT(I3:I32)</f>
        <v>0</v>
      </c>
      <c r="L1" s="1">
        <f ca="1">IF(E3=TRUE,TEXT(TIME(0,0,0),"ч:мм"),1)</f>
        <v>1</v>
      </c>
      <c r="N1" s="132" t="b">
        <f ca="1">HOUR(_xlfn.MINIFS(setca[2],setca[18],TRUE))&gt;HOUR(C36)</f>
        <v>0</v>
      </c>
      <c r="O1" s="109" t="b">
        <v>0</v>
      </c>
      <c r="P1" s="109">
        <f ca="1">IF(AND(SUM(E39:E238)&lt;400,SECOND(C36)&lt;6,Q32=FALSE),1,2)</f>
        <v>2</v>
      </c>
      <c r="Q1" s="109"/>
      <c r="R1" s="109" t="s">
        <v>71</v>
      </c>
      <c r="T1" s="245">
        <v>44198.239583333336</v>
      </c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245"/>
    </row>
    <row r="2" spans="1:37" ht="12.95" customHeight="1" x14ac:dyDescent="0.25">
      <c r="A2" s="124" t="str">
        <f t="array" aca="1" ref="A2" ca="1">IFERROR(INDEX($F$39:$F$238,MATCH(0,IF(TRUE=setca[28],0,1)+COUNTIF($F$38:F39,$F$39:$F$238),0)),"")</f>
        <v/>
      </c>
      <c r="B2" s="110"/>
      <c r="C2" s="110"/>
      <c r="D2" s="127"/>
      <c r="E2" s="128"/>
      <c r="F2" s="110"/>
      <c r="G2" s="110"/>
      <c r="H2" s="110"/>
      <c r="I2" s="207"/>
      <c r="J2" s="188" t="s">
        <v>1</v>
      </c>
      <c r="K2" s="189" t="s">
        <v>143</v>
      </c>
      <c r="L2" s="190"/>
      <c r="M2" s="191" t="s">
        <v>19</v>
      </c>
      <c r="N2" s="191" t="s">
        <v>7</v>
      </c>
      <c r="O2" s="165"/>
      <c r="P2" s="220">
        <f ca="1">TEXT(COUNTIFS(Data!D87:D380,YEAR(TODAY())),"0")+1</f>
        <v>2</v>
      </c>
      <c r="Q2" s="165"/>
      <c r="R2" s="165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66"/>
      <c r="AH2" s="166"/>
      <c r="AI2" s="166"/>
      <c r="AJ2" s="219">
        <v>1</v>
      </c>
      <c r="AK2" s="126"/>
    </row>
    <row r="3" spans="1:37" ht="12.95" customHeight="1" x14ac:dyDescent="0.25">
      <c r="A3" s="124" t="str">
        <f t="array" aca="1" ref="A3" ca="1">IFERROR(INDEX($F$39:$F$238,MATCH(0,IF(TRUE=setca[28],0,1)+COUNTIF($F$38:F40,$F$39:$F$238),0)),"")</f>
        <v/>
      </c>
      <c r="B3" s="206" t="str">
        <f ca="1">IFERROR(VLOOKUP(I3,setca[],3,0),"")</f>
        <v/>
      </c>
      <c r="C3" s="126" t="str">
        <f t="shared" ref="C3" ca="1" si="0">IFERROR(B3+(TODAY())&lt;$C$36,"")</f>
        <v/>
      </c>
      <c r="D3" s="134" t="str">
        <f ca="1">IFERROR(VLOOKUP(I3,setca[],22,0)&lt;IF(M3="-",0,M3),"")</f>
        <v/>
      </c>
      <c r="E3" s="134" t="str">
        <f ca="1">IFERROR(AND(C3=TRUE,VLOOKUP(I3,setca[],25,0)=TRUE,H3=FALSE,VLOOKUP(I3,setca[],18,0)=FALSE),"")</f>
        <v/>
      </c>
      <c r="F3" s="133" t="e">
        <f ca="1">VLOOKUP(I3,setca[],18,0)</f>
        <v>#N/A</v>
      </c>
      <c r="G3" s="133" t="str">
        <f ca="1">IFERROR(VLOOKUP(I3,setca[],5,0),"")</f>
        <v/>
      </c>
      <c r="H3" s="126" t="str">
        <f ca="1">IFERROR(VLOOKUP(I3,setca[],17,0),"")</f>
        <v/>
      </c>
      <c r="I3" s="209" t="str">
        <f t="array" aca="1" ref="I3" ca="1">IFERROR(INDEX($A$1:$A$238,SMALL(IF(SMALL(IF(COUNTIF($I$2:I2,$A$1:$A$238)=0,COUNTIF($A$1:$A$108,"&lt;"&amp;$A$1:$A$238)+1,""),1)=COUNTIF($A$1:$A$238,"&lt;"&amp;$A$1:$A$238)+1,ROW($A$1:$A$238)-MIN(ROW($A$1:$A$238))+1),1)),"")</f>
        <v/>
      </c>
      <c r="J3" s="142" t="str">
        <f ca="1">IFERROR(VLOOKUP(I3,setca[],3,0),"")</f>
        <v/>
      </c>
      <c r="K3" s="140" t="str">
        <f ca="1">IFERROR( IF(AND(VLOOKUP(I3,setca[],18,0)=TRUE,C3=FALSE)," ✓"&amp;VLOOKUP(I3,setca[],24,0),VLOOKUP(I3,setca[],24,0)),"")</f>
        <v/>
      </c>
      <c r="L3" s="141" t="str">
        <f ca="1">IFERROR(IF(E3=TRUE,"["&amp;IF(H3=TRUE,VLOOKUP(I3,setca[],15,0),TEXT(IFERROR(IF(HOUR($C$36)&lt;HOUR(J3),$C$36-(J3+(TODAY()-1)),$C$36-J3),""),"ч:мм"))&amp;"]",IF(C3=FALSE,IF(H3=TRUE,VLOOKUP(I3,setca[],15,0),"-"&amp;TEXT(B3-TIME(HOUR($C$36),MINUTE($C$36),0),"ч:мм")),IF(H3=TRUE,VLOOKUP(I3,setca[],15,0),TEXT(IFERROR(IF(HOUR($C$36)&lt;HOUR(J3),$C$36-(J3+(TODAY()-1)),$C$36-J3),""),"ч:мм")))),"")</f>
        <v/>
      </c>
      <c r="M3" s="145" t="str">
        <f ca="1">IFERROR(IF(E3=TRUE,"      PAU",IF(G3="WN",IF(VLOOKUP(I3,setca[],12,0)=0,"-",VLOOKUP(I3,setca[],12,0)*1.12),IF(VLOOKUP(I3,setca[],12,0)=0,"-",VLOOKUP(I3,setca[],12,0)))),"")</f>
        <v/>
      </c>
      <c r="N3" s="145" t="str">
        <f ca="1">IFERROR(IF(E3=TRUE,"SE         ",IF(G3="WN",IF(VLOOKUP(I3,setca[],13,0)=0,"-",VLOOKUP(I3,setca[],13,0)*1.12),IF(VLOOKUP(I3,setca[],13,0)=0,"-",VLOOKUP(I3,setca[],13,0)))),"")</f>
        <v/>
      </c>
      <c r="O3" s="248">
        <f ca="1">COUNTIFS(setca[20],TRUE)+SUMIFS(setca[14],setca[20],TRUE)</f>
        <v>0</v>
      </c>
      <c r="P3" s="248"/>
      <c r="Q3" s="248">
        <f>VLOOKUP(MAX(Data!$B$87:$B$999),Data!$B$87:$O$999,4,0)</f>
        <v>22</v>
      </c>
      <c r="R3" s="248"/>
      <c r="S3" s="246">
        <f ca="1">VLOOKUP(MONTH($S$9),'TOT1'!$A$96:$N$107,3,0)+O3</f>
        <v>22</v>
      </c>
      <c r="T3" s="246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46">
        <f ca="1">SUMIFS(Data[Games],Data[Столбец1],YEAR(TODAY()))+O3</f>
        <v>22</v>
      </c>
      <c r="AI3" s="246"/>
      <c r="AJ3" s="219">
        <v>2</v>
      </c>
      <c r="AK3" s="126"/>
    </row>
    <row r="4" spans="1:37" ht="12.95" customHeight="1" x14ac:dyDescent="0.25">
      <c r="A4" s="124" t="str">
        <f t="array" aca="1" ref="A4" ca="1">IFERROR(INDEX($F$39:$F$238,MATCH(0,IF(TRUE=setca[28],0,1)+COUNTIF($F$38:F41,$F$39:$F$238),0)),"")</f>
        <v/>
      </c>
      <c r="B4" s="206" t="str">
        <f ca="1">IFERROR(VLOOKUP(I4,setca[],3,0),"")</f>
        <v/>
      </c>
      <c r="C4" s="126" t="str">
        <f t="shared" ref="C4:C32" ca="1" si="1">IFERROR(B4+(TODAY())&lt;$C$36,"")</f>
        <v/>
      </c>
      <c r="D4" s="134" t="str">
        <f ca="1">IFERROR(VLOOKUP(I4,setca[],22,0)&lt;IF(M4="-",0,M4),"")</f>
        <v/>
      </c>
      <c r="E4" s="134" t="str">
        <f ca="1">IFERROR(AND(C4=TRUE,VLOOKUP(I4,setca[],25,0)=TRUE,H4=FALSE,VLOOKUP(I4,setca[],18,0)=FALSE),"")</f>
        <v/>
      </c>
      <c r="F4" s="133" t="e">
        <f ca="1">VLOOKUP(I4,setca[],18,0)</f>
        <v>#N/A</v>
      </c>
      <c r="G4" s="133" t="str">
        <f ca="1">IFERROR(VLOOKUP(I4,setca[],5,0),"")</f>
        <v/>
      </c>
      <c r="H4" s="126" t="str">
        <f ca="1">IFERROR(VLOOKUP(I4,setca[],17,0),"")</f>
        <v/>
      </c>
      <c r="I4" s="208" t="str">
        <f t="array" aca="1" ref="I4" ca="1">IFERROR(INDEX($A$1:$A$238,SMALL(IF(SMALL(IF(COUNTIF($I$2:I3,$A$1:$A$238)=0,COUNTIF($A$1:$A$108,"&lt;"&amp;$A$1:$A$238)+1,""),1)=COUNTIF($A$1:$A$238,"&lt;"&amp;$A$1:$A$238)+1,ROW($A$1:$A$238)-MIN(ROW($A$1:$A$238))+1),1)),"")</f>
        <v/>
      </c>
      <c r="J4" s="160" t="str">
        <f ca="1">IFERROR(VLOOKUP(I4,setca[],3,0),"")</f>
        <v/>
      </c>
      <c r="K4" s="140" t="str">
        <f ca="1">IFERROR( IF(AND(VLOOKUP(I4,setca[],18,0)=TRUE,C4=FALSE)," ✓"&amp;VLOOKUP(I4,setca[],24,0),VLOOKUP(I4,setca[],24,0)),"")</f>
        <v/>
      </c>
      <c r="L4" s="141" t="str">
        <f ca="1">IFERROR(IF(E4=TRUE,"["&amp;IF(H4=TRUE,VLOOKUP(I4,setca[],15,0),TEXT(IFERROR(IF(HOUR($C$36)&lt;HOUR(J4),$C$36-(J4+(TODAY()-1)),$C$36-J4),""),"ч:мм"))&amp;"]",IF(C4=FALSE,IF(H4=TRUE,VLOOKUP(I4,setca[],15,0),"-"&amp;TEXT(B4-TIME(HOUR($C$36),MINUTE($C$36),0),"ч:мм")),IF(H4=TRUE,VLOOKUP(I4,setca[],15,0),TEXT(IFERROR(IF(HOUR($C$36)&lt;HOUR(J4),$C$36-(J4+(TODAY()-1)),$C$36-J4),""),"ч:мм")))),"")</f>
        <v/>
      </c>
      <c r="M4" s="145" t="str">
        <f ca="1">IFERROR(IF(E4=TRUE,"      PAU",IF(G4="WN",IF(VLOOKUP(I4,setca[],12,0)=0,"-",VLOOKUP(I4,setca[],12,0)*1.12),IF(VLOOKUP(I4,setca[],12,0)=0,"-",VLOOKUP(I4,setca[],12,0)))),"")</f>
        <v/>
      </c>
      <c r="N4" s="145" t="str">
        <f ca="1">IFERROR(IF(E4=TRUE,"SE         ",IF(G4="WN",IF(VLOOKUP(I4,setca[],13,0)=0,"-",VLOOKUP(I4,setca[],13,0)*1.12),IF(VLOOKUP(I4,setca[],13,0)=0,"-",VLOOKUP(I4,setca[],13,0)))),"")</f>
        <v/>
      </c>
      <c r="O4" s="249">
        <f ca="1">SUMIFS(setca[22],setca[20],TRUE)</f>
        <v>0</v>
      </c>
      <c r="P4" s="249"/>
      <c r="Q4" s="255">
        <f>VLOOKUP(MAX(Data!$B$87:$B$999),Data!$B$87:$O$999,5,0)</f>
        <v>31.38000000000001</v>
      </c>
      <c r="R4" s="255"/>
      <c r="S4" s="253">
        <f ca="1">VLOOKUP(MONTH($S$9),'TOT1'!$A$96:$N$107,4,0)+O4</f>
        <v>31.38000000000001</v>
      </c>
      <c r="T4" s="253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53">
        <f ca="1">SUMIFS(Data[Buy-in],Data[Столбец1],YEAR(TODAY()))+O4</f>
        <v>31.38000000000001</v>
      </c>
      <c r="AI4" s="253"/>
      <c r="AJ4" s="219">
        <v>1</v>
      </c>
      <c r="AK4" s="126"/>
    </row>
    <row r="5" spans="1:37" ht="12.95" customHeight="1" x14ac:dyDescent="0.25">
      <c r="A5" s="124" t="str">
        <f t="array" aca="1" ref="A5" ca="1">IFERROR(INDEX($F$39:$F$238,MATCH(0,IF(TRUE=setca[28],0,1)+COUNTIF($F$38:F42,$F$39:$F$238),0)),"")</f>
        <v/>
      </c>
      <c r="B5" s="206" t="str">
        <f ca="1">IFERROR(VLOOKUP(I5,setca[],3,0),"")</f>
        <v/>
      </c>
      <c r="C5" s="126" t="str">
        <f t="shared" ca="1" si="1"/>
        <v/>
      </c>
      <c r="D5" s="134" t="str">
        <f ca="1">IFERROR(VLOOKUP(I5,setca[],22,0)&lt;IF(M5="-",0,M5),"")</f>
        <v/>
      </c>
      <c r="E5" s="134" t="str">
        <f ca="1">IFERROR(AND(C5=TRUE,VLOOKUP(I5,setca[],25,0)=TRUE,H5=FALSE,VLOOKUP(I5,setca[],18,0)=FALSE),"")</f>
        <v/>
      </c>
      <c r="F5" s="133" t="e">
        <f ca="1">VLOOKUP(I5,setca[],18,0)</f>
        <v>#N/A</v>
      </c>
      <c r="G5" s="133" t="str">
        <f ca="1">IFERROR(VLOOKUP(I5,setca[],5,0),"")</f>
        <v/>
      </c>
      <c r="H5" s="126" t="str">
        <f ca="1">IFERROR(VLOOKUP(I5,setca[],17,0),"")</f>
        <v/>
      </c>
      <c r="I5" s="209" t="str">
        <f t="array" aca="1" ref="I5" ca="1">IFERROR(INDEX($A$1:$A$238,SMALL(IF(SMALL(IF(COUNTIF($I$2:I4,$A$1:$A$238)=0,COUNTIF($A$1:$A$108,"&lt;"&amp;$A$1:$A$238)+1,""),1)=COUNTIF($A$1:$A$238,"&lt;"&amp;$A$1:$A$238)+1,ROW($A$1:$A$238)-MIN(ROW($A$1:$A$238))+1),1)),"")</f>
        <v/>
      </c>
      <c r="J5" s="142" t="str">
        <f ca="1">IFERROR(VLOOKUP(I5,setca[],3,0),"")</f>
        <v/>
      </c>
      <c r="K5" s="140" t="str">
        <f ca="1">IFERROR( IF(AND(VLOOKUP(I5,setca[],18,0)=TRUE,C5=FALSE)," ✓"&amp;VLOOKUP(I5,setca[],24,0),VLOOKUP(I5,setca[],24,0)),"")</f>
        <v/>
      </c>
      <c r="L5" s="141" t="str">
        <f ca="1">IFERROR(IF(E5=TRUE,"["&amp;IF(H5=TRUE,VLOOKUP(I5,setca[],15,0),TEXT(IFERROR(IF(HOUR($C$36)&lt;HOUR(J5),$C$36-(J5+(TODAY()-1)),$C$36-J5),""),"ч:мм"))&amp;"]",IF(C5=FALSE,IF(H5=TRUE,VLOOKUP(I5,setca[],15,0),"-"&amp;TEXT(B5-TIME(HOUR($C$36),MINUTE($C$36),0),"ч:мм")),IF(H5=TRUE,VLOOKUP(I5,setca[],15,0),TEXT(IFERROR(IF(HOUR($C$36)&lt;HOUR(J5),$C$36-(J5+(TODAY()-1)),$C$36-J5),""),"ч:мм")))),"")</f>
        <v/>
      </c>
      <c r="M5" s="145" t="str">
        <f ca="1">IFERROR(IF(E5=TRUE,"      PAU",IF(G5="WN",IF(VLOOKUP(I5,setca[],12,0)=0,"-",VLOOKUP(I5,setca[],12,0)*1.12),IF(VLOOKUP(I5,setca[],12,0)=0,"-",VLOOKUP(I5,setca[],12,0)))),"")</f>
        <v/>
      </c>
      <c r="N5" s="145" t="str">
        <f ca="1">IFERROR(IF(E5=TRUE,"SE         ",IF(G5="WN",IF(VLOOKUP(I5,setca[],13,0)=0,"-",VLOOKUP(I5,setca[],13,0)*1.12),IF(VLOOKUP(I5,setca[],13,0)=0,"-",VLOOKUP(I5,setca[],13,0)))),"")</f>
        <v/>
      </c>
      <c r="O5" s="250">
        <f ca="1">IFERROR(O4/O3,0)</f>
        <v>0</v>
      </c>
      <c r="P5" s="250"/>
      <c r="Q5" s="250">
        <f>IFERROR(Q4/Q3,0)</f>
        <v>1.4263636363636367</v>
      </c>
      <c r="R5" s="250"/>
      <c r="S5" s="250">
        <f ca="1">IFERROR(S4/S3,0)</f>
        <v>1.4263636363636367</v>
      </c>
      <c r="T5" s="250"/>
      <c r="U5" s="201"/>
      <c r="V5" s="201"/>
      <c r="W5" s="201"/>
      <c r="X5" s="214"/>
      <c r="Y5" s="201"/>
      <c r="Z5" s="201"/>
      <c r="AA5" s="201"/>
      <c r="AB5" s="201"/>
      <c r="AC5" s="201"/>
      <c r="AD5" s="201"/>
      <c r="AE5" s="201"/>
      <c r="AF5" s="201"/>
      <c r="AG5" s="201"/>
      <c r="AH5" s="250">
        <f ca="1">IFERROR(AH4/AH3,0)</f>
        <v>1.4263636363636367</v>
      </c>
      <c r="AI5" s="250"/>
      <c r="AJ5" s="219">
        <v>2</v>
      </c>
      <c r="AK5" s="126"/>
    </row>
    <row r="6" spans="1:37" ht="12.95" customHeight="1" x14ac:dyDescent="0.25">
      <c r="A6" s="124" t="str">
        <f t="array" aca="1" ref="A6" ca="1">IFERROR(INDEX($F$39:$F$238,MATCH(0,IF(TRUE=setca[28],0,1)+COUNTIF($F$38:F43,$F$39:$F$238),0)),"")</f>
        <v/>
      </c>
      <c r="B6" s="206" t="str">
        <f ca="1">IFERROR(VLOOKUP(I6,setca[],3,0),"")</f>
        <v/>
      </c>
      <c r="C6" s="126" t="str">
        <f t="shared" ca="1" si="1"/>
        <v/>
      </c>
      <c r="D6" s="134" t="str">
        <f ca="1">IFERROR(VLOOKUP(I6,setca[],22,0)&lt;IF(M6="-",0,M6),"")</f>
        <v/>
      </c>
      <c r="E6" s="134" t="str">
        <f ca="1">IFERROR(AND(C6=TRUE,VLOOKUP(I6,setca[],25,0)=TRUE,H6=FALSE,VLOOKUP(I6,setca[],18,0)=FALSE),"")</f>
        <v/>
      </c>
      <c r="F6" s="133" t="e">
        <f ca="1">VLOOKUP(I6,setca[],18,0)</f>
        <v>#N/A</v>
      </c>
      <c r="G6" s="133" t="str">
        <f ca="1">IFERROR(VLOOKUP(I6,setca[],5,0),"")</f>
        <v/>
      </c>
      <c r="H6" s="126" t="str">
        <f ca="1">IFERROR(VLOOKUP(I6,setca[],17,0),"")</f>
        <v/>
      </c>
      <c r="I6" s="208" t="str">
        <f t="array" aca="1" ref="I6" ca="1">IFERROR(INDEX($A$1:$A$238,SMALL(IF(SMALL(IF(COUNTIF($I$2:I5,$A$1:$A$238)=0,COUNTIF($A$1:$A$108,"&lt;"&amp;$A$1:$A$238)+1,""),1)=COUNTIF($A$1:$A$238,"&lt;"&amp;$A$1:$A$238)+1,ROW($A$1:$A$238)-MIN(ROW($A$1:$A$238))+1),1)),"")</f>
        <v/>
      </c>
      <c r="J6" s="160" t="str">
        <f ca="1">IFERROR(VLOOKUP(I6,setca[],3,0),"")</f>
        <v/>
      </c>
      <c r="K6" s="140" t="str">
        <f ca="1">IFERROR( IF(AND(VLOOKUP(I6,setca[],18,0)=TRUE,C6=FALSE)," ✓"&amp;VLOOKUP(I6,setca[],24,0),VLOOKUP(I6,setca[],24,0)),"")</f>
        <v/>
      </c>
      <c r="L6" s="141" t="str">
        <f ca="1">IFERROR(IF(E6=TRUE,"["&amp;IF(H6=TRUE,VLOOKUP(I6,setca[],15,0),TEXT(IFERROR(IF(HOUR($C$36)&lt;HOUR(J6),$C$36-(J6+(TODAY()-1)),$C$36-J6),""),"ч:мм"))&amp;"]",IF(C6=FALSE,IF(H6=TRUE,VLOOKUP(I6,setca[],15,0),"-"&amp;TEXT(B6-TIME(HOUR($C$36),MINUTE($C$36),0),"ч:мм")),IF(H6=TRUE,VLOOKUP(I6,setca[],15,0),TEXT(IFERROR(IF(HOUR($C$36)&lt;HOUR(J6),$C$36-(J6+(TODAY()-1)),$C$36-J6),""),"ч:мм")))),"")</f>
        <v/>
      </c>
      <c r="M6" s="145" t="str">
        <f ca="1">IFERROR(IF(E6=TRUE,"      PAU",IF(G6="WN",IF(VLOOKUP(I6,setca[],12,0)=0,"-",VLOOKUP(I6,setca[],12,0)*1.12),IF(VLOOKUP(I6,setca[],12,0)=0,"-",VLOOKUP(I6,setca[],12,0)))),"")</f>
        <v/>
      </c>
      <c r="N6" s="145" t="str">
        <f ca="1">IFERROR(IF(E6=TRUE,"SE         ",IF(G6="WN",IF(VLOOKUP(I6,setca[],13,0)=0,"-",VLOOKUP(I6,setca[],13,0)*1.12),IF(VLOOKUP(I6,setca[],13,0)=0,"-",VLOOKUP(I6,setca[],13,0)))),"")</f>
        <v/>
      </c>
      <c r="O6" s="249">
        <f ca="1">SUMIFS(setca[12],setca[20],TRUE,setca[5],"PS")+SUMIFS(setca[12],setca[20],TRUE,setca[5],"PK")+SUMIFS(setca[12],setca[20],TRUE,setca[5],"GG")+SUMIFS(setca[12],setca[20],TRUE,setca[5],"PAC")+SUMIFS(setca[12],setca[20],TRUE,setca[5],"PP")+((SUMIFS(setca[12],setca[20],TRUE,setca[5],"WN")+SUMIFS(setca[12],setca[20],TRUE,setca[5],"ES"))*1.12)</f>
        <v>0</v>
      </c>
      <c r="P6" s="249"/>
      <c r="Q6" s="255">
        <f>VLOOKUP(MAX(Data!$B$87:$B$999),Data!$B$87:$O$999,12,0)</f>
        <v>6.66</v>
      </c>
      <c r="R6" s="255"/>
      <c r="S6" s="253">
        <f ca="1">VLOOKUP(MONTH($S$9),'TOT1'!$A$96:$N$107,11,0)+O6</f>
        <v>6.66</v>
      </c>
      <c r="T6" s="253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53">
        <f ca="1">SUMIFS(Data[Bounty],Data[Столбец1],YEAR(TODAY()))+O6</f>
        <v>6.66</v>
      </c>
      <c r="AI6" s="253"/>
      <c r="AJ6" s="219">
        <v>1</v>
      </c>
      <c r="AK6" s="126"/>
    </row>
    <row r="7" spans="1:37" ht="12.95" customHeight="1" x14ac:dyDescent="0.25">
      <c r="A7" s="124" t="str">
        <f t="array" aca="1" ref="A7" ca="1">IFERROR(INDEX($F$39:$F$238,MATCH(0,IF(TRUE=setca[28],0,1)+COUNTIF($F$38:F44,$F$39:$F$238),0)),"")</f>
        <v/>
      </c>
      <c r="B7" s="206" t="str">
        <f ca="1">IFERROR(VLOOKUP(I7,setca[],3,0),"")</f>
        <v/>
      </c>
      <c r="C7" s="126" t="str">
        <f t="shared" ca="1" si="1"/>
        <v/>
      </c>
      <c r="D7" s="134" t="str">
        <f ca="1">IFERROR(VLOOKUP(I7,setca[],22,0)&lt;IF(M7="-",0,M7),"")</f>
        <v/>
      </c>
      <c r="E7" s="134" t="str">
        <f ca="1">IFERROR(AND(C7=TRUE,VLOOKUP(I7,setca[],25,0)=TRUE,H7=FALSE,VLOOKUP(I7,setca[],18,0)=FALSE),"")</f>
        <v/>
      </c>
      <c r="F7" s="133" t="e">
        <f ca="1">VLOOKUP(I7,setca[],18,0)</f>
        <v>#N/A</v>
      </c>
      <c r="G7" s="133" t="str">
        <f ca="1">IFERROR(VLOOKUP(I7,setca[],5,0),"")</f>
        <v/>
      </c>
      <c r="H7" s="126" t="str">
        <f ca="1">IFERROR(VLOOKUP(I7,setca[],17,0),"")</f>
        <v/>
      </c>
      <c r="I7" s="209" t="str">
        <f t="array" aca="1" ref="I7" ca="1">IFERROR(INDEX($A$1:$A$238,SMALL(IF(SMALL(IF(COUNTIF($I$2:I6,$A$1:$A$238)=0,COUNTIF($A$1:$A$108,"&lt;"&amp;$A$1:$A$238)+1,""),1)=COUNTIF($A$1:$A$238,"&lt;"&amp;$A$1:$A$238)+1,ROW($A$1:$A$238)-MIN(ROW($A$1:$A$238))+1),1)),"")</f>
        <v/>
      </c>
      <c r="J7" s="142" t="str">
        <f ca="1">IFERROR(VLOOKUP(I7,setca[],3,0),"")</f>
        <v/>
      </c>
      <c r="K7" s="140" t="str">
        <f ca="1">IFERROR( IF(AND(VLOOKUP(I7,setca[],18,0)=TRUE,C7=FALSE)," ✓"&amp;VLOOKUP(I7,setca[],24,0),VLOOKUP(I7,setca[],24,0)),"")</f>
        <v/>
      </c>
      <c r="L7" s="141" t="str">
        <f ca="1">IFERROR(IF(E7=TRUE,"["&amp;IF(H7=TRUE,VLOOKUP(I7,setca[],15,0),TEXT(IFERROR(IF(HOUR($C$36)&lt;HOUR(J7),$C$36-(J7+(TODAY()-1)),$C$36-J7),""),"ч:мм"))&amp;"]",IF(C7=FALSE,IF(H7=TRUE,VLOOKUP(I7,setca[],15,0),"-"&amp;TEXT(B7-TIME(HOUR($C$36),MINUTE($C$36),0),"ч:мм")),IF(H7=TRUE,VLOOKUP(I7,setca[],15,0),TEXT(IFERROR(IF(HOUR($C$36)&lt;HOUR(J7),$C$36-(J7+(TODAY()-1)),$C$36-J7),""),"ч:мм")))),"")</f>
        <v/>
      </c>
      <c r="M7" s="145" t="str">
        <f ca="1">IFERROR(IF(E7=TRUE,"      PAU",IF(G7="WN",IF(VLOOKUP(I7,setca[],12,0)=0,"-",VLOOKUP(I7,setca[],12,0)*1.12),IF(VLOOKUP(I7,setca[],12,0)=0,"-",VLOOKUP(I7,setca[],12,0)))),"")</f>
        <v/>
      </c>
      <c r="N7" s="145" t="str">
        <f ca="1">IFERROR(IF(E7=TRUE,"SE         ",IF(G7="WN",IF(VLOOKUP(I7,setca[],13,0)=0,"-",VLOOKUP(I7,setca[],13,0)*1.12),IF(VLOOKUP(I7,setca[],13,0)=0,"-",VLOOKUP(I7,setca[],13,0)))),"")</f>
        <v/>
      </c>
      <c r="O7" s="251">
        <f ca="1">SUMIFS(setca[13],setca[20],TRUE,setca[5],"PS")+SUMIFS(setca[13],setca[20],TRUE,setca[5],"PK")+SUMIFS(setca[13],setca[20],TRUE,setca[5],"GG")+SUMIFS(setca[13],setca[20],TRUE,setca[5],"PAC")+SUMIFS(setca[13],setca[20],TRUE,setca[5],"PP")+((SUMIFS(setca[13],setca[20],TRUE,setca[5],"WN")+SUMIFS(setca[13],setca[20],TRUE,setca[5],"ES"))*1.12)</f>
        <v>0</v>
      </c>
      <c r="P7" s="251"/>
      <c r="Q7" s="250">
        <f>VLOOKUP(MAX(Data!$B$87:$B$999),Data!$B$87:$O$999,13,0)</f>
        <v>21.93</v>
      </c>
      <c r="R7" s="250"/>
      <c r="S7" s="246">
        <f ca="1">VLOOKUP(MONTH($S$9),'TOT1'!$A$96:$N$107,12,0)+O7</f>
        <v>21.93</v>
      </c>
      <c r="T7" s="246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46">
        <f ca="1">SUMIFS(Data[WIN],Data[Столбец1],YEAR(TODAY()))+O7</f>
        <v>21.93</v>
      </c>
      <c r="AI7" s="246"/>
      <c r="AJ7" s="219">
        <v>2</v>
      </c>
      <c r="AK7" s="126"/>
    </row>
    <row r="8" spans="1:37" ht="12.95" customHeight="1" x14ac:dyDescent="0.25">
      <c r="A8" s="124" t="str">
        <f t="array" aca="1" ref="A8" ca="1">IFERROR(INDEX($F$39:$F$238,MATCH(0,IF(TRUE=setca[28],0,1)+COUNTIF($F$38:F45,$F$39:$F$238),0)),"")</f>
        <v/>
      </c>
      <c r="B8" s="206" t="str">
        <f ca="1">IFERROR(VLOOKUP(I8,setca[],3,0),"")</f>
        <v/>
      </c>
      <c r="C8" s="126" t="str">
        <f t="shared" ca="1" si="1"/>
        <v/>
      </c>
      <c r="D8" s="134" t="str">
        <f ca="1">IFERROR(VLOOKUP(I8,setca[],22,0)&lt;IF(M8="-",0,M8),"")</f>
        <v/>
      </c>
      <c r="E8" s="134" t="str">
        <f ca="1">IFERROR(AND(C8=TRUE,VLOOKUP(I8,setca[],25,0)=TRUE,H8=FALSE,VLOOKUP(I8,setca[],18,0)=FALSE),"")</f>
        <v/>
      </c>
      <c r="F8" s="133" t="e">
        <f ca="1">VLOOKUP(I8,setca[],18,0)</f>
        <v>#N/A</v>
      </c>
      <c r="G8" s="133" t="str">
        <f ca="1">IFERROR(VLOOKUP(I8,setca[],5,0),"")</f>
        <v/>
      </c>
      <c r="H8" s="126" t="str">
        <f ca="1">IFERROR(VLOOKUP(I8,setca[],17,0),"")</f>
        <v/>
      </c>
      <c r="I8" s="208" t="str">
        <f t="array" aca="1" ref="I8" ca="1">IFERROR(INDEX($A$1:$A$238,SMALL(IF(SMALL(IF(COUNTIF($I$2:I7,$A$1:$A$238)=0,COUNTIF($A$1:$A$108,"&lt;"&amp;$A$1:$A$238)+1,""),1)=COUNTIF($A$1:$A$238,"&lt;"&amp;$A$1:$A$238)+1,ROW($A$1:$A$238)-MIN(ROW($A$1:$A$238))+1),1)),"")</f>
        <v/>
      </c>
      <c r="J8" s="160" t="str">
        <f ca="1">IFERROR(VLOOKUP(I8,setca[],3,0),"")</f>
        <v/>
      </c>
      <c r="K8" s="140" t="str">
        <f ca="1">IFERROR( IF(AND(VLOOKUP(I8,setca[],18,0)=TRUE,C8=FALSE)," ✓"&amp;VLOOKUP(I8,setca[],24,0),VLOOKUP(I8,setca[],24,0)),"")</f>
        <v/>
      </c>
      <c r="L8" s="141" t="str">
        <f ca="1">IFERROR(IF(E8=TRUE,"["&amp;IF(H8=TRUE,VLOOKUP(I8,setca[],15,0),TEXT(IFERROR(IF(HOUR($C$36)&lt;HOUR(J8),$C$36-(J8+(TODAY()-1)),$C$36-J8),""),"ч:мм"))&amp;"]",IF(C8=FALSE,IF(H8=TRUE,VLOOKUP(I8,setca[],15,0),"-"&amp;TEXT(B8-TIME(HOUR($C$36),MINUTE($C$36),0),"ч:мм")),IF(H8=TRUE,VLOOKUP(I8,setca[],15,0),TEXT(IFERROR(IF(HOUR($C$36)&lt;HOUR(J8),$C$36-(J8+(TODAY()-1)),$C$36-J8),""),"ч:мм")))),"")</f>
        <v/>
      </c>
      <c r="M8" s="145" t="str">
        <f ca="1">IFERROR(IF(E8=TRUE,"      PAU",IF(G8="WN",IF(VLOOKUP(I8,setca[],12,0)=0,"-",VLOOKUP(I8,setca[],12,0)*1.12),IF(VLOOKUP(I8,setca[],12,0)=0,"-",VLOOKUP(I8,setca[],12,0)))),"")</f>
        <v/>
      </c>
      <c r="N8" s="145" t="str">
        <f ca="1">IFERROR(IF(E8=TRUE,"SE         ",IF(G8="WN",IF(VLOOKUP(I8,setca[],13,0)=0,"-",VLOOKUP(I8,setca[],13,0)*1.12),IF(VLOOKUP(I8,setca[],13,0)=0,"-",VLOOKUP(I8,setca[],13,0)))),"")</f>
        <v/>
      </c>
      <c r="O8" s="249">
        <f ca="1">SUMIFS(setca[21],setca[20],TRUE,setca[18],TRUE)-O4</f>
        <v>0</v>
      </c>
      <c r="P8" s="249"/>
      <c r="Q8" s="255">
        <f>VLOOKUP(MAX(Data!$B$87:$B$999),Data!$B$87:$O$999,14,0)</f>
        <v>-2.7900000000000098</v>
      </c>
      <c r="R8" s="255"/>
      <c r="S8" s="253">
        <f ca="1">VLOOKUP(MONTH($S$9),'TOT1'!$A$96:$N$107,13,0)+O8</f>
        <v>-2.7900000000000098</v>
      </c>
      <c r="T8" s="253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53">
        <f ca="1">SUMIFS(Data[PROF],Data[Столбец1],YEAR(TODAY()))+O8</f>
        <v>-2.7900000000000098</v>
      </c>
      <c r="AI8" s="253"/>
      <c r="AJ8" s="219">
        <v>1</v>
      </c>
      <c r="AK8" s="126"/>
    </row>
    <row r="9" spans="1:37" ht="12.95" customHeight="1" x14ac:dyDescent="0.25">
      <c r="A9" s="124" t="str">
        <f t="array" aca="1" ref="A9" ca="1">IFERROR(INDEX($F$39:$F$238,MATCH(0,IF(TRUE=setca[28],0,1)+COUNTIF($F$38:F46,$F$39:$F$238),0)),"")</f>
        <v/>
      </c>
      <c r="B9" s="206" t="str">
        <f ca="1">IFERROR(VLOOKUP(I9,setca[],3,0),"")</f>
        <v/>
      </c>
      <c r="C9" s="126" t="str">
        <f t="shared" ca="1" si="1"/>
        <v/>
      </c>
      <c r="D9" s="134" t="str">
        <f ca="1">IFERROR(VLOOKUP(I9,setca[],22,0)&lt;IF(M9="-",0,M9),"")</f>
        <v/>
      </c>
      <c r="E9" s="134" t="str">
        <f ca="1">IFERROR(AND(C9=TRUE,VLOOKUP(I9,setca[],25,0)=TRUE,H9=FALSE,VLOOKUP(I9,setca[],18,0)=FALSE),"")</f>
        <v/>
      </c>
      <c r="F9" s="133" t="e">
        <f ca="1">VLOOKUP(I9,setca[],18,0)</f>
        <v>#N/A</v>
      </c>
      <c r="G9" s="133" t="str">
        <f ca="1">IFERROR(VLOOKUP(I9,setca[],5,0),"")</f>
        <v/>
      </c>
      <c r="H9" s="126" t="str">
        <f ca="1">IFERROR(VLOOKUP(I9,setca[],17,0),"")</f>
        <v/>
      </c>
      <c r="I9" s="209" t="str">
        <f t="array" aca="1" ref="I9" ca="1">IFERROR(INDEX($A$1:$A$238,SMALL(IF(SMALL(IF(COUNTIF($I$2:I8,$A$1:$A$238)=0,COUNTIF($A$1:$A$108,"&lt;"&amp;$A$1:$A$238)+1,""),1)=COUNTIF($A$1:$A$238,"&lt;"&amp;$A$1:$A$238)+1,ROW($A$1:$A$238)-MIN(ROW($A$1:$A$238))+1),1)),"")</f>
        <v/>
      </c>
      <c r="J9" s="142" t="str">
        <f ca="1">IFERROR(VLOOKUP(I9,setca[],3,0),"")</f>
        <v/>
      </c>
      <c r="K9" s="140" t="str">
        <f ca="1">IFERROR( IF(AND(VLOOKUP(I9,setca[],18,0)=TRUE,C9=FALSE)," ✓"&amp;VLOOKUP(I9,setca[],24,0),VLOOKUP(I9,setca[],24,0)),"")</f>
        <v/>
      </c>
      <c r="L9" s="141" t="str">
        <f ca="1">IFERROR(IF(E9=TRUE,"["&amp;IF(H9=TRUE,VLOOKUP(I9,setca[],15,0),TEXT(IFERROR(IF(HOUR($C$36)&lt;HOUR(J9),$C$36-(J9+(TODAY()-1)),$C$36-J9),""),"ч:мм"))&amp;"]",IF(C9=FALSE,IF(H9=TRUE,VLOOKUP(I9,setca[],15,0),"-"&amp;TEXT(B9-TIME(HOUR($C$36),MINUTE($C$36),0),"ч:мм")),IF(H9=TRUE,VLOOKUP(I9,setca[],15,0),TEXT(IFERROR(IF(HOUR($C$36)&lt;HOUR(J9),$C$36-(J9+(TODAY()-1)),$C$36-J9),""),"ч:мм")))),"")</f>
        <v/>
      </c>
      <c r="M9" s="145" t="str">
        <f ca="1">IFERROR(IF(E9=TRUE,"      PAU",IF(G9="WN",IF(VLOOKUP(I9,setca[],12,0)=0,"-",VLOOKUP(I9,setca[],12,0)*1.12),IF(VLOOKUP(I9,setca[],12,0)=0,"-",VLOOKUP(I9,setca[],12,0)))),"")</f>
        <v/>
      </c>
      <c r="N9" s="145" t="str">
        <f ca="1">IFERROR(IF(E9=TRUE,"SE         ",IF(G9="WN",IF(VLOOKUP(I9,setca[],13,0)=0,"-",VLOOKUP(I9,setca[],13,0)*1.12),IF(VLOOKUP(I9,setca[],13,0)=0,"-",VLOOKUP(I9,setca[],13,0)))),"")</f>
        <v/>
      </c>
      <c r="O9" s="252">
        <f ca="1">COUNTIFS(setca[26],TRUE)</f>
        <v>0</v>
      </c>
      <c r="P9" s="252"/>
      <c r="Q9" s="247">
        <f ca="1">IF(HOUR(IF(HOUR($C$36)&lt;HOUR(_xlfn.MINIFS(setca[2],setca[18],TRUE)),$C$36-(_xlfn.MINIFS(setca[2],setca[18],TRUE)+(TODAY()-1)),$C$36-_xlfn.MINIFS(setca[2],setca[18],TRUE)))&gt;18,0,IF(HOUR($C$36)&lt;HOUR(_xlfn.MINIFS(setca[2],setca[18],TRUE)),$C$36-(_xlfn.MINIFS(setca[2],setca[18],TRUE)+(TODAY()-1)),$C$36-_xlfn.MINIFS(setca[2],setca[18],TRUE)))</f>
        <v>44198.422904861109</v>
      </c>
      <c r="R9" s="247"/>
      <c r="S9" s="254">
        <f ca="1">NOW()</f>
        <v>44198.422904861109</v>
      </c>
      <c r="T9" s="25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247">
        <f ca="1">NOW()</f>
        <v>44198.422904861109</v>
      </c>
      <c r="AI9" s="247"/>
      <c r="AJ9" s="219">
        <v>2</v>
      </c>
      <c r="AK9" s="126"/>
    </row>
    <row r="10" spans="1:37" ht="12.95" customHeight="1" x14ac:dyDescent="0.25">
      <c r="A10" s="124" t="str">
        <f t="array" aca="1" ref="A10" ca="1">IFERROR(INDEX($F$39:$F$238,MATCH(0,IF(TRUE=setca[28],0,1)+COUNTIF($F$38:F47,$F$39:$F$238),0)),"")</f>
        <v/>
      </c>
      <c r="B10" s="206" t="str">
        <f ca="1">IFERROR(VLOOKUP(I10,setca[],3,0),"")</f>
        <v/>
      </c>
      <c r="C10" s="126" t="str">
        <f t="shared" ca="1" si="1"/>
        <v/>
      </c>
      <c r="D10" s="134" t="str">
        <f ca="1">IFERROR(VLOOKUP(I10,setca[],22,0)&lt;IF(M10="-",0,M10),"")</f>
        <v/>
      </c>
      <c r="E10" s="134" t="str">
        <f ca="1">IFERROR(AND(C10=TRUE,VLOOKUP(I10,setca[],25,0)=TRUE,H10=FALSE,VLOOKUP(I10,setca[],18,0)=FALSE),"")</f>
        <v/>
      </c>
      <c r="F10" s="133" t="e">
        <f ca="1">VLOOKUP(I10,setca[],18,0)</f>
        <v>#N/A</v>
      </c>
      <c r="G10" s="133" t="str">
        <f ca="1">IFERROR(VLOOKUP(I10,setca[],5,0),"")</f>
        <v/>
      </c>
      <c r="H10" s="126" t="str">
        <f ca="1">IFERROR(VLOOKUP(I10,setca[],17,0),"")</f>
        <v/>
      </c>
      <c r="I10" s="208" t="str">
        <f t="array" aca="1" ref="I10" ca="1">IFERROR(INDEX($A$1:$A$238,SMALL(IF(SMALL(IF(COUNTIF($I$2:I9,$A$1:$A$238)=0,COUNTIF($A$1:$A$108,"&lt;"&amp;$A$1:$A$238)+1,""),1)=COUNTIF($A$1:$A$238,"&lt;"&amp;$A$1:$A$238)+1,ROW($A$1:$A$238)-MIN(ROW($A$1:$A$238))+1),1)),"")</f>
        <v/>
      </c>
      <c r="J10" s="160" t="str">
        <f ca="1">IFERROR(VLOOKUP(I10,setca[],3,0),"")</f>
        <v/>
      </c>
      <c r="K10" s="140" t="str">
        <f ca="1">IFERROR( IF(AND(VLOOKUP(I10,setca[],18,0)=TRUE,C10=FALSE)," ✓"&amp;VLOOKUP(I10,setca[],24,0),VLOOKUP(I10,setca[],24,0)),"")</f>
        <v/>
      </c>
      <c r="L10" s="141" t="str">
        <f ca="1">IFERROR(IF(E10=TRUE,"["&amp;IF(H10=TRUE,VLOOKUP(I10,setca[],15,0),TEXT(IFERROR(IF(HOUR($C$36)&lt;HOUR(J10),$C$36-(J10+(TODAY()-1)),$C$36-J10),""),"ч:мм"))&amp;"]",IF(C10=FALSE,IF(H10=TRUE,VLOOKUP(I10,setca[],15,0),"-"&amp;TEXT(B10-TIME(HOUR($C$36),MINUTE($C$36),0),"ч:мм")),IF(H10=TRUE,VLOOKUP(I10,setca[],15,0),TEXT(IFERROR(IF(HOUR($C$36)&lt;HOUR(J10),$C$36-(J10+(TODAY()-1)),$C$36-J10),""),"ч:мм")))),"")</f>
        <v/>
      </c>
      <c r="M10" s="145" t="str">
        <f ca="1">IFERROR(IF(E10=TRUE,"      PAU",IF(G10="WN",IF(VLOOKUP(I10,setca[],12,0)=0,"-",VLOOKUP(I10,setca[],12,0)*1.12),IF(VLOOKUP(I10,setca[],12,0)=0,"-",VLOOKUP(I10,setca[],12,0)))),"")</f>
        <v/>
      </c>
      <c r="N10" s="145" t="str">
        <f ca="1">IFERROR(IF(E10=TRUE,"SE         ",IF(G10="WN",IF(VLOOKUP(I10,setca[],13,0)=0,"-",VLOOKUP(I10,setca[],13,0)*1.12),IF(VLOOKUP(I10,setca[],13,0)=0,"-",VLOOKUP(I10,setca[],13,0)))),"")</f>
        <v/>
      </c>
      <c r="O10" s="164"/>
      <c r="P10" s="181"/>
      <c r="Q10" s="181"/>
      <c r="R10" s="181"/>
      <c r="S10" s="181"/>
      <c r="T10" s="181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66"/>
      <c r="AI10" s="166"/>
      <c r="AJ10" s="219">
        <v>1</v>
      </c>
      <c r="AK10" s="126"/>
    </row>
    <row r="11" spans="1:37" ht="12.95" customHeight="1" x14ac:dyDescent="0.25">
      <c r="A11" s="124" t="str">
        <f t="array" aca="1" ref="A11" ca="1">IFERROR(INDEX($F$39:$F$238,MATCH(0,IF(TRUE=setca[28],0,1)+COUNTIF($F$38:F48,$F$39:$F$238),0)),"")</f>
        <v/>
      </c>
      <c r="B11" s="206" t="str">
        <f ca="1">IFERROR(VLOOKUP(I11,setca[],3,0),"")</f>
        <v/>
      </c>
      <c r="C11" s="126" t="str">
        <f t="shared" ca="1" si="1"/>
        <v/>
      </c>
      <c r="D11" s="134" t="str">
        <f ca="1">IFERROR(VLOOKUP(I11,setca[],22,0)&lt;IF(M11="-",0,M11),"")</f>
        <v/>
      </c>
      <c r="E11" s="134" t="str">
        <f ca="1">IFERROR(AND(C11=TRUE,VLOOKUP(I11,setca[],25,0)=TRUE,H11=FALSE,VLOOKUP(I11,setca[],18,0)=FALSE),"")</f>
        <v/>
      </c>
      <c r="F11" s="133" t="e">
        <f ca="1">VLOOKUP(I11,setca[],18,0)</f>
        <v>#N/A</v>
      </c>
      <c r="G11" s="133" t="str">
        <f ca="1">IFERROR(VLOOKUP(I11,setca[],5,0),"")</f>
        <v/>
      </c>
      <c r="H11" s="126" t="str">
        <f ca="1">IFERROR(VLOOKUP(I11,setca[],17,0),"")</f>
        <v/>
      </c>
      <c r="I11" s="209" t="str">
        <f t="array" aca="1" ref="I11" ca="1">IFERROR(INDEX($A$1:$A$238,SMALL(IF(SMALL(IF(COUNTIF($I$2:I10,$A$1:$A$238)=0,COUNTIF($A$1:$A$108,"&lt;"&amp;$A$1:$A$238)+1,""),1)=COUNTIF($A$1:$A$238,"&lt;"&amp;$A$1:$A$238)+1,ROW($A$1:$A$238)-MIN(ROW($A$1:$A$238))+1),1)),"")</f>
        <v/>
      </c>
      <c r="J11" s="142" t="str">
        <f ca="1">IFERROR(VLOOKUP(I11,setca[],3,0),"")</f>
        <v/>
      </c>
      <c r="K11" s="140" t="str">
        <f ca="1">IFERROR( IF(AND(VLOOKUP(I11,setca[],18,0)=TRUE,C11=FALSE)," ✓"&amp;VLOOKUP(I11,setca[],24,0),VLOOKUP(I11,setca[],24,0)),"")</f>
        <v/>
      </c>
      <c r="L11" s="141" t="str">
        <f ca="1">IFERROR(IF(E11=TRUE,"["&amp;IF(H11=TRUE,VLOOKUP(I11,setca[],15,0),TEXT(IFERROR(IF(HOUR($C$36)&lt;HOUR(J11),$C$36-(J11+(TODAY()-1)),$C$36-J11),""),"ч:мм"))&amp;"]",IF(C11=FALSE,IF(H11=TRUE,VLOOKUP(I11,setca[],15,0),"-"&amp;TEXT(B11-TIME(HOUR($C$36),MINUTE($C$36),0),"ч:мм")),IF(H11=TRUE,VLOOKUP(I11,setca[],15,0),TEXT(IFERROR(IF(HOUR($C$36)&lt;HOUR(J11),$C$36-(J11+(TODAY()-1)),$C$36-J11),""),"ч:мм")))),"")</f>
        <v/>
      </c>
      <c r="M11" s="145" t="str">
        <f ca="1">IFERROR(IF(E11=TRUE,"      PAU",IF(G11="WN",IF(VLOOKUP(I11,setca[],12,0)=0,"-",VLOOKUP(I11,setca[],12,0)*1.12),IF(VLOOKUP(I11,setca[],12,0)=0,"-",VLOOKUP(I11,setca[],12,0)))),"")</f>
        <v/>
      </c>
      <c r="N11" s="145" t="str">
        <f ca="1">IFERROR(IF(E11=TRUE,"SE         ",IF(G11="WN",IF(VLOOKUP(I11,setca[],13,0)=0,"-",VLOOKUP(I11,setca[],13,0)*1.12),IF(VLOOKUP(I11,setca[],13,0)=0,"-",VLOOKUP(I11,setca[],13,0)))),"")</f>
        <v/>
      </c>
      <c r="O11" s="144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53"/>
      <c r="AI11" s="153"/>
      <c r="AJ11" s="219">
        <v>2</v>
      </c>
      <c r="AK11" s="126"/>
    </row>
    <row r="12" spans="1:37" ht="12.95" customHeight="1" x14ac:dyDescent="0.25">
      <c r="A12" s="124" t="str">
        <f t="array" aca="1" ref="A12" ca="1">IFERROR(INDEX($F$39:$F$238,MATCH(0,IF(TRUE=setca[28],0,1)+COUNTIF($F$38:F49,$F$39:$F$238),0)),"")</f>
        <v/>
      </c>
      <c r="B12" s="206" t="str">
        <f ca="1">IFERROR(VLOOKUP(I12,setca[],3,0),"")</f>
        <v/>
      </c>
      <c r="C12" s="126" t="str">
        <f t="shared" ca="1" si="1"/>
        <v/>
      </c>
      <c r="D12" s="134" t="str">
        <f ca="1">IFERROR(VLOOKUP(I12,setca[],22,0)&lt;IF(M12="-",0,M12),"")</f>
        <v/>
      </c>
      <c r="E12" s="134" t="str">
        <f ca="1">IFERROR(AND(C12=TRUE,VLOOKUP(I12,setca[],25,0)=TRUE,H12=FALSE,VLOOKUP(I12,setca[],18,0)=FALSE),"")</f>
        <v/>
      </c>
      <c r="F12" s="133" t="e">
        <f ca="1">VLOOKUP(I12,setca[],18,0)</f>
        <v>#N/A</v>
      </c>
      <c r="G12" s="133" t="str">
        <f ca="1">IFERROR(VLOOKUP(I12,setca[],5,0),"")</f>
        <v/>
      </c>
      <c r="H12" s="126" t="str">
        <f ca="1">IFERROR(VLOOKUP(I12,setca[],17,0),"")</f>
        <v/>
      </c>
      <c r="I12" s="208" t="str">
        <f t="array" aca="1" ref="I12" ca="1">IFERROR(INDEX($A$1:$A$238,SMALL(IF(SMALL(IF(COUNTIF($I$2:I11,$A$1:$A$238)=0,COUNTIF($A$1:$A$108,"&lt;"&amp;$A$1:$A$238)+1,""),1)=COUNTIF($A$1:$A$238,"&lt;"&amp;$A$1:$A$238)+1,ROW($A$1:$A$238)-MIN(ROW($A$1:$A$238))+1),1)),"")</f>
        <v/>
      </c>
      <c r="J12" s="160" t="str">
        <f ca="1">IFERROR(VLOOKUP(I12,setca[],3,0),"")</f>
        <v/>
      </c>
      <c r="K12" s="140" t="str">
        <f ca="1">IFERROR( IF(AND(VLOOKUP(I12,setca[],18,0)=TRUE,C12=FALSE)," ✓"&amp;VLOOKUP(I12,setca[],24,0),VLOOKUP(I12,setca[],24,0)),"")</f>
        <v/>
      </c>
      <c r="L12" s="141" t="str">
        <f ca="1">IFERROR(IF(E12=TRUE,"["&amp;IF(H12=TRUE,VLOOKUP(I12,setca[],15,0),TEXT(IFERROR(IF(HOUR($C$36)&lt;HOUR(J12),$C$36-(J12+(TODAY()-1)),$C$36-J12),""),"ч:мм"))&amp;"]",IF(C12=FALSE,IF(H12=TRUE,VLOOKUP(I12,setca[],15,0),"-"&amp;TEXT(B12-TIME(HOUR($C$36),MINUTE($C$36),0),"ч:мм")),IF(H12=TRUE,VLOOKUP(I12,setca[],15,0),TEXT(IFERROR(IF(HOUR($C$36)&lt;HOUR(J12),$C$36-(J12+(TODAY()-1)),$C$36-J12),""),"ч:мм")))),"")</f>
        <v/>
      </c>
      <c r="M12" s="145" t="str">
        <f ca="1">IFERROR(IF(E12=TRUE,"      PAU",IF(G12="WN",IF(VLOOKUP(I12,setca[],12,0)=0,"-",VLOOKUP(I12,setca[],12,0)*1.12),IF(VLOOKUP(I12,setca[],12,0)=0,"-",VLOOKUP(I12,setca[],12,0)))),"")</f>
        <v/>
      </c>
      <c r="N12" s="145" t="str">
        <f ca="1">IFERROR(IF(E12=TRUE,"SE         ",IF(G12="WN",IF(VLOOKUP(I12,setca[],13,0)=0,"-",VLOOKUP(I12,setca[],13,0)*1.12),IF(VLOOKUP(I12,setca[],13,0)=0,"-",VLOOKUP(I12,setca[],13,0)))),"")</f>
        <v/>
      </c>
      <c r="O12" s="162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6"/>
      <c r="AI12" s="166"/>
      <c r="AJ12" s="219">
        <v>1</v>
      </c>
      <c r="AK12" s="126"/>
    </row>
    <row r="13" spans="1:37" ht="12.95" customHeight="1" x14ac:dyDescent="0.25">
      <c r="A13" s="124" t="str">
        <f t="array" aca="1" ref="A13" ca="1">IFERROR(INDEX($F$39:$F$238,MATCH(0,IF(TRUE=setca[28],0,1)+COUNTIF($F$38:F50,$F$39:$F$238),0)),"")</f>
        <v/>
      </c>
      <c r="B13" s="206" t="str">
        <f ca="1">IFERROR(VLOOKUP(I13,setca[],3,0),"")</f>
        <v/>
      </c>
      <c r="C13" s="126" t="str">
        <f t="shared" ca="1" si="1"/>
        <v/>
      </c>
      <c r="D13" s="134" t="str">
        <f ca="1">IFERROR(VLOOKUP(I13,setca[],22,0)&lt;IF(M13="-",0,M13),"")</f>
        <v/>
      </c>
      <c r="E13" s="134" t="str">
        <f ca="1">IFERROR(AND(C13=TRUE,VLOOKUP(I13,setca[],25,0)=TRUE,H13=FALSE,VLOOKUP(I13,setca[],18,0)=FALSE),"")</f>
        <v/>
      </c>
      <c r="F13" s="133" t="e">
        <f ca="1">VLOOKUP(I13,setca[],18,0)</f>
        <v>#N/A</v>
      </c>
      <c r="G13" s="133" t="str">
        <f ca="1">IFERROR(VLOOKUP(I13,setca[],5,0),"")</f>
        <v/>
      </c>
      <c r="H13" s="126" t="str">
        <f ca="1">IFERROR(VLOOKUP(I13,setca[],17,0),"")</f>
        <v/>
      </c>
      <c r="I13" s="209" t="str">
        <f t="array" aca="1" ref="I13" ca="1">IFERROR(INDEX($A$1:$A$238,SMALL(IF(SMALL(IF(COUNTIF($I$2:I12,$A$1:$A$238)=0,COUNTIF($A$1:$A$108,"&lt;"&amp;$A$1:$A$238)+1,""),1)=COUNTIF($A$1:$A$238,"&lt;"&amp;$A$1:$A$238)+1,ROW($A$1:$A$238)-MIN(ROW($A$1:$A$238))+1),1)),"")</f>
        <v/>
      </c>
      <c r="J13" s="142" t="str">
        <f ca="1">IFERROR(VLOOKUP(I13,setca[],3,0),"")</f>
        <v/>
      </c>
      <c r="K13" s="140" t="str">
        <f ca="1">IFERROR( IF(AND(VLOOKUP(I13,setca[],18,0)=TRUE,C13=FALSE)," ✓"&amp;VLOOKUP(I13,setca[],24,0),VLOOKUP(I13,setca[],24,0)),"")</f>
        <v/>
      </c>
      <c r="L13" s="141" t="str">
        <f ca="1">IFERROR(IF(E13=TRUE,"["&amp;IF(H13=TRUE,VLOOKUP(I13,setca[],15,0),TEXT(IFERROR(IF(HOUR($C$36)&lt;HOUR(J13),$C$36-(J13+(TODAY()-1)),$C$36-J13),""),"ч:мм"))&amp;"]",IF(C13=FALSE,IF(H13=TRUE,VLOOKUP(I13,setca[],15,0),"-"&amp;TEXT(B13-TIME(HOUR($C$36),MINUTE($C$36),0),"ч:мм")),IF(H13=TRUE,VLOOKUP(I13,setca[],15,0),TEXT(IFERROR(IF(HOUR($C$36)&lt;HOUR(J13),$C$36-(J13+(TODAY()-1)),$C$36-J13),""),"ч:мм")))),"")</f>
        <v/>
      </c>
      <c r="M13" s="145" t="str">
        <f ca="1">IFERROR(IF(E13=TRUE,"      PAU",IF(G13="WN",IF(VLOOKUP(I13,setca[],12,0)=0,"-",VLOOKUP(I13,setca[],12,0)*1.12),IF(VLOOKUP(I13,setca[],12,0)=0,"-",VLOOKUP(I13,setca[],12,0)))),"")</f>
        <v/>
      </c>
      <c r="N13" s="145" t="str">
        <f ca="1">IFERROR(IF(E13=TRUE,"SE         ",IF(G13="WN",IF(VLOOKUP(I13,setca[],13,0)=0,"-",VLOOKUP(I13,setca[],13,0)*1.12),IF(VLOOKUP(I13,setca[],13,0)=0,"-",VLOOKUP(I13,setca[],13,0)))),"")</f>
        <v/>
      </c>
      <c r="O13" s="144"/>
      <c r="P13" s="143"/>
      <c r="Q13" s="175"/>
      <c r="R13" s="179"/>
      <c r="S13" s="179"/>
      <c r="T13" s="179"/>
      <c r="U13" s="179"/>
      <c r="V13" s="169"/>
      <c r="W13" s="169"/>
      <c r="X13" s="179"/>
      <c r="Y13" s="169"/>
      <c r="Z13" s="169"/>
      <c r="AA13" s="169"/>
      <c r="AB13" s="169"/>
      <c r="AC13" s="169"/>
      <c r="AD13" s="169"/>
      <c r="AE13" s="169"/>
      <c r="AF13" s="169"/>
      <c r="AG13" s="169"/>
      <c r="AH13" s="153"/>
      <c r="AI13" s="153"/>
      <c r="AJ13" s="219">
        <v>2</v>
      </c>
      <c r="AK13" s="126"/>
    </row>
    <row r="14" spans="1:37" ht="12.95" customHeight="1" x14ac:dyDescent="0.25">
      <c r="A14" s="124" t="str">
        <f t="array" aca="1" ref="A14" ca="1">IFERROR(INDEX($F$39:$F$238,MATCH(0,IF(TRUE=setca[28],0,1)+COUNTIF($F$38:F51,$F$39:$F$238),0)),"")</f>
        <v/>
      </c>
      <c r="B14" s="206" t="str">
        <f ca="1">IFERROR(VLOOKUP(I14,setca[],3,0),"")</f>
        <v/>
      </c>
      <c r="C14" s="126" t="str">
        <f t="shared" ca="1" si="1"/>
        <v/>
      </c>
      <c r="D14" s="134" t="str">
        <f ca="1">IFERROR(VLOOKUP(I14,setca[],22,0)&lt;IF(M14="-",0,M14),"")</f>
        <v/>
      </c>
      <c r="E14" s="134" t="str">
        <f ca="1">IFERROR(AND(C14=TRUE,VLOOKUP(I14,setca[],25,0)=TRUE,H14=FALSE,VLOOKUP(I14,setca[],18,0)=FALSE),"")</f>
        <v/>
      </c>
      <c r="F14" s="133" t="e">
        <f ca="1">VLOOKUP(I14,setca[],18,0)</f>
        <v>#N/A</v>
      </c>
      <c r="G14" s="133" t="str">
        <f ca="1">IFERROR(VLOOKUP(I14,setca[],5,0),"")</f>
        <v/>
      </c>
      <c r="H14" s="126" t="str">
        <f ca="1">IFERROR(VLOOKUP(I14,setca[],17,0),"")</f>
        <v/>
      </c>
      <c r="I14" s="208" t="str">
        <f t="array" aca="1" ref="I14" ca="1">IFERROR(INDEX($A$1:$A$238,SMALL(IF(SMALL(IF(COUNTIF($I$2:I13,$A$1:$A$238)=0,COUNTIF($A$1:$A$108,"&lt;"&amp;$A$1:$A$238)+1,""),1)=COUNTIF($A$1:$A$238,"&lt;"&amp;$A$1:$A$238)+1,ROW($A$1:$A$238)-MIN(ROW($A$1:$A$238))+1),1)),"")</f>
        <v/>
      </c>
      <c r="J14" s="160" t="str">
        <f ca="1">IFERROR(VLOOKUP(I14,setca[],3,0),"")</f>
        <v/>
      </c>
      <c r="K14" s="140" t="str">
        <f ca="1">IFERROR( IF(AND(VLOOKUP(I14,setca[],18,0)=TRUE,C14=FALSE)," ✓"&amp;VLOOKUP(I14,setca[],24,0),VLOOKUP(I14,setca[],24,0)),"")</f>
        <v/>
      </c>
      <c r="L14" s="141" t="str">
        <f ca="1">IFERROR(IF(E14=TRUE,"["&amp;IF(H14=TRUE,VLOOKUP(I14,setca[],15,0),TEXT(IFERROR(IF(HOUR($C$36)&lt;HOUR(J14),$C$36-(J14+(TODAY()-1)),$C$36-J14),""),"ч:мм"))&amp;"]",IF(C14=FALSE,IF(H14=TRUE,VLOOKUP(I14,setca[],15,0),"-"&amp;TEXT(B14-TIME(HOUR($C$36),MINUTE($C$36),0),"ч:мм")),IF(H14=TRUE,VLOOKUP(I14,setca[],15,0),TEXT(IFERROR(IF(HOUR($C$36)&lt;HOUR(J14),$C$36-(J14+(TODAY()-1)),$C$36-J14),""),"ч:мм")))),"")</f>
        <v/>
      </c>
      <c r="M14" s="145" t="str">
        <f ca="1">IFERROR(IF(E14=TRUE,"      PAU",IF(G14="WN",IF(VLOOKUP(I14,setca[],12,0)=0,"-",VLOOKUP(I14,setca[],12,0)*1.12),IF(VLOOKUP(I14,setca[],12,0)=0,"-",VLOOKUP(I14,setca[],12,0)))),"")</f>
        <v/>
      </c>
      <c r="N14" s="145" t="str">
        <f ca="1">IFERROR(IF(E14=TRUE,"SE         ",IF(G14="WN",IF(VLOOKUP(I14,setca[],13,0)=0,"-",VLOOKUP(I14,setca[],13,0)*1.12),IF(VLOOKUP(I14,setca[],13,0)=0,"-",VLOOKUP(I14,setca[],13,0)))),"")</f>
        <v/>
      </c>
      <c r="O14" s="165"/>
      <c r="P14" s="165"/>
      <c r="Q14" s="165"/>
      <c r="R14" s="165"/>
      <c r="S14" s="183"/>
      <c r="T14" s="183"/>
      <c r="U14" s="180"/>
      <c r="V14" s="170"/>
      <c r="W14" s="170"/>
      <c r="X14" s="180"/>
      <c r="Y14" s="170"/>
      <c r="Z14" s="170"/>
      <c r="AA14" s="170"/>
      <c r="AB14" s="170"/>
      <c r="AC14" s="170"/>
      <c r="AD14" s="170"/>
      <c r="AE14" s="170"/>
      <c r="AF14" s="170"/>
      <c r="AG14" s="170"/>
      <c r="AH14" s="166"/>
      <c r="AI14" s="166"/>
      <c r="AJ14" s="219">
        <v>1</v>
      </c>
      <c r="AK14" s="126"/>
    </row>
    <row r="15" spans="1:37" ht="12.95" customHeight="1" x14ac:dyDescent="0.25">
      <c r="A15" s="124" t="str">
        <f t="array" aca="1" ref="A15" ca="1">IFERROR(INDEX($F$39:$F$238,MATCH(0,IF(TRUE=setca[28],0,1)+COUNTIF($F$38:F52,$F$39:$F$238),0)),"")</f>
        <v/>
      </c>
      <c r="B15" s="206" t="str">
        <f ca="1">IFERROR(VLOOKUP(I15,setca[],3,0),"")</f>
        <v/>
      </c>
      <c r="C15" s="126" t="str">
        <f t="shared" ca="1" si="1"/>
        <v/>
      </c>
      <c r="D15" s="134" t="str">
        <f ca="1">IFERROR(VLOOKUP(I15,setca[],22,0)&lt;IF(M15="-",0,M15),"")</f>
        <v/>
      </c>
      <c r="E15" s="134" t="str">
        <f ca="1">IFERROR(AND(C15=TRUE,VLOOKUP(I15,setca[],25,0)=TRUE,H15=FALSE,VLOOKUP(I15,setca[],18,0)=FALSE),"")</f>
        <v/>
      </c>
      <c r="F15" s="133" t="e">
        <f ca="1">VLOOKUP(I15,setca[],18,0)</f>
        <v>#N/A</v>
      </c>
      <c r="G15" s="133" t="str">
        <f ca="1">IFERROR(VLOOKUP(I15,setca[],5,0),"")</f>
        <v/>
      </c>
      <c r="H15" s="126" t="str">
        <f ca="1">IFERROR(VLOOKUP(I15,setca[],17,0),"")</f>
        <v/>
      </c>
      <c r="I15" s="209" t="str">
        <f t="array" aca="1" ref="I15" ca="1">IFERROR(INDEX($A$1:$A$238,SMALL(IF(SMALL(IF(COUNTIF($I$2:I14,$A$1:$A$238)=0,COUNTIF($A$1:$A$108,"&lt;"&amp;$A$1:$A$238)+1,""),1)=COUNTIF($A$1:$A$238,"&lt;"&amp;$A$1:$A$238)+1,ROW($A$1:$A$238)-MIN(ROW($A$1:$A$238))+1),1)),"")</f>
        <v/>
      </c>
      <c r="J15" s="142" t="str">
        <f ca="1">IFERROR(VLOOKUP(I15,setca[],3,0),"")</f>
        <v/>
      </c>
      <c r="K15" s="140" t="str">
        <f ca="1">IFERROR( IF(AND(VLOOKUP(I15,setca[],18,0)=TRUE,C15=FALSE)," ✓"&amp;VLOOKUP(I15,setca[],24,0),VLOOKUP(I15,setca[],24,0)),"")</f>
        <v/>
      </c>
      <c r="L15" s="141" t="str">
        <f ca="1">IFERROR(IF(E15=TRUE,"["&amp;IF(H15=TRUE,VLOOKUP(I15,setca[],15,0),TEXT(IFERROR(IF(HOUR($C$36)&lt;HOUR(J15),$C$36-(J15+(TODAY()-1)),$C$36-J15),""),"ч:мм"))&amp;"]",IF(C15=FALSE,IF(H15=TRUE,VLOOKUP(I15,setca[],15,0),"-"&amp;TEXT(B15-TIME(HOUR($C$36),MINUTE($C$36),0),"ч:мм")),IF(H15=TRUE,VLOOKUP(I15,setca[],15,0),TEXT(IFERROR(IF(HOUR($C$36)&lt;HOUR(J15),$C$36-(J15+(TODAY()-1)),$C$36-J15),""),"ч:мм")))),"")</f>
        <v/>
      </c>
      <c r="M15" s="145" t="str">
        <f ca="1">IFERROR(IF(E15=TRUE,"      PAU",IF(G15="WN",IF(VLOOKUP(I15,setca[],12,0)=0,"-",VLOOKUP(I15,setca[],12,0)*1.12),IF(VLOOKUP(I15,setca[],12,0)=0,"-",VLOOKUP(I15,setca[],12,0)))),"")</f>
        <v/>
      </c>
      <c r="N15" s="145" t="str">
        <f ca="1">IFERROR(IF(E15=TRUE,"SE         ",IF(G15="WN",IF(VLOOKUP(I15,setca[],13,0)=0,"-",VLOOKUP(I15,setca[],13,0)*1.12),IF(VLOOKUP(I15,setca[],13,0)=0,"-",VLOOKUP(I15,setca[],13,0)))),"")</f>
        <v/>
      </c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  <c r="AA15" s="153"/>
      <c r="AB15" s="153"/>
      <c r="AC15" s="153"/>
      <c r="AD15" s="153"/>
      <c r="AE15" s="153"/>
      <c r="AF15" s="153"/>
      <c r="AG15" s="153"/>
      <c r="AH15" s="153"/>
      <c r="AI15" s="153"/>
      <c r="AJ15" s="219">
        <v>2</v>
      </c>
      <c r="AK15" s="126"/>
    </row>
    <row r="16" spans="1:37" ht="12.95" customHeight="1" x14ac:dyDescent="0.25">
      <c r="A16" s="124" t="str">
        <f t="array" aca="1" ref="A16" ca="1">IFERROR(INDEX($F$39:$F$238,MATCH(0,IF(TRUE=setca[28],0,1)+COUNTIF($F$38:F53,$F$39:$F$238),0)),"")</f>
        <v/>
      </c>
      <c r="B16" s="206" t="str">
        <f ca="1">IFERROR(VLOOKUP(I16,setca[],3,0),"")</f>
        <v/>
      </c>
      <c r="C16" s="126" t="str">
        <f t="shared" ca="1" si="1"/>
        <v/>
      </c>
      <c r="D16" s="134" t="str">
        <f ca="1">IFERROR(VLOOKUP(I16,setca[],22,0)&lt;IF(M16="-",0,M16),"")</f>
        <v/>
      </c>
      <c r="E16" s="134" t="str">
        <f ca="1">IFERROR(AND(C16=TRUE,VLOOKUP(I16,setca[],25,0)=TRUE,H16=FALSE,VLOOKUP(I16,setca[],18,0)=FALSE),"")</f>
        <v/>
      </c>
      <c r="F16" s="133" t="e">
        <f ca="1">VLOOKUP(I16,setca[],18,0)</f>
        <v>#N/A</v>
      </c>
      <c r="G16" s="133" t="str">
        <f ca="1">IFERROR(VLOOKUP(I16,setca[],5,0),"")</f>
        <v/>
      </c>
      <c r="H16" s="126" t="str">
        <f ca="1">IFERROR(VLOOKUP(I16,setca[],17,0),"")</f>
        <v/>
      </c>
      <c r="I16" s="208" t="str">
        <f t="array" aca="1" ref="I16" ca="1">IFERROR(INDEX($A$1:$A$238,SMALL(IF(SMALL(IF(COUNTIF($I$2:I15,$A$1:$A$238)=0,COUNTIF($A$1:$A$108,"&lt;"&amp;$A$1:$A$238)+1,""),1)=COUNTIF($A$1:$A$238,"&lt;"&amp;$A$1:$A$238)+1,ROW($A$1:$A$238)-MIN(ROW($A$1:$A$238))+1),1)),"")</f>
        <v/>
      </c>
      <c r="J16" s="160" t="str">
        <f ca="1">IFERROR(VLOOKUP(I16,setca[],3,0),"")</f>
        <v/>
      </c>
      <c r="K16" s="140" t="str">
        <f ca="1">IFERROR( IF(AND(VLOOKUP(I16,setca[],18,0)=TRUE,C16=FALSE)," ✓"&amp;VLOOKUP(I16,setca[],24,0),VLOOKUP(I16,setca[],24,0)),"")</f>
        <v/>
      </c>
      <c r="L16" s="141" t="str">
        <f ca="1">IFERROR(IF(E16=TRUE,"["&amp;IF(H16=TRUE,VLOOKUP(I16,setca[],15,0),TEXT(IFERROR(IF(HOUR($C$36)&lt;HOUR(J16),$C$36-(J16+(TODAY()-1)),$C$36-J16),""),"ч:мм"))&amp;"]",IF(C16=FALSE,IF(H16=TRUE,VLOOKUP(I16,setca[],15,0),"-"&amp;TEXT(B16-TIME(HOUR($C$36),MINUTE($C$36),0),"ч:мм")),IF(H16=TRUE,VLOOKUP(I16,setca[],15,0),TEXT(IFERROR(IF(HOUR($C$36)&lt;HOUR(J16),$C$36-(J16+(TODAY()-1)),$C$36-J16),""),"ч:мм")))),"")</f>
        <v/>
      </c>
      <c r="M16" s="145" t="str">
        <f ca="1">IFERROR(IF(E16=TRUE,"      PAU",IF(G16="WN",IF(VLOOKUP(I16,setca[],12,0)=0,"-",VLOOKUP(I16,setca[],12,0)*1.12),IF(VLOOKUP(I16,setca[],12,0)=0,"-",VLOOKUP(I16,setca[],12,0)))),"")</f>
        <v/>
      </c>
      <c r="N16" s="145" t="str">
        <f ca="1">IFERROR(IF(E16=TRUE,"SE         ",IF(G16="WN",IF(VLOOKUP(I16,setca[],13,0)=0,"-",VLOOKUP(I16,setca[],13,0)*1.12),IF(VLOOKUP(I16,setca[],13,0)=0,"-",VLOOKUP(I16,setca[],13,0)))),"")</f>
        <v/>
      </c>
      <c r="O16" s="166"/>
      <c r="P16" s="166"/>
      <c r="Q16" s="166"/>
      <c r="R16" s="166"/>
      <c r="S16" s="166"/>
      <c r="T16" s="166"/>
      <c r="U16" s="166"/>
      <c r="V16" s="166"/>
      <c r="W16" s="166"/>
      <c r="X16" s="166"/>
      <c r="Y16" s="166"/>
      <c r="Z16" s="166"/>
      <c r="AA16" s="166"/>
      <c r="AB16" s="166"/>
      <c r="AC16" s="166"/>
      <c r="AD16" s="166"/>
      <c r="AE16" s="166"/>
      <c r="AF16" s="166"/>
      <c r="AG16" s="166"/>
      <c r="AH16" s="166"/>
      <c r="AI16" s="166"/>
      <c r="AJ16" s="219">
        <v>1</v>
      </c>
      <c r="AK16" s="126"/>
    </row>
    <row r="17" spans="1:37" ht="12.95" customHeight="1" x14ac:dyDescent="0.25">
      <c r="A17" s="124" t="str">
        <f t="array" aca="1" ref="A17" ca="1">IFERROR(INDEX($F$39:$F$238,MATCH(0,IF(TRUE=setca[28],0,1)+COUNTIF($F$38:F54,$F$39:$F$238),0)),"")</f>
        <v/>
      </c>
      <c r="B17" s="206" t="str">
        <f ca="1">IFERROR(VLOOKUP(I17,setca[],3,0),"")</f>
        <v/>
      </c>
      <c r="C17" s="126" t="str">
        <f t="shared" ca="1" si="1"/>
        <v/>
      </c>
      <c r="D17" s="134" t="str">
        <f ca="1">IFERROR(VLOOKUP(I17,setca[],22,0)&lt;IF(M17="-",0,M17),"")</f>
        <v/>
      </c>
      <c r="E17" s="134" t="str">
        <f ca="1">IFERROR(AND(C17=TRUE,VLOOKUP(I17,setca[],25,0)=TRUE,H17=FALSE,VLOOKUP(I17,setca[],18,0)=FALSE),"")</f>
        <v/>
      </c>
      <c r="F17" s="133" t="e">
        <f ca="1">VLOOKUP(I17,setca[],18,0)</f>
        <v>#N/A</v>
      </c>
      <c r="G17" s="133" t="str">
        <f ca="1">IFERROR(VLOOKUP(I17,setca[],5,0),"")</f>
        <v/>
      </c>
      <c r="H17" s="126" t="str">
        <f ca="1">IFERROR(VLOOKUP(I17,setca[],17,0),"")</f>
        <v/>
      </c>
      <c r="I17" s="209" t="str">
        <f t="array" aca="1" ref="I17" ca="1">IFERROR(INDEX($A$1:$A$238,SMALL(IF(SMALL(IF(COUNTIF($I$2:I16,$A$1:$A$238)=0,COUNTIF($A$1:$A$108,"&lt;"&amp;$A$1:$A$238)+1,""),1)=COUNTIF($A$1:$A$238,"&lt;"&amp;$A$1:$A$238)+1,ROW($A$1:$A$238)-MIN(ROW($A$1:$A$238))+1),1)),"")</f>
        <v/>
      </c>
      <c r="J17" s="142" t="str">
        <f ca="1">IFERROR(VLOOKUP(I17,setca[],3,0),"")</f>
        <v/>
      </c>
      <c r="K17" s="140" t="str">
        <f ca="1">IFERROR( IF(AND(VLOOKUP(I17,setca[],18,0)=TRUE,C17=FALSE)," ✓"&amp;VLOOKUP(I17,setca[],24,0),VLOOKUP(I17,setca[],24,0)),"")</f>
        <v/>
      </c>
      <c r="L17" s="141" t="str">
        <f ca="1">IFERROR(IF(E17=TRUE,"["&amp;IF(H17=TRUE,VLOOKUP(I17,setca[],15,0),TEXT(IFERROR(IF(HOUR($C$36)&lt;HOUR(J17),$C$36-(J17+(TODAY()-1)),$C$36-J17),""),"ч:мм"))&amp;"]",IF(C17=FALSE,IF(H17=TRUE,VLOOKUP(I17,setca[],15,0),"-"&amp;TEXT(B17-TIME(HOUR($C$36),MINUTE($C$36),0),"ч:мм")),IF(H17=TRUE,VLOOKUP(I17,setca[],15,0),TEXT(IFERROR(IF(HOUR($C$36)&lt;HOUR(J17),$C$36-(J17+(TODAY()-1)),$C$36-J17),""),"ч:мм")))),"")</f>
        <v/>
      </c>
      <c r="M17" s="145" t="str">
        <f ca="1">IFERROR(IF(E17=TRUE,"      PAU",IF(G17="WN",IF(VLOOKUP(I17,setca[],12,0)=0,"-",VLOOKUP(I17,setca[],12,0)*1.12),IF(VLOOKUP(I17,setca[],12,0)=0,"-",VLOOKUP(I17,setca[],12,0)))),"")</f>
        <v/>
      </c>
      <c r="N17" s="145" t="str">
        <f ca="1">IFERROR(IF(E17=TRUE,"SE         ",IF(G17="WN",IF(VLOOKUP(I17,setca[],13,0)=0,"-",VLOOKUP(I17,setca[],13,0)*1.12),IF(VLOOKUP(I17,setca[],13,0)=0,"-",VLOOKUP(I17,setca[],13,0)))),"")</f>
        <v/>
      </c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  <c r="AH17" s="153"/>
      <c r="AI17" s="153"/>
      <c r="AJ17" s="219">
        <v>2</v>
      </c>
      <c r="AK17" s="126"/>
    </row>
    <row r="18" spans="1:37" ht="12.95" customHeight="1" x14ac:dyDescent="0.25">
      <c r="A18" s="124" t="str">
        <f t="array" aca="1" ref="A18" ca="1">IFERROR(INDEX($F$39:$F$238,MATCH(0,IF(TRUE=setca[28],0,1)+COUNTIF($F$38:F55,$F$39:$F$238),0)),"")</f>
        <v/>
      </c>
      <c r="B18" s="206" t="str">
        <f ca="1">IFERROR(VLOOKUP(I18,setca[],3,0),"")</f>
        <v/>
      </c>
      <c r="C18" s="126" t="str">
        <f t="shared" ca="1" si="1"/>
        <v/>
      </c>
      <c r="D18" s="134" t="str">
        <f ca="1">IFERROR(VLOOKUP(I18,setca[],22,0)&lt;IF(M18="-",0,M18),"")</f>
        <v/>
      </c>
      <c r="E18" s="134" t="str">
        <f ca="1">IFERROR(AND(C18=TRUE,VLOOKUP(I18,setca[],25,0)=TRUE,H18=FALSE,VLOOKUP(I18,setca[],18,0)=FALSE),"")</f>
        <v/>
      </c>
      <c r="F18" s="133" t="e">
        <f ca="1">VLOOKUP(I18,setca[],18,0)</f>
        <v>#N/A</v>
      </c>
      <c r="G18" s="133" t="str">
        <f ca="1">IFERROR(VLOOKUP(I18,setca[],5,0),"")</f>
        <v/>
      </c>
      <c r="H18" s="126" t="str">
        <f ca="1">IFERROR(VLOOKUP(I18,setca[],17,0),"")</f>
        <v/>
      </c>
      <c r="I18" s="208" t="str">
        <f t="array" aca="1" ref="I18" ca="1">IFERROR(INDEX($A$1:$A$238,SMALL(IF(SMALL(IF(COUNTIF($I$2:I17,$A$1:$A$238)=0,COUNTIF($A$1:$A$108,"&lt;"&amp;$A$1:$A$238)+1,""),1)=COUNTIF($A$1:$A$238,"&lt;"&amp;$A$1:$A$238)+1,ROW($A$1:$A$238)-MIN(ROW($A$1:$A$238))+1),1)),"")</f>
        <v/>
      </c>
      <c r="J18" s="160" t="str">
        <f ca="1">IFERROR(VLOOKUP(I18,setca[],3,0),"")</f>
        <v/>
      </c>
      <c r="K18" s="140" t="str">
        <f ca="1">IFERROR( IF(AND(VLOOKUP(I18,setca[],18,0)=TRUE,C18=FALSE)," ✓"&amp;VLOOKUP(I18,setca[],24,0),VLOOKUP(I18,setca[],24,0)),"")</f>
        <v/>
      </c>
      <c r="L18" s="141" t="str">
        <f ca="1">IFERROR(IF(E18=TRUE,"["&amp;IF(H18=TRUE,VLOOKUP(I18,setca[],15,0),TEXT(IFERROR(IF(HOUR($C$36)&lt;HOUR(J18),$C$36-(J18+(TODAY()-1)),$C$36-J18),""),"ч:мм"))&amp;"]",IF(C18=FALSE,IF(H18=TRUE,VLOOKUP(I18,setca[],15,0),"-"&amp;TEXT(B18-TIME(HOUR($C$36),MINUTE($C$36),0),"ч:мм")),IF(H18=TRUE,VLOOKUP(I18,setca[],15,0),TEXT(IFERROR(IF(HOUR($C$36)&lt;HOUR(J18),$C$36-(J18+(TODAY()-1)),$C$36-J18),""),"ч:мм")))),"")</f>
        <v/>
      </c>
      <c r="M18" s="145" t="str">
        <f ca="1">IFERROR(IF(E18=TRUE,"      PAU",IF(G18="WN",IF(VLOOKUP(I18,setca[],12,0)=0,"-",VLOOKUP(I18,setca[],12,0)*1.12),IF(VLOOKUP(I18,setca[],12,0)=0,"-",VLOOKUP(I18,setca[],12,0)))),"")</f>
        <v/>
      </c>
      <c r="N18" s="145" t="str">
        <f ca="1">IFERROR(IF(E18=TRUE,"SE         ",IF(G18="WN",IF(VLOOKUP(I18,setca[],13,0)=0,"-",VLOOKUP(I18,setca[],13,0)*1.12),IF(VLOOKUP(I18,setca[],13,0)=0,"-",VLOOKUP(I18,setca[],13,0)))),"")</f>
        <v/>
      </c>
      <c r="O18" s="166"/>
      <c r="P18" s="166"/>
      <c r="Q18" s="166"/>
      <c r="R18" s="166"/>
      <c r="S18" s="166"/>
      <c r="T18" s="166"/>
      <c r="U18" s="166"/>
      <c r="V18" s="166"/>
      <c r="W18" s="166"/>
      <c r="X18" s="166"/>
      <c r="Y18" s="166"/>
      <c r="Z18" s="166"/>
      <c r="AA18" s="166"/>
      <c r="AB18" s="166"/>
      <c r="AC18" s="166"/>
      <c r="AD18" s="166"/>
      <c r="AE18" s="166"/>
      <c r="AF18" s="166"/>
      <c r="AG18" s="166"/>
      <c r="AH18" s="166"/>
      <c r="AI18" s="166"/>
      <c r="AJ18" s="219">
        <v>1</v>
      </c>
      <c r="AK18" s="126"/>
    </row>
    <row r="19" spans="1:37" ht="12.95" customHeight="1" x14ac:dyDescent="0.25">
      <c r="A19" s="124" t="str">
        <f t="array" aca="1" ref="A19" ca="1">IFERROR(INDEX($F$39:$F$238,MATCH(0,IF(TRUE=setca[28],0,1)+COUNTIF($F$38:F56,$F$39:$F$238),0)),"")</f>
        <v/>
      </c>
      <c r="B19" s="206" t="str">
        <f ca="1">IFERROR(VLOOKUP(I19,setca[],3,0),"")</f>
        <v/>
      </c>
      <c r="C19" s="126" t="str">
        <f t="shared" ca="1" si="1"/>
        <v/>
      </c>
      <c r="D19" s="134" t="str">
        <f ca="1">IFERROR(VLOOKUP(I19,setca[],22,0)&lt;IF(M19="-",0,M19),"")</f>
        <v/>
      </c>
      <c r="E19" s="134" t="str">
        <f ca="1">IFERROR(AND(C19=TRUE,VLOOKUP(I19,setca[],25,0)=TRUE,H19=FALSE,VLOOKUP(I19,setca[],18,0)=FALSE),"")</f>
        <v/>
      </c>
      <c r="F19" s="133" t="e">
        <f ca="1">VLOOKUP(I19,setca[],18,0)</f>
        <v>#N/A</v>
      </c>
      <c r="G19" s="133" t="str">
        <f ca="1">IFERROR(VLOOKUP(I19,setca[],5,0),"")</f>
        <v/>
      </c>
      <c r="H19" s="126" t="str">
        <f ca="1">IFERROR(VLOOKUP(I19,setca[],17,0),"")</f>
        <v/>
      </c>
      <c r="I19" s="209" t="str">
        <f t="array" aca="1" ref="I19" ca="1">IFERROR(INDEX($A$1:$A$238,SMALL(IF(SMALL(IF(COUNTIF($I$2:I18,$A$1:$A$238)=0,COUNTIF($A$1:$A$108,"&lt;"&amp;$A$1:$A$238)+1,""),1)=COUNTIF($A$1:$A$238,"&lt;"&amp;$A$1:$A$238)+1,ROW($A$1:$A$238)-MIN(ROW($A$1:$A$238))+1),1)),"")</f>
        <v/>
      </c>
      <c r="J19" s="142" t="str">
        <f ca="1">IFERROR(VLOOKUP(I19,setca[],3,0),"")</f>
        <v/>
      </c>
      <c r="K19" s="140" t="str">
        <f ca="1">IFERROR( IF(AND(VLOOKUP(I19,setca[],18,0)=TRUE,C19=FALSE)," ✓"&amp;VLOOKUP(I19,setca[],24,0),VLOOKUP(I19,setca[],24,0)),"")</f>
        <v/>
      </c>
      <c r="L19" s="141" t="str">
        <f ca="1">IFERROR(IF(E19=TRUE,"["&amp;IF(H19=TRUE,VLOOKUP(I19,setca[],15,0),TEXT(IFERROR(IF(HOUR($C$36)&lt;HOUR(J19),$C$36-(J19+(TODAY()-1)),$C$36-J19),""),"ч:мм"))&amp;"]",IF(C19=FALSE,IF(H19=TRUE,VLOOKUP(I19,setca[],15,0),"-"&amp;TEXT(B19-TIME(HOUR($C$36),MINUTE($C$36),0),"ч:мм")),IF(H19=TRUE,VLOOKUP(I19,setca[],15,0),TEXT(IFERROR(IF(HOUR($C$36)&lt;HOUR(J19),$C$36-(J19+(TODAY()-1)),$C$36-J19),""),"ч:мм")))),"")</f>
        <v/>
      </c>
      <c r="M19" s="145" t="str">
        <f ca="1">IFERROR(IF(E19=TRUE,"      PAU",IF(G19="WN",IF(VLOOKUP(I19,setca[],12,0)=0,"-",VLOOKUP(I19,setca[],12,0)*1.12),IF(VLOOKUP(I19,setca[],12,0)=0,"-",VLOOKUP(I19,setca[],12,0)))),"")</f>
        <v/>
      </c>
      <c r="N19" s="145" t="str">
        <f ca="1">IFERROR(IF(E19=TRUE,"SE         ",IF(G19="WN",IF(VLOOKUP(I19,setca[],13,0)=0,"-",VLOOKUP(I19,setca[],13,0)*1.12),IF(VLOOKUP(I19,setca[],13,0)=0,"-",VLOOKUP(I19,setca[],13,0)))),"")</f>
        <v/>
      </c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153"/>
      <c r="AA19" s="153"/>
      <c r="AB19" s="153"/>
      <c r="AC19" s="153"/>
      <c r="AD19" s="153"/>
      <c r="AE19" s="153"/>
      <c r="AF19" s="153"/>
      <c r="AG19" s="153"/>
      <c r="AH19" s="153"/>
      <c r="AI19" s="153"/>
      <c r="AJ19" s="219">
        <v>2</v>
      </c>
      <c r="AK19" s="126"/>
    </row>
    <row r="20" spans="1:37" ht="12.95" customHeight="1" x14ac:dyDescent="0.25">
      <c r="A20" s="124" t="str">
        <f t="array" aca="1" ref="A20" ca="1">IFERROR(INDEX($F$39:$F$238,MATCH(0,IF(TRUE=setca[28],0,1)+COUNTIF($F$38:F57,$F$39:$F$238),0)),"")</f>
        <v/>
      </c>
      <c r="B20" s="206" t="str">
        <f ca="1">IFERROR(VLOOKUP(I20,setca[],3,0),"")</f>
        <v/>
      </c>
      <c r="C20" s="126" t="str">
        <f t="shared" ca="1" si="1"/>
        <v/>
      </c>
      <c r="D20" s="134" t="str">
        <f ca="1">IFERROR(VLOOKUP(I20,setca[],22,0)&lt;IF(M20="-",0,M20),"")</f>
        <v/>
      </c>
      <c r="E20" s="134" t="str">
        <f ca="1">IFERROR(AND(C20=TRUE,VLOOKUP(I20,setca[],25,0)=TRUE,H20=FALSE,VLOOKUP(I20,setca[],18,0)=FALSE),"")</f>
        <v/>
      </c>
      <c r="F20" s="133" t="e">
        <f ca="1">VLOOKUP(I20,setca[],18,0)</f>
        <v>#N/A</v>
      </c>
      <c r="G20" s="133" t="str">
        <f ca="1">IFERROR(VLOOKUP(I20,setca[],5,0),"")</f>
        <v/>
      </c>
      <c r="H20" s="126" t="str">
        <f ca="1">IFERROR(VLOOKUP(I20,setca[],17,0),"")</f>
        <v/>
      </c>
      <c r="I20" s="208" t="str">
        <f t="array" aca="1" ref="I20" ca="1">IFERROR(INDEX($A$1:$A$238,SMALL(IF(SMALL(IF(COUNTIF($I$2:I19,$A$1:$A$238)=0,COUNTIF($A$1:$A$108,"&lt;"&amp;$A$1:$A$238)+1,""),1)=COUNTIF($A$1:$A$238,"&lt;"&amp;$A$1:$A$238)+1,ROW($A$1:$A$238)-MIN(ROW($A$1:$A$238))+1),1)),"")</f>
        <v/>
      </c>
      <c r="J20" s="160" t="str">
        <f ca="1">IFERROR(VLOOKUP(I20,setca[],3,0),"")</f>
        <v/>
      </c>
      <c r="K20" s="140" t="str">
        <f ca="1">IFERROR( IF(AND(VLOOKUP(I20,setca[],18,0)=TRUE,C20=FALSE)," ✓"&amp;VLOOKUP(I20,setca[],24,0),VLOOKUP(I20,setca[],24,0)),"")</f>
        <v/>
      </c>
      <c r="L20" s="141" t="str">
        <f ca="1">IFERROR(IF(E20=TRUE,"["&amp;IF(H20=TRUE,VLOOKUP(I20,setca[],15,0),TEXT(IFERROR(IF(HOUR($C$36)&lt;HOUR(J20),$C$36-(J20+(TODAY()-1)),$C$36-J20),""),"ч:мм"))&amp;"]",IF(C20=FALSE,IF(H20=TRUE,VLOOKUP(I20,setca[],15,0),"-"&amp;TEXT(B20-TIME(HOUR($C$36),MINUTE($C$36),0),"ч:мм")),IF(H20=TRUE,VLOOKUP(I20,setca[],15,0),TEXT(IFERROR(IF(HOUR($C$36)&lt;HOUR(J20),$C$36-(J20+(TODAY()-1)),$C$36-J20),""),"ч:мм")))),"")</f>
        <v/>
      </c>
      <c r="M20" s="145" t="str">
        <f ca="1">IFERROR(IF(E20=TRUE,"      PAU",IF(G20="WN",IF(VLOOKUP(I20,setca[],12,0)=0,"-",VLOOKUP(I20,setca[],12,0)*1.12),IF(VLOOKUP(I20,setca[],12,0)=0,"-",VLOOKUP(I20,setca[],12,0)))),"")</f>
        <v/>
      </c>
      <c r="N20" s="145" t="str">
        <f ca="1">IFERROR(IF(E20=TRUE,"SE         ",IF(G20="WN",IF(VLOOKUP(I20,setca[],13,0)=0,"-",VLOOKUP(I20,setca[],13,0)*1.12),IF(VLOOKUP(I20,setca[],13,0)=0,"-",VLOOKUP(I20,setca[],13,0)))),"")</f>
        <v/>
      </c>
      <c r="O20" s="166"/>
      <c r="P20" s="166"/>
      <c r="Q20" s="166"/>
      <c r="R20" s="166"/>
      <c r="S20" s="166"/>
      <c r="T20" s="166"/>
      <c r="U20" s="166"/>
      <c r="V20" s="166"/>
      <c r="W20" s="166"/>
      <c r="X20" s="166"/>
      <c r="Y20" s="166"/>
      <c r="Z20" s="166"/>
      <c r="AA20" s="166"/>
      <c r="AB20" s="166"/>
      <c r="AC20" s="166"/>
      <c r="AD20" s="166"/>
      <c r="AE20" s="166"/>
      <c r="AF20" s="166"/>
      <c r="AG20" s="166"/>
      <c r="AH20" s="166"/>
      <c r="AI20" s="166"/>
      <c r="AJ20" s="219">
        <v>1</v>
      </c>
      <c r="AK20" s="126"/>
    </row>
    <row r="21" spans="1:37" ht="12.95" customHeight="1" x14ac:dyDescent="0.25">
      <c r="A21" s="124" t="str">
        <f t="array" aca="1" ref="A21" ca="1">IFERROR(INDEX($F$39:$F$238,MATCH(0,IF(TRUE=setca[28],0,1)+COUNTIF($F$38:F58,$F$39:$F$238),0)),"")</f>
        <v/>
      </c>
      <c r="B21" s="206" t="str">
        <f ca="1">IFERROR(VLOOKUP(I21,setca[],3,0),"")</f>
        <v/>
      </c>
      <c r="C21" s="126" t="str">
        <f t="shared" ca="1" si="1"/>
        <v/>
      </c>
      <c r="D21" s="134" t="str">
        <f ca="1">IFERROR(VLOOKUP(I21,setca[],22,0)&lt;IF(M21="-",0,M21),"")</f>
        <v/>
      </c>
      <c r="E21" s="134" t="str">
        <f ca="1">IFERROR(AND(C21=TRUE,VLOOKUP(I21,setca[],25,0)=TRUE,H21=FALSE,VLOOKUP(I21,setca[],18,0)=FALSE),"")</f>
        <v/>
      </c>
      <c r="F21" s="133" t="e">
        <f ca="1">VLOOKUP(I21,setca[],18,0)</f>
        <v>#N/A</v>
      </c>
      <c r="G21" s="133" t="str">
        <f ca="1">IFERROR(VLOOKUP(I21,setca[],5,0),"")</f>
        <v/>
      </c>
      <c r="H21" s="126" t="str">
        <f ca="1">IFERROR(VLOOKUP(I21,setca[],17,0),"")</f>
        <v/>
      </c>
      <c r="I21" s="209" t="str">
        <f t="array" aca="1" ref="I21" ca="1">IFERROR(INDEX($A$1:$A$238,SMALL(IF(SMALL(IF(COUNTIF($I$2:I20,$A$1:$A$238)=0,COUNTIF($A$1:$A$108,"&lt;"&amp;$A$1:$A$238)+1,""),1)=COUNTIF($A$1:$A$238,"&lt;"&amp;$A$1:$A$238)+1,ROW($A$1:$A$238)-MIN(ROW($A$1:$A$238))+1),1)),"")</f>
        <v/>
      </c>
      <c r="J21" s="142" t="str">
        <f ca="1">IFERROR(VLOOKUP(I21,setca[],3,0),"")</f>
        <v/>
      </c>
      <c r="K21" s="140" t="str">
        <f ca="1">IFERROR( IF(AND(VLOOKUP(I21,setca[],18,0)=TRUE,C21=FALSE)," ✓"&amp;VLOOKUP(I21,setca[],24,0),VLOOKUP(I21,setca[],24,0)),"")</f>
        <v/>
      </c>
      <c r="L21" s="141" t="str">
        <f ca="1">IFERROR(IF(E21=TRUE,"["&amp;IF(H21=TRUE,VLOOKUP(I21,setca[],15,0),TEXT(IFERROR(IF(HOUR($C$36)&lt;HOUR(J21),$C$36-(J21+(TODAY()-1)),$C$36-J21),""),"ч:мм"))&amp;"]",IF(C21=FALSE,IF(H21=TRUE,VLOOKUP(I21,setca[],15,0),"-"&amp;TEXT(B21-TIME(HOUR($C$36),MINUTE($C$36),0),"ч:мм")),IF(H21=TRUE,VLOOKUP(I21,setca[],15,0),TEXT(IFERROR(IF(HOUR($C$36)&lt;HOUR(J21),$C$36-(J21+(TODAY()-1)),$C$36-J21),""),"ч:мм")))),"")</f>
        <v/>
      </c>
      <c r="M21" s="145" t="str">
        <f ca="1">IFERROR(IF(E21=TRUE,"      PAU",IF(G21="WN",IF(VLOOKUP(I21,setca[],12,0)=0,"-",VLOOKUP(I21,setca[],12,0)*1.12),IF(VLOOKUP(I21,setca[],12,0)=0,"-",VLOOKUP(I21,setca[],12,0)))),"")</f>
        <v/>
      </c>
      <c r="N21" s="145" t="str">
        <f ca="1">IFERROR(IF(E21=TRUE,"SE         ",IF(G21="WN",IF(VLOOKUP(I21,setca[],13,0)=0,"-",VLOOKUP(I21,setca[],13,0)*1.12),IF(VLOOKUP(I21,setca[],13,0)=0,"-",VLOOKUP(I21,setca[],13,0)))),"")</f>
        <v/>
      </c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  <c r="Z21" s="153"/>
      <c r="AA21" s="153"/>
      <c r="AB21" s="153"/>
      <c r="AC21" s="153"/>
      <c r="AD21" s="153"/>
      <c r="AE21" s="153"/>
      <c r="AF21" s="153"/>
      <c r="AG21" s="153"/>
      <c r="AH21" s="153"/>
      <c r="AI21" s="153"/>
      <c r="AJ21" s="219">
        <v>2</v>
      </c>
      <c r="AK21" s="126"/>
    </row>
    <row r="22" spans="1:37" ht="12.95" customHeight="1" x14ac:dyDescent="0.25">
      <c r="A22" s="124" t="str">
        <f t="array" aca="1" ref="A22" ca="1">IFERROR(INDEX($F$39:$F$238,MATCH(0,IF(TRUE=setca[28],0,1)+COUNTIF($F$38:F59,$F$39:$F$238),0)),"")</f>
        <v/>
      </c>
      <c r="B22" s="206" t="str">
        <f ca="1">IFERROR(VLOOKUP(I22,setca[],3,0),"")</f>
        <v/>
      </c>
      <c r="C22" s="126" t="str">
        <f t="shared" ca="1" si="1"/>
        <v/>
      </c>
      <c r="D22" s="134" t="str">
        <f ca="1">IFERROR(VLOOKUP(I22,setca[],22,0)&lt;IF(M22="-",0,M22),"")</f>
        <v/>
      </c>
      <c r="E22" s="134" t="str">
        <f ca="1">IFERROR(AND(C22=TRUE,VLOOKUP(I22,setca[],25,0)=TRUE,H22=FALSE,VLOOKUP(I22,setca[],18,0)=FALSE),"")</f>
        <v/>
      </c>
      <c r="F22" s="133" t="e">
        <f ca="1">VLOOKUP(I22,setca[],18,0)</f>
        <v>#N/A</v>
      </c>
      <c r="G22" s="133" t="str">
        <f ca="1">IFERROR(VLOOKUP(I22,setca[],5,0),"")</f>
        <v/>
      </c>
      <c r="H22" s="126" t="str">
        <f ca="1">IFERROR(VLOOKUP(I22,setca[],17,0),"")</f>
        <v/>
      </c>
      <c r="I22" s="208" t="str">
        <f t="array" aca="1" ref="I22" ca="1">IFERROR(INDEX($A$1:$A$238,SMALL(IF(SMALL(IF(COUNTIF($I$2:I21,$A$1:$A$238)=0,COUNTIF($A$1:$A$108,"&lt;"&amp;$A$1:$A$238)+1,""),1)=COUNTIF($A$1:$A$238,"&lt;"&amp;$A$1:$A$238)+1,ROW($A$1:$A$238)-MIN(ROW($A$1:$A$238))+1),1)),"")</f>
        <v/>
      </c>
      <c r="J22" s="160" t="str">
        <f ca="1">IFERROR(VLOOKUP(I22,setca[],3,0),"")</f>
        <v/>
      </c>
      <c r="K22" s="140" t="str">
        <f ca="1">IFERROR( IF(AND(VLOOKUP(I22,setca[],18,0)=TRUE,C22=FALSE)," ✓"&amp;VLOOKUP(I22,setca[],24,0),VLOOKUP(I22,setca[],24,0)),"")</f>
        <v/>
      </c>
      <c r="L22" s="141" t="str">
        <f ca="1">IFERROR(IF(E22=TRUE,"["&amp;IF(H22=TRUE,VLOOKUP(I22,setca[],15,0),TEXT(IFERROR(IF(HOUR($C$36)&lt;HOUR(J22),$C$36-(J22+(TODAY()-1)),$C$36-J22),""),"ч:мм"))&amp;"]",IF(C22=FALSE,IF(H22=TRUE,VLOOKUP(I22,setca[],15,0),"-"&amp;TEXT(B22-TIME(HOUR($C$36),MINUTE($C$36),0),"ч:мм")),IF(H22=TRUE,VLOOKUP(I22,setca[],15,0),TEXT(IFERROR(IF(HOUR($C$36)&lt;HOUR(J22),$C$36-(J22+(TODAY()-1)),$C$36-J22),""),"ч:мм")))),"")</f>
        <v/>
      </c>
      <c r="M22" s="145" t="str">
        <f ca="1">IFERROR(IF(E22=TRUE,"      PAU",IF(G22="WN",IF(VLOOKUP(I22,setca[],12,0)=0,"-",VLOOKUP(I22,setca[],12,0)*1.12),IF(VLOOKUP(I22,setca[],12,0)=0,"-",VLOOKUP(I22,setca[],12,0)))),"")</f>
        <v/>
      </c>
      <c r="N22" s="145" t="str">
        <f ca="1">IFERROR(IF(E22=TRUE,"SE         ",IF(G22="WN",IF(VLOOKUP(I22,setca[],13,0)=0,"-",VLOOKUP(I22,setca[],13,0)*1.12),IF(VLOOKUP(I22,setca[],13,0)=0,"-",VLOOKUP(I22,setca[],13,0)))),"")</f>
        <v/>
      </c>
      <c r="O22" s="161"/>
      <c r="P22" s="163"/>
      <c r="Q22" s="163"/>
      <c r="R22" s="163"/>
      <c r="S22" s="163"/>
      <c r="T22" s="163"/>
      <c r="U22" s="163"/>
      <c r="V22" s="125"/>
      <c r="W22" s="125"/>
      <c r="X22" s="163"/>
      <c r="Y22" s="125"/>
      <c r="Z22" s="125"/>
      <c r="AA22" s="125"/>
      <c r="AB22" s="125"/>
      <c r="AC22" s="125"/>
      <c r="AD22" s="125"/>
      <c r="AE22" s="125"/>
      <c r="AF22" s="125"/>
      <c r="AG22" s="125"/>
      <c r="AH22" s="166"/>
      <c r="AI22" s="166"/>
      <c r="AJ22" s="219">
        <v>1</v>
      </c>
      <c r="AK22" s="126"/>
    </row>
    <row r="23" spans="1:37" ht="12.95" customHeight="1" x14ac:dyDescent="0.25">
      <c r="A23" s="124" t="str">
        <f t="array" aca="1" ref="A23" ca="1">IFERROR(INDEX($F$39:$F$238,MATCH(0,IF(TRUE=setca[28],0,1)+COUNTIF($F$38:F60,$F$39:$F$238),0)),"")</f>
        <v/>
      </c>
      <c r="B23" s="206" t="str">
        <f ca="1">IFERROR(VLOOKUP(I23,setca[],3,0),"")</f>
        <v/>
      </c>
      <c r="C23" s="126" t="str">
        <f t="shared" ca="1" si="1"/>
        <v/>
      </c>
      <c r="D23" s="134" t="str">
        <f ca="1">IFERROR(VLOOKUP(I23,setca[],22,0)&lt;IF(M23="-",0,M23),"")</f>
        <v/>
      </c>
      <c r="E23" s="134" t="str">
        <f ca="1">IFERROR(AND(C23=TRUE,VLOOKUP(I23,setca[],25,0)=TRUE,H23=FALSE,VLOOKUP(I23,setca[],18,0)=FALSE),"")</f>
        <v/>
      </c>
      <c r="F23" s="133" t="e">
        <f ca="1">VLOOKUP(I23,setca[],18,0)</f>
        <v>#N/A</v>
      </c>
      <c r="G23" s="133" t="str">
        <f ca="1">IFERROR(VLOOKUP(I23,setca[],5,0),"")</f>
        <v/>
      </c>
      <c r="H23" s="126" t="str">
        <f ca="1">IFERROR(VLOOKUP(I23,setca[],17,0),"")</f>
        <v/>
      </c>
      <c r="I23" s="209" t="str">
        <f t="array" aca="1" ref="I23" ca="1">IFERROR(INDEX($A$1:$A$238,SMALL(IF(SMALL(IF(COUNTIF($I$2:I22,$A$1:$A$238)=0,COUNTIF($A$1:$A$108,"&lt;"&amp;$A$1:$A$238)+1,""),1)=COUNTIF($A$1:$A$238,"&lt;"&amp;$A$1:$A$238)+1,ROW($A$1:$A$238)-MIN(ROW($A$1:$A$238))+1),1)),"")</f>
        <v/>
      </c>
      <c r="J23" s="142" t="str">
        <f ca="1">IFERROR(VLOOKUP(I23,setca[],3,0),"")</f>
        <v/>
      </c>
      <c r="K23" s="140" t="str">
        <f ca="1">IFERROR( IF(AND(VLOOKUP(I23,setca[],18,0)=TRUE,C23=FALSE)," ✓"&amp;VLOOKUP(I23,setca[],24,0),VLOOKUP(I23,setca[],24,0)),"")</f>
        <v/>
      </c>
      <c r="L23" s="141" t="str">
        <f ca="1">IFERROR(IF(E23=TRUE,"["&amp;IF(H23=TRUE,VLOOKUP(I23,setca[],15,0),TEXT(IFERROR(IF(HOUR($C$36)&lt;HOUR(J23),$C$36-(J23+(TODAY()-1)),$C$36-J23),""),"ч:мм"))&amp;"]",IF(C23=FALSE,IF(H23=TRUE,VLOOKUP(I23,setca[],15,0),"-"&amp;TEXT(B23-TIME(HOUR($C$36),MINUTE($C$36),0),"ч:мм")),IF(H23=TRUE,VLOOKUP(I23,setca[],15,0),TEXT(IFERROR(IF(HOUR($C$36)&lt;HOUR(J23),$C$36-(J23+(TODAY()-1)),$C$36-J23),""),"ч:мм")))),"")</f>
        <v/>
      </c>
      <c r="M23" s="145" t="str">
        <f ca="1">IFERROR(IF(E23=TRUE,"      PAU",IF(G23="WN",IF(VLOOKUP(I23,setca[],12,0)=0,"-",VLOOKUP(I23,setca[],12,0)*1.12),IF(VLOOKUP(I23,setca[],12,0)=0,"-",VLOOKUP(I23,setca[],12,0)))),"")</f>
        <v/>
      </c>
      <c r="N23" s="145" t="str">
        <f ca="1">IFERROR(IF(E23=TRUE,"SE         ",IF(G23="WN",IF(VLOOKUP(I23,setca[],13,0)=0,"-",VLOOKUP(I23,setca[],13,0)*1.12),IF(VLOOKUP(I23,setca[],13,0)=0,"-",VLOOKUP(I23,setca[],13,0)))),"")</f>
        <v/>
      </c>
      <c r="O23" s="211"/>
      <c r="P23" s="212"/>
      <c r="Q23" s="212"/>
      <c r="R23" s="212"/>
      <c r="S23" s="212"/>
      <c r="T23" s="212"/>
      <c r="U23" s="212"/>
      <c r="V23" s="212"/>
      <c r="W23" s="212"/>
      <c r="X23" s="212"/>
      <c r="Y23" s="212"/>
      <c r="Z23" s="212"/>
      <c r="AA23" s="212"/>
      <c r="AB23" s="212"/>
      <c r="AC23" s="212"/>
      <c r="AD23" s="212"/>
      <c r="AE23" s="212"/>
      <c r="AF23" s="212"/>
      <c r="AG23" s="212"/>
      <c r="AH23" s="153"/>
      <c r="AI23" s="153"/>
      <c r="AJ23" s="219">
        <v>2</v>
      </c>
      <c r="AK23" s="126"/>
    </row>
    <row r="24" spans="1:37" ht="12.95" customHeight="1" x14ac:dyDescent="0.25">
      <c r="A24" s="124" t="str">
        <f t="array" aca="1" ref="A24" ca="1">IFERROR(INDEX($F$39:$F$238,MATCH(0,IF(TRUE=setca[28],0,1)+COUNTIF($F$38:F61,$F$39:$F$238),0)),"")</f>
        <v/>
      </c>
      <c r="B24" s="206" t="str">
        <f ca="1">IFERROR(VLOOKUP(I24,setca[],3,0),"")</f>
        <v/>
      </c>
      <c r="C24" s="126" t="str">
        <f t="shared" ca="1" si="1"/>
        <v/>
      </c>
      <c r="D24" s="134" t="str">
        <f ca="1">IFERROR(VLOOKUP(I24,setca[],22,0)&lt;IF(M24="-",0,M24),"")</f>
        <v/>
      </c>
      <c r="E24" s="134" t="str">
        <f ca="1">IFERROR(AND(C24=TRUE,VLOOKUP(I24,setca[],25,0)=TRUE,H24=FALSE,VLOOKUP(I24,setca[],18,0)=FALSE),"")</f>
        <v/>
      </c>
      <c r="F24" s="133" t="e">
        <f ca="1">VLOOKUP(I24,setca[],18,0)</f>
        <v>#N/A</v>
      </c>
      <c r="G24" s="133" t="str">
        <f ca="1">IFERROR(VLOOKUP(I24,setca[],5,0),"")</f>
        <v/>
      </c>
      <c r="H24" s="126" t="str">
        <f ca="1">IFERROR(VLOOKUP(I24,setca[],17,0),"")</f>
        <v/>
      </c>
      <c r="I24" s="208" t="str">
        <f t="array" aca="1" ref="I24" ca="1">IFERROR(INDEX($A$1:$A$238,SMALL(IF(SMALL(IF(COUNTIF($I$2:I23,$A$1:$A$238)=0,COUNTIF($A$1:$A$108,"&lt;"&amp;$A$1:$A$238)+1,""),1)=COUNTIF($A$1:$A$238,"&lt;"&amp;$A$1:$A$238)+1,ROW($A$1:$A$238)-MIN(ROW($A$1:$A$238))+1),1)),"")</f>
        <v/>
      </c>
      <c r="J24" s="160" t="str">
        <f ca="1">IFERROR(VLOOKUP(I24,setca[],3,0),"")</f>
        <v/>
      </c>
      <c r="K24" s="140" t="str">
        <f ca="1">IFERROR( IF(AND(VLOOKUP(I24,setca[],18,0)=TRUE,C24=FALSE)," ✓"&amp;VLOOKUP(I24,setca[],24,0),VLOOKUP(I24,setca[],24,0)),"")</f>
        <v/>
      </c>
      <c r="L24" s="141" t="str">
        <f ca="1">IFERROR(IF(E24=TRUE,"["&amp;IF(H24=TRUE,VLOOKUP(I24,setca[],15,0),TEXT(IFERROR(IF(HOUR($C$36)&lt;HOUR(J24),$C$36-(J24+(TODAY()-1)),$C$36-J24),""),"ч:мм"))&amp;"]",IF(C24=FALSE,IF(H24=TRUE,VLOOKUP(I24,setca[],15,0),"-"&amp;TEXT(B24-TIME(HOUR($C$36),MINUTE($C$36),0),"ч:мм")),IF(H24=TRUE,VLOOKUP(I24,setca[],15,0),TEXT(IFERROR(IF(HOUR($C$36)&lt;HOUR(J24),$C$36-(J24+(TODAY()-1)),$C$36-J24),""),"ч:мм")))),"")</f>
        <v/>
      </c>
      <c r="M24" s="145" t="str">
        <f ca="1">IFERROR(IF(E24=TRUE,"      PAU",IF(G24="WN",IF(VLOOKUP(I24,setca[],12,0)=0,"-",VLOOKUP(I24,setca[],12,0)*1.12),IF(VLOOKUP(I24,setca[],12,0)=0,"-",VLOOKUP(I24,setca[],12,0)))),"")</f>
        <v/>
      </c>
      <c r="N24" s="145" t="str">
        <f ca="1">IFERROR(IF(E24=TRUE,"SE         ",IF(G24="WN",IF(VLOOKUP(I24,setca[],13,0)=0,"-",VLOOKUP(I24,setca[],13,0)*1.12),IF(VLOOKUP(I24,setca[],13,0)=0,"-",VLOOKUP(I24,setca[],13,0)))),"")</f>
        <v/>
      </c>
      <c r="O24" s="161"/>
      <c r="P24" s="163"/>
      <c r="Q24" s="163"/>
      <c r="R24" s="163"/>
      <c r="S24" s="163"/>
      <c r="T24" s="163"/>
      <c r="U24" s="163"/>
      <c r="V24" s="125"/>
      <c r="W24" s="125"/>
      <c r="X24" s="163"/>
      <c r="Y24" s="125"/>
      <c r="Z24" s="125"/>
      <c r="AA24" s="125"/>
      <c r="AB24" s="125"/>
      <c r="AC24" s="125"/>
      <c r="AD24" s="125"/>
      <c r="AE24" s="125"/>
      <c r="AF24" s="125"/>
      <c r="AG24" s="125"/>
      <c r="AH24" s="166"/>
      <c r="AI24" s="166"/>
      <c r="AJ24" s="219">
        <v>1</v>
      </c>
      <c r="AK24" s="126"/>
    </row>
    <row r="25" spans="1:37" ht="12.95" customHeight="1" x14ac:dyDescent="0.25">
      <c r="A25" s="124" t="str">
        <f t="array" aca="1" ref="A25" ca="1">IFERROR(INDEX($F$39:$F$238,MATCH(0,IF(TRUE=setca[28],0,1)+COUNTIF($F$38:F62,$F$39:$F$238),0)),"")</f>
        <v/>
      </c>
      <c r="B25" s="206" t="str">
        <f ca="1">IFERROR(VLOOKUP(I25,setca[],3,0),"")</f>
        <v/>
      </c>
      <c r="C25" s="126" t="str">
        <f t="shared" ca="1" si="1"/>
        <v/>
      </c>
      <c r="D25" s="134" t="str">
        <f ca="1">IFERROR(VLOOKUP(I25,setca[],22,0)&lt;IF(M25="-",0,M25),"")</f>
        <v/>
      </c>
      <c r="E25" s="134" t="str">
        <f ca="1">IFERROR(AND(C25=TRUE,VLOOKUP(I25,setca[],25,0)=TRUE,H25=FALSE,VLOOKUP(I25,setca[],18,0)=FALSE),"")</f>
        <v/>
      </c>
      <c r="F25" s="133" t="e">
        <f ca="1">VLOOKUP(I25,setca[],18,0)</f>
        <v>#N/A</v>
      </c>
      <c r="G25" s="133" t="str">
        <f ca="1">IFERROR(VLOOKUP(I25,setca[],5,0),"")</f>
        <v/>
      </c>
      <c r="H25" s="126" t="str">
        <f ca="1">IFERROR(VLOOKUP(I25,setca[],17,0),"")</f>
        <v/>
      </c>
      <c r="I25" s="209" t="str">
        <f t="array" aca="1" ref="I25" ca="1">IFERROR(INDEX($A$1:$A$238,SMALL(IF(SMALL(IF(COUNTIF($I$2:I24,$A$1:$A$238)=0,COUNTIF($A$1:$A$108,"&lt;"&amp;$A$1:$A$238)+1,""),1)=COUNTIF($A$1:$A$238,"&lt;"&amp;$A$1:$A$238)+1,ROW($A$1:$A$238)-MIN(ROW($A$1:$A$238))+1),1)),"")</f>
        <v/>
      </c>
      <c r="J25" s="142" t="str">
        <f ca="1">IFERROR(VLOOKUP(I25,setca[],3,0),"")</f>
        <v/>
      </c>
      <c r="K25" s="140" t="str">
        <f ca="1">IFERROR( IF(AND(VLOOKUP(I25,setca[],18,0)=TRUE,C25=FALSE)," ✓"&amp;VLOOKUP(I25,setca[],24,0),VLOOKUP(I25,setca[],24,0)),"")</f>
        <v/>
      </c>
      <c r="L25" s="141" t="str">
        <f ca="1">IFERROR(IF(E25=TRUE,"["&amp;IF(H25=TRUE,VLOOKUP(I25,setca[],15,0),TEXT(IFERROR(IF(HOUR($C$36)&lt;HOUR(J25),$C$36-(J25+(TODAY()-1)),$C$36-J25),""),"ч:мм"))&amp;"]",IF(C25=FALSE,IF(H25=TRUE,VLOOKUP(I25,setca[],15,0),"-"&amp;TEXT(B25-TIME(HOUR($C$36),MINUTE($C$36),0),"ч:мм")),IF(H25=TRUE,VLOOKUP(I25,setca[],15,0),TEXT(IFERROR(IF(HOUR($C$36)&lt;HOUR(J25),$C$36-(J25+(TODAY()-1)),$C$36-J25),""),"ч:мм")))),"")</f>
        <v/>
      </c>
      <c r="M25" s="145" t="str">
        <f ca="1">IFERROR(IF(E25=TRUE,"      PAU",IF(G25="WN",IF(VLOOKUP(I25,setca[],12,0)=0,"-",VLOOKUP(I25,setca[],12,0)*1.12),IF(VLOOKUP(I25,setca[],12,0)=0,"-",VLOOKUP(I25,setca[],12,0)))),"")</f>
        <v/>
      </c>
      <c r="N25" s="145" t="str">
        <f ca="1">IFERROR(IF(E25=TRUE,"SE         ",IF(G25="WN",IF(VLOOKUP(I25,setca[],13,0)=0,"-",VLOOKUP(I25,setca[],13,0)*1.12),IF(VLOOKUP(I25,setca[],13,0)=0,"-",VLOOKUP(I25,setca[],13,0)))),"")</f>
        <v/>
      </c>
      <c r="O25" s="211"/>
      <c r="P25" s="212"/>
      <c r="Q25" s="212"/>
      <c r="R25" s="212"/>
      <c r="S25" s="212"/>
      <c r="T25" s="212"/>
      <c r="U25" s="212"/>
      <c r="V25" s="212"/>
      <c r="W25" s="212"/>
      <c r="X25" s="212"/>
      <c r="Y25" s="212"/>
      <c r="Z25" s="212"/>
      <c r="AA25" s="212"/>
      <c r="AB25" s="212"/>
      <c r="AC25" s="212"/>
      <c r="AD25" s="212"/>
      <c r="AE25" s="212"/>
      <c r="AF25" s="212"/>
      <c r="AG25" s="212"/>
      <c r="AH25" s="153"/>
      <c r="AI25" s="153"/>
      <c r="AJ25" s="219">
        <v>2</v>
      </c>
      <c r="AK25" s="126"/>
    </row>
    <row r="26" spans="1:37" ht="12.95" customHeight="1" x14ac:dyDescent="0.25">
      <c r="A26" s="124" t="str">
        <f t="array" aca="1" ref="A26" ca="1">IFERROR(INDEX($F$39:$F$238,MATCH(0,IF(TRUE=setca[28],0,1)+COUNTIF($F$38:F63,$F$39:$F$238),0)),"")</f>
        <v/>
      </c>
      <c r="B26" s="206" t="str">
        <f ca="1">IFERROR(VLOOKUP(I26,setca[],3,0),"")</f>
        <v/>
      </c>
      <c r="C26" s="126" t="str">
        <f t="shared" ca="1" si="1"/>
        <v/>
      </c>
      <c r="D26" s="134" t="str">
        <f ca="1">IFERROR(VLOOKUP(I26,setca[],22,0)&lt;IF(M26="-",0,M26),"")</f>
        <v/>
      </c>
      <c r="E26" s="134" t="str">
        <f ca="1">IFERROR(AND(C26=TRUE,VLOOKUP(I26,setca[],25,0)=TRUE,H26=FALSE,VLOOKUP(I26,setca[],18,0)=FALSE),"")</f>
        <v/>
      </c>
      <c r="F26" s="133" t="e">
        <f ca="1">VLOOKUP(I26,setca[],18,0)</f>
        <v>#N/A</v>
      </c>
      <c r="G26" s="133" t="str">
        <f ca="1">IFERROR(VLOOKUP(I26,setca[],5,0),"")</f>
        <v/>
      </c>
      <c r="H26" s="126" t="str">
        <f ca="1">IFERROR(VLOOKUP(I26,setca[],17,0),"")</f>
        <v/>
      </c>
      <c r="I26" s="208" t="str">
        <f t="array" aca="1" ref="I26" ca="1">IFERROR(INDEX($A$1:$A$238,SMALL(IF(SMALL(IF(COUNTIF($I$2:I25,$A$1:$A$238)=0,COUNTIF($A$1:$A$108,"&lt;"&amp;$A$1:$A$238)+1,""),1)=COUNTIF($A$1:$A$238,"&lt;"&amp;$A$1:$A$238)+1,ROW($A$1:$A$238)-MIN(ROW($A$1:$A$238))+1),1)),"")</f>
        <v/>
      </c>
      <c r="J26" s="160" t="str">
        <f ca="1">IFERROR(VLOOKUP(I26,setca[],3,0),"")</f>
        <v/>
      </c>
      <c r="K26" s="140" t="str">
        <f ca="1">IFERROR( IF(AND(VLOOKUP(I26,setca[],18,0)=TRUE,C26=FALSE)," ✓"&amp;VLOOKUP(I26,setca[],24,0),VLOOKUP(I26,setca[],24,0)),"")</f>
        <v/>
      </c>
      <c r="L26" s="141" t="str">
        <f ca="1">IFERROR(IF(E26=TRUE,"["&amp;IF(H26=TRUE,VLOOKUP(I26,setca[],15,0),TEXT(IFERROR(IF(HOUR($C$36)&lt;HOUR(J26),$C$36-(J26+(TODAY()-1)),$C$36-J26),""),"ч:мм"))&amp;"]",IF(C26=FALSE,IF(H26=TRUE,VLOOKUP(I26,setca[],15,0),"-"&amp;TEXT(B26-TIME(HOUR($C$36),MINUTE($C$36),0),"ч:мм")),IF(H26=TRUE,VLOOKUP(I26,setca[],15,0),TEXT(IFERROR(IF(HOUR($C$36)&lt;HOUR(J26),$C$36-(J26+(TODAY()-1)),$C$36-J26),""),"ч:мм")))),"")</f>
        <v/>
      </c>
      <c r="M26" s="145" t="str">
        <f ca="1">IFERROR(IF(E26=TRUE,"      PAU",IF(G26="WN",IF(VLOOKUP(I26,setca[],12,0)=0,"-",VLOOKUP(I26,setca[],12,0)*1.12),IF(VLOOKUP(I26,setca[],12,0)=0,"-",VLOOKUP(I26,setca[],12,0)))),"")</f>
        <v/>
      </c>
      <c r="N26" s="145" t="str">
        <f ca="1">IFERROR(IF(E26=TRUE,"SE         ",IF(G26="WN",IF(VLOOKUP(I26,setca[],13,0)=0,"-",VLOOKUP(I26,setca[],13,0)*1.12),IF(VLOOKUP(I26,setca[],13,0)=0,"-",VLOOKUP(I26,setca[],13,0)))),"")</f>
        <v/>
      </c>
      <c r="O26" s="161"/>
      <c r="P26" s="163"/>
      <c r="Q26" s="163"/>
      <c r="R26" s="163"/>
      <c r="S26" s="163"/>
      <c r="T26" s="163"/>
      <c r="U26" s="163"/>
      <c r="V26" s="125"/>
      <c r="W26" s="125"/>
      <c r="X26" s="163"/>
      <c r="Y26" s="125"/>
      <c r="Z26" s="125"/>
      <c r="AA26" s="125"/>
      <c r="AB26" s="125"/>
      <c r="AC26" s="125"/>
      <c r="AD26" s="125"/>
      <c r="AE26" s="125"/>
      <c r="AF26" s="125"/>
      <c r="AG26" s="125"/>
      <c r="AH26" s="166"/>
      <c r="AI26" s="166"/>
      <c r="AJ26" s="219">
        <v>1</v>
      </c>
      <c r="AK26" s="126"/>
    </row>
    <row r="27" spans="1:37" ht="12.95" customHeight="1" x14ac:dyDescent="0.25">
      <c r="A27" s="124" t="str">
        <f t="array" aca="1" ref="A27" ca="1">IFERROR(INDEX($F$39:$F$238,MATCH(0,IF(TRUE=setca[28],0,1)+COUNTIF($F$38:F64,$F$39:$F$238),0)),"")</f>
        <v/>
      </c>
      <c r="B27" s="206" t="str">
        <f ca="1">IFERROR(VLOOKUP(I27,setca[],3,0),"")</f>
        <v/>
      </c>
      <c r="C27" s="126" t="str">
        <f t="shared" ca="1" si="1"/>
        <v/>
      </c>
      <c r="D27" s="134" t="str">
        <f ca="1">IFERROR(VLOOKUP(I27,setca[],22,0)&lt;IF(M27="-",0,M27),"")</f>
        <v/>
      </c>
      <c r="E27" s="134" t="str">
        <f ca="1">IFERROR(AND(C27=TRUE,VLOOKUP(I27,setca[],25,0)=TRUE,H27=FALSE,VLOOKUP(I27,setca[],18,0)=FALSE),"")</f>
        <v/>
      </c>
      <c r="F27" s="133" t="e">
        <f ca="1">VLOOKUP(I27,setca[],18,0)</f>
        <v>#N/A</v>
      </c>
      <c r="G27" s="133" t="str">
        <f ca="1">IFERROR(VLOOKUP(I27,setca[],5,0),"")</f>
        <v/>
      </c>
      <c r="H27" s="126" t="str">
        <f ca="1">IFERROR(VLOOKUP(I27,setca[],17,0),"")</f>
        <v/>
      </c>
      <c r="I27" s="209" t="str">
        <f t="array" aca="1" ref="I27" ca="1">IFERROR(INDEX($A$1:$A$238,SMALL(IF(SMALL(IF(COUNTIF($I$2:I26,$A$1:$A$238)=0,COUNTIF($A$1:$A$108,"&lt;"&amp;$A$1:$A$238)+1,""),1)=COUNTIF($A$1:$A$238,"&lt;"&amp;$A$1:$A$238)+1,ROW($A$1:$A$238)-MIN(ROW($A$1:$A$238))+1),1)),"")</f>
        <v/>
      </c>
      <c r="J27" s="142" t="str">
        <f ca="1">IFERROR(VLOOKUP(I27,setca[],3,0),"")</f>
        <v/>
      </c>
      <c r="K27" s="140" t="str">
        <f ca="1">IFERROR( IF(AND(VLOOKUP(I27,setca[],18,0)=TRUE,C27=FALSE)," ✓"&amp;VLOOKUP(I27,setca[],24,0),VLOOKUP(I27,setca[],24,0)),"")</f>
        <v/>
      </c>
      <c r="L27" s="141" t="str">
        <f ca="1">IFERROR(IF(E27=TRUE,"["&amp;IF(H27=TRUE,VLOOKUP(I27,setca[],15,0),TEXT(IFERROR(IF(HOUR($C$36)&lt;HOUR(J27),$C$36-(J27+(TODAY()-1)),$C$36-J27),""),"ч:мм"))&amp;"]",IF(C27=FALSE,IF(H27=TRUE,VLOOKUP(I27,setca[],15,0),"-"&amp;TEXT(B27-TIME(HOUR($C$36),MINUTE($C$36),0),"ч:мм")),IF(H27=TRUE,VLOOKUP(I27,setca[],15,0),TEXT(IFERROR(IF(HOUR($C$36)&lt;HOUR(J27),$C$36-(J27+(TODAY()-1)),$C$36-J27),""),"ч:мм")))),"")</f>
        <v/>
      </c>
      <c r="M27" s="145" t="str">
        <f ca="1">IFERROR(IF(E27=TRUE,"      PAU",IF(G27="WN",IF(VLOOKUP(I27,setca[],12,0)=0,"-",VLOOKUP(I27,setca[],12,0)*1.12),IF(VLOOKUP(I27,setca[],12,0)=0,"-",VLOOKUP(I27,setca[],12,0)))),"")</f>
        <v/>
      </c>
      <c r="N27" s="145" t="str">
        <f ca="1">IFERROR(IF(E27=TRUE,"SE         ",IF(G27="WN",IF(VLOOKUP(I27,setca[],13,0)=0,"-",VLOOKUP(I27,setca[],13,0)*1.12),IF(VLOOKUP(I27,setca[],13,0)=0,"-",VLOOKUP(I27,setca[],13,0)))),"")</f>
        <v/>
      </c>
      <c r="O27" s="211"/>
      <c r="P27" s="212"/>
      <c r="Q27" s="212"/>
      <c r="R27" s="212"/>
      <c r="S27" s="212"/>
      <c r="T27" s="212"/>
      <c r="U27" s="212"/>
      <c r="V27" s="212"/>
      <c r="W27" s="212"/>
      <c r="X27" s="212"/>
      <c r="Y27" s="212"/>
      <c r="Z27" s="212"/>
      <c r="AA27" s="212"/>
      <c r="AB27" s="212"/>
      <c r="AC27" s="212"/>
      <c r="AD27" s="212"/>
      <c r="AE27" s="212"/>
      <c r="AF27" s="212"/>
      <c r="AG27" s="212"/>
      <c r="AH27" s="153"/>
      <c r="AI27" s="153"/>
      <c r="AJ27" s="219">
        <v>2</v>
      </c>
      <c r="AK27" s="126"/>
    </row>
    <row r="28" spans="1:37" ht="12.95" customHeight="1" x14ac:dyDescent="0.25">
      <c r="A28" s="124" t="str">
        <f t="array" aca="1" ref="A28" ca="1">IFERROR(INDEX($F$39:$F$238,MATCH(0,IF(TRUE=setca[28],0,1)+COUNTIF($F$38:F65,$F$39:$F$238),0)),"")</f>
        <v/>
      </c>
      <c r="B28" s="206" t="str">
        <f ca="1">IFERROR(VLOOKUP(I28,setca[],3,0),"")</f>
        <v/>
      </c>
      <c r="C28" s="126" t="str">
        <f t="shared" ca="1" si="1"/>
        <v/>
      </c>
      <c r="D28" s="134" t="str">
        <f ca="1">IFERROR(VLOOKUP(I28,setca[],22,0)&lt;IF(M28="-",0,M28),"")</f>
        <v/>
      </c>
      <c r="E28" s="134" t="str">
        <f ca="1">IFERROR(AND(C28=TRUE,VLOOKUP(I28,setca[],25,0)=TRUE,H28=FALSE,VLOOKUP(I28,setca[],18,0)=FALSE),"")</f>
        <v/>
      </c>
      <c r="F28" s="133" t="e">
        <f ca="1">VLOOKUP(I28,setca[],18,0)</f>
        <v>#N/A</v>
      </c>
      <c r="G28" s="133" t="str">
        <f ca="1">IFERROR(VLOOKUP(I28,setca[],5,0),"")</f>
        <v/>
      </c>
      <c r="H28" s="126" t="str">
        <f ca="1">IFERROR(VLOOKUP(I28,setca[],17,0),"")</f>
        <v/>
      </c>
      <c r="I28" s="208" t="str">
        <f t="array" aca="1" ref="I28" ca="1">IFERROR(INDEX($A$1:$A$238,SMALL(IF(SMALL(IF(COUNTIF($I$2:I27,$A$1:$A$238)=0,COUNTIF($A$1:$A$108,"&lt;"&amp;$A$1:$A$238)+1,""),1)=COUNTIF($A$1:$A$238,"&lt;"&amp;$A$1:$A$238)+1,ROW($A$1:$A$238)-MIN(ROW($A$1:$A$238))+1),1)),"")</f>
        <v/>
      </c>
      <c r="J28" s="160" t="str">
        <f ca="1">IFERROR(VLOOKUP(I28,setca[],3,0),"")</f>
        <v/>
      </c>
      <c r="K28" s="140" t="str">
        <f ca="1">IFERROR( IF(AND(VLOOKUP(I28,setca[],18,0)=TRUE,C28=FALSE)," ✓"&amp;VLOOKUP(I28,setca[],24,0),VLOOKUP(I28,setca[],24,0)),"")</f>
        <v/>
      </c>
      <c r="L28" s="141" t="str">
        <f ca="1">IFERROR(IF(E28=TRUE,"["&amp;IF(H28=TRUE,VLOOKUP(I28,setca[],15,0),TEXT(IFERROR(IF(HOUR($C$36)&lt;HOUR(J28),$C$36-(J28+(TODAY()-1)),$C$36-J28),""),"ч:мм"))&amp;"]",IF(C28=FALSE,IF(H28=TRUE,VLOOKUP(I28,setca[],15,0),"-"&amp;TEXT(B28-TIME(HOUR($C$36),MINUTE($C$36),0),"ч:мм")),IF(H28=TRUE,VLOOKUP(I28,setca[],15,0),TEXT(IFERROR(IF(HOUR($C$36)&lt;HOUR(J28),$C$36-(J28+(TODAY()-1)),$C$36-J28),""),"ч:мм")))),"")</f>
        <v/>
      </c>
      <c r="M28" s="145" t="str">
        <f ca="1">IFERROR(IF(E28=TRUE,"      PAU",IF(G28="WN",IF(VLOOKUP(I28,setca[],12,0)=0,"-",VLOOKUP(I28,setca[],12,0)*1.12),IF(VLOOKUP(I28,setca[],12,0)=0,"-",VLOOKUP(I28,setca[],12,0)))),"")</f>
        <v/>
      </c>
      <c r="N28" s="145" t="str">
        <f ca="1">IFERROR(IF(E28=TRUE,"SE         ",IF(G28="WN",IF(VLOOKUP(I28,setca[],13,0)=0,"-",VLOOKUP(I28,setca[],13,0)*1.12),IF(VLOOKUP(I28,setca[],13,0)=0,"-",VLOOKUP(I28,setca[],13,0)))),"")</f>
        <v/>
      </c>
      <c r="O28" s="161"/>
      <c r="P28" s="163"/>
      <c r="Q28" s="163"/>
      <c r="R28" s="163"/>
      <c r="S28" s="163"/>
      <c r="T28" s="163"/>
      <c r="U28" s="163"/>
      <c r="V28" s="125"/>
      <c r="W28" s="125"/>
      <c r="X28" s="163"/>
      <c r="Y28" s="125"/>
      <c r="Z28" s="125"/>
      <c r="AA28" s="125"/>
      <c r="AB28" s="125"/>
      <c r="AC28" s="125"/>
      <c r="AD28" s="125"/>
      <c r="AE28" s="125"/>
      <c r="AF28" s="125"/>
      <c r="AG28" s="125"/>
      <c r="AH28" s="166"/>
      <c r="AI28" s="166"/>
      <c r="AJ28" s="219">
        <v>1</v>
      </c>
      <c r="AK28" s="126"/>
    </row>
    <row r="29" spans="1:37" ht="12.95" customHeight="1" x14ac:dyDescent="0.25">
      <c r="A29" s="124" t="str">
        <f t="array" aca="1" ref="A29" ca="1">IFERROR(INDEX($F$39:$F$238,MATCH(0,IF(TRUE=setca[28],0,1)+COUNTIF($F$38:F66,$F$39:$F$238),0)),"")</f>
        <v/>
      </c>
      <c r="B29" s="206" t="str">
        <f ca="1">IFERROR(VLOOKUP(I29,setca[],3,0),"")</f>
        <v/>
      </c>
      <c r="C29" s="126" t="str">
        <f t="shared" ca="1" si="1"/>
        <v/>
      </c>
      <c r="D29" s="134" t="str">
        <f ca="1">IFERROR(VLOOKUP(I29,setca[],22,0)&lt;IF(M29="-",0,M29),"")</f>
        <v/>
      </c>
      <c r="E29" s="134" t="str">
        <f ca="1">IFERROR(AND(C29=TRUE,VLOOKUP(I29,setca[],25,0)=TRUE,H29=FALSE,VLOOKUP(I29,setca[],18,0)=FALSE),"")</f>
        <v/>
      </c>
      <c r="F29" s="133" t="e">
        <f ca="1">VLOOKUP(I29,setca[],18,0)</f>
        <v>#N/A</v>
      </c>
      <c r="G29" s="133" t="str">
        <f ca="1">IFERROR(VLOOKUP(I29,setca[],5,0),"")</f>
        <v/>
      </c>
      <c r="H29" s="126" t="str">
        <f ca="1">IFERROR(VLOOKUP(I29,setca[],17,0),"")</f>
        <v/>
      </c>
      <c r="I29" s="209" t="str">
        <f t="array" aca="1" ref="I29" ca="1">IFERROR(INDEX($A$1:$A$238,SMALL(IF(SMALL(IF(COUNTIF($I$2:I28,$A$1:$A$238)=0,COUNTIF($A$1:$A$108,"&lt;"&amp;$A$1:$A$238)+1,""),1)=COUNTIF($A$1:$A$238,"&lt;"&amp;$A$1:$A$238)+1,ROW($A$1:$A$238)-MIN(ROW($A$1:$A$238))+1),1)),"")</f>
        <v/>
      </c>
      <c r="J29" s="142" t="str">
        <f ca="1">IFERROR(VLOOKUP(I29,setca[],3,0),"")</f>
        <v/>
      </c>
      <c r="K29" s="140" t="str">
        <f ca="1">IFERROR( IF(AND(VLOOKUP(I29,setca[],18,0)=TRUE,C29=FALSE)," ✓"&amp;VLOOKUP(I29,setca[],24,0),VLOOKUP(I29,setca[],24,0)),"")</f>
        <v/>
      </c>
      <c r="L29" s="141" t="str">
        <f ca="1">IFERROR(IF(E29=TRUE,"["&amp;IF(H29=TRUE,VLOOKUP(I29,setca[],15,0),TEXT(IFERROR(IF(HOUR($C$36)&lt;HOUR(J29),$C$36-(J29+(TODAY()-1)),$C$36-J29),""),"ч:мм"))&amp;"]",IF(C29=FALSE,IF(H29=TRUE,VLOOKUP(I29,setca[],15,0),"-"&amp;TEXT(B29-TIME(HOUR($C$36),MINUTE($C$36),0),"ч:мм")),IF(H29=TRUE,VLOOKUP(I29,setca[],15,0),TEXT(IFERROR(IF(HOUR($C$36)&lt;HOUR(J29),$C$36-(J29+(TODAY()-1)),$C$36-J29),""),"ч:мм")))),"")</f>
        <v/>
      </c>
      <c r="M29" s="145" t="str">
        <f ca="1">IFERROR(IF(E29=TRUE,"      PAU",IF(G29="WN",IF(VLOOKUP(I29,setca[],12,0)=0,"-",VLOOKUP(I29,setca[],12,0)*1.12),IF(VLOOKUP(I29,setca[],12,0)=0,"-",VLOOKUP(I29,setca[],12,0)))),"")</f>
        <v/>
      </c>
      <c r="N29" s="145" t="str">
        <f ca="1">IFERROR(IF(E29=TRUE,"SE         ",IF(G29="WN",IF(VLOOKUP(I29,setca[],13,0)=0,"-",VLOOKUP(I29,setca[],13,0)*1.12),IF(VLOOKUP(I29,setca[],13,0)=0,"-",VLOOKUP(I29,setca[],13,0)))),"")</f>
        <v/>
      </c>
      <c r="O29" s="211"/>
      <c r="P29" s="215" t="s">
        <v>144</v>
      </c>
      <c r="Q29" s="259" t="b">
        <v>0</v>
      </c>
      <c r="R29" s="259"/>
      <c r="S29" s="212"/>
      <c r="T29" s="212"/>
      <c r="U29" s="212"/>
      <c r="V29" s="212"/>
      <c r="W29" s="212"/>
      <c r="X29" s="212"/>
      <c r="Y29" s="212"/>
      <c r="Z29" s="212"/>
      <c r="AA29" s="212"/>
      <c r="AB29" s="212"/>
      <c r="AC29" s="212"/>
      <c r="AD29" s="212"/>
      <c r="AE29" s="212"/>
      <c r="AF29" s="212"/>
      <c r="AG29" s="212"/>
      <c r="AH29" s="153"/>
      <c r="AI29" s="153"/>
      <c r="AJ29" s="219">
        <v>2</v>
      </c>
      <c r="AK29" s="126"/>
    </row>
    <row r="30" spans="1:37" ht="12.95" customHeight="1" x14ac:dyDescent="0.25">
      <c r="A30" s="124" t="str">
        <f t="array" aca="1" ref="A30" ca="1">IFERROR(INDEX($F$39:$F$238,MATCH(0,IF(TRUE=setca[28],0,1)+COUNTIF($F$38:F67,$F$39:$F$238),0)),"")</f>
        <v/>
      </c>
      <c r="B30" s="206" t="str">
        <f ca="1">IFERROR(VLOOKUP(I30,setca[],3,0),"")</f>
        <v/>
      </c>
      <c r="C30" s="126" t="str">
        <f t="shared" ca="1" si="1"/>
        <v/>
      </c>
      <c r="D30" s="134" t="str">
        <f ca="1">IFERROR(VLOOKUP(I30,setca[],22,0)&lt;IF(M30="-",0,M30),"")</f>
        <v/>
      </c>
      <c r="E30" s="134" t="str">
        <f ca="1">IFERROR(AND(C30=TRUE,VLOOKUP(I30,setca[],25,0)=TRUE,H30=FALSE,VLOOKUP(I30,setca[],18,0)=FALSE),"")</f>
        <v/>
      </c>
      <c r="F30" s="133" t="e">
        <f ca="1">VLOOKUP(I30,setca[],18,0)</f>
        <v>#N/A</v>
      </c>
      <c r="G30" s="133" t="str">
        <f ca="1">IFERROR(VLOOKUP(I30,setca[],5,0),"")</f>
        <v/>
      </c>
      <c r="H30" s="126" t="str">
        <f ca="1">IFERROR(VLOOKUP(I30,setca[],17,0),"")</f>
        <v/>
      </c>
      <c r="I30" s="208" t="str">
        <f t="array" aca="1" ref="I30" ca="1">IFERROR(INDEX($A$1:$A$238,SMALL(IF(SMALL(IF(COUNTIF($I$2:I29,$A$1:$A$238)=0,COUNTIF($A$1:$A$108,"&lt;"&amp;$A$1:$A$238)+1,""),1)=COUNTIF($A$1:$A$238,"&lt;"&amp;$A$1:$A$238)+1,ROW($A$1:$A$238)-MIN(ROW($A$1:$A$238))+1),1)),"")</f>
        <v/>
      </c>
      <c r="J30" s="160" t="str">
        <f ca="1">IFERROR(VLOOKUP(I30,setca[],3,0),"")</f>
        <v/>
      </c>
      <c r="K30" s="140" t="str">
        <f ca="1">IFERROR( IF(AND(VLOOKUP(I30,setca[],18,0)=TRUE,C30=FALSE)," ✓"&amp;VLOOKUP(I30,setca[],24,0),VLOOKUP(I30,setca[],24,0)),"")</f>
        <v/>
      </c>
      <c r="L30" s="141" t="str">
        <f ca="1">IFERROR(IF(E30=TRUE,"["&amp;IF(H30=TRUE,VLOOKUP(I30,setca[],15,0),TEXT(IFERROR(IF(HOUR($C$36)&lt;HOUR(J30),$C$36-(J30+(TODAY()-1)),$C$36-J30),""),"ч:мм"))&amp;"]",IF(C30=FALSE,IF(H30=TRUE,VLOOKUP(I30,setca[],15,0),"-"&amp;TEXT(B30-TIME(HOUR($C$36),MINUTE($C$36),0),"ч:мм")),IF(H30=TRUE,VLOOKUP(I30,setca[],15,0),TEXT(IFERROR(IF(HOUR($C$36)&lt;HOUR(J30),$C$36-(J30+(TODAY()-1)),$C$36-J30),""),"ч:мм")))),"")</f>
        <v/>
      </c>
      <c r="M30" s="145" t="str">
        <f ca="1">IFERROR(IF(E30=TRUE,"      PAU",IF(G30="WN",IF(VLOOKUP(I30,setca[],12,0)=0,"-",VLOOKUP(I30,setca[],12,0)*1.12),IF(VLOOKUP(I30,setca[],12,0)=0,"-",VLOOKUP(I30,setca[],12,0)))),"")</f>
        <v/>
      </c>
      <c r="N30" s="145" t="str">
        <f ca="1">IFERROR(IF(E30=TRUE,"SE         ",IF(G30="WN",IF(VLOOKUP(I30,setca[],13,0)=0,"-",VLOOKUP(I30,setca[],13,0)*1.12),IF(VLOOKUP(I30,setca[],13,0)=0,"-",VLOOKUP(I30,setca[],13,0)))),"")</f>
        <v/>
      </c>
      <c r="O30" s="161"/>
      <c r="P30" s="216" t="s">
        <v>142</v>
      </c>
      <c r="Q30" s="258" t="b">
        <v>0</v>
      </c>
      <c r="R30" s="258"/>
      <c r="S30" s="163"/>
      <c r="T30" s="163"/>
      <c r="U30" s="163"/>
      <c r="V30" s="125"/>
      <c r="W30" s="125"/>
      <c r="X30" s="163"/>
      <c r="Y30" s="125"/>
      <c r="Z30" s="125"/>
      <c r="AA30" s="125"/>
      <c r="AB30" s="125"/>
      <c r="AC30" s="125"/>
      <c r="AD30" s="125"/>
      <c r="AE30" s="125"/>
      <c r="AF30" s="125"/>
      <c r="AG30" s="125"/>
      <c r="AH30" s="166"/>
      <c r="AI30" s="166"/>
      <c r="AJ30" s="219">
        <v>1</v>
      </c>
      <c r="AK30" s="126"/>
    </row>
    <row r="31" spans="1:37" ht="12.95" customHeight="1" x14ac:dyDescent="0.25">
      <c r="A31" s="124" t="str">
        <f t="array" aca="1" ref="A31" ca="1">IFERROR(INDEX($F$39:$F$238,MATCH(0,IF(TRUE=setca[28],0,1)+COUNTIF($F$38:F68,$F$39:$F$238),0)),"")</f>
        <v/>
      </c>
      <c r="B31" s="206" t="str">
        <f ca="1">IFERROR(VLOOKUP(I31,setca[],3,0),"")</f>
        <v/>
      </c>
      <c r="C31" s="126" t="str">
        <f t="shared" ca="1" si="1"/>
        <v/>
      </c>
      <c r="D31" s="134" t="str">
        <f ca="1">IFERROR(VLOOKUP(I31,setca[],22,0)&lt;IF(M31="-",0,M31),"")</f>
        <v/>
      </c>
      <c r="E31" s="134" t="str">
        <f ca="1">IFERROR(AND(C31=TRUE,VLOOKUP(I31,setca[],25,0)=TRUE,H31=FALSE,VLOOKUP(I31,setca[],18,0)=FALSE),"")</f>
        <v/>
      </c>
      <c r="F31" s="133" t="e">
        <f ca="1">VLOOKUP(I31,setca[],18,0)</f>
        <v>#N/A</v>
      </c>
      <c r="G31" s="133" t="str">
        <f ca="1">IFERROR(VLOOKUP(I31,setca[],5,0),"")</f>
        <v/>
      </c>
      <c r="H31" s="126" t="str">
        <f ca="1">IFERROR(VLOOKUP(I31,setca[],17,0),"")</f>
        <v/>
      </c>
      <c r="I31" s="209" t="str">
        <f t="array" aca="1" ref="I31" ca="1">IFERROR(INDEX($A$1:$A$238,SMALL(IF(SMALL(IF(COUNTIF($I$2:I30,$A$1:$A$238)=0,COUNTIF($A$1:$A$108,"&lt;"&amp;$A$1:$A$238)+1,""),1)=COUNTIF($A$1:$A$238,"&lt;"&amp;$A$1:$A$238)+1,ROW($A$1:$A$238)-MIN(ROW($A$1:$A$238))+1),1)),"")</f>
        <v/>
      </c>
      <c r="J31" s="142" t="str">
        <f ca="1">IFERROR(VLOOKUP(I31,setca[],3,0),"")</f>
        <v/>
      </c>
      <c r="K31" s="140" t="str">
        <f ca="1">IFERROR( IF(AND(VLOOKUP(I31,setca[],18,0)=TRUE,C31=FALSE)," ✓"&amp;VLOOKUP(I31,setca[],24,0),VLOOKUP(I31,setca[],24,0)),"")</f>
        <v/>
      </c>
      <c r="L31" s="141" t="str">
        <f ca="1">IFERROR(IF(E31=TRUE,"["&amp;IF(H31=TRUE,VLOOKUP(I31,setca[],15,0),TEXT(IFERROR(IF(HOUR($C$36)&lt;HOUR(J31),$C$36-(J31+(TODAY()-1)),$C$36-J31),""),"ч:мм"))&amp;"]",IF(C31=FALSE,IF(H31=TRUE,VLOOKUP(I31,setca[],15,0),"-"&amp;TEXT(B31-TIME(HOUR($C$36),MINUTE($C$36),0),"ч:мм")),IF(H31=TRUE,VLOOKUP(I31,setca[],15,0),TEXT(IFERROR(IF(HOUR($C$36)&lt;HOUR(J31),$C$36-(J31+(TODAY()-1)),$C$36-J31),""),"ч:мм")))),"")</f>
        <v/>
      </c>
      <c r="M31" s="145" t="str">
        <f ca="1">IFERROR(IF(E31=TRUE,"      PAU",IF(G31="WN",IF(VLOOKUP(I31,setca[],12,0)=0,"-",VLOOKUP(I31,setca[],12,0)*1.12),IF(VLOOKUP(I31,setca[],12,0)=0,"-",VLOOKUP(I31,setca[],12,0)))),"")</f>
        <v/>
      </c>
      <c r="N31" s="145" t="str">
        <f ca="1">IFERROR(IF(E31=TRUE,"SE         ",IF(G31="WN",IF(VLOOKUP(I31,setca[],13,0)=0,"-",VLOOKUP(I31,setca[],13,0)*1.12),IF(VLOOKUP(I31,setca[],13,0)=0,"-",VLOOKUP(I31,setca[],13,0)))),"")</f>
        <v/>
      </c>
      <c r="O31" s="211"/>
      <c r="P31" s="215" t="s">
        <v>141</v>
      </c>
      <c r="Q31" s="257" t="b">
        <v>1</v>
      </c>
      <c r="R31" s="257"/>
      <c r="S31" s="212"/>
      <c r="T31" s="212"/>
      <c r="U31" s="212"/>
      <c r="V31" s="212"/>
      <c r="W31" s="212"/>
      <c r="X31" s="212"/>
      <c r="Y31" s="212"/>
      <c r="Z31" s="212"/>
      <c r="AA31" s="212"/>
      <c r="AB31" s="212"/>
      <c r="AC31" s="212"/>
      <c r="AD31" s="212"/>
      <c r="AE31" s="212"/>
      <c r="AF31" s="212"/>
      <c r="AG31" s="212"/>
      <c r="AH31" s="153"/>
      <c r="AI31" s="153"/>
      <c r="AJ31" s="219">
        <v>2</v>
      </c>
      <c r="AK31" s="126"/>
    </row>
    <row r="32" spans="1:37" ht="12.95" customHeight="1" x14ac:dyDescent="0.25">
      <c r="A32" s="124" t="str">
        <f t="array" aca="1" ref="A32" ca="1">IFERROR(INDEX($F$39:$F$238,MATCH(0,IF(TRUE=setca[28],0,1)+COUNTIF($F$38:F69,$F$39:$F$238),0)),"")</f>
        <v/>
      </c>
      <c r="B32" s="206" t="str">
        <f ca="1">IFERROR(VLOOKUP(I32,setca[],3,0),"")</f>
        <v/>
      </c>
      <c r="C32" s="126" t="str">
        <f t="shared" ca="1" si="1"/>
        <v/>
      </c>
      <c r="D32" s="134" t="str">
        <f ca="1">IFERROR(VLOOKUP(I32,setca[],22,0)&lt;IF(M32="-",0,M32),"")</f>
        <v/>
      </c>
      <c r="E32" s="134" t="str">
        <f ca="1">IFERROR(AND(C32=TRUE,VLOOKUP(I32,setca[],25,0)=TRUE,H32=FALSE,VLOOKUP(I32,setca[],18,0)=FALSE),"")</f>
        <v/>
      </c>
      <c r="F32" s="133" t="e">
        <f ca="1">VLOOKUP(I32,setca[],18,0)</f>
        <v>#N/A</v>
      </c>
      <c r="G32" s="133" t="str">
        <f ca="1">IFERROR(VLOOKUP(I32,setca[],5,0),"")</f>
        <v/>
      </c>
      <c r="H32" s="126" t="str">
        <f ca="1">IFERROR(VLOOKUP(I32,setca[],17,0),"")</f>
        <v/>
      </c>
      <c r="I32" s="208" t="str">
        <f t="array" aca="1" ref="I32" ca="1">IFERROR(INDEX($A$1:$A$238,SMALL(IF(SMALL(IF(COUNTIF($I$2:I31,$A$1:$A$238)=0,COUNTIF($A$1:$A$108,"&lt;"&amp;$A$1:$A$238)+1,""),1)=COUNTIF($A$1:$A$238,"&lt;"&amp;$A$1:$A$238)+1,ROW($A$1:$A$238)-MIN(ROW($A$1:$A$238))+1),1)),"")</f>
        <v/>
      </c>
      <c r="J32" s="160" t="str">
        <f ca="1">IFERROR(VLOOKUP(I32,setca[],3,0),"")</f>
        <v/>
      </c>
      <c r="K32" s="140" t="str">
        <f ca="1">IFERROR( IF(AND(VLOOKUP(I32,setca[],18,0)=TRUE,C32=FALSE)," ✓"&amp;VLOOKUP(I32,setca[],24,0),VLOOKUP(I32,setca[],24,0)),"")</f>
        <v/>
      </c>
      <c r="L32" s="141" t="str">
        <f ca="1">IFERROR(IF(E32=TRUE,"["&amp;IF(H32=TRUE,VLOOKUP(I32,setca[],15,0),TEXT(IFERROR(IF(HOUR($C$36)&lt;HOUR(J32),$C$36-(J32+(TODAY()-1)),$C$36-J32),""),"ч:мм"))&amp;"]",IF(C32=FALSE,IF(H32=TRUE,VLOOKUP(I32,setca[],15,0),"-"&amp;TEXT(B32-TIME(HOUR($C$36),MINUTE($C$36),0),"ч:мм")),IF(H32=TRUE,VLOOKUP(I32,setca[],15,0),TEXT(IFERROR(IF(HOUR($C$36)&lt;HOUR(J32),$C$36-(J32+(TODAY()-1)),$C$36-J32),""),"ч:мм")))),"")</f>
        <v/>
      </c>
      <c r="M32" s="145" t="str">
        <f ca="1">IFERROR(IF(E32=TRUE,"      PAU",IF(G32="WN",IF(VLOOKUP(I32,setca[],12,0)=0,"-",VLOOKUP(I32,setca[],12,0)*1.12),IF(VLOOKUP(I32,setca[],12,0)=0,"-",VLOOKUP(I32,setca[],12,0)))),"")</f>
        <v/>
      </c>
      <c r="N32" s="145" t="str">
        <f ca="1">IFERROR(IF(E32=TRUE,"SE         ",IF(G32="WN",IF(VLOOKUP(I32,setca[],13,0)=0,"-",VLOOKUP(I32,setca[],13,0)*1.12),IF(VLOOKUP(I32,setca[],13,0)=0,"-",VLOOKUP(I32,setca[],13,0)))),"")</f>
        <v/>
      </c>
      <c r="O32" s="213"/>
      <c r="P32" s="210" t="s">
        <v>140</v>
      </c>
      <c r="Q32" s="256" t="b">
        <v>1</v>
      </c>
      <c r="R32" s="256"/>
      <c r="S32" s="163"/>
      <c r="T32" s="163"/>
      <c r="U32" s="163"/>
      <c r="V32" s="125"/>
      <c r="W32" s="125"/>
      <c r="X32" s="163"/>
      <c r="Y32" s="125"/>
      <c r="Z32" s="125"/>
      <c r="AA32" s="125"/>
      <c r="AB32" s="125"/>
      <c r="AC32" s="125"/>
      <c r="AD32" s="125"/>
      <c r="AE32" s="125"/>
      <c r="AF32" s="125"/>
      <c r="AG32" s="125"/>
      <c r="AH32" s="166"/>
      <c r="AI32" s="166"/>
      <c r="AJ32" s="219">
        <v>1</v>
      </c>
      <c r="AK32" s="126"/>
    </row>
    <row r="33" spans="1:37" s="198" customFormat="1" ht="3.95" customHeight="1" thickBot="1" x14ac:dyDescent="0.3">
      <c r="A33" s="124" t="str">
        <f t="array" aca="1" ref="A33" ca="1">IFERROR(INDEX($F$39:$F$238,MATCH(0,IF(TRUE=setca[28],0,1)+COUNTIF($F$38:F70,$F$39:$F$238),0)),"")</f>
        <v/>
      </c>
      <c r="B33" s="197">
        <v>2.86</v>
      </c>
      <c r="C33" s="197">
        <v>5.29</v>
      </c>
      <c r="D33" s="198">
        <v>2</v>
      </c>
      <c r="G33" s="198">
        <v>5.43</v>
      </c>
      <c r="H33" s="198">
        <v>5.14</v>
      </c>
      <c r="I33" s="198">
        <v>5</v>
      </c>
      <c r="J33" s="198">
        <v>6</v>
      </c>
      <c r="K33" s="198">
        <v>44</v>
      </c>
      <c r="L33" s="198">
        <v>6</v>
      </c>
      <c r="M33" s="198">
        <v>6.43</v>
      </c>
      <c r="N33" s="198">
        <v>6.57</v>
      </c>
      <c r="O33" s="198">
        <v>3</v>
      </c>
      <c r="P33" s="199">
        <v>7</v>
      </c>
      <c r="Q33" s="199">
        <v>5</v>
      </c>
      <c r="R33" s="199">
        <v>5</v>
      </c>
      <c r="S33" s="199">
        <v>5</v>
      </c>
      <c r="T33" s="199">
        <v>5</v>
      </c>
      <c r="U33" s="199"/>
      <c r="V33" s="199"/>
      <c r="W33" s="199"/>
      <c r="X33" s="199"/>
      <c r="Y33" s="199"/>
      <c r="Z33" s="199"/>
      <c r="AA33" s="199"/>
      <c r="AB33" s="199"/>
      <c r="AC33" s="199"/>
      <c r="AD33" s="199"/>
      <c r="AE33" s="199"/>
      <c r="AF33" s="199"/>
      <c r="AG33" s="199"/>
      <c r="AH33" s="198">
        <v>3</v>
      </c>
      <c r="AI33" s="198">
        <v>8</v>
      </c>
      <c r="AJ33" s="218">
        <v>2</v>
      </c>
      <c r="AK33" s="197"/>
    </row>
    <row r="34" spans="1:37" ht="15" customHeight="1" thickTop="1" thickBot="1" x14ac:dyDescent="0.3">
      <c r="A34" s="124" t="str">
        <f t="array" aca="1" ref="A34" ca="1">IFERROR(INDEX($F$39:$F$238,MATCH(0,IF(TRUE=setca[28],0,1)+COUNTIF($F$38:F71,$F$39:$F$238),0)),"")</f>
        <v/>
      </c>
      <c r="C34" s="239" t="str">
        <f>"PS "&amp;IF(TEXT('TOT1'!M87,"0,0")="-",0,TEXT('TOT1'!M87,"0,0"))+C35</f>
        <v>PS 12,3</v>
      </c>
      <c r="D34" s="240"/>
      <c r="E34" s="240"/>
      <c r="F34" s="240"/>
      <c r="G34" s="241"/>
      <c r="H34" s="242" t="str">
        <f>"GG "&amp;IF(TEXT('TOT1'!M93,"0,0")="-",0,TEXT('TOT1'!M93,"0,0"))+H35</f>
        <v>GG 2,8</v>
      </c>
      <c r="I34" s="242"/>
      <c r="J34" s="243"/>
      <c r="K34" s="110"/>
      <c r="L34" s="244" t="str">
        <f>"WN "&amp;IF(TEXT('TOT1'!M91,"0,0")="-",0,TEXT('TOT1'!M91,"0,0"))+TEXT(L35,"0,0")</f>
        <v>WN -4,5</v>
      </c>
      <c r="M34" s="243"/>
      <c r="N34" s="244" t="str">
        <f>"PP "&amp;IF(TEXT('TOT1'!M92,"0,0")="-",0,TEXT('TOT1'!M92,"0,0"))+N35</f>
        <v>PP -6,2</v>
      </c>
      <c r="O34" s="243"/>
      <c r="P34" s="244" t="str">
        <f>"PAC "&amp;IF(TEXT('TOT1'!M89,"0,0")="-",0,TEXT('TOT1'!M89,"0,0"))+P35</f>
        <v>PAC -7,3</v>
      </c>
      <c r="Q34" s="243"/>
      <c r="R34" s="244" t="str">
        <f>"PK "&amp;IF(TEXT('TOT1'!M90,"0,0")="-",0,TEXT('TOT1'!M90,"0,0"))+R35</f>
        <v>PK 0</v>
      </c>
      <c r="S34" s="243"/>
      <c r="T34" s="1" t="b">
        <f ca="1">AND($G39+TIME(0,1,0)=TIME(HOUR($C$36),MINUTE($C$36),0),$W39=FALSE,$Q$32=FALSE,MOD(SECOND($C$36),2)=0,SECOND($C$36)&lt;20)</f>
        <v>0</v>
      </c>
    </row>
    <row r="35" spans="1:37" ht="15" customHeight="1" thickTop="1" thickBot="1" x14ac:dyDescent="0.3">
      <c r="A35" s="124" t="str">
        <f t="array" aca="1" ref="A35" ca="1">IFERROR(INDEX($F$39:$F$238,MATCH(0,IF(TRUE=setca[28],0,1)+COUNTIF($F$38:F72,$F$39:$F$238),0)),"")</f>
        <v/>
      </c>
      <c r="C35" s="228">
        <f>SUMIFS(setca[21],setca[18],"ИСТИНА",setca[5],"PS")-SUMIFS(setca[22],setca[18],"ИСТИНА",setca[5],"PS")</f>
        <v>0</v>
      </c>
      <c r="D35" s="229"/>
      <c r="E35" s="229"/>
      <c r="F35" s="229"/>
      <c r="G35" s="230"/>
      <c r="H35" s="231">
        <f>SUMIFS(setca[21],setca[18],"ИСТИНА",setca[5],"GG")-SUMIFS(setca[22],setca[18],"ИСТИНА",setca[5],"GG")</f>
        <v>0</v>
      </c>
      <c r="I35" s="231"/>
      <c r="J35" s="232"/>
      <c r="K35" s="110"/>
      <c r="L35" s="233">
        <f>SUMIFS(setca[21],setca[18],"ИСТИНА",setca[5],"WN")-SUMIFS(setca[22],setca[18],"ИСТИНА",setca[5],"WN")</f>
        <v>0</v>
      </c>
      <c r="M35" s="232"/>
      <c r="N35" s="233">
        <f>SUMIFS(setca[21],setca[18],"ИСТИНА",setca[5],"PP")-SUMIFS(setca[22],setca[18],"ИСТИНА",setca[5],"PP")</f>
        <v>0</v>
      </c>
      <c r="O35" s="232"/>
      <c r="P35" s="233">
        <f>SUMIFS(setca[21],setca[18],"ИСТИНА",setca[5],"PAC")-SUMIFS(setca[22],setca[18],"ИСТИНА",setca[5],"PAC")</f>
        <v>0</v>
      </c>
      <c r="Q35" s="232"/>
      <c r="R35" s="233">
        <f>SUMIFS(setca[21],setca[18],"ИСТИНА",setca[5],"PK")-SUMIFS(setca[22],setca[18],"ИСТИНА",setca[5],"PK")</f>
        <v>0</v>
      </c>
      <c r="S35" s="232"/>
      <c r="T35" s="1" t="b">
        <f ca="1">AND($G39+TIME(0,1,0)=TIME(HOUR($C$36),MINUTE($C$36),0),$W39=FALSE,MOD(SECOND($C$36),2)=0,SECOND($C$36)&lt;20)</f>
        <v>0</v>
      </c>
    </row>
    <row r="36" spans="1:37" ht="15" customHeight="1" thickTop="1" thickBot="1" x14ac:dyDescent="0.3">
      <c r="A36" s="124" t="str">
        <f t="array" aca="1" ref="A36" ca="1">IFERROR(INDEX($F$39:$F$238,MATCH(0,IF(TRUE=setca[28],0,1)+COUNTIF($F$38:F73,$F$39:$F$238),0)),"")</f>
        <v/>
      </c>
      <c r="C36" s="234">
        <f ca="1">NOW()</f>
        <v>44198.422904861109</v>
      </c>
      <c r="D36" s="235"/>
      <c r="E36" s="235"/>
      <c r="F36" s="235"/>
      <c r="G36" s="236"/>
      <c r="H36" s="237" t="str">
        <f>"G  "&amp;COUNTIFS(setca[18],TRUE)+SUMIFS(setca[14],setca[18],TRUE)</f>
        <v>G  0</v>
      </c>
      <c r="I36" s="237"/>
      <c r="J36" s="238"/>
      <c r="K36" s="110"/>
      <c r="L36" s="226" t="str">
        <f>"B  "&amp;SUMIFS(setca[22],setca[18],TRUE)</f>
        <v>B  0</v>
      </c>
      <c r="M36" s="227"/>
      <c r="N36" s="226" t="str">
        <f>"A  "&amp;TEXT(IFERROR(SUMIFS(setca[22],setca[18],TRUE)/(COUNTIFS(setca[18],TRUE)+SUMIFS(setca[14],setca[18],TRUE)),0),"0,0")</f>
        <v>A  0,0</v>
      </c>
      <c r="O36" s="227"/>
      <c r="P36" s="226" t="str">
        <f>"W  "&amp;TEXT(SUM(setca[21]),"0,0")</f>
        <v>W  0,0</v>
      </c>
      <c r="Q36" s="227"/>
      <c r="R36" s="226" t="str">
        <f>"P  "&amp;TEXT(SUM(setca[21])-SUMIFS(setca[22],setca[18],TRUE),"0,0")</f>
        <v>P  0,0</v>
      </c>
      <c r="S36" s="227"/>
    </row>
    <row r="37" spans="1:37" ht="3.95" customHeight="1" thickTop="1" x14ac:dyDescent="0.25">
      <c r="A37" s="124" t="str">
        <f t="array" aca="1" ref="A37" ca="1">IFERROR(INDEX($F$39:$F$238,MATCH(0,IF(TRUE=setca[28],0,1)+COUNTIF($F$38:F74,$F$39:$F$238),0)),"")</f>
        <v/>
      </c>
      <c r="C37" s="138"/>
      <c r="D37" s="138"/>
      <c r="E37" s="138"/>
      <c r="F37" s="138"/>
      <c r="G37" s="110"/>
      <c r="H37" s="110"/>
      <c r="I37" s="110"/>
      <c r="J37" s="139"/>
      <c r="K37" s="139"/>
      <c r="L37" s="110"/>
      <c r="M37" s="110"/>
      <c r="N37" s="110"/>
      <c r="O37" s="110"/>
      <c r="P37" s="110"/>
      <c r="Q37" s="110"/>
      <c r="R37" s="110"/>
      <c r="S37" s="110"/>
    </row>
    <row r="38" spans="1:37" ht="11.1" customHeight="1" thickBot="1" x14ac:dyDescent="0.3">
      <c r="A38" s="124" t="str">
        <f t="array" aca="1" ref="A38" ca="1">IFERROR(INDEX($F$39:$F$238,MATCH(0,IF(TRUE=setca[28],0,1)+COUNTIF($F$38:F75,$F$39:$F$238),0)),"")</f>
        <v/>
      </c>
      <c r="B38" s="108"/>
      <c r="C38" s="20"/>
      <c r="D38" s="20"/>
      <c r="F38" s="177" t="s">
        <v>76</v>
      </c>
      <c r="G38" s="154" t="s">
        <v>77</v>
      </c>
      <c r="H38" s="178" t="s">
        <v>84</v>
      </c>
      <c r="I38" s="155" t="s">
        <v>85</v>
      </c>
      <c r="J38" s="156" t="s">
        <v>132</v>
      </c>
      <c r="K38" s="156" t="s">
        <v>133</v>
      </c>
      <c r="L38" s="157" t="s">
        <v>86</v>
      </c>
      <c r="M38" s="217" t="s">
        <v>134</v>
      </c>
      <c r="N38" s="217" t="s">
        <v>135</v>
      </c>
      <c r="O38" s="158" t="s">
        <v>87</v>
      </c>
      <c r="P38" s="158" t="s">
        <v>88</v>
      </c>
      <c r="Q38" s="159" t="s">
        <v>89</v>
      </c>
      <c r="R38" s="159" t="s">
        <v>90</v>
      </c>
      <c r="S38" s="158" t="s">
        <v>91</v>
      </c>
      <c r="T38" s="155" t="s">
        <v>92</v>
      </c>
      <c r="U38" s="159" t="s">
        <v>93</v>
      </c>
      <c r="V38" s="159" t="s">
        <v>94</v>
      </c>
      <c r="W38" s="159" t="s">
        <v>95</v>
      </c>
      <c r="X38" s="159" t="s">
        <v>96</v>
      </c>
      <c r="Y38" s="193" t="s">
        <v>97</v>
      </c>
      <c r="Z38" s="192" t="s">
        <v>137</v>
      </c>
      <c r="AA38" s="192" t="s">
        <v>106</v>
      </c>
      <c r="AB38" s="192" t="s">
        <v>138</v>
      </c>
      <c r="AC38" s="192" t="s">
        <v>128</v>
      </c>
      <c r="AD38" s="192" t="s">
        <v>129</v>
      </c>
      <c r="AE38" s="192" t="s">
        <v>130</v>
      </c>
      <c r="AF38" s="194" t="s">
        <v>131</v>
      </c>
      <c r="AG38" s="159" t="s">
        <v>139</v>
      </c>
    </row>
    <row r="39" spans="1:37" ht="11.1" customHeight="1" thickTop="1" x14ac:dyDescent="0.25">
      <c r="A39" s="124" t="str">
        <f t="array" aca="1" ref="A39" ca="1">IFERROR(INDEX($F$39:$F$238,MATCH(0,IF(TRUE=setca[28],0,1)+COUNTIF($F$38:F76,$F$39:$F$238),0)),"")</f>
        <v/>
      </c>
      <c r="B39" s="109">
        <f>IFERROR(VLOOKUP(setca[[#This Row],[23]],Start!$B$87:$N$10044,3,0),0)+IF(setca[[#This Row],[18]]=TRUE,1+setca[[#This Row],[14]],0)</f>
        <v>1</v>
      </c>
      <c r="C39" s="21">
        <f>IFERROR((IFERROR(VLOOKUP(setca[[#This Row],[23]],Start!$B$87:$N$10044,12,0),0)+IF(setca[[#This Row],[18]]=TRUE,setca[[#This Row],[21]]-setca[[#This Row],[22]],0))/B39,0)</f>
        <v>-1.1000000000000001</v>
      </c>
      <c r="D39" s="1"/>
      <c r="E39" s="19">
        <f t="shared" ref="E39:E70" ca="1" si="2">IF(AND($G39=TIME(HOUR($C$36),MINUTE($C$36),0),$W39=FALSE),1,2)</f>
        <v>2</v>
      </c>
      <c r="F39" s="171">
        <f t="shared" ref="F39:F70" si="3">F38+1</f>
        <v>2</v>
      </c>
      <c r="G39" s="99">
        <v>0.45833333333333331</v>
      </c>
      <c r="H39" s="99">
        <v>0.45833333333333331</v>
      </c>
      <c r="I39" s="114">
        <v>1.1000000000000001</v>
      </c>
      <c r="J39" s="99" t="s">
        <v>11</v>
      </c>
      <c r="K39" s="100" t="s">
        <v>102</v>
      </c>
      <c r="L39" s="100">
        <v>8</v>
      </c>
      <c r="M39" s="100" t="s">
        <v>71</v>
      </c>
      <c r="N39" s="100" t="s">
        <v>63</v>
      </c>
      <c r="O39" s="100" t="s">
        <v>71</v>
      </c>
      <c r="P39" s="101">
        <v>50</v>
      </c>
      <c r="Q39" s="102"/>
      <c r="R39" s="103"/>
      <c r="S39" s="104"/>
      <c r="T39" s="100" t="s">
        <v>71</v>
      </c>
      <c r="U39" s="133" t="b">
        <v>0</v>
      </c>
      <c r="V39" s="135" t="b">
        <v>0</v>
      </c>
      <c r="W39" s="136" t="b">
        <v>0</v>
      </c>
      <c r="X39" s="185" t="str">
        <f ca="1">IF(setca[[#This Row],[18]]=TRUE,IF($N$1=TRUE,TODAY()-1,TODAY()),"")</f>
        <v/>
      </c>
      <c r="Y39" s="195" t="b">
        <f ca="1">IF(setca[[#This Row],[2]]="","",IF(setca[[#This Row],[18]]=TRUE,                                     setca[[#This Row],[2]]+(TODAY())&lt;$C$36))</f>
        <v>0</v>
      </c>
      <c r="Z39" s="195">
        <f>IF(OR(setca[[#This Row],[5]]="WN",setca[[#This Row],[5]]="Es"),(setca[[#This Row],[12]]+setca[[#This Row],[13]])*1.12,setca[[#This Row],[12]]+setca[[#This Row],[13]])</f>
        <v>0</v>
      </c>
      <c r="AA39" s="195">
        <f>IF(OR(setca[[#This Row],[5]]="WN",setca[[#This Row],[5]]="Es"),setca[[#This Row],[4]]*1.12,setca[[#This Row],[4]])*(setca[[#This Row],[14]]+1)</f>
        <v>1.1000000000000001</v>
      </c>
      <c r="AB39" s="195" t="str">
        <f>TEXT(setca[[#This Row],[3]],"ч:мм")&amp;" "&amp;IF(OR(setca[[#This Row],[5]]="WN",setca[[#This Row],[5]]="ES"),"€","$")&amp;setca[[#This Row],[4]]&amp;" "&amp;"["&amp;setca[[#This Row],[5]]&amp;"] "&amp;setca[[#This Row],[6]]</f>
        <v>11:00 $1,1 [PP] Bounty Hunter</v>
      </c>
      <c r="AC39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 xml:space="preserve">   $1,1 [PP] Bounty Hunter, $50</v>
      </c>
      <c r="AD39" s="195" t="b">
        <f>IF(setca[[#This Row],[16]]=FALSE,TRUE,FALSE)</f>
        <v>1</v>
      </c>
      <c r="AE39" s="195" t="b">
        <f ca="1">IF(setca[[#This Row],[2]]="",FALSE,AND((setca[[#This Row],[2]]+TODAY())&lt;$C$36,setca[[#This Row],[17]]=FALSE,setca[[#This Row],[18]]=TRUE))</f>
        <v>0</v>
      </c>
      <c r="AF39" s="195" t="b">
        <f ca="1">IF(setca[[#This Row],[2]]="",FALSE,AND((setca[[#This Row],[3]]+TODAY())&lt;$C$36,setca[[#This Row],[18]]=TRUE))</f>
        <v>0</v>
      </c>
      <c r="AG39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39" s="1"/>
      <c r="AI39" s="1"/>
    </row>
    <row r="40" spans="1:37" ht="11.1" customHeight="1" x14ac:dyDescent="0.25">
      <c r="A40" s="124" t="str">
        <f t="array" aca="1" ref="A40" ca="1">IFERROR(INDEX($F$39:$F$238,MATCH(0,IF(TRUE=setca[28],0,1)+COUNTIF($F$38:F77,$F$39:$F$238),0)),"")</f>
        <v/>
      </c>
      <c r="B40" s="109">
        <f>IFERROR(VLOOKUP(setca[[#This Row],[23]],Start!$B$87:$N$10044,3,0),0)+IF(setca[[#This Row],[18]]=TRUE,1+setca[[#This Row],[14]],0)</f>
        <v>1</v>
      </c>
      <c r="C40" s="21">
        <f>IFERROR((IFERROR(VLOOKUP(setca[[#This Row],[23]],Start!$B$87:$N$10044,12,0),0)+IF(setca[[#This Row],[18]]=TRUE,setca[[#This Row],[21]]-setca[[#This Row],[22]],0))/B40,0)</f>
        <v>-1.1200000000000001</v>
      </c>
      <c r="D40" s="1"/>
      <c r="E40" s="19">
        <f t="shared" ca="1" si="2"/>
        <v>2</v>
      </c>
      <c r="F40" s="173">
        <f t="shared" si="3"/>
        <v>3</v>
      </c>
      <c r="G40" s="99">
        <v>0.45833333333333331</v>
      </c>
      <c r="H40" s="99">
        <v>0.45833333333333331</v>
      </c>
      <c r="I40" s="114">
        <v>1</v>
      </c>
      <c r="J40" s="100" t="s">
        <v>10</v>
      </c>
      <c r="K40" s="100" t="s">
        <v>99</v>
      </c>
      <c r="L40" s="100">
        <v>6</v>
      </c>
      <c r="M40" s="100" t="s">
        <v>71</v>
      </c>
      <c r="N40" s="100" t="s">
        <v>71</v>
      </c>
      <c r="O40" s="100" t="s">
        <v>71</v>
      </c>
      <c r="P40" s="101">
        <v>150</v>
      </c>
      <c r="Q40" s="105"/>
      <c r="R40" s="106"/>
      <c r="S40" s="104"/>
      <c r="T40" s="100" t="s">
        <v>71</v>
      </c>
      <c r="U40" s="133" t="b">
        <v>0</v>
      </c>
      <c r="V40" s="135" t="b">
        <v>0</v>
      </c>
      <c r="W40" s="136" t="b">
        <v>0</v>
      </c>
      <c r="X40" s="185" t="str">
        <f ca="1">IF(setca[[#This Row],[18]]=TRUE,IF($N$1=TRUE,TODAY()-1,TODAY()),"")</f>
        <v/>
      </c>
      <c r="Y40" s="195" t="b">
        <f ca="1">IF(setca[[#This Row],[2]]="","",IF(setca[[#This Row],[18]]=TRUE,                                     setca[[#This Row],[2]]+(TODAY())&lt;$C$36))</f>
        <v>0</v>
      </c>
      <c r="Z40" s="195">
        <f>IF(OR(setca[[#This Row],[5]]="WN",setca[[#This Row],[5]]="Es"),(setca[[#This Row],[12]]+setca[[#This Row],[13]])*1.12,setca[[#This Row],[12]]+setca[[#This Row],[13]])</f>
        <v>0</v>
      </c>
      <c r="AA40" s="195">
        <f>IF(OR(setca[[#This Row],[5]]="WN",setca[[#This Row],[5]]="Es"),setca[[#This Row],[4]]*1.12,setca[[#This Row],[4]])*(setca[[#This Row],[14]]+1)</f>
        <v>1.1200000000000001</v>
      </c>
      <c r="AB40" s="195" t="str">
        <f>TEXT(setca[[#This Row],[3]],"ч:мм")&amp;" "&amp;IF(OR(setca[[#This Row],[5]]="WN",setca[[#This Row],[5]]="ES"),"€","$")&amp;setca[[#This Row],[4]]&amp;" "&amp;"["&amp;setca[[#This Row],[5]]&amp;"] "&amp;setca[[#This Row],[6]]</f>
        <v>11:00 €1 [WN] Monster Stack</v>
      </c>
      <c r="AC40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 xml:space="preserve">   €1 [WN] Monster Stack, €150</v>
      </c>
      <c r="AD40" s="195" t="b">
        <f>IF(setca[[#This Row],[16]]=FALSE,TRUE,FALSE)</f>
        <v>1</v>
      </c>
      <c r="AE40" s="195" t="b">
        <f ca="1">IF(setca[[#This Row],[2]]="",FALSE,AND((setca[[#This Row],[2]]+TODAY())&lt;$C$36,setca[[#This Row],[17]]=FALSE,setca[[#This Row],[18]]=TRUE))</f>
        <v>0</v>
      </c>
      <c r="AF40" s="195" t="b">
        <f ca="1">IF(setca[[#This Row],[2]]="",FALSE,AND((setca[[#This Row],[3]]+TODAY())&lt;$C$36,setca[[#This Row],[18]]=TRUE))</f>
        <v>0</v>
      </c>
      <c r="AG40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40" s="1"/>
      <c r="AI40" s="1"/>
    </row>
    <row r="41" spans="1:37" ht="11.1" customHeight="1" x14ac:dyDescent="0.25">
      <c r="A41" s="124" t="str">
        <f t="array" aca="1" ref="A41" ca="1">IFERROR(INDEX($F$39:$F$238,MATCH(0,IF(TRUE=setca[28],0,1)+COUNTIF($F$38:F78,$F$39:$F$238),0)),"")</f>
        <v/>
      </c>
      <c r="B41" s="109">
        <f>IFERROR(VLOOKUP(setca[[#This Row],[23]],Start!$B$87:$N$10044,3,0),0)+IF(setca[[#This Row],[18]]=TRUE,1+setca[[#This Row],[14]],0)</f>
        <v>1</v>
      </c>
      <c r="C41" s="21">
        <f>IFERROR((IFERROR(VLOOKUP(setca[[#This Row],[23]],Start!$B$87:$N$10044,12,0),0)+IF(setca[[#This Row],[18]]=TRUE,setca[[#This Row],[21]]-setca[[#This Row],[22]],0))/B41,0)</f>
        <v>-2.2000000000000002</v>
      </c>
      <c r="D41" s="1"/>
      <c r="E41" s="19">
        <f t="shared" ca="1" si="2"/>
        <v>2</v>
      </c>
      <c r="F41" s="173">
        <f t="shared" si="3"/>
        <v>4</v>
      </c>
      <c r="G41" s="99">
        <v>0.46875</v>
      </c>
      <c r="H41" s="99">
        <v>0.46875</v>
      </c>
      <c r="I41" s="114">
        <v>2.2000000000000002</v>
      </c>
      <c r="J41" s="100" t="s">
        <v>11</v>
      </c>
      <c r="K41" s="100" t="s">
        <v>145</v>
      </c>
      <c r="L41" s="100">
        <v>8</v>
      </c>
      <c r="M41" s="100" t="s">
        <v>71</v>
      </c>
      <c r="N41" s="100" t="s">
        <v>71</v>
      </c>
      <c r="O41" s="100" t="s">
        <v>71</v>
      </c>
      <c r="P41" s="101">
        <v>200</v>
      </c>
      <c r="Q41" s="105"/>
      <c r="R41" s="106"/>
      <c r="S41" s="104"/>
      <c r="T41" s="100" t="s">
        <v>71</v>
      </c>
      <c r="U41" s="133" t="b">
        <v>0</v>
      </c>
      <c r="V41" s="135" t="b">
        <v>0</v>
      </c>
      <c r="W41" s="136" t="b">
        <v>0</v>
      </c>
      <c r="X41" s="185" t="str">
        <f ca="1">IF(setca[[#This Row],[18]]=TRUE,IF($N$1=TRUE,TODAY()-1,TODAY()),"")</f>
        <v/>
      </c>
      <c r="Y41" s="195" t="b">
        <f ca="1">IF(setca[[#This Row],[2]]="","",IF(setca[[#This Row],[18]]=TRUE,                                     setca[[#This Row],[2]]+(TODAY())&lt;$C$36))</f>
        <v>0</v>
      </c>
      <c r="Z41" s="195">
        <f>IF(OR(setca[[#This Row],[5]]="WN",setca[[#This Row],[5]]="Es"),(setca[[#This Row],[12]]+setca[[#This Row],[13]])*1.12,setca[[#This Row],[12]]+setca[[#This Row],[13]])</f>
        <v>0</v>
      </c>
      <c r="AA41" s="195">
        <f>IF(OR(setca[[#This Row],[5]]="WN",setca[[#This Row],[5]]="Es"),setca[[#This Row],[4]]*1.12,setca[[#This Row],[4]])*(setca[[#This Row],[14]]+1)</f>
        <v>2.2000000000000002</v>
      </c>
      <c r="AB41" s="195" t="str">
        <f>TEXT(setca[[#This Row],[3]],"ч:мм")&amp;" "&amp;IF(OR(setca[[#This Row],[5]]="WN",setca[[#This Row],[5]]="ES"),"€","$")&amp;setca[[#This Row],[4]]&amp;" "&amp;"["&amp;setca[[#This Row],[5]]&amp;"] "&amp;setca[[#This Row],[6]]</f>
        <v>11:15 $2,2 [PP] Deepstack</v>
      </c>
      <c r="AC41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 xml:space="preserve">   $2,2 [PP] Deepstack, $200</v>
      </c>
      <c r="AD41" s="195" t="b">
        <f>IF(setca[[#This Row],[16]]=FALSE,TRUE,FALSE)</f>
        <v>1</v>
      </c>
      <c r="AE41" s="195" t="b">
        <f ca="1">IF(setca[[#This Row],[2]]="",FALSE,AND((setca[[#This Row],[2]]+TODAY())&lt;$C$36,setca[[#This Row],[17]]=FALSE,setca[[#This Row],[18]]=TRUE))</f>
        <v>0</v>
      </c>
      <c r="AF41" s="195" t="b">
        <f ca="1">IF(setca[[#This Row],[2]]="",FALSE,AND((setca[[#This Row],[3]]+TODAY())&lt;$C$36,setca[[#This Row],[18]]=TRUE))</f>
        <v>0</v>
      </c>
      <c r="AG41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41" s="1"/>
      <c r="AI41" s="1"/>
    </row>
    <row r="42" spans="1:37" ht="11.1" customHeight="1" x14ac:dyDescent="0.25">
      <c r="A42" s="124" t="str">
        <f t="array" aca="1" ref="A42" ca="1">IFERROR(INDEX($F$39:$F$238,MATCH(0,IF(TRUE=setca[28],0,1)+COUNTIF($F$38:F79,$F$39:$F$238),0)),"")</f>
        <v/>
      </c>
      <c r="B42" s="109">
        <f>IFERROR(VLOOKUP(setca[[#This Row],[23]],Start!$B$87:$N$10044,3,0),0)+IF(setca[[#This Row],[18]]=TRUE,1+setca[[#This Row],[14]],0)</f>
        <v>1</v>
      </c>
      <c r="C42" s="21">
        <f>IFERROR((IFERROR(VLOOKUP(setca[[#This Row],[23]],Start!$B$87:$N$10044,12,0),0)+IF(setca[[#This Row],[18]]=TRUE,setca[[#This Row],[21]]-setca[[#This Row],[22]],0))/B42,0)</f>
        <v>-2.1</v>
      </c>
      <c r="D42" s="1"/>
      <c r="E42" s="19">
        <f t="shared" ca="1" si="2"/>
        <v>2</v>
      </c>
      <c r="F42" s="173">
        <f t="shared" si="3"/>
        <v>5</v>
      </c>
      <c r="G42" s="99">
        <v>0.47916666666666669</v>
      </c>
      <c r="H42" s="99">
        <v>0.47916666666666669</v>
      </c>
      <c r="I42" s="114">
        <v>2.1</v>
      </c>
      <c r="J42" s="100" t="s">
        <v>15</v>
      </c>
      <c r="K42" s="100" t="s">
        <v>98</v>
      </c>
      <c r="L42" s="100">
        <v>8</v>
      </c>
      <c r="M42" s="100" t="s">
        <v>71</v>
      </c>
      <c r="N42" s="100" t="s">
        <v>63</v>
      </c>
      <c r="O42" s="100" t="s">
        <v>71</v>
      </c>
      <c r="P42" s="101">
        <v>1200</v>
      </c>
      <c r="Q42" s="105"/>
      <c r="R42" s="106"/>
      <c r="S42" s="104"/>
      <c r="T42" s="100" t="s">
        <v>71</v>
      </c>
      <c r="U42" s="133" t="b">
        <v>0</v>
      </c>
      <c r="V42" s="135" t="b">
        <v>0</v>
      </c>
      <c r="W42" s="136" t="b">
        <v>0</v>
      </c>
      <c r="X42" s="185" t="str">
        <f ca="1">IF(setca[[#This Row],[18]]=TRUE,IF($N$1=TRUE,TODAY()-1,TODAY()),"")</f>
        <v/>
      </c>
      <c r="Y42" s="195" t="b">
        <f ca="1">IF(setca[[#This Row],[2]]="","",IF(setca[[#This Row],[18]]=TRUE,                                     setca[[#This Row],[2]]+(TODAY())&lt;$C$36))</f>
        <v>0</v>
      </c>
      <c r="Z42" s="195">
        <f>IF(OR(setca[[#This Row],[5]]="WN",setca[[#This Row],[5]]="Es"),(setca[[#This Row],[12]]+setca[[#This Row],[13]])*1.12,setca[[#This Row],[12]]+setca[[#This Row],[13]])</f>
        <v>0</v>
      </c>
      <c r="AA42" s="195">
        <f>IF(OR(setca[[#This Row],[5]]="WN",setca[[#This Row],[5]]="Es"),setca[[#This Row],[4]]*1.12,setca[[#This Row],[4]])*(setca[[#This Row],[14]]+1)</f>
        <v>2.1</v>
      </c>
      <c r="AB42" s="195" t="str">
        <f>TEXT(setca[[#This Row],[3]],"ч:мм")&amp;" "&amp;IF(OR(setca[[#This Row],[5]]="WN",setca[[#This Row],[5]]="ES"),"€","$")&amp;setca[[#This Row],[4]]&amp;" "&amp;"["&amp;setca[[#This Row],[5]]&amp;"] "&amp;setca[[#This Row],[6]]</f>
        <v>11:30 $2,1 [GG] Bounty Hunters</v>
      </c>
      <c r="AC42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 xml:space="preserve">   $2,1 [GG] Bounty Hunters, $1,2K</v>
      </c>
      <c r="AD42" s="195" t="b">
        <f>IF(setca[[#This Row],[16]]=FALSE,TRUE,FALSE)</f>
        <v>1</v>
      </c>
      <c r="AE42" s="195" t="b">
        <f ca="1">IF(setca[[#This Row],[2]]="",FALSE,AND((setca[[#This Row],[2]]+TODAY())&lt;$C$36,setca[[#This Row],[17]]=FALSE,setca[[#This Row],[18]]=TRUE))</f>
        <v>0</v>
      </c>
      <c r="AF42" s="195" t="b">
        <f ca="1">IF(setca[[#This Row],[2]]="",FALSE,AND((setca[[#This Row],[3]]+TODAY())&lt;$C$36,setca[[#This Row],[18]]=TRUE))</f>
        <v>0</v>
      </c>
      <c r="AG42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42" s="1"/>
      <c r="AI42" s="1"/>
    </row>
    <row r="43" spans="1:37" ht="11.1" customHeight="1" x14ac:dyDescent="0.25">
      <c r="A43" s="124" t="str">
        <f t="array" aca="1" ref="A43" ca="1">IFERROR(INDEX($F$39:$F$238,MATCH(0,IF(TRUE=setca[28],0,1)+COUNTIF($F$38:F80,$F$39:$F$238),0)),"")</f>
        <v/>
      </c>
      <c r="B43" s="109">
        <f>IFERROR(VLOOKUP(setca[[#This Row],[23]],Start!$B$87:$N$10044,3,0),0)+IF(setca[[#This Row],[18]]=TRUE,1+setca[[#This Row],[14]],0)</f>
        <v>1</v>
      </c>
      <c r="C43" s="21">
        <f>IFERROR((IFERROR(VLOOKUP(setca[[#This Row],[23]],Start!$B$87:$N$10044,12,0),0)+IF(setca[[#This Row],[18]]=TRUE,setca[[#This Row],[21]]-setca[[#This Row],[22]],0))/B43,0)</f>
        <v>-1.1000000000000001</v>
      </c>
      <c r="D43" s="1"/>
      <c r="E43" s="19">
        <f t="shared" ca="1" si="2"/>
        <v>2</v>
      </c>
      <c r="F43" s="173">
        <f t="shared" si="3"/>
        <v>6</v>
      </c>
      <c r="G43" s="99">
        <v>0.5</v>
      </c>
      <c r="H43" s="99">
        <v>0.5</v>
      </c>
      <c r="I43" s="114">
        <v>1.1000000000000001</v>
      </c>
      <c r="J43" s="100" t="s">
        <v>11</v>
      </c>
      <c r="K43" s="100" t="s">
        <v>145</v>
      </c>
      <c r="L43" s="100">
        <v>8</v>
      </c>
      <c r="M43" s="100" t="s">
        <v>71</v>
      </c>
      <c r="N43" s="100" t="s">
        <v>71</v>
      </c>
      <c r="O43" s="100" t="s">
        <v>71</v>
      </c>
      <c r="P43" s="101">
        <v>150</v>
      </c>
      <c r="Q43" s="105"/>
      <c r="R43" s="106"/>
      <c r="S43" s="104"/>
      <c r="T43" s="100" t="s">
        <v>71</v>
      </c>
      <c r="U43" s="133" t="b">
        <v>0</v>
      </c>
      <c r="V43" s="135" t="b">
        <v>0</v>
      </c>
      <c r="W43" s="136" t="b">
        <v>0</v>
      </c>
      <c r="X43" s="185" t="str">
        <f ca="1">IF(setca[[#This Row],[18]]=TRUE,IF($N$1=TRUE,TODAY()-1,TODAY()),"")</f>
        <v/>
      </c>
      <c r="Y43" s="195" t="b">
        <f ca="1">IF(setca[[#This Row],[2]]="","",IF(setca[[#This Row],[18]]=TRUE,                                     setca[[#This Row],[2]]+(TODAY())&lt;$C$36))</f>
        <v>0</v>
      </c>
      <c r="Z43" s="195">
        <f>IF(OR(setca[[#This Row],[5]]="WN",setca[[#This Row],[5]]="Es"),(setca[[#This Row],[12]]+setca[[#This Row],[13]])*1.12,setca[[#This Row],[12]]+setca[[#This Row],[13]])</f>
        <v>0</v>
      </c>
      <c r="AA43" s="195">
        <f>IF(OR(setca[[#This Row],[5]]="WN",setca[[#This Row],[5]]="Es"),setca[[#This Row],[4]]*1.12,setca[[#This Row],[4]])*(setca[[#This Row],[14]]+1)</f>
        <v>1.1000000000000001</v>
      </c>
      <c r="AB43" s="195" t="str">
        <f>TEXT(setca[[#This Row],[3]],"ч:мм")&amp;" "&amp;IF(OR(setca[[#This Row],[5]]="WN",setca[[#This Row],[5]]="ES"),"€","$")&amp;setca[[#This Row],[4]]&amp;" "&amp;"["&amp;setca[[#This Row],[5]]&amp;"] "&amp;setca[[#This Row],[6]]</f>
        <v>12:00 $1,1 [PP] Deepstack</v>
      </c>
      <c r="AC43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 xml:space="preserve">   $1,1 [PP] Deepstack, $150</v>
      </c>
      <c r="AD43" s="195" t="b">
        <f>IF(setca[[#This Row],[16]]=FALSE,TRUE,FALSE)</f>
        <v>1</v>
      </c>
      <c r="AE43" s="195" t="b">
        <f ca="1">IF(setca[[#This Row],[2]]="",FALSE,AND((setca[[#This Row],[2]]+TODAY())&lt;$C$36,setca[[#This Row],[17]]=FALSE,setca[[#This Row],[18]]=TRUE))</f>
        <v>0</v>
      </c>
      <c r="AF43" s="195" t="b">
        <f ca="1">IF(setca[[#This Row],[2]]="",FALSE,AND((setca[[#This Row],[3]]+TODAY())&lt;$C$36,setca[[#This Row],[18]]=TRUE))</f>
        <v>0</v>
      </c>
      <c r="AG43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43" s="1"/>
      <c r="AI43" s="1"/>
    </row>
    <row r="44" spans="1:37" ht="11.1" customHeight="1" x14ac:dyDescent="0.25">
      <c r="A44" s="124" t="str">
        <f t="array" aca="1" ref="A44" ca="1">IFERROR(INDEX($F$39:$F$238,MATCH(0,IF(TRUE=setca[28],0,1)+COUNTIF($F$38:F81,$F$39:$F$238),0)),"")</f>
        <v/>
      </c>
      <c r="B44" s="109">
        <f>IFERROR(VLOOKUP(setca[[#This Row],[23]],Start!$B$87:$N$10044,3,0),0)+IF(setca[[#This Row],[18]]=TRUE,1+setca[[#This Row],[14]],0)</f>
        <v>1</v>
      </c>
      <c r="C44" s="21">
        <f>IFERROR((IFERROR(VLOOKUP(setca[[#This Row],[23]],Start!$B$87:$N$10044,12,0),0)+IF(setca[[#This Row],[18]]=TRUE,setca[[#This Row],[21]]-setca[[#This Row],[22]],0))/B44,0)</f>
        <v>5.16</v>
      </c>
      <c r="D44" s="1"/>
      <c r="E44" s="19">
        <f t="shared" ca="1" si="2"/>
        <v>2</v>
      </c>
      <c r="F44" s="173">
        <f t="shared" si="3"/>
        <v>7</v>
      </c>
      <c r="G44" s="99">
        <v>0.5</v>
      </c>
      <c r="H44" s="99">
        <v>0.5</v>
      </c>
      <c r="I44" s="114">
        <v>1.1000000000000001</v>
      </c>
      <c r="J44" s="100" t="s">
        <v>4</v>
      </c>
      <c r="K44" s="100" t="s">
        <v>103</v>
      </c>
      <c r="L44" s="100">
        <v>9</v>
      </c>
      <c r="M44" s="100" t="s">
        <v>71</v>
      </c>
      <c r="N44" s="100" t="s">
        <v>71</v>
      </c>
      <c r="O44" s="100" t="s">
        <v>71</v>
      </c>
      <c r="P44" s="101">
        <v>500</v>
      </c>
      <c r="Q44" s="105"/>
      <c r="R44" s="106"/>
      <c r="S44" s="104"/>
      <c r="T44" s="100" t="s">
        <v>71</v>
      </c>
      <c r="U44" s="133" t="b">
        <v>0</v>
      </c>
      <c r="V44" s="135" t="b">
        <v>0</v>
      </c>
      <c r="W44" s="136" t="b">
        <v>0</v>
      </c>
      <c r="X44" s="185" t="str">
        <f ca="1">IF(setca[[#This Row],[18]]=TRUE,IF($N$1=TRUE,TODAY()-1,TODAY()),"")</f>
        <v/>
      </c>
      <c r="Y44" s="195" t="b">
        <f ca="1">IF(setca[[#This Row],[2]]="","",IF(setca[[#This Row],[18]]=TRUE,                                     setca[[#This Row],[2]]+(TODAY())&lt;$C$36))</f>
        <v>0</v>
      </c>
      <c r="Z44" s="195">
        <f>IF(OR(setca[[#This Row],[5]]="WN",setca[[#This Row],[5]]="Es"),(setca[[#This Row],[12]]+setca[[#This Row],[13]])*1.12,setca[[#This Row],[12]]+setca[[#This Row],[13]])</f>
        <v>0</v>
      </c>
      <c r="AA44" s="195">
        <f>IF(OR(setca[[#This Row],[5]]="WN",setca[[#This Row],[5]]="Es"),setca[[#This Row],[4]]*1.12,setca[[#This Row],[4]])*(setca[[#This Row],[14]]+1)</f>
        <v>1.1000000000000001</v>
      </c>
      <c r="AB44" s="195" t="str">
        <f>TEXT(setca[[#This Row],[3]],"ч:мм")&amp;" "&amp;IF(OR(setca[[#This Row],[5]]="WN",setca[[#This Row],[5]]="ES"),"€","$")&amp;setca[[#This Row],[4]]&amp;" "&amp;"["&amp;setca[[#This Row],[5]]&amp;"] "&amp;setca[[#This Row],[6]]</f>
        <v>12:00 $1,1 [PS] Big</v>
      </c>
      <c r="AC44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 xml:space="preserve">   $1,1 [PS] Big, $500</v>
      </c>
      <c r="AD44" s="195" t="b">
        <f>IF(setca[[#This Row],[16]]=FALSE,TRUE,FALSE)</f>
        <v>1</v>
      </c>
      <c r="AE44" s="195" t="b">
        <f ca="1">IF(setca[[#This Row],[2]]="",FALSE,AND((setca[[#This Row],[2]]+TODAY())&lt;$C$36,setca[[#This Row],[17]]=FALSE,setca[[#This Row],[18]]=TRUE))</f>
        <v>0</v>
      </c>
      <c r="AF44" s="195" t="b">
        <f ca="1">IF(setca[[#This Row],[2]]="",FALSE,AND((setca[[#This Row],[3]]+TODAY())&lt;$C$36,setca[[#This Row],[18]]=TRUE))</f>
        <v>0</v>
      </c>
      <c r="AG44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44" s="1"/>
      <c r="AI44" s="1"/>
    </row>
    <row r="45" spans="1:37" ht="11.1" customHeight="1" x14ac:dyDescent="0.25">
      <c r="A45" s="124" t="str">
        <f t="array" aca="1" ref="A45" ca="1">IFERROR(INDEX($F$39:$F$238,MATCH(0,IF(TRUE=setca[28],0,1)+COUNTIF($F$38:F82,$F$39:$F$238),0)),"")</f>
        <v/>
      </c>
      <c r="B45" s="109">
        <f>IFERROR(VLOOKUP(setca[[#This Row],[23]],Start!$B$87:$N$10044,3,0),0)+IF(setca[[#This Row],[18]]=TRUE,1+setca[[#This Row],[14]],0)</f>
        <v>1</v>
      </c>
      <c r="C45" s="21">
        <f>IFERROR((IFERROR(VLOOKUP(setca[[#This Row],[23]],Start!$B$87:$N$10044,12,0),0)+IF(setca[[#This Row],[18]]=TRUE,setca[[#This Row],[21]]-setca[[#This Row],[22]],0))/B45,0)</f>
        <v>-2.2400000000000002</v>
      </c>
      <c r="D45" s="1"/>
      <c r="E45" s="19">
        <f t="shared" ca="1" si="2"/>
        <v>2</v>
      </c>
      <c r="F45" s="173">
        <f t="shared" si="3"/>
        <v>8</v>
      </c>
      <c r="G45" s="99">
        <v>0.5</v>
      </c>
      <c r="H45" s="99">
        <v>0.5</v>
      </c>
      <c r="I45" s="114">
        <v>2</v>
      </c>
      <c r="J45" s="99" t="s">
        <v>10</v>
      </c>
      <c r="K45" s="100" t="s">
        <v>99</v>
      </c>
      <c r="L45" s="100">
        <v>6</v>
      </c>
      <c r="M45" s="100" t="s">
        <v>71</v>
      </c>
      <c r="N45" s="100" t="s">
        <v>71</v>
      </c>
      <c r="O45" s="100" t="s">
        <v>71</v>
      </c>
      <c r="P45" s="101">
        <v>200</v>
      </c>
      <c r="Q45" s="105"/>
      <c r="R45" s="106"/>
      <c r="S45" s="104"/>
      <c r="T45" s="100" t="s">
        <v>71</v>
      </c>
      <c r="U45" s="133" t="b">
        <v>0</v>
      </c>
      <c r="V45" s="135" t="b">
        <v>0</v>
      </c>
      <c r="W45" s="136" t="b">
        <v>0</v>
      </c>
      <c r="X45" s="185" t="str">
        <f ca="1">IF(setca[[#This Row],[18]]=TRUE,IF($N$1=TRUE,TODAY()-1,TODAY()),"")</f>
        <v/>
      </c>
      <c r="Y45" s="195" t="b">
        <f ca="1">IF(setca[[#This Row],[2]]="","",IF(setca[[#This Row],[18]]=TRUE,                                     setca[[#This Row],[2]]+(TODAY())&lt;$C$36))</f>
        <v>0</v>
      </c>
      <c r="Z45" s="195">
        <f>IF(OR(setca[[#This Row],[5]]="WN",setca[[#This Row],[5]]="Es"),(setca[[#This Row],[12]]+setca[[#This Row],[13]])*1.12,setca[[#This Row],[12]]+setca[[#This Row],[13]])</f>
        <v>0</v>
      </c>
      <c r="AA45" s="195">
        <f>IF(OR(setca[[#This Row],[5]]="WN",setca[[#This Row],[5]]="Es"),setca[[#This Row],[4]]*1.12,setca[[#This Row],[4]])*(setca[[#This Row],[14]]+1)</f>
        <v>2.2400000000000002</v>
      </c>
      <c r="AB45" s="195" t="str">
        <f>TEXT(setca[[#This Row],[3]],"ч:мм")&amp;" "&amp;IF(OR(setca[[#This Row],[5]]="WN",setca[[#This Row],[5]]="ES"),"€","$")&amp;setca[[#This Row],[4]]&amp;" "&amp;"["&amp;setca[[#This Row],[5]]&amp;"] "&amp;setca[[#This Row],[6]]</f>
        <v>12:00 €2 [WN] Monster Stack</v>
      </c>
      <c r="AC45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 xml:space="preserve">   €2 [WN] Monster Stack, €200</v>
      </c>
      <c r="AD45" s="195" t="b">
        <f>IF(setca[[#This Row],[16]]=FALSE,TRUE,FALSE)</f>
        <v>1</v>
      </c>
      <c r="AE45" s="195" t="b">
        <f ca="1">IF(setca[[#This Row],[2]]="",FALSE,AND((setca[[#This Row],[2]]+TODAY())&lt;$C$36,setca[[#This Row],[17]]=FALSE,setca[[#This Row],[18]]=TRUE))</f>
        <v>0</v>
      </c>
      <c r="AF45" s="195" t="b">
        <f ca="1">IF(setca[[#This Row],[2]]="",FALSE,AND((setca[[#This Row],[3]]+TODAY())&lt;$C$36,setca[[#This Row],[18]]=TRUE))</f>
        <v>0</v>
      </c>
      <c r="AG45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45" s="1"/>
      <c r="AI45" s="1"/>
    </row>
    <row r="46" spans="1:37" ht="11.1" customHeight="1" x14ac:dyDescent="0.25">
      <c r="A46" s="124" t="str">
        <f t="array" aca="1" ref="A46" ca="1">IFERROR(INDEX($F$39:$F$238,MATCH(0,IF(TRUE=setca[28],0,1)+COUNTIF($F$38:F83,$F$39:$F$238),0)),"")</f>
        <v/>
      </c>
      <c r="B46" s="109">
        <f>IFERROR(VLOOKUP(setca[[#This Row],[23]],Start!$B$87:$N$10044,3,0),0)+IF(setca[[#This Row],[18]]=TRUE,1+setca[[#This Row],[14]],0)</f>
        <v>1</v>
      </c>
      <c r="C46" s="21">
        <f>IFERROR((IFERROR(VLOOKUP(setca[[#This Row],[23]],Start!$B$87:$N$10044,12,0),0)+IF(setca[[#This Row],[18]]=TRUE,setca[[#This Row],[21]]-setca[[#This Row],[22]],0))/B46,0)</f>
        <v>7.97</v>
      </c>
      <c r="D46" s="1"/>
      <c r="E46" s="19">
        <f t="shared" ca="1" si="2"/>
        <v>2</v>
      </c>
      <c r="F46" s="173">
        <f t="shared" si="3"/>
        <v>9</v>
      </c>
      <c r="G46" s="99">
        <v>0.52083333333333337</v>
      </c>
      <c r="H46" s="99">
        <v>0.52083333333333337</v>
      </c>
      <c r="I46" s="114">
        <v>1.05</v>
      </c>
      <c r="J46" s="100" t="s">
        <v>15</v>
      </c>
      <c r="K46" s="100" t="s">
        <v>98</v>
      </c>
      <c r="L46" s="100">
        <v>8</v>
      </c>
      <c r="M46" s="100" t="s">
        <v>71</v>
      </c>
      <c r="N46" s="100" t="s">
        <v>63</v>
      </c>
      <c r="O46" s="100" t="s">
        <v>71</v>
      </c>
      <c r="P46" s="101">
        <v>750</v>
      </c>
      <c r="Q46" s="105"/>
      <c r="R46" s="106"/>
      <c r="S46" s="104"/>
      <c r="T46" s="100" t="s">
        <v>71</v>
      </c>
      <c r="U46" s="133" t="b">
        <v>0</v>
      </c>
      <c r="V46" s="135" t="b">
        <v>0</v>
      </c>
      <c r="W46" s="136" t="b">
        <v>0</v>
      </c>
      <c r="X46" s="185" t="str">
        <f ca="1">IF(setca[[#This Row],[18]]=TRUE,IF($N$1=TRUE,TODAY()-1,TODAY()),"")</f>
        <v/>
      </c>
      <c r="Y46" s="195" t="b">
        <f ca="1">IF(setca[[#This Row],[2]]="","",IF(setca[[#This Row],[18]]=TRUE,                                     setca[[#This Row],[2]]+(TODAY())&lt;$C$36))</f>
        <v>0</v>
      </c>
      <c r="Z46" s="195">
        <f>IF(OR(setca[[#This Row],[5]]="WN",setca[[#This Row],[5]]="Es"),(setca[[#This Row],[12]]+setca[[#This Row],[13]])*1.12,setca[[#This Row],[12]]+setca[[#This Row],[13]])</f>
        <v>0</v>
      </c>
      <c r="AA46" s="195">
        <f>IF(OR(setca[[#This Row],[5]]="WN",setca[[#This Row],[5]]="Es"),setca[[#This Row],[4]]*1.12,setca[[#This Row],[4]])*(setca[[#This Row],[14]]+1)</f>
        <v>1.05</v>
      </c>
      <c r="AB46" s="195" t="str">
        <f>TEXT(setca[[#This Row],[3]],"ч:мм")&amp;" "&amp;IF(OR(setca[[#This Row],[5]]="WN",setca[[#This Row],[5]]="ES"),"€","$")&amp;setca[[#This Row],[4]]&amp;" "&amp;"["&amp;setca[[#This Row],[5]]&amp;"] "&amp;setca[[#This Row],[6]]</f>
        <v>12:30 $1,05 [GG] Bounty Hunters</v>
      </c>
      <c r="AC46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 xml:space="preserve">   $1,05 [GG] Bounty Hunters, $750</v>
      </c>
      <c r="AD46" s="195" t="b">
        <f>IF(setca[[#This Row],[16]]=FALSE,TRUE,FALSE)</f>
        <v>1</v>
      </c>
      <c r="AE46" s="195" t="b">
        <f ca="1">IF(setca[[#This Row],[2]]="",FALSE,AND((setca[[#This Row],[2]]+TODAY())&lt;$C$36,setca[[#This Row],[17]]=FALSE,setca[[#This Row],[18]]=TRUE))</f>
        <v>0</v>
      </c>
      <c r="AF46" s="195" t="b">
        <f ca="1">IF(setca[[#This Row],[2]]="",FALSE,AND((setca[[#This Row],[3]]+TODAY())&lt;$C$36,setca[[#This Row],[18]]=TRUE))</f>
        <v>0</v>
      </c>
      <c r="AG46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46" s="1"/>
      <c r="AI46" s="1"/>
    </row>
    <row r="47" spans="1:37" ht="11.1" customHeight="1" x14ac:dyDescent="0.25">
      <c r="A47" s="124" t="str">
        <f t="array" aca="1" ref="A47" ca="1">IFERROR(INDEX($F$39:$F$238,MATCH(0,IF(TRUE=setca[28],0,1)+COUNTIF($F$38:F84,$F$39:$F$238),0)),"")</f>
        <v/>
      </c>
      <c r="B47" s="109">
        <f>IFERROR(VLOOKUP(setca[[#This Row],[23]],Start!$B$87:$N$10044,3,0),0)+IF(setca[[#This Row],[18]]=TRUE,1+setca[[#This Row],[14]],0)</f>
        <v>1</v>
      </c>
      <c r="C47" s="21">
        <f>IFERROR((IFERROR(VLOOKUP(setca[[#This Row],[23]],Start!$B$87:$N$10044,12,0),0)+IF(setca[[#This Row],[18]]=TRUE,setca[[#This Row],[21]]-setca[[#This Row],[22]],0))/B47,0)</f>
        <v>-1</v>
      </c>
      <c r="D47" s="1"/>
      <c r="E47" s="19">
        <f t="shared" ca="1" si="2"/>
        <v>2</v>
      </c>
      <c r="F47" s="173">
        <f t="shared" si="3"/>
        <v>10</v>
      </c>
      <c r="G47" s="99">
        <v>0.52083333333333337</v>
      </c>
      <c r="H47" s="99">
        <v>0.52083333333333337</v>
      </c>
      <c r="I47" s="114">
        <v>1</v>
      </c>
      <c r="J47" s="99" t="s">
        <v>12</v>
      </c>
      <c r="K47" s="100" t="s">
        <v>100</v>
      </c>
      <c r="L47" s="100">
        <v>9</v>
      </c>
      <c r="M47" s="100" t="s">
        <v>71</v>
      </c>
      <c r="N47" s="100" t="s">
        <v>71</v>
      </c>
      <c r="O47" s="100" t="s">
        <v>71</v>
      </c>
      <c r="P47" s="101">
        <v>200</v>
      </c>
      <c r="Q47" s="105"/>
      <c r="R47" s="106"/>
      <c r="S47" s="104"/>
      <c r="T47" s="100" t="s">
        <v>71</v>
      </c>
      <c r="U47" s="133" t="b">
        <v>0</v>
      </c>
      <c r="V47" s="135" t="b">
        <v>0</v>
      </c>
      <c r="W47" s="136" t="b">
        <v>0</v>
      </c>
      <c r="X47" s="185" t="str">
        <f ca="1">IF(setca[[#This Row],[18]]=TRUE,IF($N$1=TRUE,TODAY()-1,TODAY()),"")</f>
        <v/>
      </c>
      <c r="Y47" s="195" t="b">
        <f ca="1">IF(setca[[#This Row],[2]]="","",IF(setca[[#This Row],[18]]=TRUE,                                     setca[[#This Row],[2]]+(TODAY())&lt;$C$36))</f>
        <v>0</v>
      </c>
      <c r="Z47" s="195">
        <f>IF(OR(setca[[#This Row],[5]]="WN",setca[[#This Row],[5]]="Es"),(setca[[#This Row],[12]]+setca[[#This Row],[13]])*1.12,setca[[#This Row],[12]]+setca[[#This Row],[13]])</f>
        <v>0</v>
      </c>
      <c r="AA47" s="195">
        <f>IF(OR(setca[[#This Row],[5]]="WN",setca[[#This Row],[5]]="Es"),setca[[#This Row],[4]]*1.12,setca[[#This Row],[4]])*(setca[[#This Row],[14]]+1)</f>
        <v>1</v>
      </c>
      <c r="AB47" s="195" t="str">
        <f>TEXT(setca[[#This Row],[3]],"ч:мм")&amp;" "&amp;IF(OR(setca[[#This Row],[5]]="WN",setca[[#This Row],[5]]="ES"),"€","$")&amp;setca[[#This Row],[4]]&amp;" "&amp;"["&amp;setca[[#This Row],[5]]&amp;"] "&amp;setca[[#This Row],[6]]</f>
        <v>12:30 $1 [PAC] Guaranteed</v>
      </c>
      <c r="AC47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 xml:space="preserve">   $1 [PAC] Guaranteed, $200</v>
      </c>
      <c r="AD47" s="195" t="b">
        <f>IF(setca[[#This Row],[16]]=FALSE,TRUE,FALSE)</f>
        <v>1</v>
      </c>
      <c r="AE47" s="195" t="b">
        <f ca="1">IF(setca[[#This Row],[2]]="",FALSE,AND((setca[[#This Row],[2]]+TODAY())&lt;$C$36,setca[[#This Row],[17]]=FALSE,setca[[#This Row],[18]]=TRUE))</f>
        <v>0</v>
      </c>
      <c r="AF47" s="195" t="b">
        <f ca="1">IF(setca[[#This Row],[2]]="",FALSE,AND((setca[[#This Row],[3]]+TODAY())&lt;$C$36,setca[[#This Row],[18]]=TRUE))</f>
        <v>0</v>
      </c>
      <c r="AG47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47" s="1"/>
      <c r="AI47" s="1"/>
    </row>
    <row r="48" spans="1:37" ht="11.1" customHeight="1" x14ac:dyDescent="0.25">
      <c r="A48" s="124" t="str">
        <f t="array" aca="1" ref="A48" ca="1">IFERROR(INDEX($F$39:$F$238,MATCH(0,IF(TRUE=setca[28],0,1)+COUNTIF($F$38:F85,$F$39:$F$238),0)),"")</f>
        <v/>
      </c>
      <c r="B48" s="109">
        <f>IFERROR(VLOOKUP(setca[[#This Row],[23]],Start!$B$87:$N$10044,3,0),0)+IF(setca[[#This Row],[18]]=TRUE,1+setca[[#This Row],[14]],0)</f>
        <v>1</v>
      </c>
      <c r="C48" s="21">
        <f>IFERROR((IFERROR(VLOOKUP(setca[[#This Row],[23]],Start!$B$87:$N$10044,12,0),0)+IF(setca[[#This Row],[18]]=TRUE,setca[[#This Row],[21]]-setca[[#This Row],[22]],0))/B48,0)</f>
        <v>-2.2000000000000002</v>
      </c>
      <c r="D48" s="1"/>
      <c r="E48" s="19">
        <f t="shared" ca="1" si="2"/>
        <v>2</v>
      </c>
      <c r="F48" s="173">
        <f t="shared" si="3"/>
        <v>11</v>
      </c>
      <c r="G48" s="99">
        <v>0.52083333333333337</v>
      </c>
      <c r="H48" s="99">
        <v>0.52083333333333337</v>
      </c>
      <c r="I48" s="114">
        <v>2.2000000000000002</v>
      </c>
      <c r="J48" s="100" t="s">
        <v>11</v>
      </c>
      <c r="K48" s="100" t="s">
        <v>102</v>
      </c>
      <c r="L48" s="100">
        <v>8</v>
      </c>
      <c r="M48" s="100" t="s">
        <v>71</v>
      </c>
      <c r="N48" s="100" t="s">
        <v>63</v>
      </c>
      <c r="O48" s="100" t="s">
        <v>71</v>
      </c>
      <c r="P48" s="101">
        <v>200</v>
      </c>
      <c r="Q48" s="105"/>
      <c r="R48" s="106"/>
      <c r="S48" s="104"/>
      <c r="T48" s="100" t="s">
        <v>71</v>
      </c>
      <c r="U48" s="133" t="b">
        <v>0</v>
      </c>
      <c r="V48" s="135" t="b">
        <v>0</v>
      </c>
      <c r="W48" s="136" t="b">
        <v>0</v>
      </c>
      <c r="X48" s="185" t="str">
        <f ca="1">IF(setca[[#This Row],[18]]=TRUE,IF($N$1=TRUE,TODAY()-1,TODAY()),"")</f>
        <v/>
      </c>
      <c r="Y48" s="195" t="b">
        <f ca="1">IF(setca[[#This Row],[2]]="","",IF(setca[[#This Row],[18]]=TRUE,                                     setca[[#This Row],[2]]+(TODAY())&lt;$C$36))</f>
        <v>0</v>
      </c>
      <c r="Z48" s="195">
        <f>IF(OR(setca[[#This Row],[5]]="WN",setca[[#This Row],[5]]="Es"),(setca[[#This Row],[12]]+setca[[#This Row],[13]])*1.12,setca[[#This Row],[12]]+setca[[#This Row],[13]])</f>
        <v>0</v>
      </c>
      <c r="AA48" s="195">
        <f>IF(OR(setca[[#This Row],[5]]="WN",setca[[#This Row],[5]]="Es"),setca[[#This Row],[4]]*1.12,setca[[#This Row],[4]])*(setca[[#This Row],[14]]+1)</f>
        <v>2.2000000000000002</v>
      </c>
      <c r="AB48" s="195" t="str">
        <f>TEXT(setca[[#This Row],[3]],"ч:мм")&amp;" "&amp;IF(OR(setca[[#This Row],[5]]="WN",setca[[#This Row],[5]]="ES"),"€","$")&amp;setca[[#This Row],[4]]&amp;" "&amp;"["&amp;setca[[#This Row],[5]]&amp;"] "&amp;setca[[#This Row],[6]]</f>
        <v>12:30 $2,2 [PP] Bounty Hunter</v>
      </c>
      <c r="AC48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 xml:space="preserve">   $2,2 [PP] Bounty Hunter, $200</v>
      </c>
      <c r="AD48" s="195" t="b">
        <f>IF(setca[[#This Row],[16]]=FALSE,TRUE,FALSE)</f>
        <v>1</v>
      </c>
      <c r="AE48" s="195" t="b">
        <f ca="1">IF(setca[[#This Row],[2]]="",FALSE,AND((setca[[#This Row],[2]]+TODAY())&lt;$C$36,setca[[#This Row],[17]]=FALSE,setca[[#This Row],[18]]=TRUE))</f>
        <v>0</v>
      </c>
      <c r="AF48" s="195" t="b">
        <f ca="1">IF(setca[[#This Row],[2]]="",FALSE,AND((setca[[#This Row],[3]]+TODAY())&lt;$C$36,setca[[#This Row],[18]]=TRUE))</f>
        <v>0</v>
      </c>
      <c r="AG48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48" s="1"/>
      <c r="AI48" s="1"/>
    </row>
    <row r="49" spans="1:35" ht="11.1" customHeight="1" x14ac:dyDescent="0.25">
      <c r="A49" s="124" t="str">
        <f t="array" aca="1" ref="A49" ca="1">IFERROR(INDEX($F$39:$F$238,MATCH(0,IF(TRUE=setca[28],0,1)+COUNTIF($F$38:F86,$F$39:$F$238),0)),"")</f>
        <v/>
      </c>
      <c r="B49" s="109">
        <f>IFERROR(VLOOKUP(setca[[#This Row],[23]],Start!$B$87:$N$10044,3,0),0)+IF(setca[[#This Row],[18]]=TRUE,1+setca[[#This Row],[14]],0)</f>
        <v>1</v>
      </c>
      <c r="C49" s="21">
        <f>IFERROR((IFERROR(VLOOKUP(setca[[#This Row],[23]],Start!$B$87:$N$10044,12,0),0)+IF(setca[[#This Row],[18]]=TRUE,setca[[#This Row],[21]]-setca[[#This Row],[22]],0))/B49,0)</f>
        <v>-2</v>
      </c>
      <c r="D49" s="1"/>
      <c r="E49" s="19">
        <f t="shared" ca="1" si="2"/>
        <v>2</v>
      </c>
      <c r="F49" s="173">
        <f t="shared" si="3"/>
        <v>12</v>
      </c>
      <c r="G49" s="99">
        <v>0.54166666666666663</v>
      </c>
      <c r="H49" s="99">
        <v>0.54166666666666663</v>
      </c>
      <c r="I49" s="114">
        <v>2</v>
      </c>
      <c r="J49" s="100" t="s">
        <v>15</v>
      </c>
      <c r="K49" s="100" t="s">
        <v>103</v>
      </c>
      <c r="L49" s="100">
        <v>8</v>
      </c>
      <c r="M49" s="100" t="s">
        <v>71</v>
      </c>
      <c r="N49" s="100" t="s">
        <v>71</v>
      </c>
      <c r="O49" s="100" t="s">
        <v>71</v>
      </c>
      <c r="P49" s="101">
        <v>750</v>
      </c>
      <c r="Q49" s="105"/>
      <c r="R49" s="106"/>
      <c r="S49" s="104"/>
      <c r="T49" s="100" t="s">
        <v>71</v>
      </c>
      <c r="U49" s="133" t="b">
        <v>0</v>
      </c>
      <c r="V49" s="135" t="b">
        <v>0</v>
      </c>
      <c r="W49" s="136" t="b">
        <v>0</v>
      </c>
      <c r="X49" s="185" t="str">
        <f ca="1">IF(setca[[#This Row],[18]]=TRUE,IF($N$1=TRUE,TODAY()-1,TODAY()),"")</f>
        <v/>
      </c>
      <c r="Y49" s="195" t="b">
        <f ca="1">IF(setca[[#This Row],[2]]="","",IF(setca[[#This Row],[18]]=TRUE,                                     setca[[#This Row],[2]]+(TODAY())&lt;$C$36))</f>
        <v>0</v>
      </c>
      <c r="Z49" s="195">
        <f>IF(OR(setca[[#This Row],[5]]="WN",setca[[#This Row],[5]]="Es"),(setca[[#This Row],[12]]+setca[[#This Row],[13]])*1.12,setca[[#This Row],[12]]+setca[[#This Row],[13]])</f>
        <v>0</v>
      </c>
      <c r="AA49" s="195">
        <f>IF(OR(setca[[#This Row],[5]]="WN",setca[[#This Row],[5]]="Es"),setca[[#This Row],[4]]*1.12,setca[[#This Row],[4]])*(setca[[#This Row],[14]]+1)</f>
        <v>2</v>
      </c>
      <c r="AB49" s="195" t="str">
        <f>TEXT(setca[[#This Row],[3]],"ч:мм")&amp;" "&amp;IF(OR(setca[[#This Row],[5]]="WN",setca[[#This Row],[5]]="ES"),"€","$")&amp;setca[[#This Row],[4]]&amp;" "&amp;"["&amp;setca[[#This Row],[5]]&amp;"] "&amp;setca[[#This Row],[6]]</f>
        <v>13:00 $2 [GG] Big</v>
      </c>
      <c r="AC49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 xml:space="preserve">   $2 [GG] Big, $750</v>
      </c>
      <c r="AD49" s="195" t="b">
        <f>IF(setca[[#This Row],[16]]=FALSE,TRUE,FALSE)</f>
        <v>1</v>
      </c>
      <c r="AE49" s="195" t="b">
        <f ca="1">IF(setca[[#This Row],[2]]="",FALSE,AND((setca[[#This Row],[2]]+TODAY())&lt;$C$36,setca[[#This Row],[17]]=FALSE,setca[[#This Row],[18]]=TRUE))</f>
        <v>0</v>
      </c>
      <c r="AF49" s="195" t="b">
        <f ca="1">IF(setca[[#This Row],[2]]="",FALSE,AND((setca[[#This Row],[3]]+TODAY())&lt;$C$36,setca[[#This Row],[18]]=TRUE))</f>
        <v>0</v>
      </c>
      <c r="AG49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49" s="1"/>
      <c r="AI49" s="1"/>
    </row>
    <row r="50" spans="1:35" ht="11.1" customHeight="1" x14ac:dyDescent="0.25">
      <c r="A50" s="124" t="str">
        <f t="array" aca="1" ref="A50" ca="1">IFERROR(INDEX($F$39:$F$238,MATCH(0,IF(TRUE=setca[28],0,1)+COUNTIF($F$38:F87,$F$39:$F$238),0)),"")</f>
        <v/>
      </c>
      <c r="B50" s="109">
        <f>IFERROR(VLOOKUP(setca[[#This Row],[23]],Start!$B$87:$N$10044,3,0),0)+IF(setca[[#This Row],[18]]=TRUE,1+setca[[#This Row],[14]],0)</f>
        <v>1</v>
      </c>
      <c r="C50" s="21">
        <f>IFERROR((IFERROR(VLOOKUP(setca[[#This Row],[23]],Start!$B$87:$N$10044,12,0),0)+IF(setca[[#This Row],[18]]=TRUE,setca[[#This Row],[21]]-setca[[#This Row],[22]],0))/B50,0)</f>
        <v>1.52</v>
      </c>
      <c r="D50" s="1"/>
      <c r="E50" s="19">
        <f t="shared" ca="1" si="2"/>
        <v>2</v>
      </c>
      <c r="F50" s="173">
        <f t="shared" si="3"/>
        <v>13</v>
      </c>
      <c r="G50" s="99">
        <v>0.54166666666666663</v>
      </c>
      <c r="H50" s="99">
        <v>0.54166666666666663</v>
      </c>
      <c r="I50" s="114">
        <v>1.1000000000000001</v>
      </c>
      <c r="J50" s="99" t="s">
        <v>11</v>
      </c>
      <c r="K50" s="100" t="s">
        <v>102</v>
      </c>
      <c r="L50" s="100">
        <v>8</v>
      </c>
      <c r="M50" s="100" t="s">
        <v>71</v>
      </c>
      <c r="N50" s="100" t="s">
        <v>63</v>
      </c>
      <c r="O50" s="100" t="s">
        <v>71</v>
      </c>
      <c r="P50" s="101">
        <v>100</v>
      </c>
      <c r="Q50" s="105"/>
      <c r="R50" s="106"/>
      <c r="S50" s="104"/>
      <c r="T50" s="100" t="s">
        <v>71</v>
      </c>
      <c r="U50" s="133" t="b">
        <v>0</v>
      </c>
      <c r="V50" s="135" t="b">
        <v>0</v>
      </c>
      <c r="W50" s="137" t="b">
        <v>0</v>
      </c>
      <c r="X50" s="186" t="str">
        <f ca="1">IF(setca[[#This Row],[18]]=TRUE,IF($N$1=TRUE,TODAY()-1,TODAY()),"")</f>
        <v/>
      </c>
      <c r="Y50" s="196" t="b">
        <f ca="1">IF(setca[[#This Row],[2]]="","",IF(setca[[#This Row],[18]]=TRUE,                                     setca[[#This Row],[2]]+(TODAY())&lt;$C$36))</f>
        <v>0</v>
      </c>
      <c r="Z50" s="196">
        <f>IF(OR(setca[[#This Row],[5]]="WN",setca[[#This Row],[5]]="Es"),(setca[[#This Row],[12]]+setca[[#This Row],[13]])*1.12,setca[[#This Row],[12]]+setca[[#This Row],[13]])</f>
        <v>0</v>
      </c>
      <c r="AA50" s="196">
        <f>IF(OR(setca[[#This Row],[5]]="WN",setca[[#This Row],[5]]="Es"),setca[[#This Row],[4]]*1.12,setca[[#This Row],[4]])*(setca[[#This Row],[14]]+1)</f>
        <v>1.1000000000000001</v>
      </c>
      <c r="AB50" s="196" t="str">
        <f>TEXT(setca[[#This Row],[3]],"ч:мм")&amp;" "&amp;IF(OR(setca[[#This Row],[5]]="WN",setca[[#This Row],[5]]="ES"),"€","$")&amp;setca[[#This Row],[4]]&amp;" "&amp;"["&amp;setca[[#This Row],[5]]&amp;"] "&amp;setca[[#This Row],[6]]</f>
        <v>13:00 $1,1 [PP] Bounty Hunter</v>
      </c>
      <c r="AC50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 xml:space="preserve">   $1,1 [PP] Bounty Hunter, $100</v>
      </c>
      <c r="AD50" s="196" t="b">
        <f>IF(setca[[#This Row],[16]]=FALSE,TRUE,FALSE)</f>
        <v>1</v>
      </c>
      <c r="AE50" s="196" t="b">
        <f ca="1">IF(setca[[#This Row],[2]]="",FALSE,AND((setca[[#This Row],[2]]+TODAY())&lt;$C$36,setca[[#This Row],[17]]=FALSE,setca[[#This Row],[18]]=TRUE))</f>
        <v>0</v>
      </c>
      <c r="AF50" s="196" t="b">
        <f ca="1">IF(setca[[#This Row],[2]]="",FALSE,AND((setca[[#This Row],[3]]+TODAY())&lt;$C$36,setca[[#This Row],[18]]=TRUE))</f>
        <v>0</v>
      </c>
      <c r="AG50" s="196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50" s="1"/>
      <c r="AI50" s="1"/>
    </row>
    <row r="51" spans="1:35" ht="11.1" customHeight="1" x14ac:dyDescent="0.25">
      <c r="A51" s="124" t="str">
        <f t="array" aca="1" ref="A51" ca="1">IFERROR(INDEX($F$39:$F$238,MATCH(0,IF(TRUE=setca[28],0,1)+COUNTIF($F$38:F88,$F$39:$F$238),0)),"")</f>
        <v/>
      </c>
      <c r="B51" s="109">
        <f>IFERROR(VLOOKUP(setca[[#This Row],[23]],Start!$B$87:$N$10044,3,0),0)+IF(setca[[#This Row],[18]]=TRUE,1+setca[[#This Row],[14]],0)</f>
        <v>1</v>
      </c>
      <c r="C51" s="21">
        <f>IFERROR((IFERROR(VLOOKUP(setca[[#This Row],[23]],Start!$B$87:$N$10044,12,0),0)+IF(setca[[#This Row],[18]]=TRUE,setca[[#This Row],[21]]-setca[[#This Row],[22]],0))/B51,0)</f>
        <v>-2.2000000000000002</v>
      </c>
      <c r="D51" s="1"/>
      <c r="E51" s="19">
        <f t="shared" ca="1" si="2"/>
        <v>2</v>
      </c>
      <c r="F51" s="173">
        <f t="shared" si="3"/>
        <v>14</v>
      </c>
      <c r="G51" s="99">
        <v>0.58333333333333337</v>
      </c>
      <c r="H51" s="99">
        <v>0.58333333333333337</v>
      </c>
      <c r="I51" s="114">
        <v>2.2000000000000002</v>
      </c>
      <c r="J51" s="99" t="s">
        <v>12</v>
      </c>
      <c r="K51" s="100" t="s">
        <v>100</v>
      </c>
      <c r="L51" s="100">
        <v>9</v>
      </c>
      <c r="M51" s="100" t="s">
        <v>71</v>
      </c>
      <c r="N51" s="100" t="s">
        <v>71</v>
      </c>
      <c r="O51" s="100" t="s">
        <v>71</v>
      </c>
      <c r="P51" s="101">
        <v>500</v>
      </c>
      <c r="Q51" s="105"/>
      <c r="R51" s="106"/>
      <c r="S51" s="104"/>
      <c r="T51" s="100" t="s">
        <v>71</v>
      </c>
      <c r="U51" s="133" t="b">
        <v>0</v>
      </c>
      <c r="V51" s="135" t="b">
        <v>0</v>
      </c>
      <c r="W51" s="136" t="b">
        <v>0</v>
      </c>
      <c r="X51" s="185" t="str">
        <f ca="1">IF(setca[[#This Row],[18]]=TRUE,IF($N$1=TRUE,TODAY()-1,TODAY()),"")</f>
        <v/>
      </c>
      <c r="Y51" s="195" t="b">
        <f ca="1">IF(setca[[#This Row],[2]]="","",IF(setca[[#This Row],[18]]=TRUE,                                     setca[[#This Row],[2]]+(TODAY())&lt;$C$36))</f>
        <v>0</v>
      </c>
      <c r="Z51" s="195">
        <f>IF(OR(setca[[#This Row],[5]]="WN",setca[[#This Row],[5]]="Es"),(setca[[#This Row],[12]]+setca[[#This Row],[13]])*1.12,setca[[#This Row],[12]]+setca[[#This Row],[13]])</f>
        <v>0</v>
      </c>
      <c r="AA51" s="195">
        <f>IF(OR(setca[[#This Row],[5]]="WN",setca[[#This Row],[5]]="Es"),setca[[#This Row],[4]]*1.12,setca[[#This Row],[4]])*(setca[[#This Row],[14]]+1)</f>
        <v>2.2000000000000002</v>
      </c>
      <c r="AB51" s="195" t="str">
        <f>TEXT(setca[[#This Row],[3]],"ч:мм")&amp;" "&amp;IF(OR(setca[[#This Row],[5]]="WN",setca[[#This Row],[5]]="ES"),"€","$")&amp;setca[[#This Row],[4]]&amp;" "&amp;"["&amp;setca[[#This Row],[5]]&amp;"] "&amp;setca[[#This Row],[6]]</f>
        <v>14:00 $2,2 [PAC] Guaranteed</v>
      </c>
      <c r="AC51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 xml:space="preserve">   $2,2 [PAC] Guaranteed, $500</v>
      </c>
      <c r="AD51" s="195" t="b">
        <f>IF(setca[[#This Row],[16]]=FALSE,TRUE,FALSE)</f>
        <v>1</v>
      </c>
      <c r="AE51" s="195" t="b">
        <f ca="1">IF(setca[[#This Row],[2]]="",FALSE,AND((setca[[#This Row],[2]]+TODAY())&lt;$C$36,setca[[#This Row],[17]]=FALSE,setca[[#This Row],[18]]=TRUE))</f>
        <v>0</v>
      </c>
      <c r="AF51" s="195" t="b">
        <f ca="1">IF(setca[[#This Row],[2]]="",FALSE,AND((setca[[#This Row],[3]]+TODAY())&lt;$C$36,setca[[#This Row],[18]]=TRUE))</f>
        <v>0</v>
      </c>
      <c r="AG51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51" s="1"/>
      <c r="AI51" s="1"/>
    </row>
    <row r="52" spans="1:35" ht="11.1" customHeight="1" x14ac:dyDescent="0.25">
      <c r="A52" s="124" t="str">
        <f t="array" aca="1" ref="A52" ca="1">IFERROR(INDEX($F$39:$F$238,MATCH(0,IF(TRUE=setca[28],0,1)+COUNTIF($F$38:F89,$F$39:$F$238),0)),"")</f>
        <v/>
      </c>
      <c r="B52" s="109">
        <f>IFERROR(VLOOKUP(setca[[#This Row],[23]],Start!$B$87:$N$10044,3,0),0)+IF(setca[[#This Row],[18]]=TRUE,1+setca[[#This Row],[14]],0)</f>
        <v>1</v>
      </c>
      <c r="C52" s="21">
        <f>IFERROR((IFERROR(VLOOKUP(setca[[#This Row],[23]],Start!$B$87:$N$10044,12,0),0)+IF(setca[[#This Row],[18]]=TRUE,setca[[#This Row],[21]]-setca[[#This Row],[22]],0))/B52,0)</f>
        <v>-1.1000000000000001</v>
      </c>
      <c r="D52" s="1"/>
      <c r="E52" s="19">
        <f t="shared" ca="1" si="2"/>
        <v>2</v>
      </c>
      <c r="F52" s="173">
        <f t="shared" si="3"/>
        <v>15</v>
      </c>
      <c r="G52" s="99">
        <v>0.59722222222222221</v>
      </c>
      <c r="H52" s="99">
        <v>0.59722222222222221</v>
      </c>
      <c r="I52" s="114">
        <v>1.1000000000000001</v>
      </c>
      <c r="J52" s="100" t="s">
        <v>4</v>
      </c>
      <c r="K52" s="100" t="s">
        <v>101</v>
      </c>
      <c r="L52" s="100">
        <v>9</v>
      </c>
      <c r="M52" s="100" t="s">
        <v>71</v>
      </c>
      <c r="N52" s="100" t="s">
        <v>63</v>
      </c>
      <c r="O52" s="100" t="s">
        <v>71</v>
      </c>
      <c r="P52" s="101">
        <v>2000</v>
      </c>
      <c r="Q52" s="105"/>
      <c r="R52" s="106"/>
      <c r="S52" s="104"/>
      <c r="T52" s="100" t="s">
        <v>71</v>
      </c>
      <c r="U52" s="133" t="b">
        <v>0</v>
      </c>
      <c r="V52" s="135" t="b">
        <v>0</v>
      </c>
      <c r="W52" s="136" t="b">
        <v>0</v>
      </c>
      <c r="X52" s="185" t="str">
        <f ca="1">IF(setca[[#This Row],[18]]=TRUE,IF($N$1=TRUE,TODAY()-1,TODAY()),"")</f>
        <v/>
      </c>
      <c r="Y52" s="195" t="b">
        <f ca="1">IF(setca[[#This Row],[2]]="","",IF(setca[[#This Row],[18]]=TRUE,                                     setca[[#This Row],[2]]+(TODAY())&lt;$C$36))</f>
        <v>0</v>
      </c>
      <c r="Z52" s="195">
        <f>IF(OR(setca[[#This Row],[5]]="WN",setca[[#This Row],[5]]="Es"),(setca[[#This Row],[12]]+setca[[#This Row],[13]])*1.12,setca[[#This Row],[12]]+setca[[#This Row],[13]])</f>
        <v>0</v>
      </c>
      <c r="AA52" s="195">
        <f>IF(OR(setca[[#This Row],[5]]="WN",setca[[#This Row],[5]]="Es"),setca[[#This Row],[4]]*1.12,setca[[#This Row],[4]])*(setca[[#This Row],[14]]+1)</f>
        <v>1.1000000000000001</v>
      </c>
      <c r="AB52" s="195" t="str">
        <f>TEXT(setca[[#This Row],[3]],"ч:мм")&amp;" "&amp;IF(OR(setca[[#This Row],[5]]="WN",setca[[#This Row],[5]]="ES"),"€","$")&amp;setca[[#This Row],[4]]&amp;" "&amp;"["&amp;setca[[#This Row],[5]]&amp;"] "&amp;setca[[#This Row],[6]]</f>
        <v>14:20 $1,1 [PS] Progressive KO</v>
      </c>
      <c r="AC52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 xml:space="preserve">   $1,1 [PS] Progressive KO, $2K</v>
      </c>
      <c r="AD52" s="195" t="b">
        <f>IF(setca[[#This Row],[16]]=FALSE,TRUE,FALSE)</f>
        <v>1</v>
      </c>
      <c r="AE52" s="195" t="b">
        <f ca="1">IF(setca[[#This Row],[2]]="",FALSE,AND((setca[[#This Row],[2]]+TODAY())&lt;$C$36,setca[[#This Row],[17]]=FALSE,setca[[#This Row],[18]]=TRUE))</f>
        <v>0</v>
      </c>
      <c r="AF52" s="195" t="b">
        <f ca="1">IF(setca[[#This Row],[2]]="",FALSE,AND((setca[[#This Row],[3]]+TODAY())&lt;$C$36,setca[[#This Row],[18]]=TRUE))</f>
        <v>0</v>
      </c>
      <c r="AG52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52" s="1"/>
      <c r="AI52" s="1"/>
    </row>
    <row r="53" spans="1:35" ht="11.1" customHeight="1" x14ac:dyDescent="0.25">
      <c r="A53" s="124" t="str">
        <f t="array" aca="1" ref="A53" ca="1">IFERROR(INDEX($F$39:$F$238,MATCH(0,IF(TRUE=setca[28],0,1)+COUNTIF($F$38:F90,$F$39:$F$238),0)),"")</f>
        <v/>
      </c>
      <c r="B53" s="109">
        <f>IFERROR(VLOOKUP(setca[[#This Row],[23]],Start!$B$87:$N$10044,3,0),0)+IF(setca[[#This Row],[18]]=TRUE,1+setca[[#This Row],[14]],0)</f>
        <v>1</v>
      </c>
      <c r="C53" s="21">
        <f>IFERROR((IFERROR(VLOOKUP(setca[[#This Row],[23]],Start!$B$87:$N$10044,12,0),0)+IF(setca[[#This Row],[18]]=TRUE,setca[[#This Row],[21]]-setca[[#This Row],[22]],0))/B53,0)</f>
        <v>-1.05</v>
      </c>
      <c r="D53" s="1"/>
      <c r="E53" s="19">
        <f t="shared" ca="1" si="2"/>
        <v>2</v>
      </c>
      <c r="F53" s="173">
        <f t="shared" si="3"/>
        <v>16</v>
      </c>
      <c r="G53" s="99">
        <v>0.60416666666666663</v>
      </c>
      <c r="H53" s="99">
        <v>0.60416666666666663</v>
      </c>
      <c r="I53" s="114">
        <v>1.05</v>
      </c>
      <c r="J53" s="100" t="s">
        <v>15</v>
      </c>
      <c r="K53" s="100" t="s">
        <v>98</v>
      </c>
      <c r="L53" s="100">
        <v>8</v>
      </c>
      <c r="M53" s="100" t="s">
        <v>71</v>
      </c>
      <c r="N53" s="100" t="s">
        <v>63</v>
      </c>
      <c r="O53" s="100" t="s">
        <v>71</v>
      </c>
      <c r="P53" s="101">
        <v>750</v>
      </c>
      <c r="Q53" s="105"/>
      <c r="R53" s="106"/>
      <c r="S53" s="104"/>
      <c r="T53" s="100" t="s">
        <v>71</v>
      </c>
      <c r="U53" s="133" t="b">
        <v>0</v>
      </c>
      <c r="V53" s="135" t="b">
        <v>0</v>
      </c>
      <c r="W53" s="136" t="b">
        <v>0</v>
      </c>
      <c r="X53" s="185" t="str">
        <f ca="1">IF(setca[[#This Row],[18]]=TRUE,IF($N$1=TRUE,TODAY()-1,TODAY()),"")</f>
        <v/>
      </c>
      <c r="Y53" s="195" t="b">
        <f ca="1">IF(setca[[#This Row],[2]]="","",IF(setca[[#This Row],[18]]=TRUE,                                     setca[[#This Row],[2]]+(TODAY())&lt;$C$36))</f>
        <v>0</v>
      </c>
      <c r="Z53" s="195">
        <f>IF(OR(setca[[#This Row],[5]]="WN",setca[[#This Row],[5]]="Es"),(setca[[#This Row],[12]]+setca[[#This Row],[13]])*1.12,setca[[#This Row],[12]]+setca[[#This Row],[13]])</f>
        <v>0</v>
      </c>
      <c r="AA53" s="195">
        <f>IF(OR(setca[[#This Row],[5]]="WN",setca[[#This Row],[5]]="Es"),setca[[#This Row],[4]]*1.12,setca[[#This Row],[4]])*(setca[[#This Row],[14]]+1)</f>
        <v>1.05</v>
      </c>
      <c r="AB53" s="195" t="str">
        <f>TEXT(setca[[#This Row],[3]],"ч:мм")&amp;" "&amp;IF(OR(setca[[#This Row],[5]]="WN",setca[[#This Row],[5]]="ES"),"€","$")&amp;setca[[#This Row],[4]]&amp;" "&amp;"["&amp;setca[[#This Row],[5]]&amp;"] "&amp;setca[[#This Row],[6]]</f>
        <v>14:30 $1,05 [GG] Bounty Hunters</v>
      </c>
      <c r="AC53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 xml:space="preserve">   $1,05 [GG] Bounty Hunters, $750</v>
      </c>
      <c r="AD53" s="195" t="b">
        <f>IF(setca[[#This Row],[16]]=FALSE,TRUE,FALSE)</f>
        <v>1</v>
      </c>
      <c r="AE53" s="195" t="b">
        <f ca="1">IF(setca[[#This Row],[2]]="",FALSE,AND((setca[[#This Row],[2]]+TODAY())&lt;$C$36,setca[[#This Row],[17]]=FALSE,setca[[#This Row],[18]]=TRUE))</f>
        <v>0</v>
      </c>
      <c r="AF53" s="195" t="b">
        <f ca="1">IF(setca[[#This Row],[2]]="",FALSE,AND((setca[[#This Row],[3]]+TODAY())&lt;$C$36,setca[[#This Row],[18]]=TRUE))</f>
        <v>0</v>
      </c>
      <c r="AG53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53" s="1"/>
      <c r="AI53" s="1"/>
    </row>
    <row r="54" spans="1:35" ht="11.1" customHeight="1" x14ac:dyDescent="0.25">
      <c r="A54" s="124" t="str">
        <f t="array" aca="1" ref="A54" ca="1">IFERROR(INDEX($F$39:$F$238,MATCH(0,IF(TRUE=setca[28],0,1)+COUNTIF($F$38:F91,$F$39:$F$238),0)),"")</f>
        <v/>
      </c>
      <c r="B54" s="109">
        <f>IFERROR(VLOOKUP(setca[[#This Row],[23]],Start!$B$87:$N$10044,3,0),0)+IF(setca[[#This Row],[18]]=TRUE,1+setca[[#This Row],[14]],0)</f>
        <v>1</v>
      </c>
      <c r="C54" s="21">
        <f>IFERROR((IFERROR(VLOOKUP(setca[[#This Row],[23]],Start!$B$87:$N$10044,12,0),0)+IF(setca[[#This Row],[18]]=TRUE,setca[[#This Row],[21]]-setca[[#This Row],[22]],0))/B54,0)</f>
        <v>-1.1000000000000001</v>
      </c>
      <c r="D54" s="1"/>
      <c r="E54" s="19">
        <f t="shared" ca="1" si="2"/>
        <v>2</v>
      </c>
      <c r="F54" s="173">
        <f t="shared" si="3"/>
        <v>17</v>
      </c>
      <c r="G54" s="99">
        <v>0.625</v>
      </c>
      <c r="H54" s="99">
        <v>0.625</v>
      </c>
      <c r="I54" s="114">
        <v>1.1000000000000001</v>
      </c>
      <c r="J54" s="99" t="s">
        <v>11</v>
      </c>
      <c r="K54" s="100" t="s">
        <v>102</v>
      </c>
      <c r="L54" s="100">
        <v>8</v>
      </c>
      <c r="M54" s="100" t="s">
        <v>71</v>
      </c>
      <c r="N54" s="100" t="s">
        <v>63</v>
      </c>
      <c r="O54" s="100" t="s">
        <v>71</v>
      </c>
      <c r="P54" s="101">
        <v>200</v>
      </c>
      <c r="Q54" s="105"/>
      <c r="R54" s="106"/>
      <c r="S54" s="104"/>
      <c r="T54" s="100" t="s">
        <v>71</v>
      </c>
      <c r="U54" s="133" t="b">
        <v>0</v>
      </c>
      <c r="V54" s="135" t="b">
        <v>0</v>
      </c>
      <c r="W54" s="136" t="b">
        <v>0</v>
      </c>
      <c r="X54" s="185" t="str">
        <f ca="1">IF(setca[[#This Row],[18]]=TRUE,IF($N$1=TRUE,TODAY()-1,TODAY()),"")</f>
        <v/>
      </c>
      <c r="Y54" s="195" t="b">
        <f ca="1">IF(setca[[#This Row],[2]]="","",IF(setca[[#This Row],[18]]=TRUE,                                     setca[[#This Row],[2]]+(TODAY())&lt;$C$36))</f>
        <v>0</v>
      </c>
      <c r="Z54" s="195">
        <f>IF(OR(setca[[#This Row],[5]]="WN",setca[[#This Row],[5]]="Es"),(setca[[#This Row],[12]]+setca[[#This Row],[13]])*1.12,setca[[#This Row],[12]]+setca[[#This Row],[13]])</f>
        <v>0</v>
      </c>
      <c r="AA54" s="195">
        <f>IF(OR(setca[[#This Row],[5]]="WN",setca[[#This Row],[5]]="Es"),setca[[#This Row],[4]]*1.12,setca[[#This Row],[4]])*(setca[[#This Row],[14]]+1)</f>
        <v>1.1000000000000001</v>
      </c>
      <c r="AB54" s="195" t="str">
        <f>TEXT(setca[[#This Row],[3]],"ч:мм")&amp;" "&amp;IF(OR(setca[[#This Row],[5]]="WN",setca[[#This Row],[5]]="ES"),"€","$")&amp;setca[[#This Row],[4]]&amp;" "&amp;"["&amp;setca[[#This Row],[5]]&amp;"] "&amp;setca[[#This Row],[6]]</f>
        <v>15:00 $1,1 [PP] Bounty Hunter</v>
      </c>
      <c r="AC54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 xml:space="preserve">   $1,1 [PP] Bounty Hunter, $200</v>
      </c>
      <c r="AD54" s="195" t="b">
        <f>IF(setca[[#This Row],[16]]=FALSE,TRUE,FALSE)</f>
        <v>1</v>
      </c>
      <c r="AE54" s="195" t="b">
        <f ca="1">IF(setca[[#This Row],[2]]="",FALSE,AND((setca[[#This Row],[2]]+TODAY())&lt;$C$36,setca[[#This Row],[17]]=FALSE,setca[[#This Row],[18]]=TRUE))</f>
        <v>0</v>
      </c>
      <c r="AF54" s="195" t="b">
        <f ca="1">IF(setca[[#This Row],[2]]="",FALSE,AND((setca[[#This Row],[3]]+TODAY())&lt;$C$36,setca[[#This Row],[18]]=TRUE))</f>
        <v>0</v>
      </c>
      <c r="AG54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54" s="1"/>
      <c r="AI54" s="1"/>
    </row>
    <row r="55" spans="1:35" ht="11.1" customHeight="1" x14ac:dyDescent="0.25">
      <c r="A55" s="124" t="str">
        <f t="array" aca="1" ref="A55" ca="1">IFERROR(INDEX($F$39:$F$238,MATCH(0,IF(TRUE=setca[28],0,1)+COUNTIF($F$38:F92,$F$39:$F$238),0)),"")</f>
        <v/>
      </c>
      <c r="B55" s="109">
        <f>IFERROR(VLOOKUP(setca[[#This Row],[23]],Start!$B$87:$N$10044,3,0),0)+IF(setca[[#This Row],[18]]=TRUE,1+setca[[#This Row],[14]],0)</f>
        <v>1</v>
      </c>
      <c r="C55" s="21">
        <f>IFERROR((IFERROR(VLOOKUP(setca[[#This Row],[23]],Start!$B$87:$N$10044,12,0),0)+IF(setca[[#This Row],[18]]=TRUE,setca[[#This Row],[21]]-setca[[#This Row],[22]],0))/B55,0)</f>
        <v>5.3699999999999992</v>
      </c>
      <c r="D55" s="1"/>
      <c r="E55" s="19">
        <f t="shared" ca="1" si="2"/>
        <v>2</v>
      </c>
      <c r="F55" s="173">
        <f t="shared" si="3"/>
        <v>18</v>
      </c>
      <c r="G55" s="99">
        <v>0.625</v>
      </c>
      <c r="H55" s="99">
        <v>0.625</v>
      </c>
      <c r="I55" s="114">
        <v>1.1000000000000001</v>
      </c>
      <c r="J55" s="100" t="s">
        <v>4</v>
      </c>
      <c r="K55" s="100" t="s">
        <v>14</v>
      </c>
      <c r="L55" s="100">
        <v>9</v>
      </c>
      <c r="M55" s="100" t="s">
        <v>71</v>
      </c>
      <c r="N55" s="100" t="s">
        <v>71</v>
      </c>
      <c r="O55" s="100" t="s">
        <v>71</v>
      </c>
      <c r="P55" s="101">
        <v>750</v>
      </c>
      <c r="Q55" s="105"/>
      <c r="R55" s="106"/>
      <c r="S55" s="104"/>
      <c r="T55" s="100" t="s">
        <v>71</v>
      </c>
      <c r="U55" s="133" t="b">
        <v>0</v>
      </c>
      <c r="V55" s="135" t="b">
        <v>0</v>
      </c>
      <c r="W55" s="136" t="b">
        <v>0</v>
      </c>
      <c r="X55" s="187" t="str">
        <f ca="1">IF(setca[[#This Row],[18]]=TRUE,IF($N$1=TRUE,TODAY()-1,TODAY()),"")</f>
        <v/>
      </c>
      <c r="Y55" s="133" t="b">
        <f ca="1">IF(setca[[#This Row],[2]]="","",IF(setca[[#This Row],[18]]=TRUE,                                     setca[[#This Row],[2]]+(TODAY())&lt;$C$36))</f>
        <v>0</v>
      </c>
      <c r="Z55" s="133">
        <f>IF(OR(setca[[#This Row],[5]]="WN",setca[[#This Row],[5]]="Es"),(setca[[#This Row],[12]]+setca[[#This Row],[13]])*1.12,setca[[#This Row],[12]]+setca[[#This Row],[13]])</f>
        <v>0</v>
      </c>
      <c r="AA55" s="195">
        <f>IF(OR(setca[[#This Row],[5]]="WN",setca[[#This Row],[5]]="Es"),setca[[#This Row],[4]]*1.12,setca[[#This Row],[4]])*(setca[[#This Row],[14]]+1)</f>
        <v>1.1000000000000001</v>
      </c>
      <c r="AB55" s="172" t="str">
        <f>TEXT(setca[[#This Row],[3]],"ч:мм")&amp;" "&amp;IF(OR(setca[[#This Row],[5]]="WN",setca[[#This Row],[5]]="ES"),"€","$")&amp;setca[[#This Row],[4]]&amp;" "&amp;"["&amp;setca[[#This Row],[5]]&amp;"] "&amp;setca[[#This Row],[6]]</f>
        <v>15:00 $1,1 [PS] GTD</v>
      </c>
      <c r="AC55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 xml:space="preserve">   $1,1 [PS] GTD, $750</v>
      </c>
      <c r="AD55" s="172" t="b">
        <f>IF(setca[[#This Row],[16]]=FALSE,TRUE,FALSE)</f>
        <v>1</v>
      </c>
      <c r="AE55" s="172" t="b">
        <f ca="1">IF(setca[[#This Row],[2]]="",FALSE,AND((setca[[#This Row],[2]]+TODAY())&lt;$C$36,setca[[#This Row],[17]]=FALSE,setca[[#This Row],[18]]=TRUE))</f>
        <v>0</v>
      </c>
      <c r="AF55" s="172" t="b">
        <f ca="1">IF(setca[[#This Row],[2]]="",FALSE,AND((setca[[#This Row],[3]]+TODAY())&lt;$C$36,setca[[#This Row],[18]]=TRUE))</f>
        <v>0</v>
      </c>
      <c r="AG55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55" s="1"/>
      <c r="AI55" s="1"/>
    </row>
    <row r="56" spans="1:35" ht="11.1" customHeight="1" x14ac:dyDescent="0.25">
      <c r="A56" s="124" t="str">
        <f t="array" aca="1" ref="A56" ca="1">IFERROR(INDEX($F$39:$F$238,MATCH(0,IF(TRUE=setca[28],0,1)+COUNTIF($F$38:F93,$F$39:$F$238),0)),"")</f>
        <v/>
      </c>
      <c r="B56" s="109">
        <f>IFERROR(VLOOKUP(setca[[#This Row],[23]],Start!$B$87:$N$10044,3,0),0)+IF(setca[[#This Row],[18]]=TRUE,1+setca[[#This Row],[14]],0)</f>
        <v>1</v>
      </c>
      <c r="C56" s="21">
        <f>IFERROR((IFERROR(VLOOKUP(setca[[#This Row],[23]],Start!$B$87:$N$10044,12,0),0)+IF(setca[[#This Row],[18]]=TRUE,setca[[#This Row],[21]]-setca[[#This Row],[22]],0))/B56,0)</f>
        <v>-1.1200000000000001</v>
      </c>
      <c r="D56" s="1"/>
      <c r="E56" s="19">
        <f t="shared" ca="1" si="2"/>
        <v>2</v>
      </c>
      <c r="F56" s="173">
        <f t="shared" si="3"/>
        <v>19</v>
      </c>
      <c r="G56" s="99">
        <v>0.625</v>
      </c>
      <c r="H56" s="99">
        <v>0.625</v>
      </c>
      <c r="I56" s="114">
        <v>1</v>
      </c>
      <c r="J56" s="100" t="s">
        <v>10</v>
      </c>
      <c r="K56" s="100" t="s">
        <v>99</v>
      </c>
      <c r="L56" s="100">
        <v>6</v>
      </c>
      <c r="M56" s="100" t="s">
        <v>71</v>
      </c>
      <c r="N56" s="100" t="s">
        <v>71</v>
      </c>
      <c r="O56" s="100" t="s">
        <v>71</v>
      </c>
      <c r="P56" s="101">
        <v>250</v>
      </c>
      <c r="Q56" s="105"/>
      <c r="R56" s="106"/>
      <c r="S56" s="104"/>
      <c r="T56" s="100" t="s">
        <v>71</v>
      </c>
      <c r="U56" s="133" t="b">
        <v>0</v>
      </c>
      <c r="V56" s="135" t="b">
        <v>0</v>
      </c>
      <c r="W56" s="136" t="b">
        <v>0</v>
      </c>
      <c r="X56" s="185" t="str">
        <f ca="1">IF(setca[[#This Row],[18]]=TRUE,IF($N$1=TRUE,TODAY()-1,TODAY()),"")</f>
        <v/>
      </c>
      <c r="Y56" s="195" t="b">
        <f ca="1">IF(setca[[#This Row],[2]]="","",IF(setca[[#This Row],[18]]=TRUE,                                     setca[[#This Row],[2]]+(TODAY())&lt;$C$36))</f>
        <v>0</v>
      </c>
      <c r="Z56" s="195">
        <f>IF(OR(setca[[#This Row],[5]]="WN",setca[[#This Row],[5]]="Es"),(setca[[#This Row],[12]]+setca[[#This Row],[13]])*1.12,setca[[#This Row],[12]]+setca[[#This Row],[13]])</f>
        <v>0</v>
      </c>
      <c r="AA56" s="195">
        <f>IF(OR(setca[[#This Row],[5]]="WN",setca[[#This Row],[5]]="Es"),setca[[#This Row],[4]]*1.12,setca[[#This Row],[4]])*(setca[[#This Row],[14]]+1)</f>
        <v>1.1200000000000001</v>
      </c>
      <c r="AB56" s="195" t="str">
        <f>TEXT(setca[[#This Row],[3]],"ч:мм")&amp;" "&amp;IF(OR(setca[[#This Row],[5]]="WN",setca[[#This Row],[5]]="ES"),"€","$")&amp;setca[[#This Row],[4]]&amp;" "&amp;"["&amp;setca[[#This Row],[5]]&amp;"] "&amp;setca[[#This Row],[6]]</f>
        <v>15:00 €1 [WN] Monster Stack</v>
      </c>
      <c r="AC56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 xml:space="preserve">   €1 [WN] Monster Stack, €250</v>
      </c>
      <c r="AD56" s="195" t="b">
        <f>IF(setca[[#This Row],[16]]=FALSE,TRUE,FALSE)</f>
        <v>1</v>
      </c>
      <c r="AE56" s="195" t="b">
        <f ca="1">IF(setca[[#This Row],[2]]="",FALSE,AND((setca[[#This Row],[2]]+TODAY())&lt;$C$36,setca[[#This Row],[17]]=FALSE,setca[[#This Row],[18]]=TRUE))</f>
        <v>0</v>
      </c>
      <c r="AF56" s="195" t="b">
        <f ca="1">IF(setca[[#This Row],[2]]="",FALSE,AND((setca[[#This Row],[3]]+TODAY())&lt;$C$36,setca[[#This Row],[18]]=TRUE))</f>
        <v>0</v>
      </c>
      <c r="AG56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56" s="1"/>
      <c r="AI56" s="1"/>
    </row>
    <row r="57" spans="1:35" ht="11.1" customHeight="1" x14ac:dyDescent="0.25">
      <c r="A57" s="124" t="str">
        <f t="array" aca="1" ref="A57" ca="1">IFERROR(INDEX($F$39:$F$238,MATCH(0,IF(TRUE=setca[28],0,1)+COUNTIF($F$38:F94,$F$39:$F$238),0)),"")</f>
        <v/>
      </c>
      <c r="B57" s="109">
        <f>IFERROR(VLOOKUP(setca[[#This Row],[23]],Start!$B$87:$N$10044,3,0),0)+IF(setca[[#This Row],[18]]=TRUE,1+setca[[#This Row],[14]],0)</f>
        <v>1</v>
      </c>
      <c r="C57" s="21">
        <f>IFERROR((IFERROR(VLOOKUP(setca[[#This Row],[23]],Start!$B$87:$N$10044,12,0),0)+IF(setca[[#This Row],[18]]=TRUE,setca[[#This Row],[21]]-setca[[#This Row],[22]],0))/B57,0)</f>
        <v>-1</v>
      </c>
      <c r="D57" s="1"/>
      <c r="E57" s="19">
        <f t="shared" ca="1" si="2"/>
        <v>2</v>
      </c>
      <c r="F57" s="173">
        <f t="shared" si="3"/>
        <v>20</v>
      </c>
      <c r="G57" s="99">
        <v>0.66666666666666663</v>
      </c>
      <c r="H57" s="99">
        <v>0.66666666666666663</v>
      </c>
      <c r="I57" s="114">
        <v>1</v>
      </c>
      <c r="J57" s="100" t="s">
        <v>12</v>
      </c>
      <c r="K57" s="100" t="s">
        <v>150</v>
      </c>
      <c r="L57" s="100">
        <v>6</v>
      </c>
      <c r="M57" s="100" t="s">
        <v>71</v>
      </c>
      <c r="N57" s="100" t="s">
        <v>71</v>
      </c>
      <c r="O57" s="100" t="s">
        <v>71</v>
      </c>
      <c r="P57" s="101">
        <v>300</v>
      </c>
      <c r="Q57" s="105"/>
      <c r="R57" s="106"/>
      <c r="S57" s="104"/>
      <c r="T57" s="100" t="s">
        <v>71</v>
      </c>
      <c r="U57" s="133" t="b">
        <v>0</v>
      </c>
      <c r="V57" s="135" t="b">
        <v>0</v>
      </c>
      <c r="W57" s="136" t="b">
        <v>0</v>
      </c>
      <c r="X57" s="185" t="str">
        <f ca="1">IF(setca[[#This Row],[18]]=TRUE,IF($N$1=TRUE,TODAY()-1,TODAY()),"")</f>
        <v/>
      </c>
      <c r="Y57" s="195" t="b">
        <f ca="1">IF(setca[[#This Row],[2]]="","",IF(setca[[#This Row],[18]]=TRUE,                                     setca[[#This Row],[2]]+(TODAY())&lt;$C$36))</f>
        <v>0</v>
      </c>
      <c r="Z57" s="195">
        <f>IF(OR(setca[[#This Row],[5]]="WN",setca[[#This Row],[5]]="Es"),(setca[[#This Row],[12]]+setca[[#This Row],[13]])*1.12,setca[[#This Row],[12]]+setca[[#This Row],[13]])</f>
        <v>0</v>
      </c>
      <c r="AA57" s="195">
        <f>IF(OR(setca[[#This Row],[5]]="WN",setca[[#This Row],[5]]="Es"),setca[[#This Row],[4]]*1.12,setca[[#This Row],[4]])*(setca[[#This Row],[14]]+1)</f>
        <v>1</v>
      </c>
      <c r="AB57" s="195" t="str">
        <f>TEXT(setca[[#This Row],[3]],"ч:мм")&amp;" "&amp;IF(OR(setca[[#This Row],[5]]="WN",setca[[#This Row],[5]]="ES"),"€","$")&amp;setca[[#This Row],[4]]&amp;" "&amp;"["&amp;setca[[#This Row],[5]]&amp;"] "&amp;setca[[#This Row],[6]]</f>
        <v>16:00 $1 [PAC] 6-Max Think Fast</v>
      </c>
      <c r="AC57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 xml:space="preserve">   $1 [PAC] 6-Max Think Fast, $300</v>
      </c>
      <c r="AD57" s="195" t="b">
        <f>IF(setca[[#This Row],[16]]=FALSE,TRUE,FALSE)</f>
        <v>1</v>
      </c>
      <c r="AE57" s="195" t="b">
        <f ca="1">IF(setca[[#This Row],[2]]="",FALSE,AND((setca[[#This Row],[2]]+TODAY())&lt;$C$36,setca[[#This Row],[17]]=FALSE,setca[[#This Row],[18]]=TRUE))</f>
        <v>0</v>
      </c>
      <c r="AF57" s="195" t="b">
        <f ca="1">IF(setca[[#This Row],[2]]="",FALSE,AND((setca[[#This Row],[3]]+TODAY())&lt;$C$36,setca[[#This Row],[18]]=TRUE))</f>
        <v>0</v>
      </c>
      <c r="AG57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57" s="1"/>
      <c r="AI57" s="1"/>
    </row>
    <row r="58" spans="1:35" ht="11.1" customHeight="1" x14ac:dyDescent="0.25">
      <c r="A58" s="124" t="str">
        <f t="array" aca="1" ref="A58" ca="1">IFERROR(INDEX($F$39:$F$238,MATCH(0,IF(TRUE=setca[28],0,1)+COUNTIF($F$38:F95,$F$39:$F$238),0)),"")</f>
        <v/>
      </c>
      <c r="B58" s="109">
        <f>IFERROR(VLOOKUP(setca[[#This Row],[23]],Start!$B$87:$N$10044,3,0),0)+IF(setca[[#This Row],[18]]=TRUE,1+setca[[#This Row],[14]],0)</f>
        <v>1</v>
      </c>
      <c r="C58" s="21">
        <f>IFERROR((IFERROR(VLOOKUP(setca[[#This Row],[23]],Start!$B$87:$N$10044,12,0),0)+IF(setca[[#This Row],[18]]=TRUE,setca[[#This Row],[21]]-setca[[#This Row],[22]],0))/B58,0)</f>
        <v>-0.85000000000000009</v>
      </c>
      <c r="D58" s="1"/>
      <c r="E58" s="19">
        <f t="shared" ca="1" si="2"/>
        <v>2</v>
      </c>
      <c r="F58" s="173">
        <f t="shared" si="3"/>
        <v>21</v>
      </c>
      <c r="G58" s="99">
        <v>0.67708333333333337</v>
      </c>
      <c r="H58" s="99">
        <v>0.67708333333333337</v>
      </c>
      <c r="I58" s="114">
        <v>1.1000000000000001</v>
      </c>
      <c r="J58" s="100" t="s">
        <v>12</v>
      </c>
      <c r="K58" s="100" t="s">
        <v>148</v>
      </c>
      <c r="L58" s="100">
        <v>9</v>
      </c>
      <c r="M58" s="100" t="s">
        <v>71</v>
      </c>
      <c r="N58" s="100" t="s">
        <v>63</v>
      </c>
      <c r="O58" s="100" t="s">
        <v>71</v>
      </c>
      <c r="P58" s="101">
        <v>300</v>
      </c>
      <c r="Q58" s="105"/>
      <c r="R58" s="106"/>
      <c r="S58" s="104"/>
      <c r="T58" s="100" t="s">
        <v>71</v>
      </c>
      <c r="U58" s="133" t="b">
        <v>0</v>
      </c>
      <c r="V58" s="135" t="b">
        <v>0</v>
      </c>
      <c r="W58" s="136" t="b">
        <v>0</v>
      </c>
      <c r="X58" s="185" t="str">
        <f ca="1">IF(setca[[#This Row],[18]]=TRUE,IF($N$1=TRUE,TODAY()-1,TODAY()),"")</f>
        <v/>
      </c>
      <c r="Y58" s="195" t="b">
        <f ca="1">IF(setca[[#This Row],[2]]="","",IF(setca[[#This Row],[18]]=TRUE,                                     setca[[#This Row],[2]]+(TODAY())&lt;$C$36))</f>
        <v>0</v>
      </c>
      <c r="Z58" s="195">
        <f>IF(OR(setca[[#This Row],[5]]="WN",setca[[#This Row],[5]]="Es"),(setca[[#This Row],[12]]+setca[[#This Row],[13]])*1.12,setca[[#This Row],[12]]+setca[[#This Row],[13]])</f>
        <v>0</v>
      </c>
      <c r="AA58" s="195">
        <f>IF(OR(setca[[#This Row],[5]]="WN",setca[[#This Row],[5]]="Es"),setca[[#This Row],[4]]*1.12,setca[[#This Row],[4]])*(setca[[#This Row],[14]]+1)</f>
        <v>1.1000000000000001</v>
      </c>
      <c r="AB58" s="195" t="str">
        <f>TEXT(setca[[#This Row],[3]],"ч:мм")&amp;" "&amp;IF(OR(setca[[#This Row],[5]]="WN",setca[[#This Row],[5]]="ES"),"€","$")&amp;setca[[#This Row],[4]]&amp;" "&amp;"["&amp;setca[[#This Row],[5]]&amp;"] "&amp;setca[[#This Row],[6]]</f>
        <v>16:15 $1,1 [PAC] Guaranteed PKO</v>
      </c>
      <c r="AC58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 xml:space="preserve">   $1,1 [PAC] Guaranteed PKO, $300</v>
      </c>
      <c r="AD58" s="195" t="b">
        <f>IF(setca[[#This Row],[16]]=FALSE,TRUE,FALSE)</f>
        <v>1</v>
      </c>
      <c r="AE58" s="195" t="b">
        <f ca="1">IF(setca[[#This Row],[2]]="",FALSE,AND((setca[[#This Row],[2]]+TODAY())&lt;$C$36,setca[[#This Row],[17]]=FALSE,setca[[#This Row],[18]]=TRUE))</f>
        <v>0</v>
      </c>
      <c r="AF58" s="195" t="b">
        <f ca="1">IF(setca[[#This Row],[2]]="",FALSE,AND((setca[[#This Row],[3]]+TODAY())&lt;$C$36,setca[[#This Row],[18]]=TRUE))</f>
        <v>0</v>
      </c>
      <c r="AG58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58" s="1"/>
      <c r="AI58" s="1"/>
    </row>
    <row r="59" spans="1:35" ht="11.1" customHeight="1" x14ac:dyDescent="0.25">
      <c r="A59" s="124" t="str">
        <f t="array" aca="1" ref="A59" ca="1">IFERROR(INDEX($F$39:$F$238,MATCH(0,IF(TRUE=setca[28],0,1)+COUNTIF($F$38:F96,$F$39:$F$238),0)),"")</f>
        <v/>
      </c>
      <c r="B59" s="109">
        <f>IFERROR(VLOOKUP(setca[[#This Row],[23]],Start!$B$87:$N$10044,3,0),0)+IF(setca[[#This Row],[18]]=TRUE,1+setca[[#This Row],[14]],0)</f>
        <v>1</v>
      </c>
      <c r="C59" s="21">
        <f>IFERROR((IFERROR(VLOOKUP(setca[[#This Row],[23]],Start!$B$87:$N$10044,12,0),0)+IF(setca[[#This Row],[18]]=TRUE,setca[[#This Row],[21]]-setca[[#This Row],[22]],0))/B59,0)</f>
        <v>2.87</v>
      </c>
      <c r="D59" s="1"/>
      <c r="E59" s="19">
        <f t="shared" ca="1" si="2"/>
        <v>2</v>
      </c>
      <c r="F59" s="173">
        <f t="shared" si="3"/>
        <v>22</v>
      </c>
      <c r="G59" s="99">
        <v>0.67708333333333337</v>
      </c>
      <c r="H59" s="99">
        <v>0.67708333333333337</v>
      </c>
      <c r="I59" s="114">
        <v>1.1000000000000001</v>
      </c>
      <c r="J59" s="99" t="s">
        <v>4</v>
      </c>
      <c r="K59" s="100" t="s">
        <v>14</v>
      </c>
      <c r="L59" s="100">
        <v>9</v>
      </c>
      <c r="M59" s="100" t="s">
        <v>71</v>
      </c>
      <c r="N59" s="100" t="s">
        <v>71</v>
      </c>
      <c r="O59" s="100" t="s">
        <v>71</v>
      </c>
      <c r="P59" s="101">
        <v>1500</v>
      </c>
      <c r="Q59" s="105"/>
      <c r="R59" s="106"/>
      <c r="S59" s="104"/>
      <c r="T59" s="100" t="s">
        <v>71</v>
      </c>
      <c r="U59" s="133" t="b">
        <v>0</v>
      </c>
      <c r="V59" s="135" t="b">
        <v>0</v>
      </c>
      <c r="W59" s="136" t="b">
        <v>0</v>
      </c>
      <c r="X59" s="185" t="str">
        <f ca="1">IF(setca[[#This Row],[18]]=TRUE,IF($N$1=TRUE,TODAY()-1,TODAY()),"")</f>
        <v/>
      </c>
      <c r="Y59" s="195" t="b">
        <f ca="1">IF(setca[[#This Row],[2]]="","",IF(setca[[#This Row],[18]]=TRUE,                                     setca[[#This Row],[2]]+(TODAY())&lt;$C$36))</f>
        <v>0</v>
      </c>
      <c r="Z59" s="195">
        <f>IF(OR(setca[[#This Row],[5]]="WN",setca[[#This Row],[5]]="Es"),(setca[[#This Row],[12]]+setca[[#This Row],[13]])*1.12,setca[[#This Row],[12]]+setca[[#This Row],[13]])</f>
        <v>0</v>
      </c>
      <c r="AA59" s="195">
        <f>IF(OR(setca[[#This Row],[5]]="WN",setca[[#This Row],[5]]="Es"),setca[[#This Row],[4]]*1.12,setca[[#This Row],[4]])*(setca[[#This Row],[14]]+1)</f>
        <v>1.1000000000000001</v>
      </c>
      <c r="AB59" s="195" t="str">
        <f>TEXT(setca[[#This Row],[3]],"ч:мм")&amp;" "&amp;IF(OR(setca[[#This Row],[5]]="WN",setca[[#This Row],[5]]="ES"),"€","$")&amp;setca[[#This Row],[4]]&amp;" "&amp;"["&amp;setca[[#This Row],[5]]&amp;"] "&amp;setca[[#This Row],[6]]</f>
        <v>16:15 $1,1 [PS] GTD</v>
      </c>
      <c r="AC59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 xml:space="preserve">   $1,1 [PS] GTD, $1,5K</v>
      </c>
      <c r="AD59" s="195" t="b">
        <f>IF(setca[[#This Row],[16]]=FALSE,TRUE,FALSE)</f>
        <v>1</v>
      </c>
      <c r="AE59" s="195" t="b">
        <f ca="1">IF(setca[[#This Row],[2]]="",FALSE,AND((setca[[#This Row],[2]]+TODAY())&lt;$C$36,setca[[#This Row],[17]]=FALSE,setca[[#This Row],[18]]=TRUE))</f>
        <v>0</v>
      </c>
      <c r="AF59" s="195" t="b">
        <f ca="1">IF(setca[[#This Row],[2]]="",FALSE,AND((setca[[#This Row],[3]]+TODAY())&lt;$C$36,setca[[#This Row],[18]]=TRUE))</f>
        <v>0</v>
      </c>
      <c r="AG59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59" s="1"/>
      <c r="AI59" s="1"/>
    </row>
    <row r="60" spans="1:35" ht="11.1" customHeight="1" x14ac:dyDescent="0.25">
      <c r="A60" s="124" t="str">
        <f t="array" aca="1" ref="A60" ca="1">IFERROR(INDEX($F$39:$F$238,MATCH(0,IF(TRUE=setca[28],0,1)+COUNTIF($F$38:F97,$F$39:$F$238),0)),"")</f>
        <v/>
      </c>
      <c r="B60" s="109">
        <f>IFERROR(VLOOKUP(setca[[#This Row],[23]],Start!$B$87:$N$10044,3,0),0)+IF(setca[[#This Row],[18]]=TRUE,1+setca[[#This Row],[14]],0)</f>
        <v>1</v>
      </c>
      <c r="C60" s="21">
        <f>IFERROR((IFERROR(VLOOKUP(setca[[#This Row],[23]],Start!$B$87:$N$10044,12,0),0)+IF(setca[[#This Row],[18]]=TRUE,setca[[#This Row],[21]]-setca[[#This Row],[22]],0))/B60,0)</f>
        <v>-2.2000000000000002</v>
      </c>
      <c r="D60" s="1"/>
      <c r="E60" s="19">
        <f t="shared" ca="1" si="2"/>
        <v>2</v>
      </c>
      <c r="F60" s="173">
        <f t="shared" si="3"/>
        <v>23</v>
      </c>
      <c r="G60" s="99">
        <v>0.6875</v>
      </c>
      <c r="H60" s="99">
        <v>0.6875</v>
      </c>
      <c r="I60" s="114">
        <v>2.2000000000000002</v>
      </c>
      <c r="J60" s="99" t="s">
        <v>12</v>
      </c>
      <c r="K60" s="100" t="s">
        <v>100</v>
      </c>
      <c r="L60" s="100">
        <v>9</v>
      </c>
      <c r="M60" s="100" t="s">
        <v>71</v>
      </c>
      <c r="N60" s="100" t="s">
        <v>71</v>
      </c>
      <c r="O60" s="100" t="s">
        <v>71</v>
      </c>
      <c r="P60" s="101">
        <v>500</v>
      </c>
      <c r="Q60" s="105"/>
      <c r="R60" s="106"/>
      <c r="S60" s="104"/>
      <c r="T60" s="100" t="s">
        <v>71</v>
      </c>
      <c r="U60" s="133" t="b">
        <v>0</v>
      </c>
      <c r="V60" s="135" t="b">
        <v>0</v>
      </c>
      <c r="W60" s="136" t="b">
        <v>0</v>
      </c>
      <c r="X60" s="185" t="str">
        <f ca="1">IF(setca[[#This Row],[18]]=TRUE,IF($N$1=TRUE,TODAY()-1,TODAY()),"")</f>
        <v/>
      </c>
      <c r="Y60" s="195" t="b">
        <f ca="1">IF(setca[[#This Row],[2]]="","",IF(setca[[#This Row],[18]]=TRUE,                                     setca[[#This Row],[2]]+(TODAY())&lt;$C$36))</f>
        <v>0</v>
      </c>
      <c r="Z60" s="195">
        <f>IF(OR(setca[[#This Row],[5]]="WN",setca[[#This Row],[5]]="Es"),(setca[[#This Row],[12]]+setca[[#This Row],[13]])*1.12,setca[[#This Row],[12]]+setca[[#This Row],[13]])</f>
        <v>0</v>
      </c>
      <c r="AA60" s="195">
        <f>IF(OR(setca[[#This Row],[5]]="WN",setca[[#This Row],[5]]="Es"),setca[[#This Row],[4]]*1.12,setca[[#This Row],[4]])*(setca[[#This Row],[14]]+1)</f>
        <v>2.2000000000000002</v>
      </c>
      <c r="AB60" s="195" t="str">
        <f>TEXT(setca[[#This Row],[3]],"ч:мм")&amp;" "&amp;IF(OR(setca[[#This Row],[5]]="WN",setca[[#This Row],[5]]="ES"),"€","$")&amp;setca[[#This Row],[4]]&amp;" "&amp;"["&amp;setca[[#This Row],[5]]&amp;"] "&amp;setca[[#This Row],[6]]</f>
        <v>16:30 $2,2 [PAC] Guaranteed</v>
      </c>
      <c r="AC60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 xml:space="preserve">   $2,2 [PAC] Guaranteed, $500</v>
      </c>
      <c r="AD60" s="195" t="b">
        <f>IF(setca[[#This Row],[16]]=FALSE,TRUE,FALSE)</f>
        <v>1</v>
      </c>
      <c r="AE60" s="195" t="b">
        <f ca="1">IF(setca[[#This Row],[2]]="",FALSE,AND((setca[[#This Row],[2]]+TODAY())&lt;$C$36,setca[[#This Row],[17]]=FALSE,setca[[#This Row],[18]]=TRUE))</f>
        <v>0</v>
      </c>
      <c r="AF60" s="195" t="b">
        <f ca="1">IF(setca[[#This Row],[2]]="",FALSE,AND((setca[[#This Row],[3]]+TODAY())&lt;$C$36,setca[[#This Row],[18]]=TRUE))</f>
        <v>0</v>
      </c>
      <c r="AG60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60" s="1"/>
      <c r="AI60" s="1"/>
    </row>
    <row r="61" spans="1:35" ht="11.1" customHeight="1" x14ac:dyDescent="0.25">
      <c r="A61" s="124" t="str">
        <f t="array" aca="1" ref="A61" ca="1">IFERROR(INDEX($F$39:$F$238,MATCH(0,IF(TRUE=setca[28],0,1)+COUNTIF($F$38:F98,$F$39:$F$238),0)),"")</f>
        <v/>
      </c>
      <c r="B61" s="109">
        <f>IFERROR(VLOOKUP(setca[[#This Row],[23]],Start!$B$87:$N$10044,3,0),0)+IF(setca[[#This Row],[18]]=TRUE,1+setca[[#This Row],[14]],0)</f>
        <v>0</v>
      </c>
      <c r="C61" s="21">
        <f>IFERROR((IFERROR(VLOOKUP(setca[[#This Row],[23]],Start!$B$87:$N$10044,12,0),0)+IF(setca[[#This Row],[18]]=TRUE,setca[[#This Row],[21]]-setca[[#This Row],[22]],0))/B61,0)</f>
        <v>0</v>
      </c>
      <c r="D61" s="1"/>
      <c r="E61" s="19">
        <f t="shared" ca="1" si="2"/>
        <v>2</v>
      </c>
      <c r="F61" s="173">
        <f t="shared" si="3"/>
        <v>24</v>
      </c>
      <c r="G61" s="99">
        <v>0.70833333333333337</v>
      </c>
      <c r="H61" s="99">
        <v>0.70833333333333337</v>
      </c>
      <c r="I61" s="114">
        <v>1</v>
      </c>
      <c r="J61" s="99" t="s">
        <v>10</v>
      </c>
      <c r="K61" s="100" t="s">
        <v>99</v>
      </c>
      <c r="L61" s="100">
        <v>6</v>
      </c>
      <c r="M61" s="100" t="s">
        <v>71</v>
      </c>
      <c r="N61" s="100" t="s">
        <v>71</v>
      </c>
      <c r="O61" s="100" t="s">
        <v>71</v>
      </c>
      <c r="P61" s="101">
        <v>200</v>
      </c>
      <c r="Q61" s="105"/>
      <c r="R61" s="106"/>
      <c r="S61" s="104"/>
      <c r="T61" s="100" t="s">
        <v>71</v>
      </c>
      <c r="U61" s="133" t="b">
        <v>0</v>
      </c>
      <c r="V61" s="135" t="b">
        <v>0</v>
      </c>
      <c r="W61" s="136" t="b">
        <v>0</v>
      </c>
      <c r="X61" s="185" t="str">
        <f ca="1">IF(setca[[#This Row],[18]]=TRUE,IF($N$1=TRUE,TODAY()-1,TODAY()),"")</f>
        <v/>
      </c>
      <c r="Y61" s="195" t="b">
        <f ca="1">IF(setca[[#This Row],[2]]="","",IF(setca[[#This Row],[18]]=TRUE,                                     setca[[#This Row],[2]]+(TODAY())&lt;$C$36))</f>
        <v>0</v>
      </c>
      <c r="Z61" s="195">
        <f>IF(OR(setca[[#This Row],[5]]="WN",setca[[#This Row],[5]]="Es"),(setca[[#This Row],[12]]+setca[[#This Row],[13]])*1.12,setca[[#This Row],[12]]+setca[[#This Row],[13]])</f>
        <v>0</v>
      </c>
      <c r="AA61" s="195">
        <f>IF(OR(setca[[#This Row],[5]]="WN",setca[[#This Row],[5]]="Es"),setca[[#This Row],[4]]*1.12,setca[[#This Row],[4]])*(setca[[#This Row],[14]]+1)</f>
        <v>1.1200000000000001</v>
      </c>
      <c r="AB61" s="195" t="str">
        <f>TEXT(setca[[#This Row],[3]],"ч:мм")&amp;" "&amp;IF(OR(setca[[#This Row],[5]]="WN",setca[[#This Row],[5]]="ES"),"€","$")&amp;setca[[#This Row],[4]]&amp;" "&amp;"["&amp;setca[[#This Row],[5]]&amp;"] "&amp;setca[[#This Row],[6]]</f>
        <v>17:00 €1 [WN] Monster Stack</v>
      </c>
      <c r="AC61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 xml:space="preserve">   €1 [WN] Monster Stack, €200</v>
      </c>
      <c r="AD61" s="195" t="b">
        <f>IF(setca[[#This Row],[16]]=FALSE,TRUE,FALSE)</f>
        <v>1</v>
      </c>
      <c r="AE61" s="195" t="b">
        <f ca="1">IF(setca[[#This Row],[2]]="",FALSE,AND((setca[[#This Row],[2]]+TODAY())&lt;$C$36,setca[[#This Row],[17]]=FALSE,setca[[#This Row],[18]]=TRUE))</f>
        <v>0</v>
      </c>
      <c r="AF61" s="195" t="b">
        <f ca="1">IF(setca[[#This Row],[2]]="",FALSE,AND((setca[[#This Row],[3]]+TODAY())&lt;$C$36,setca[[#This Row],[18]]=TRUE))</f>
        <v>0</v>
      </c>
      <c r="AG61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61" s="1"/>
      <c r="AI61" s="1"/>
    </row>
    <row r="62" spans="1:35" ht="11.1" customHeight="1" x14ac:dyDescent="0.25">
      <c r="A62" s="124" t="str">
        <f t="array" aca="1" ref="A62" ca="1">IFERROR(INDEX($F$39:$F$238,MATCH(0,IF(TRUE=setca[28],0,1)+COUNTIF($F$38:F99,$F$39:$F$238),0)),"")</f>
        <v/>
      </c>
      <c r="B62" s="109">
        <f>IFERROR(VLOOKUP(setca[[#This Row],[23]],Start!$B$87:$N$10044,3,0),0)+IF(setca[[#This Row],[18]]=TRUE,1+setca[[#This Row],[14]],0)</f>
        <v>0</v>
      </c>
      <c r="C62" s="21">
        <f>IFERROR((IFERROR(VLOOKUP(setca[[#This Row],[23]],Start!$B$87:$N$10044,12,0),0)+IF(setca[[#This Row],[18]]=TRUE,setca[[#This Row],[21]]-setca[[#This Row],[22]],0))/B62,0)</f>
        <v>0</v>
      </c>
      <c r="D62" s="1"/>
      <c r="E62" s="19">
        <f t="shared" ca="1" si="2"/>
        <v>2</v>
      </c>
      <c r="F62" s="173">
        <f t="shared" si="3"/>
        <v>25</v>
      </c>
      <c r="G62" s="99">
        <v>0.71875</v>
      </c>
      <c r="H62" s="99">
        <v>0.71875</v>
      </c>
      <c r="I62" s="114">
        <v>1.1000000000000001</v>
      </c>
      <c r="J62" s="100" t="s">
        <v>11</v>
      </c>
      <c r="K62" s="100" t="s">
        <v>145</v>
      </c>
      <c r="L62" s="100">
        <v>8</v>
      </c>
      <c r="M62" s="100" t="s">
        <v>71</v>
      </c>
      <c r="N62" s="100" t="s">
        <v>71</v>
      </c>
      <c r="O62" s="100" t="s">
        <v>71</v>
      </c>
      <c r="P62" s="101">
        <v>400</v>
      </c>
      <c r="Q62" s="105"/>
      <c r="R62" s="106"/>
      <c r="S62" s="104"/>
      <c r="T62" s="100" t="s">
        <v>71</v>
      </c>
      <c r="U62" s="133" t="b">
        <v>0</v>
      </c>
      <c r="V62" s="135" t="b">
        <v>0</v>
      </c>
      <c r="W62" s="136" t="b">
        <v>0</v>
      </c>
      <c r="X62" s="185" t="str">
        <f ca="1">IF(setca[[#This Row],[18]]=TRUE,IF($N$1=TRUE,TODAY()-1,TODAY()),"")</f>
        <v/>
      </c>
      <c r="Y62" s="195" t="b">
        <f ca="1">IF(setca[[#This Row],[2]]="","",IF(setca[[#This Row],[18]]=TRUE,                                     setca[[#This Row],[2]]+(TODAY())&lt;$C$36))</f>
        <v>0</v>
      </c>
      <c r="Z62" s="195">
        <f>IF(OR(setca[[#This Row],[5]]="WN",setca[[#This Row],[5]]="Es"),(setca[[#This Row],[12]]+setca[[#This Row],[13]])*1.12,setca[[#This Row],[12]]+setca[[#This Row],[13]])</f>
        <v>0</v>
      </c>
      <c r="AA62" s="195">
        <f>IF(OR(setca[[#This Row],[5]]="WN",setca[[#This Row],[5]]="Es"),setca[[#This Row],[4]]*1.12,setca[[#This Row],[4]])*(setca[[#This Row],[14]]+1)</f>
        <v>1.1000000000000001</v>
      </c>
      <c r="AB62" s="195" t="str">
        <f>TEXT(setca[[#This Row],[3]],"ч:мм")&amp;" "&amp;IF(OR(setca[[#This Row],[5]]="WN",setca[[#This Row],[5]]="ES"),"€","$")&amp;setca[[#This Row],[4]]&amp;" "&amp;"["&amp;setca[[#This Row],[5]]&amp;"] "&amp;setca[[#This Row],[6]]</f>
        <v>17:15 $1,1 [PP] Deepstack</v>
      </c>
      <c r="AC62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 xml:space="preserve">   $1,1 [PP] Deepstack, $400</v>
      </c>
      <c r="AD62" s="195" t="b">
        <f>IF(setca[[#This Row],[16]]=FALSE,TRUE,FALSE)</f>
        <v>1</v>
      </c>
      <c r="AE62" s="195" t="b">
        <f ca="1">IF(setca[[#This Row],[2]]="",FALSE,AND((setca[[#This Row],[2]]+TODAY())&lt;$C$36,setca[[#This Row],[17]]=FALSE,setca[[#This Row],[18]]=TRUE))</f>
        <v>0</v>
      </c>
      <c r="AF62" s="195" t="b">
        <f ca="1">IF(setca[[#This Row],[2]]="",FALSE,AND((setca[[#This Row],[3]]+TODAY())&lt;$C$36,setca[[#This Row],[18]]=TRUE))</f>
        <v>0</v>
      </c>
      <c r="AG62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62" s="1"/>
      <c r="AI62" s="1"/>
    </row>
    <row r="63" spans="1:35" ht="11.1" customHeight="1" x14ac:dyDescent="0.25">
      <c r="A63" s="124" t="str">
        <f t="array" aca="1" ref="A63" ca="1">IFERROR(INDEX($F$39:$F$238,MATCH(0,IF(TRUE=setca[28],0,1)+COUNTIF($F$38:F100,$F$39:$F$238),0)),"")</f>
        <v/>
      </c>
      <c r="B63" s="109">
        <f>IFERROR(VLOOKUP(setca[[#This Row],[23]],Start!$B$87:$N$10044,3,0),0)+IF(setca[[#This Row],[18]]=TRUE,1+setca[[#This Row],[14]],0)</f>
        <v>0</v>
      </c>
      <c r="C63" s="21">
        <f>IFERROR((IFERROR(VLOOKUP(setca[[#This Row],[23]],Start!$B$87:$N$10044,12,0),0)+IF(setca[[#This Row],[18]]=TRUE,setca[[#This Row],[21]]-setca[[#This Row],[22]],0))/B63,0)</f>
        <v>0</v>
      </c>
      <c r="D63" s="1"/>
      <c r="E63" s="19">
        <f t="shared" ca="1" si="2"/>
        <v>2</v>
      </c>
      <c r="F63" s="173">
        <f t="shared" si="3"/>
        <v>26</v>
      </c>
      <c r="G63" s="99">
        <v>0.73611111111111116</v>
      </c>
      <c r="H63" s="99">
        <v>0.73611111111111116</v>
      </c>
      <c r="I63" s="114">
        <v>1.1000000000000001</v>
      </c>
      <c r="J63" s="100" t="s">
        <v>4</v>
      </c>
      <c r="K63" s="100" t="s">
        <v>14</v>
      </c>
      <c r="L63" s="100">
        <v>9</v>
      </c>
      <c r="M63" s="100" t="s">
        <v>71</v>
      </c>
      <c r="N63" s="100" t="s">
        <v>71</v>
      </c>
      <c r="O63" s="100" t="s">
        <v>71</v>
      </c>
      <c r="P63" s="101">
        <v>1500</v>
      </c>
      <c r="Q63" s="105"/>
      <c r="R63" s="106"/>
      <c r="S63" s="104"/>
      <c r="T63" s="100" t="s">
        <v>71</v>
      </c>
      <c r="U63" s="133" t="b">
        <v>0</v>
      </c>
      <c r="V63" s="135" t="b">
        <v>0</v>
      </c>
      <c r="W63" s="136" t="b">
        <v>0</v>
      </c>
      <c r="X63" s="185" t="str">
        <f ca="1">IF(setca[[#This Row],[18]]=TRUE,IF($N$1=TRUE,TODAY()-1,TODAY()),"")</f>
        <v/>
      </c>
      <c r="Y63" s="195" t="b">
        <f ca="1">IF(setca[[#This Row],[2]]="","",IF(setca[[#This Row],[18]]=TRUE,                                     setca[[#This Row],[2]]+(TODAY())&lt;$C$36))</f>
        <v>0</v>
      </c>
      <c r="Z63" s="195">
        <f>IF(OR(setca[[#This Row],[5]]="WN",setca[[#This Row],[5]]="Es"),(setca[[#This Row],[12]]+setca[[#This Row],[13]])*1.12,setca[[#This Row],[12]]+setca[[#This Row],[13]])</f>
        <v>0</v>
      </c>
      <c r="AA63" s="195">
        <f>IF(OR(setca[[#This Row],[5]]="WN",setca[[#This Row],[5]]="Es"),setca[[#This Row],[4]]*1.12,setca[[#This Row],[4]])*(setca[[#This Row],[14]]+1)</f>
        <v>1.1000000000000001</v>
      </c>
      <c r="AB63" s="195" t="str">
        <f>TEXT(setca[[#This Row],[3]],"ч:мм")&amp;" "&amp;IF(OR(setca[[#This Row],[5]]="WN",setca[[#This Row],[5]]="ES"),"€","$")&amp;setca[[#This Row],[4]]&amp;" "&amp;"["&amp;setca[[#This Row],[5]]&amp;"] "&amp;setca[[#This Row],[6]]</f>
        <v>17:40 $1,1 [PS] GTD</v>
      </c>
      <c r="AC63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 xml:space="preserve">   $1,1 [PS] GTD, $1,5K</v>
      </c>
      <c r="AD63" s="195" t="b">
        <f>IF(setca[[#This Row],[16]]=FALSE,TRUE,FALSE)</f>
        <v>1</v>
      </c>
      <c r="AE63" s="195" t="b">
        <f ca="1">IF(setca[[#This Row],[2]]="",FALSE,AND((setca[[#This Row],[2]]+TODAY())&lt;$C$36,setca[[#This Row],[17]]=FALSE,setca[[#This Row],[18]]=TRUE))</f>
        <v>0</v>
      </c>
      <c r="AF63" s="195" t="b">
        <f ca="1">IF(setca[[#This Row],[2]]="",FALSE,AND((setca[[#This Row],[3]]+TODAY())&lt;$C$36,setca[[#This Row],[18]]=TRUE))</f>
        <v>0</v>
      </c>
      <c r="AG63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63" s="1"/>
      <c r="AI63" s="1"/>
    </row>
    <row r="64" spans="1:35" ht="11.1" customHeight="1" x14ac:dyDescent="0.25">
      <c r="A64" s="124" t="str">
        <f t="array" aca="1" ref="A64" ca="1">IFERROR(INDEX($F$39:$F$238,MATCH(0,IF(TRUE=setca[28],0,1)+COUNTIF($F$38:F101,$F$39:$F$238),0)),"")</f>
        <v/>
      </c>
      <c r="B64" s="109">
        <f>IFERROR(VLOOKUP(setca[[#This Row],[23]],Start!$B$87:$N$10044,3,0),0)+IF(setca[[#This Row],[18]]=TRUE,1+setca[[#This Row],[14]],0)</f>
        <v>0</v>
      </c>
      <c r="C64" s="21">
        <f>IFERROR((IFERROR(VLOOKUP(setca[[#This Row],[23]],Start!$B$87:$N$10044,12,0),0)+IF(setca[[#This Row],[18]]=TRUE,setca[[#This Row],[21]]-setca[[#This Row],[22]],0))/B64,0)</f>
        <v>0</v>
      </c>
      <c r="D64" s="1"/>
      <c r="E64" s="19">
        <f t="shared" ca="1" si="2"/>
        <v>2</v>
      </c>
      <c r="F64" s="173">
        <f t="shared" si="3"/>
        <v>27</v>
      </c>
      <c r="G64" s="99">
        <v>0.79166666666666663</v>
      </c>
      <c r="H64" s="99">
        <v>0.79166666666666663</v>
      </c>
      <c r="I64" s="114">
        <v>1</v>
      </c>
      <c r="J64" s="100" t="s">
        <v>10</v>
      </c>
      <c r="K64" s="100" t="s">
        <v>99</v>
      </c>
      <c r="L64" s="100">
        <v>6</v>
      </c>
      <c r="M64" s="100" t="s">
        <v>71</v>
      </c>
      <c r="N64" s="100" t="s">
        <v>71</v>
      </c>
      <c r="O64" s="100" t="s">
        <v>71</v>
      </c>
      <c r="P64" s="101">
        <v>300</v>
      </c>
      <c r="Q64" s="105"/>
      <c r="R64" s="106"/>
      <c r="S64" s="104"/>
      <c r="T64" s="100" t="s">
        <v>71</v>
      </c>
      <c r="U64" s="133" t="b">
        <v>0</v>
      </c>
      <c r="V64" s="135" t="b">
        <v>0</v>
      </c>
      <c r="W64" s="136" t="b">
        <v>0</v>
      </c>
      <c r="X64" s="185" t="str">
        <f ca="1">IF(setca[[#This Row],[18]]=TRUE,IF($N$1=TRUE,TODAY()-1,TODAY()),"")</f>
        <v/>
      </c>
      <c r="Y64" s="195" t="b">
        <f ca="1">IF(setca[[#This Row],[2]]="","",IF(setca[[#This Row],[18]]=TRUE,                                     setca[[#This Row],[2]]+(TODAY())&lt;$C$36))</f>
        <v>0</v>
      </c>
      <c r="Z64" s="195">
        <f>IF(OR(setca[[#This Row],[5]]="WN",setca[[#This Row],[5]]="Es"),(setca[[#This Row],[12]]+setca[[#This Row],[13]])*1.12,setca[[#This Row],[12]]+setca[[#This Row],[13]])</f>
        <v>0</v>
      </c>
      <c r="AA64" s="195">
        <f>IF(OR(setca[[#This Row],[5]]="WN",setca[[#This Row],[5]]="Es"),setca[[#This Row],[4]]*1.12,setca[[#This Row],[4]])*(setca[[#This Row],[14]]+1)</f>
        <v>1.1200000000000001</v>
      </c>
      <c r="AB64" s="195" t="str">
        <f>TEXT(setca[[#This Row],[3]],"ч:мм")&amp;" "&amp;IF(OR(setca[[#This Row],[5]]="WN",setca[[#This Row],[5]]="ES"),"€","$")&amp;setca[[#This Row],[4]]&amp;" "&amp;"["&amp;setca[[#This Row],[5]]&amp;"] "&amp;setca[[#This Row],[6]]</f>
        <v>19:00 €1 [WN] Monster Stack</v>
      </c>
      <c r="AC64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 xml:space="preserve">   €1 [WN] Monster Stack, €300</v>
      </c>
      <c r="AD64" s="195" t="b">
        <f>IF(setca[[#This Row],[16]]=FALSE,TRUE,FALSE)</f>
        <v>1</v>
      </c>
      <c r="AE64" s="195" t="b">
        <f ca="1">IF(setca[[#This Row],[2]]="",FALSE,AND((setca[[#This Row],[2]]+TODAY())&lt;$C$36,setca[[#This Row],[17]]=FALSE,setca[[#This Row],[18]]=TRUE))</f>
        <v>0</v>
      </c>
      <c r="AF64" s="195" t="b">
        <f ca="1">IF(setca[[#This Row],[2]]="",FALSE,AND((setca[[#This Row],[3]]+TODAY())&lt;$C$36,setca[[#This Row],[18]]=TRUE))</f>
        <v>0</v>
      </c>
      <c r="AG64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64" s="1"/>
      <c r="AI64" s="1"/>
    </row>
    <row r="65" spans="1:35" ht="11.1" customHeight="1" x14ac:dyDescent="0.25">
      <c r="A65" s="124" t="str">
        <f t="array" aca="1" ref="A65" ca="1">IFERROR(INDEX($F$39:$F$238,MATCH(0,IF(TRUE=setca[28],0,1)+COUNTIF($F$38:F102,$F$39:$F$238),0)),"")</f>
        <v/>
      </c>
      <c r="B65" s="109">
        <f>IFERROR(VLOOKUP(setca[[#This Row],[23]],Start!$B$87:$N$10044,3,0),0)+IF(setca[[#This Row],[18]]=TRUE,1+setca[[#This Row],[14]],0)</f>
        <v>0</v>
      </c>
      <c r="C65" s="21">
        <f>IFERROR((IFERROR(VLOOKUP(setca[[#This Row],[23]],Start!$B$87:$N$10044,12,0),0)+IF(setca[[#This Row],[18]]=TRUE,setca[[#This Row],[21]]-setca[[#This Row],[22]],0))/B65,0)</f>
        <v>0</v>
      </c>
      <c r="D65" s="1"/>
      <c r="E65" s="19">
        <f t="shared" ca="1" si="2"/>
        <v>2</v>
      </c>
      <c r="F65" s="173">
        <f t="shared" si="3"/>
        <v>28</v>
      </c>
      <c r="G65" s="99">
        <v>0.79513888888888884</v>
      </c>
      <c r="H65" s="99">
        <v>0.79513888888888884</v>
      </c>
      <c r="I65" s="114">
        <v>1.1000000000000001</v>
      </c>
      <c r="J65" s="100" t="s">
        <v>11</v>
      </c>
      <c r="K65" s="100" t="s">
        <v>146</v>
      </c>
      <c r="L65" s="100">
        <v>8</v>
      </c>
      <c r="M65" s="100" t="s">
        <v>71</v>
      </c>
      <c r="N65" s="100" t="s">
        <v>63</v>
      </c>
      <c r="O65" s="100" t="s">
        <v>71</v>
      </c>
      <c r="P65" s="101">
        <v>2500</v>
      </c>
      <c r="Q65" s="105"/>
      <c r="R65" s="106"/>
      <c r="S65" s="104"/>
      <c r="T65" s="100" t="s">
        <v>71</v>
      </c>
      <c r="U65" s="133" t="b">
        <v>0</v>
      </c>
      <c r="V65" s="135" t="b">
        <v>0</v>
      </c>
      <c r="W65" s="136" t="b">
        <v>0</v>
      </c>
      <c r="X65" s="185" t="str">
        <f ca="1">IF(setca[[#This Row],[18]]=TRUE,IF($N$1=TRUE,TODAY()-1,TODAY()),"")</f>
        <v/>
      </c>
      <c r="Y65" s="195" t="b">
        <f ca="1">IF(setca[[#This Row],[2]]="","",IF(setca[[#This Row],[18]]=TRUE,                                     setca[[#This Row],[2]]+(TODAY())&lt;$C$36))</f>
        <v>0</v>
      </c>
      <c r="Z65" s="195">
        <f>IF(OR(setca[[#This Row],[5]]="WN",setca[[#This Row],[5]]="Es"),(setca[[#This Row],[12]]+setca[[#This Row],[13]])*1.12,setca[[#This Row],[12]]+setca[[#This Row],[13]])</f>
        <v>0</v>
      </c>
      <c r="AA65" s="195">
        <f>IF(OR(setca[[#This Row],[5]]="WN",setca[[#This Row],[5]]="Es"),setca[[#This Row],[4]]*1.12,setca[[#This Row],[4]])*(setca[[#This Row],[14]]+1)</f>
        <v>1.1000000000000001</v>
      </c>
      <c r="AB65" s="195" t="str">
        <f>TEXT(setca[[#This Row],[3]],"ч:мм")&amp;" "&amp;IF(OR(setca[[#This Row],[5]]="WN",setca[[#This Row],[5]]="ES"),"€","$")&amp;setca[[#This Row],[4]]&amp;" "&amp;"["&amp;setca[[#This Row],[5]]&amp;"] "&amp;setca[[#This Row],[6]]</f>
        <v>19:05 $1,1 [PP] The Jab</v>
      </c>
      <c r="AC65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 xml:space="preserve">   $1,1 [PP] The Jab, $2,5K</v>
      </c>
      <c r="AD65" s="195" t="b">
        <f>IF(setca[[#This Row],[16]]=FALSE,TRUE,FALSE)</f>
        <v>1</v>
      </c>
      <c r="AE65" s="195" t="b">
        <f ca="1">IF(setca[[#This Row],[2]]="",FALSE,AND((setca[[#This Row],[2]]+TODAY())&lt;$C$36,setca[[#This Row],[17]]=FALSE,setca[[#This Row],[18]]=TRUE))</f>
        <v>0</v>
      </c>
      <c r="AF65" s="195" t="b">
        <f ca="1">IF(setca[[#This Row],[2]]="",FALSE,AND((setca[[#This Row],[3]]+TODAY())&lt;$C$36,setca[[#This Row],[18]]=TRUE))</f>
        <v>0</v>
      </c>
      <c r="AG65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65" s="1"/>
      <c r="AI65" s="1"/>
    </row>
    <row r="66" spans="1:35" ht="11.1" customHeight="1" x14ac:dyDescent="0.25">
      <c r="A66" s="124" t="str">
        <f t="array" aca="1" ref="A66" ca="1">IFERROR(INDEX($F$39:$F$238,MATCH(0,IF(TRUE=setca[28],0,1)+COUNTIF($F$38:F103,$F$39:$F$238),0)),"")</f>
        <v/>
      </c>
      <c r="B66" s="109">
        <f>IFERROR(VLOOKUP(setca[[#This Row],[23]],Start!$B$87:$N$10044,3,0),0)+IF(setca[[#This Row],[18]]=TRUE,1+setca[[#This Row],[14]],0)</f>
        <v>0</v>
      </c>
      <c r="C66" s="21">
        <f>IFERROR((IFERROR(VLOOKUP(setca[[#This Row],[23]],Start!$B$87:$N$10044,12,0),0)+IF(setca[[#This Row],[18]]=TRUE,setca[[#This Row],[21]]-setca[[#This Row],[22]],0))/B66,0)</f>
        <v>0</v>
      </c>
      <c r="D66" s="1"/>
      <c r="E66" s="19">
        <f t="shared" ca="1" si="2"/>
        <v>2</v>
      </c>
      <c r="F66" s="173">
        <f t="shared" si="3"/>
        <v>29</v>
      </c>
      <c r="G66" s="99">
        <v>0.80902777777777779</v>
      </c>
      <c r="H66" s="99">
        <v>0.80902777777777779</v>
      </c>
      <c r="I66" s="114">
        <v>1.1000000000000001</v>
      </c>
      <c r="J66" s="100" t="s">
        <v>4</v>
      </c>
      <c r="K66" s="100" t="s">
        <v>14</v>
      </c>
      <c r="L66" s="100">
        <v>6</v>
      </c>
      <c r="M66" s="100" t="s">
        <v>71</v>
      </c>
      <c r="N66" s="100" t="s">
        <v>71</v>
      </c>
      <c r="O66" s="100" t="s">
        <v>71</v>
      </c>
      <c r="P66" s="101">
        <v>1500</v>
      </c>
      <c r="Q66" s="105"/>
      <c r="R66" s="106"/>
      <c r="S66" s="104"/>
      <c r="T66" s="100" t="s">
        <v>71</v>
      </c>
      <c r="U66" s="133" t="b">
        <v>0</v>
      </c>
      <c r="V66" s="135" t="b">
        <v>0</v>
      </c>
      <c r="W66" s="136" t="b">
        <v>0</v>
      </c>
      <c r="X66" s="185" t="str">
        <f ca="1">IF(setca[[#This Row],[18]]=TRUE,IF($N$1=TRUE,TODAY()-1,TODAY()),"")</f>
        <v/>
      </c>
      <c r="Y66" s="195" t="b">
        <f ca="1">IF(setca[[#This Row],[2]]="","",IF(setca[[#This Row],[18]]=TRUE,                                     setca[[#This Row],[2]]+(TODAY())&lt;$C$36))</f>
        <v>0</v>
      </c>
      <c r="Z66" s="195">
        <f>IF(OR(setca[[#This Row],[5]]="WN",setca[[#This Row],[5]]="Es"),(setca[[#This Row],[12]]+setca[[#This Row],[13]])*1.12,setca[[#This Row],[12]]+setca[[#This Row],[13]])</f>
        <v>0</v>
      </c>
      <c r="AA66" s="195">
        <f>IF(OR(setca[[#This Row],[5]]="WN",setca[[#This Row],[5]]="Es"),setca[[#This Row],[4]]*1.12,setca[[#This Row],[4]])*(setca[[#This Row],[14]]+1)</f>
        <v>1.1000000000000001</v>
      </c>
      <c r="AB66" s="195" t="str">
        <f>TEXT(setca[[#This Row],[3]],"ч:мм")&amp;" "&amp;IF(OR(setca[[#This Row],[5]]="WN",setca[[#This Row],[5]]="ES"),"€","$")&amp;setca[[#This Row],[4]]&amp;" "&amp;"["&amp;setca[[#This Row],[5]]&amp;"] "&amp;setca[[#This Row],[6]]</f>
        <v>19:25 $1,1 [PS] GTD</v>
      </c>
      <c r="AC66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 xml:space="preserve">   $1,1 [PS] GTD, $1,5K</v>
      </c>
      <c r="AD66" s="195" t="b">
        <f>IF(setca[[#This Row],[16]]=FALSE,TRUE,FALSE)</f>
        <v>1</v>
      </c>
      <c r="AE66" s="195" t="b">
        <f ca="1">IF(setca[[#This Row],[2]]="",FALSE,AND((setca[[#This Row],[2]]+TODAY())&lt;$C$36,setca[[#This Row],[17]]=FALSE,setca[[#This Row],[18]]=TRUE))</f>
        <v>0</v>
      </c>
      <c r="AF66" s="195" t="b">
        <f ca="1">IF(setca[[#This Row],[2]]="",FALSE,AND((setca[[#This Row],[3]]+TODAY())&lt;$C$36,setca[[#This Row],[18]]=TRUE))</f>
        <v>0</v>
      </c>
      <c r="AG66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66" s="1"/>
      <c r="AI66" s="1"/>
    </row>
    <row r="67" spans="1:35" ht="11.1" customHeight="1" x14ac:dyDescent="0.25">
      <c r="A67" s="124" t="str">
        <f t="array" aca="1" ref="A67" ca="1">IFERROR(INDEX($F$39:$F$238,MATCH(0,IF(TRUE=setca[28],0,1)+COUNTIF($F$38:F104,$F$39:$F$238),0)),"")</f>
        <v/>
      </c>
      <c r="B67" s="109">
        <f>IFERROR(VLOOKUP(setca[[#This Row],[23]],Start!$B$87:$N$10044,3,0),0)+IF(setca[[#This Row],[18]]=TRUE,1+setca[[#This Row],[14]],0)</f>
        <v>0</v>
      </c>
      <c r="C67" s="21">
        <f>IFERROR((IFERROR(VLOOKUP(setca[[#This Row],[23]],Start!$B$87:$N$10044,12,0),0)+IF(setca[[#This Row],[18]]=TRUE,setca[[#This Row],[21]]-setca[[#This Row],[22]],0))/B67,0)</f>
        <v>0</v>
      </c>
      <c r="D67" s="1"/>
      <c r="E67" s="19">
        <f t="shared" ca="1" si="2"/>
        <v>2</v>
      </c>
      <c r="F67" s="173">
        <f t="shared" si="3"/>
        <v>30</v>
      </c>
      <c r="G67" s="99">
        <v>0.83333333333333337</v>
      </c>
      <c r="H67" s="99">
        <v>0.83333333333333337</v>
      </c>
      <c r="I67" s="114">
        <v>1</v>
      </c>
      <c r="J67" s="100" t="s">
        <v>12</v>
      </c>
      <c r="K67" s="100" t="s">
        <v>147</v>
      </c>
      <c r="L67" s="100">
        <v>9</v>
      </c>
      <c r="M67" s="100" t="s">
        <v>71</v>
      </c>
      <c r="N67" s="100" t="s">
        <v>71</v>
      </c>
      <c r="O67" s="100" t="s">
        <v>71</v>
      </c>
      <c r="P67" s="101">
        <v>1500</v>
      </c>
      <c r="Q67" s="105"/>
      <c r="R67" s="106"/>
      <c r="S67" s="104"/>
      <c r="T67" s="100" t="s">
        <v>71</v>
      </c>
      <c r="U67" s="133" t="b">
        <v>0</v>
      </c>
      <c r="V67" s="135" t="b">
        <v>0</v>
      </c>
      <c r="W67" s="136" t="b">
        <v>0</v>
      </c>
      <c r="X67" s="185" t="str">
        <f ca="1">IF(setca[[#This Row],[18]]=TRUE,IF($N$1=TRUE,TODAY()-1,TODAY()),"")</f>
        <v/>
      </c>
      <c r="Y67" s="195" t="b">
        <f ca="1">IF(setca[[#This Row],[2]]="","",IF(setca[[#This Row],[18]]=TRUE,                                     setca[[#This Row],[2]]+(TODAY())&lt;$C$36))</f>
        <v>0</v>
      </c>
      <c r="Z67" s="195">
        <f>IF(OR(setca[[#This Row],[5]]="WN",setca[[#This Row],[5]]="Es"),(setca[[#This Row],[12]]+setca[[#This Row],[13]])*1.12,setca[[#This Row],[12]]+setca[[#This Row],[13]])</f>
        <v>0</v>
      </c>
      <c r="AA67" s="195">
        <f>IF(OR(setca[[#This Row],[5]]="WN",setca[[#This Row],[5]]="Es"),setca[[#This Row],[4]]*1.12,setca[[#This Row],[4]])*(setca[[#This Row],[14]]+1)</f>
        <v>1</v>
      </c>
      <c r="AB67" s="195" t="str">
        <f>TEXT(setca[[#This Row],[3]],"ч:мм")&amp;" "&amp;IF(OR(setca[[#This Row],[5]]="WN",setca[[#This Row],[5]]="ES"),"€","$")&amp;setca[[#This Row],[4]]&amp;" "&amp;"["&amp;setca[[#This Row],[5]]&amp;"] "&amp;setca[[#This Row],[6]]</f>
        <v>20:00 $1 [PAC] The Goldfish</v>
      </c>
      <c r="AC67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 xml:space="preserve">   $1 [PAC] The Goldfish, $1,5K</v>
      </c>
      <c r="AD67" s="195" t="b">
        <f>IF(setca[[#This Row],[16]]=FALSE,TRUE,FALSE)</f>
        <v>1</v>
      </c>
      <c r="AE67" s="195" t="b">
        <f ca="1">IF(setca[[#This Row],[2]]="",FALSE,AND((setca[[#This Row],[2]]+TODAY())&lt;$C$36,setca[[#This Row],[17]]=FALSE,setca[[#This Row],[18]]=TRUE))</f>
        <v>0</v>
      </c>
      <c r="AF67" s="195" t="b">
        <f ca="1">IF(setca[[#This Row],[2]]="",FALSE,AND((setca[[#This Row],[3]]+TODAY())&lt;$C$36,setca[[#This Row],[18]]=TRUE))</f>
        <v>0</v>
      </c>
      <c r="AG67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67" s="1"/>
      <c r="AI67" s="1"/>
    </row>
    <row r="68" spans="1:35" ht="11.1" customHeight="1" x14ac:dyDescent="0.25">
      <c r="A68" s="124" t="str">
        <f t="array" aca="1" ref="A68" ca="1">IFERROR(INDEX($F$39:$F$238,MATCH(0,IF(TRUE=setca[28],0,1)+COUNTIF($F$38:F105,$F$39:$F$238),0)),"")</f>
        <v/>
      </c>
      <c r="B68" s="109">
        <f>IFERROR(VLOOKUP(setca[[#This Row],[23]],Start!$B$87:$N$10044,3,0),0)+IF(setca[[#This Row],[18]]=TRUE,1+setca[[#This Row],[14]],0)</f>
        <v>0</v>
      </c>
      <c r="C68" s="21">
        <f>IFERROR((IFERROR(VLOOKUP(setca[[#This Row],[23]],Start!$B$87:$N$10044,12,0),0)+IF(setca[[#This Row],[18]]=TRUE,setca[[#This Row],[21]]-setca[[#This Row],[22]],0))/B68,0)</f>
        <v>0</v>
      </c>
      <c r="D68" s="1"/>
      <c r="E68" s="19">
        <f t="shared" ca="1" si="2"/>
        <v>2</v>
      </c>
      <c r="F68" s="173">
        <f t="shared" si="3"/>
        <v>31</v>
      </c>
      <c r="G68" s="182">
        <v>0.83333333333333337</v>
      </c>
      <c r="H68" s="99">
        <v>0.83333333333333337</v>
      </c>
      <c r="I68" s="114">
        <v>1.1000000000000001</v>
      </c>
      <c r="J68" s="99" t="s">
        <v>4</v>
      </c>
      <c r="K68" s="100" t="s">
        <v>103</v>
      </c>
      <c r="L68" s="100">
        <v>9</v>
      </c>
      <c r="M68" s="100" t="s">
        <v>71</v>
      </c>
      <c r="N68" s="100" t="s">
        <v>71</v>
      </c>
      <c r="O68" s="100" t="s">
        <v>71</v>
      </c>
      <c r="P68" s="101">
        <v>2000</v>
      </c>
      <c r="Q68" s="105"/>
      <c r="R68" s="106"/>
      <c r="S68" s="104"/>
      <c r="T68" s="100" t="s">
        <v>71</v>
      </c>
      <c r="U68" s="133" t="b">
        <v>0</v>
      </c>
      <c r="V68" s="135" t="b">
        <v>0</v>
      </c>
      <c r="W68" s="136" t="b">
        <v>0</v>
      </c>
      <c r="X68" s="185" t="str">
        <f ca="1">IF(setca[[#This Row],[18]]=TRUE,IF($N$1=TRUE,TODAY()-1,TODAY()),"")</f>
        <v/>
      </c>
      <c r="Y68" s="195" t="b">
        <f ca="1">IF(setca[[#This Row],[2]]="","",IF(setca[[#This Row],[18]]=TRUE,                                     setca[[#This Row],[2]]+(TODAY())&lt;$C$36))</f>
        <v>0</v>
      </c>
      <c r="Z68" s="195">
        <f>IF(OR(setca[[#This Row],[5]]="WN",setca[[#This Row],[5]]="Es"),(setca[[#This Row],[12]]+setca[[#This Row],[13]])*1.12,setca[[#This Row],[12]]+setca[[#This Row],[13]])</f>
        <v>0</v>
      </c>
      <c r="AA68" s="195">
        <f>IF(OR(setca[[#This Row],[5]]="WN",setca[[#This Row],[5]]="Es"),setca[[#This Row],[4]]*1.12,setca[[#This Row],[4]])*(setca[[#This Row],[14]]+1)</f>
        <v>1.1000000000000001</v>
      </c>
      <c r="AB68" s="195" t="str">
        <f>TEXT(setca[[#This Row],[3]],"ч:мм")&amp;" "&amp;IF(OR(setca[[#This Row],[5]]="WN",setca[[#This Row],[5]]="ES"),"€","$")&amp;setca[[#This Row],[4]]&amp;" "&amp;"["&amp;setca[[#This Row],[5]]&amp;"] "&amp;setca[[#This Row],[6]]</f>
        <v>20:00 $1,1 [PS] Big</v>
      </c>
      <c r="AC68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 xml:space="preserve">   $1,1 [PS] Big, $2K</v>
      </c>
      <c r="AD68" s="195" t="b">
        <f>IF(setca[[#This Row],[16]]=FALSE,TRUE,FALSE)</f>
        <v>1</v>
      </c>
      <c r="AE68" s="195" t="b">
        <f ca="1">IF(setca[[#This Row],[2]]="",FALSE,AND((setca[[#This Row],[2]]+TODAY())&lt;$C$36,setca[[#This Row],[17]]=FALSE,setca[[#This Row],[18]]=TRUE))</f>
        <v>0</v>
      </c>
      <c r="AF68" s="195" t="b">
        <f ca="1">IF(setca[[#This Row],[2]]="",FALSE,AND((setca[[#This Row],[3]]+TODAY())&lt;$C$36,setca[[#This Row],[18]]=TRUE))</f>
        <v>0</v>
      </c>
      <c r="AG68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68" s="1"/>
      <c r="AI68" s="1"/>
    </row>
    <row r="69" spans="1:35" ht="11.1" customHeight="1" x14ac:dyDescent="0.25">
      <c r="A69" s="124" t="str">
        <f t="array" aca="1" ref="A69" ca="1">IFERROR(INDEX($F$39:$F$238,MATCH(0,IF(TRUE=setca[28],0,1)+COUNTIF($F$38:F106,$F$39:$F$238),0)),"")</f>
        <v/>
      </c>
      <c r="B69" s="109">
        <f>IFERROR(VLOOKUP(setca[[#This Row],[23]],Start!$B$87:$N$10044,3,0),0)+IF(setca[[#This Row],[18]]=TRUE,1+setca[[#This Row],[14]],0)</f>
        <v>0</v>
      </c>
      <c r="C69" s="21">
        <f>IFERROR((IFERROR(VLOOKUP(setca[[#This Row],[23]],Start!$B$87:$N$10044,12,0),0)+IF(setca[[#This Row],[18]]=TRUE,setca[[#This Row],[21]]-setca[[#This Row],[22]],0))/B69,0)</f>
        <v>0</v>
      </c>
      <c r="D69" s="1"/>
      <c r="E69" s="19">
        <f t="shared" ca="1" si="2"/>
        <v>2</v>
      </c>
      <c r="F69" s="173">
        <f t="shared" si="3"/>
        <v>32</v>
      </c>
      <c r="G69" s="99">
        <v>0.875</v>
      </c>
      <c r="H69" s="99">
        <v>0.875</v>
      </c>
      <c r="I69" s="114">
        <v>1.1000000000000001</v>
      </c>
      <c r="J69" s="100" t="s">
        <v>11</v>
      </c>
      <c r="K69" s="100" t="s">
        <v>102</v>
      </c>
      <c r="L69" s="100">
        <v>8</v>
      </c>
      <c r="M69" s="100" t="s">
        <v>71</v>
      </c>
      <c r="N69" s="100" t="s">
        <v>63</v>
      </c>
      <c r="O69" s="100" t="s">
        <v>71</v>
      </c>
      <c r="P69" s="101">
        <v>500</v>
      </c>
      <c r="Q69" s="105"/>
      <c r="R69" s="106"/>
      <c r="S69" s="104"/>
      <c r="T69" s="100" t="s">
        <v>71</v>
      </c>
      <c r="U69" s="133" t="b">
        <v>0</v>
      </c>
      <c r="V69" s="135" t="b">
        <v>0</v>
      </c>
      <c r="W69" s="136" t="b">
        <v>0</v>
      </c>
      <c r="X69" s="185" t="str">
        <f ca="1">IF(setca[[#This Row],[18]]=TRUE,IF($N$1=TRUE,TODAY()-1,TODAY()),"")</f>
        <v/>
      </c>
      <c r="Y69" s="195" t="b">
        <f ca="1">IF(setca[[#This Row],[2]]="","",IF(setca[[#This Row],[18]]=TRUE,                                     setca[[#This Row],[2]]+(TODAY())&lt;$C$36))</f>
        <v>0</v>
      </c>
      <c r="Z69" s="195">
        <f>IF(OR(setca[[#This Row],[5]]="WN",setca[[#This Row],[5]]="Es"),(setca[[#This Row],[12]]+setca[[#This Row],[13]])*1.12,setca[[#This Row],[12]]+setca[[#This Row],[13]])</f>
        <v>0</v>
      </c>
      <c r="AA69" s="195">
        <f>IF(OR(setca[[#This Row],[5]]="WN",setca[[#This Row],[5]]="Es"),setca[[#This Row],[4]]*1.12,setca[[#This Row],[4]])*(setca[[#This Row],[14]]+1)</f>
        <v>1.1000000000000001</v>
      </c>
      <c r="AB69" s="195" t="str">
        <f>TEXT(setca[[#This Row],[3]],"ч:мм")&amp;" "&amp;IF(OR(setca[[#This Row],[5]]="WN",setca[[#This Row],[5]]="ES"),"€","$")&amp;setca[[#This Row],[4]]&amp;" "&amp;"["&amp;setca[[#This Row],[5]]&amp;"] "&amp;setca[[#This Row],[6]]</f>
        <v>21:00 $1,1 [PP] Bounty Hunter</v>
      </c>
      <c r="AC69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 xml:space="preserve">   $1,1 [PP] Bounty Hunter, $500</v>
      </c>
      <c r="AD69" s="195" t="b">
        <f>IF(setca[[#This Row],[16]]=FALSE,TRUE,FALSE)</f>
        <v>1</v>
      </c>
      <c r="AE69" s="195" t="b">
        <f ca="1">IF(setca[[#This Row],[2]]="",FALSE,AND((setca[[#This Row],[2]]+TODAY())&lt;$C$36,setca[[#This Row],[17]]=FALSE,setca[[#This Row],[18]]=TRUE))</f>
        <v>0</v>
      </c>
      <c r="AF69" s="195" t="b">
        <f ca="1">IF(setca[[#This Row],[2]]="",FALSE,AND((setca[[#This Row],[3]]+TODAY())&lt;$C$36,setca[[#This Row],[18]]=TRUE))</f>
        <v>0</v>
      </c>
      <c r="AG69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69" s="1"/>
      <c r="AI69" s="1"/>
    </row>
    <row r="70" spans="1:35" ht="11.1" customHeight="1" x14ac:dyDescent="0.25">
      <c r="A70" s="124" t="str">
        <f t="array" aca="1" ref="A70" ca="1">IFERROR(INDEX($F$39:$F$238,MATCH(0,IF(TRUE=setca[28],0,1)+COUNTIF($F$38:F107,$F$39:$F$238),0)),"")</f>
        <v/>
      </c>
      <c r="B70" s="109">
        <f>IFERROR(VLOOKUP(setca[[#This Row],[23]],Start!$B$87:$N$10044,3,0),0)+IF(setca[[#This Row],[18]]=TRUE,1+setca[[#This Row],[14]],0)</f>
        <v>0</v>
      </c>
      <c r="C70" s="21">
        <f>IFERROR((IFERROR(VLOOKUP(setca[[#This Row],[23]],Start!$B$87:$N$10044,12,0),0)+IF(setca[[#This Row],[18]]=TRUE,setca[[#This Row],[21]]-setca[[#This Row],[22]],0))/B70,0)</f>
        <v>0</v>
      </c>
      <c r="D70" s="1"/>
      <c r="E70" s="19">
        <f t="shared" ca="1" si="2"/>
        <v>2</v>
      </c>
      <c r="F70" s="173">
        <f t="shared" si="3"/>
        <v>33</v>
      </c>
      <c r="G70" s="99">
        <v>0.89583333333333337</v>
      </c>
      <c r="H70" s="99">
        <v>0.89583333333333337</v>
      </c>
      <c r="I70" s="114">
        <v>1.05</v>
      </c>
      <c r="J70" s="100" t="s">
        <v>15</v>
      </c>
      <c r="K70" s="100" t="s">
        <v>98</v>
      </c>
      <c r="L70" s="100">
        <v>8</v>
      </c>
      <c r="M70" s="100" t="s">
        <v>71</v>
      </c>
      <c r="N70" s="100" t="s">
        <v>63</v>
      </c>
      <c r="O70" s="100" t="s">
        <v>71</v>
      </c>
      <c r="P70" s="101">
        <v>1200</v>
      </c>
      <c r="Q70" s="105"/>
      <c r="R70" s="106"/>
      <c r="S70" s="104"/>
      <c r="T70" s="100" t="s">
        <v>71</v>
      </c>
      <c r="U70" s="133" t="b">
        <v>0</v>
      </c>
      <c r="V70" s="135" t="b">
        <v>0</v>
      </c>
      <c r="W70" s="136" t="b">
        <v>0</v>
      </c>
      <c r="X70" s="185" t="str">
        <f ca="1">IF(setca[[#This Row],[18]]=TRUE,IF($N$1=TRUE,TODAY()-1,TODAY()),"")</f>
        <v/>
      </c>
      <c r="Y70" s="195" t="b">
        <f ca="1">IF(setca[[#This Row],[2]]="","",IF(setca[[#This Row],[18]]=TRUE,                                     setca[[#This Row],[2]]+(TODAY())&lt;$C$36))</f>
        <v>0</v>
      </c>
      <c r="Z70" s="195">
        <f>IF(OR(setca[[#This Row],[5]]="WN",setca[[#This Row],[5]]="Es"),(setca[[#This Row],[12]]+setca[[#This Row],[13]])*1.12,setca[[#This Row],[12]]+setca[[#This Row],[13]])</f>
        <v>0</v>
      </c>
      <c r="AA70" s="195">
        <f>IF(OR(setca[[#This Row],[5]]="WN",setca[[#This Row],[5]]="Es"),setca[[#This Row],[4]]*1.12,setca[[#This Row],[4]])*(setca[[#This Row],[14]]+1)</f>
        <v>1.05</v>
      </c>
      <c r="AB70" s="195" t="str">
        <f>TEXT(setca[[#This Row],[3]],"ч:мм")&amp;" "&amp;IF(OR(setca[[#This Row],[5]]="WN",setca[[#This Row],[5]]="ES"),"€","$")&amp;setca[[#This Row],[4]]&amp;" "&amp;"["&amp;setca[[#This Row],[5]]&amp;"] "&amp;setca[[#This Row],[6]]</f>
        <v>21:30 $1,05 [GG] Bounty Hunters</v>
      </c>
      <c r="AC70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 xml:space="preserve">   $1,05 [GG] Bounty Hunters, $1,2K</v>
      </c>
      <c r="AD70" s="195" t="b">
        <f>IF(setca[[#This Row],[16]]=FALSE,TRUE,FALSE)</f>
        <v>1</v>
      </c>
      <c r="AE70" s="195" t="b">
        <f ca="1">IF(setca[[#This Row],[2]]="",FALSE,AND((setca[[#This Row],[2]]+TODAY())&lt;$C$36,setca[[#This Row],[17]]=FALSE,setca[[#This Row],[18]]=TRUE))</f>
        <v>0</v>
      </c>
      <c r="AF70" s="195" t="b">
        <f ca="1">IF(setca[[#This Row],[2]]="",FALSE,AND((setca[[#This Row],[3]]+TODAY())&lt;$C$36,setca[[#This Row],[18]]=TRUE))</f>
        <v>0</v>
      </c>
      <c r="AG70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70" s="1"/>
      <c r="AI70" s="1"/>
    </row>
    <row r="71" spans="1:35" ht="11.1" customHeight="1" x14ac:dyDescent="0.25">
      <c r="A71" s="124" t="str">
        <f t="array" aca="1" ref="A71" ca="1">IFERROR(INDEX($F$39:$F$238,MATCH(0,IF(TRUE=setca[28],0,1)+COUNTIF($F$38:F108,$F$39:$F$238),0)),"")</f>
        <v/>
      </c>
      <c r="B71" s="109">
        <f>IFERROR(VLOOKUP(setca[[#This Row],[23]],Start!$B$87:$N$10044,3,0),0)+IF(setca[[#This Row],[18]]=TRUE,1+setca[[#This Row],[14]],0)</f>
        <v>0</v>
      </c>
      <c r="C71" s="21">
        <f>IFERROR((IFERROR(VLOOKUP(setca[[#This Row],[23]],Start!$B$87:$N$10044,12,0),0)+IF(setca[[#This Row],[18]]=TRUE,setca[[#This Row],[21]]-setca[[#This Row],[22]],0))/B71,0)</f>
        <v>0</v>
      </c>
      <c r="D71" s="1"/>
      <c r="E71" s="19">
        <f t="shared" ref="E71:E102" ca="1" si="4">IF(AND($G71=TIME(HOUR($C$36),MINUTE($C$36),0),$W71=FALSE),1,2)</f>
        <v>2</v>
      </c>
      <c r="F71" s="173">
        <f t="shared" ref="F71:F102" si="5">F70+1</f>
        <v>34</v>
      </c>
      <c r="G71" s="99">
        <v>0.89583333333333337</v>
      </c>
      <c r="H71" s="99">
        <v>0.89583333333333337</v>
      </c>
      <c r="I71" s="114">
        <v>1.1000000000000001</v>
      </c>
      <c r="J71" s="100" t="s">
        <v>4</v>
      </c>
      <c r="K71" s="100" t="s">
        <v>0</v>
      </c>
      <c r="L71" s="100">
        <v>9</v>
      </c>
      <c r="M71" s="100" t="s">
        <v>71</v>
      </c>
      <c r="N71" s="100" t="s">
        <v>63</v>
      </c>
      <c r="O71" s="100" t="s">
        <v>71</v>
      </c>
      <c r="P71" s="101">
        <v>4000</v>
      </c>
      <c r="Q71" s="105"/>
      <c r="R71" s="106"/>
      <c r="S71" s="104"/>
      <c r="T71" s="100" t="s">
        <v>71</v>
      </c>
      <c r="U71" s="133" t="b">
        <v>0</v>
      </c>
      <c r="V71" s="135" t="b">
        <v>0</v>
      </c>
      <c r="W71" s="136" t="b">
        <v>0</v>
      </c>
      <c r="X71" s="185" t="str">
        <f ca="1">IF(setca[[#This Row],[18]]=TRUE,IF($N$1=TRUE,TODAY()-1,TODAY()),"")</f>
        <v/>
      </c>
      <c r="Y71" s="195" t="b">
        <f ca="1">IF(setca[[#This Row],[2]]="","",IF(setca[[#This Row],[18]]=TRUE,                                     setca[[#This Row],[2]]+(TODAY())&lt;$C$36))</f>
        <v>0</v>
      </c>
      <c r="Z71" s="195">
        <f>IF(OR(setca[[#This Row],[5]]="WN",setca[[#This Row],[5]]="Es"),(setca[[#This Row],[12]]+setca[[#This Row],[13]])*1.12,setca[[#This Row],[12]]+setca[[#This Row],[13]])</f>
        <v>0</v>
      </c>
      <c r="AA71" s="195">
        <f>IF(OR(setca[[#This Row],[5]]="WN",setca[[#This Row],[5]]="Es"),setca[[#This Row],[4]]*1.12,setca[[#This Row],[4]])*(setca[[#This Row],[14]]+1)</f>
        <v>1.1000000000000001</v>
      </c>
      <c r="AB71" s="195" t="str">
        <f>TEXT(setca[[#This Row],[3]],"ч:мм")&amp;" "&amp;IF(OR(setca[[#This Row],[5]]="WN",setca[[#This Row],[5]]="ES"),"€","$")&amp;setca[[#This Row],[4]]&amp;" "&amp;"["&amp;setca[[#This Row],[5]]&amp;"] "&amp;setca[[#This Row],[6]]</f>
        <v>21:30 $1,1 [PS] Bounty Builder</v>
      </c>
      <c r="AC71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 xml:space="preserve">   $1,1 [PS] Bounty Builder, $4K</v>
      </c>
      <c r="AD71" s="195" t="b">
        <f>IF(setca[[#This Row],[16]]=FALSE,TRUE,FALSE)</f>
        <v>1</v>
      </c>
      <c r="AE71" s="195" t="b">
        <f ca="1">IF(setca[[#This Row],[2]]="",FALSE,AND((setca[[#This Row],[2]]+TODAY())&lt;$C$36,setca[[#This Row],[17]]=FALSE,setca[[#This Row],[18]]=TRUE))</f>
        <v>0</v>
      </c>
      <c r="AF71" s="195" t="b">
        <f ca="1">IF(setca[[#This Row],[2]]="",FALSE,AND((setca[[#This Row],[3]]+TODAY())&lt;$C$36,setca[[#This Row],[18]]=TRUE))</f>
        <v>0</v>
      </c>
      <c r="AG71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71" s="1"/>
      <c r="AI71" s="1"/>
    </row>
    <row r="72" spans="1:35" ht="11.1" customHeight="1" x14ac:dyDescent="0.25">
      <c r="A72" s="124" t="str">
        <f t="array" aca="1" ref="A72" ca="1">IFERROR(INDEX($F$39:$F$238,MATCH(0,IF(TRUE=setca[28],0,1)+COUNTIF($F$38:F109,$F$39:$F$238),0)),"")</f>
        <v/>
      </c>
      <c r="B72" s="109">
        <f>IFERROR(VLOOKUP(setca[[#This Row],[23]],Start!$B$87:$N$10044,3,0),0)+IF(setca[[#This Row],[18]]=TRUE,1+setca[[#This Row],[14]],0)</f>
        <v>0</v>
      </c>
      <c r="C72" s="21">
        <f>IFERROR((IFERROR(VLOOKUP(setca[[#This Row],[23]],Start!$B$87:$N$10044,12,0),0)+IF(setca[[#This Row],[18]]=TRUE,setca[[#This Row],[21]]-setca[[#This Row],[22]],0))/B72,0)</f>
        <v>0</v>
      </c>
      <c r="D72" s="1"/>
      <c r="E72" s="19">
        <f t="shared" ca="1" si="4"/>
        <v>2</v>
      </c>
      <c r="F72" s="173">
        <f t="shared" si="5"/>
        <v>35</v>
      </c>
      <c r="G72" s="99">
        <v>0.90625</v>
      </c>
      <c r="H72" s="99">
        <v>0.90625</v>
      </c>
      <c r="I72" s="114">
        <v>1</v>
      </c>
      <c r="J72" s="100" t="s">
        <v>10</v>
      </c>
      <c r="K72" s="100" t="s">
        <v>149</v>
      </c>
      <c r="L72" s="100">
        <v>6</v>
      </c>
      <c r="M72" s="100" t="s">
        <v>71</v>
      </c>
      <c r="N72" s="100" t="s">
        <v>63</v>
      </c>
      <c r="O72" s="100" t="s">
        <v>71</v>
      </c>
      <c r="P72" s="101">
        <v>1000</v>
      </c>
      <c r="Q72" s="105"/>
      <c r="R72" s="106"/>
      <c r="S72" s="104"/>
      <c r="T72" s="100" t="s">
        <v>71</v>
      </c>
      <c r="U72" s="133" t="b">
        <v>0</v>
      </c>
      <c r="V72" s="135" t="b">
        <v>0</v>
      </c>
      <c r="W72" s="136" t="b">
        <v>0</v>
      </c>
      <c r="X72" s="185" t="str">
        <f ca="1">IF(setca[[#This Row],[18]]=TRUE,IF($N$1=TRUE,TODAY()-1,TODAY()),"")</f>
        <v/>
      </c>
      <c r="Y72" s="195" t="b">
        <f ca="1">IF(setca[[#This Row],[2]]="","",IF(setca[[#This Row],[18]]=TRUE,                                     setca[[#This Row],[2]]+(TODAY())&lt;$C$36))</f>
        <v>0</v>
      </c>
      <c r="Z72" s="195">
        <f>IF(OR(setca[[#This Row],[5]]="WN",setca[[#This Row],[5]]="Es"),(setca[[#This Row],[12]]+setca[[#This Row],[13]])*1.12,setca[[#This Row],[12]]+setca[[#This Row],[13]])</f>
        <v>0</v>
      </c>
      <c r="AA72" s="195">
        <f>IF(OR(setca[[#This Row],[5]]="WN",setca[[#This Row],[5]]="Es"),setca[[#This Row],[4]]*1.12,setca[[#This Row],[4]])*(setca[[#This Row],[14]]+1)</f>
        <v>1.1200000000000001</v>
      </c>
      <c r="AB72" s="195" t="str">
        <f>TEXT(setca[[#This Row],[3]],"ч:мм")&amp;" "&amp;IF(OR(setca[[#This Row],[5]]="WN",setca[[#This Row],[5]]="ES"),"€","$")&amp;setca[[#This Row],[4]]&amp;" "&amp;"["&amp;setca[[#This Row],[5]]&amp;"] "&amp;setca[[#This Row],[6]]</f>
        <v>21:45 €1 [WN] WESTERN</v>
      </c>
      <c r="AC72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 xml:space="preserve">   €1 [WN] WESTERN, €1K</v>
      </c>
      <c r="AD72" s="195" t="b">
        <f>IF(setca[[#This Row],[16]]=FALSE,TRUE,FALSE)</f>
        <v>1</v>
      </c>
      <c r="AE72" s="195" t="b">
        <f ca="1">IF(setca[[#This Row],[2]]="",FALSE,AND((setca[[#This Row],[2]]+TODAY())&lt;$C$36,setca[[#This Row],[17]]=FALSE,setca[[#This Row],[18]]=TRUE))</f>
        <v>0</v>
      </c>
      <c r="AF72" s="195" t="b">
        <f ca="1">IF(setca[[#This Row],[2]]="",FALSE,AND((setca[[#This Row],[3]]+TODAY())&lt;$C$36,setca[[#This Row],[18]]=TRUE))</f>
        <v>0</v>
      </c>
      <c r="AG72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72" s="1"/>
      <c r="AI72" s="1"/>
    </row>
    <row r="73" spans="1:35" ht="11.1" customHeight="1" x14ac:dyDescent="0.25">
      <c r="A73" s="124" t="str">
        <f t="array" aca="1" ref="A73" ca="1">IFERROR(INDEX($F$39:$F$238,MATCH(0,IF(TRUE=setca[28],0,1)+COUNTIF($F$38:F110,$F$39:$F$238),0)),"")</f>
        <v/>
      </c>
      <c r="B73" s="109">
        <f>IFERROR(VLOOKUP(setca[[#This Row],[23]],Start!$B$87:$N$10044,3,0),0)+IF(setca[[#This Row],[18]]=TRUE,1+setca[[#This Row],[14]],0)</f>
        <v>0</v>
      </c>
      <c r="C73" s="21">
        <f>IFERROR((IFERROR(VLOOKUP(setca[[#This Row],[23]],Start!$B$87:$N$10044,12,0),0)+IF(setca[[#This Row],[18]]=TRUE,setca[[#This Row],[21]]-setca[[#This Row],[22]],0))/B73,0)</f>
        <v>0</v>
      </c>
      <c r="D73" s="1"/>
      <c r="E73" s="19">
        <f t="shared" ca="1" si="4"/>
        <v>2</v>
      </c>
      <c r="F73" s="173">
        <f t="shared" si="5"/>
        <v>36</v>
      </c>
      <c r="G73" s="99">
        <v>0.91666666666666663</v>
      </c>
      <c r="H73" s="99">
        <v>0.91666666666666663</v>
      </c>
      <c r="I73" s="114">
        <v>1.1000000000000001</v>
      </c>
      <c r="J73" s="100" t="s">
        <v>12</v>
      </c>
      <c r="K73" s="100" t="s">
        <v>148</v>
      </c>
      <c r="L73" s="100">
        <v>9</v>
      </c>
      <c r="M73" s="100" t="s">
        <v>71</v>
      </c>
      <c r="N73" s="100" t="s">
        <v>63</v>
      </c>
      <c r="O73" s="100" t="s">
        <v>71</v>
      </c>
      <c r="P73" s="101">
        <v>1000</v>
      </c>
      <c r="Q73" s="105"/>
      <c r="R73" s="106"/>
      <c r="S73" s="104"/>
      <c r="T73" s="100" t="s">
        <v>71</v>
      </c>
      <c r="U73" s="133" t="b">
        <v>0</v>
      </c>
      <c r="V73" s="135" t="b">
        <v>0</v>
      </c>
      <c r="W73" s="136" t="b">
        <v>0</v>
      </c>
      <c r="X73" s="185" t="str">
        <f ca="1">IF(setca[[#This Row],[18]]=TRUE,IF($N$1=TRUE,TODAY()-1,TODAY()),"")</f>
        <v/>
      </c>
      <c r="Y73" s="195" t="b">
        <f ca="1">IF(setca[[#This Row],[2]]="","",IF(setca[[#This Row],[18]]=TRUE,                                     setca[[#This Row],[2]]+(TODAY())&lt;$C$36))</f>
        <v>0</v>
      </c>
      <c r="Z73" s="195">
        <f>IF(OR(setca[[#This Row],[5]]="WN",setca[[#This Row],[5]]="Es"),(setca[[#This Row],[12]]+setca[[#This Row],[13]])*1.12,setca[[#This Row],[12]]+setca[[#This Row],[13]])</f>
        <v>0</v>
      </c>
      <c r="AA73" s="195">
        <f>IF(OR(setca[[#This Row],[5]]="WN",setca[[#This Row],[5]]="Es"),setca[[#This Row],[4]]*1.12,setca[[#This Row],[4]])*(setca[[#This Row],[14]]+1)</f>
        <v>1.1000000000000001</v>
      </c>
      <c r="AB73" s="195" t="str">
        <f>TEXT(setca[[#This Row],[3]],"ч:мм")&amp;" "&amp;IF(OR(setca[[#This Row],[5]]="WN",setca[[#This Row],[5]]="ES"),"€","$")&amp;setca[[#This Row],[4]]&amp;" "&amp;"["&amp;setca[[#This Row],[5]]&amp;"] "&amp;setca[[#This Row],[6]]</f>
        <v>22:00 $1,1 [PAC] Guaranteed PKO</v>
      </c>
      <c r="AC73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 xml:space="preserve">   $1,1 [PAC] Guaranteed PKO, $1K</v>
      </c>
      <c r="AD73" s="195" t="b">
        <f>IF(setca[[#This Row],[16]]=FALSE,TRUE,FALSE)</f>
        <v>1</v>
      </c>
      <c r="AE73" s="195" t="b">
        <f ca="1">IF(setca[[#This Row],[2]]="",FALSE,AND((setca[[#This Row],[2]]+TODAY())&lt;$C$36,setca[[#This Row],[17]]=FALSE,setca[[#This Row],[18]]=TRUE))</f>
        <v>0</v>
      </c>
      <c r="AF73" s="195" t="b">
        <f ca="1">IF(setca[[#This Row],[2]]="",FALSE,AND((setca[[#This Row],[3]]+TODAY())&lt;$C$36,setca[[#This Row],[18]]=TRUE))</f>
        <v>0</v>
      </c>
      <c r="AG73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73" s="1"/>
      <c r="AI73" s="1"/>
    </row>
    <row r="74" spans="1:35" ht="11.1" customHeight="1" x14ac:dyDescent="0.25">
      <c r="A74" s="124" t="str">
        <f t="array" aca="1" ref="A74" ca="1">IFERROR(INDEX($F$39:$F$238,MATCH(0,IF(TRUE=setca[28],0,1)+COUNTIF($F$38:F111,$F$39:$F$238),0)),"")</f>
        <v/>
      </c>
      <c r="B74" s="109">
        <f>IFERROR(VLOOKUP(setca[[#This Row],[23]],Start!$B$87:$N$10044,3,0),0)+IF(setca[[#This Row],[18]]=TRUE,1+setca[[#This Row],[14]],0)</f>
        <v>0</v>
      </c>
      <c r="C74" s="21">
        <f>IFERROR((IFERROR(VLOOKUP(setca[[#This Row],[23]],Start!$B$87:$N$10044,12,0),0)+IF(setca[[#This Row],[18]]=TRUE,setca[[#This Row],[21]]-setca[[#This Row],[22]],0))/B74,0)</f>
        <v>0</v>
      </c>
      <c r="D74" s="1"/>
      <c r="E74" s="19">
        <f t="shared" ca="1" si="4"/>
        <v>2</v>
      </c>
      <c r="F74" s="173">
        <f t="shared" si="5"/>
        <v>37</v>
      </c>
      <c r="G74" s="99">
        <v>0.9375</v>
      </c>
      <c r="H74" s="99">
        <v>0.9375</v>
      </c>
      <c r="I74" s="114">
        <v>1.1000000000000001</v>
      </c>
      <c r="J74" s="100" t="s">
        <v>4</v>
      </c>
      <c r="K74" s="100" t="s">
        <v>107</v>
      </c>
      <c r="L74" s="100">
        <v>9</v>
      </c>
      <c r="M74" s="100" t="s">
        <v>71</v>
      </c>
      <c r="N74" s="100" t="s">
        <v>71</v>
      </c>
      <c r="O74" s="100" t="s">
        <v>71</v>
      </c>
      <c r="P74" s="101">
        <v>750</v>
      </c>
      <c r="Q74" s="105"/>
      <c r="R74" s="106"/>
      <c r="S74" s="104"/>
      <c r="T74" s="100" t="s">
        <v>71</v>
      </c>
      <c r="U74" s="133" t="b">
        <v>0</v>
      </c>
      <c r="V74" s="135" t="b">
        <v>0</v>
      </c>
      <c r="W74" s="136" t="b">
        <v>0</v>
      </c>
      <c r="X74" s="185" t="str">
        <f ca="1">IF(setca[[#This Row],[18]]=TRUE,IF($N$1=TRUE,TODAY()-1,TODAY()),"")</f>
        <v/>
      </c>
      <c r="Y74" s="195" t="b">
        <f ca="1">IF(setca[[#This Row],[2]]="","",IF(setca[[#This Row],[18]]=TRUE,                                     setca[[#This Row],[2]]+(TODAY())&lt;$C$36))</f>
        <v>0</v>
      </c>
      <c r="Z74" s="195">
        <f>IF(OR(setca[[#This Row],[5]]="WN",setca[[#This Row],[5]]="Es"),(setca[[#This Row],[12]]+setca[[#This Row],[13]])*1.12,setca[[#This Row],[12]]+setca[[#This Row],[13]])</f>
        <v>0</v>
      </c>
      <c r="AA74" s="195">
        <f>IF(OR(setca[[#This Row],[5]]="WN",setca[[#This Row],[5]]="Es"),setca[[#This Row],[4]]*1.12,setca[[#This Row],[4]])*(setca[[#This Row],[14]]+1)</f>
        <v>1.1000000000000001</v>
      </c>
      <c r="AB74" s="195" t="str">
        <f>TEXT(setca[[#This Row],[3]],"ч:мм")&amp;" "&amp;IF(OR(setca[[#This Row],[5]]="WN",setca[[#This Row],[5]]="ES"),"€","$")&amp;setca[[#This Row],[4]]&amp;" "&amp;"["&amp;setca[[#This Row],[5]]&amp;"] "&amp;setca[[#This Row],[6]]</f>
        <v>22:30 $1,1 [PS] Player Cap</v>
      </c>
      <c r="AC74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 xml:space="preserve">   $1,1 [PS] Player Cap, $750</v>
      </c>
      <c r="AD74" s="195" t="b">
        <f>IF(setca[[#This Row],[16]]=FALSE,TRUE,FALSE)</f>
        <v>1</v>
      </c>
      <c r="AE74" s="195" t="b">
        <f ca="1">IF(setca[[#This Row],[2]]="",FALSE,AND((setca[[#This Row],[2]]+TODAY())&lt;$C$36,setca[[#This Row],[17]]=FALSE,setca[[#This Row],[18]]=TRUE))</f>
        <v>0</v>
      </c>
      <c r="AF74" s="195" t="b">
        <f ca="1">IF(setca[[#This Row],[2]]="",FALSE,AND((setca[[#This Row],[3]]+TODAY())&lt;$C$36,setca[[#This Row],[18]]=TRUE))</f>
        <v>0</v>
      </c>
      <c r="AG74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74" s="1"/>
      <c r="AI74" s="1"/>
    </row>
    <row r="75" spans="1:35" ht="11.1" customHeight="1" x14ac:dyDescent="0.25">
      <c r="A75" s="124" t="str">
        <f t="array" aca="1" ref="A75" ca="1">IFERROR(INDEX($F$39:$F$238,MATCH(0,IF(TRUE=setca[28],0,1)+COUNTIF($F$38:F112,$F$39:$F$238),0)),"")</f>
        <v/>
      </c>
      <c r="B75" s="109">
        <f>IFERROR(VLOOKUP(setca[[#This Row],[23]],Start!$B$87:$N$10044,3,0),0)+IF(setca[[#This Row],[18]]=TRUE,1+setca[[#This Row],[14]],0)</f>
        <v>0</v>
      </c>
      <c r="C75" s="21">
        <f>IFERROR((IFERROR(VLOOKUP(setca[[#This Row],[23]],Start!$B$87:$N$10044,12,0),0)+IF(setca[[#This Row],[18]]=TRUE,setca[[#This Row],[21]]-setca[[#This Row],[22]],0))/B75,0)</f>
        <v>0</v>
      </c>
      <c r="D75" s="1"/>
      <c r="E75" s="19">
        <f t="shared" ca="1" si="4"/>
        <v>2</v>
      </c>
      <c r="F75" s="173">
        <f t="shared" si="5"/>
        <v>38</v>
      </c>
      <c r="G75" s="99">
        <v>0.95833333333333337</v>
      </c>
      <c r="H75" s="99">
        <v>0.95833333333333337</v>
      </c>
      <c r="I75" s="114">
        <v>1</v>
      </c>
      <c r="J75" s="99" t="s">
        <v>15</v>
      </c>
      <c r="K75" s="100" t="s">
        <v>103</v>
      </c>
      <c r="L75" s="100">
        <v>8</v>
      </c>
      <c r="M75" s="100" t="s">
        <v>71</v>
      </c>
      <c r="N75" s="100" t="s">
        <v>71</v>
      </c>
      <c r="O75" s="100" t="s">
        <v>71</v>
      </c>
      <c r="P75" s="101">
        <v>400</v>
      </c>
      <c r="Q75" s="105"/>
      <c r="R75" s="106"/>
      <c r="S75" s="104"/>
      <c r="T75" s="100" t="s">
        <v>71</v>
      </c>
      <c r="U75" s="133" t="b">
        <v>0</v>
      </c>
      <c r="V75" s="135" t="b">
        <v>0</v>
      </c>
      <c r="W75" s="136" t="b">
        <v>0</v>
      </c>
      <c r="X75" s="185" t="str">
        <f ca="1">IF(setca[[#This Row],[18]]=TRUE,IF($N$1=TRUE,TODAY()-1,TODAY()),"")</f>
        <v/>
      </c>
      <c r="Y75" s="195" t="b">
        <f ca="1">IF(setca[[#This Row],[2]]="","",IF(setca[[#This Row],[18]]=TRUE,                                     setca[[#This Row],[2]]+(TODAY())&lt;$C$36))</f>
        <v>0</v>
      </c>
      <c r="Z75" s="195">
        <f>IF(OR(setca[[#This Row],[5]]="WN",setca[[#This Row],[5]]="Es"),(setca[[#This Row],[12]]+setca[[#This Row],[13]])*1.12,setca[[#This Row],[12]]+setca[[#This Row],[13]])</f>
        <v>0</v>
      </c>
      <c r="AA75" s="195">
        <f>IF(OR(setca[[#This Row],[5]]="WN",setca[[#This Row],[5]]="Es"),setca[[#This Row],[4]]*1.12,setca[[#This Row],[4]])*(setca[[#This Row],[14]]+1)</f>
        <v>1</v>
      </c>
      <c r="AB75" s="195" t="str">
        <f>TEXT(setca[[#This Row],[3]],"ч:мм")&amp;" "&amp;IF(OR(setca[[#This Row],[5]]="WN",setca[[#This Row],[5]]="ES"),"€","$")&amp;setca[[#This Row],[4]]&amp;" "&amp;"["&amp;setca[[#This Row],[5]]&amp;"] "&amp;setca[[#This Row],[6]]</f>
        <v>23:00 $1 [GG] Big</v>
      </c>
      <c r="AC75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 xml:space="preserve">   $1 [GG] Big, $400</v>
      </c>
      <c r="AD75" s="195" t="b">
        <f>IF(setca[[#This Row],[16]]=FALSE,TRUE,FALSE)</f>
        <v>1</v>
      </c>
      <c r="AE75" s="195" t="b">
        <f ca="1">IF(setca[[#This Row],[2]]="",FALSE,AND((setca[[#This Row],[2]]+TODAY())&lt;$C$36,setca[[#This Row],[17]]=FALSE,setca[[#This Row],[18]]=TRUE))</f>
        <v>0</v>
      </c>
      <c r="AF75" s="195" t="b">
        <f ca="1">IF(setca[[#This Row],[2]]="",FALSE,AND((setca[[#This Row],[3]]+TODAY())&lt;$C$36,setca[[#This Row],[18]]=TRUE))</f>
        <v>0</v>
      </c>
      <c r="AG75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75" s="1"/>
      <c r="AI75" s="1"/>
    </row>
    <row r="76" spans="1:35" ht="11.1" customHeight="1" x14ac:dyDescent="0.25">
      <c r="A76" s="124" t="str">
        <f t="array" aca="1" ref="A76" ca="1">IFERROR(INDEX($F$39:$F$238,MATCH(0,IF(TRUE=setca[28],0,1)+COUNTIF($F$38:F113,$F$39:$F$238),0)),"")</f>
        <v/>
      </c>
      <c r="B76" s="109">
        <f>IFERROR(VLOOKUP(setca[[#This Row],[23]],Start!$B$87:$N$10044,3,0),0)+IF(setca[[#This Row],[18]]=TRUE,1+setca[[#This Row],[14]],0)</f>
        <v>0</v>
      </c>
      <c r="C76" s="21">
        <f>IFERROR((IFERROR(VLOOKUP(setca[[#This Row],[23]],Start!$B$87:$N$10044,12,0),0)+IF(setca[[#This Row],[18]]=TRUE,setca[[#This Row],[21]]-setca[[#This Row],[22]],0))/B76,0)</f>
        <v>0</v>
      </c>
      <c r="D76" s="1"/>
      <c r="E76" s="19">
        <f t="shared" ca="1" si="4"/>
        <v>2</v>
      </c>
      <c r="F76" s="173">
        <f t="shared" si="5"/>
        <v>39</v>
      </c>
      <c r="G76" s="99">
        <v>0.95833333333333337</v>
      </c>
      <c r="H76" s="99">
        <v>0.95833333333333337</v>
      </c>
      <c r="I76" s="114">
        <v>1.1000000000000001</v>
      </c>
      <c r="J76" s="100" t="s">
        <v>11</v>
      </c>
      <c r="K76" s="100" t="s">
        <v>102</v>
      </c>
      <c r="L76" s="100">
        <v>8</v>
      </c>
      <c r="M76" s="100" t="s">
        <v>71</v>
      </c>
      <c r="N76" s="100" t="s">
        <v>63</v>
      </c>
      <c r="O76" s="100" t="s">
        <v>71</v>
      </c>
      <c r="P76" s="101">
        <v>300</v>
      </c>
      <c r="Q76" s="105"/>
      <c r="R76" s="106"/>
      <c r="S76" s="104"/>
      <c r="T76" s="100" t="s">
        <v>71</v>
      </c>
      <c r="U76" s="133" t="b">
        <v>0</v>
      </c>
      <c r="V76" s="135" t="b">
        <v>0</v>
      </c>
      <c r="W76" s="136" t="b">
        <v>0</v>
      </c>
      <c r="X76" s="185" t="str">
        <f ca="1">IF(setca[[#This Row],[18]]=TRUE,IF($N$1=TRUE,TODAY()-1,TODAY()),"")</f>
        <v/>
      </c>
      <c r="Y76" s="195" t="b">
        <f ca="1">IF(setca[[#This Row],[2]]="","",IF(setca[[#This Row],[18]]=TRUE,                                     setca[[#This Row],[2]]+(TODAY())&lt;$C$36))</f>
        <v>0</v>
      </c>
      <c r="Z76" s="195">
        <f>IF(OR(setca[[#This Row],[5]]="WN",setca[[#This Row],[5]]="Es"),(setca[[#This Row],[12]]+setca[[#This Row],[13]])*1.12,setca[[#This Row],[12]]+setca[[#This Row],[13]])</f>
        <v>0</v>
      </c>
      <c r="AA76" s="195">
        <f>IF(OR(setca[[#This Row],[5]]="WN",setca[[#This Row],[5]]="Es"),setca[[#This Row],[4]]*1.12,setca[[#This Row],[4]])*(setca[[#This Row],[14]]+1)</f>
        <v>1.1000000000000001</v>
      </c>
      <c r="AB76" s="195" t="str">
        <f>TEXT(setca[[#This Row],[3]],"ч:мм")&amp;" "&amp;IF(OR(setca[[#This Row],[5]]="WN",setca[[#This Row],[5]]="ES"),"€","$")&amp;setca[[#This Row],[4]]&amp;" "&amp;"["&amp;setca[[#This Row],[5]]&amp;"] "&amp;setca[[#This Row],[6]]</f>
        <v>23:00 $1,1 [PP] Bounty Hunter</v>
      </c>
      <c r="AC76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 xml:space="preserve">   $1,1 [PP] Bounty Hunter, $300</v>
      </c>
      <c r="AD76" s="195" t="b">
        <f>IF(setca[[#This Row],[16]]=FALSE,TRUE,FALSE)</f>
        <v>1</v>
      </c>
      <c r="AE76" s="195" t="b">
        <f ca="1">IF(setca[[#This Row],[2]]="",FALSE,AND((setca[[#This Row],[2]]+TODAY())&lt;$C$36,setca[[#This Row],[17]]=FALSE,setca[[#This Row],[18]]=TRUE))</f>
        <v>0</v>
      </c>
      <c r="AF76" s="195" t="b">
        <f ca="1">IF(setca[[#This Row],[2]]="",FALSE,AND((setca[[#This Row],[3]]+TODAY())&lt;$C$36,setca[[#This Row],[18]]=TRUE))</f>
        <v>0</v>
      </c>
      <c r="AG76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76" s="1"/>
      <c r="AI76" s="1"/>
    </row>
    <row r="77" spans="1:35" ht="11.1" customHeight="1" x14ac:dyDescent="0.25">
      <c r="A77" s="124" t="str">
        <f t="array" aca="1" ref="A77" ca="1">IFERROR(INDEX($F$39:$F$238,MATCH(0,IF(TRUE=setca[28],0,1)+COUNTIF($F$38:F114,$F$39:$F$238),0)),"")</f>
        <v/>
      </c>
      <c r="B77" s="109">
        <f>IFERROR(VLOOKUP(setca[[#This Row],[23]],Start!$B$87:$N$10044,3,0),0)+IF(setca[[#This Row],[18]]=TRUE,1+setca[[#This Row],[14]],0)</f>
        <v>0</v>
      </c>
      <c r="C77" s="21">
        <f>IFERROR((IFERROR(VLOOKUP(setca[[#This Row],[23]],Start!$B$87:$N$10044,12,0),0)+IF(setca[[#This Row],[18]]=TRUE,setca[[#This Row],[21]]-setca[[#This Row],[22]],0))/B77,0)</f>
        <v>0</v>
      </c>
      <c r="D77" s="1"/>
      <c r="E77" s="19">
        <f t="shared" ca="1" si="4"/>
        <v>2</v>
      </c>
      <c r="F77" s="173">
        <f t="shared" si="5"/>
        <v>40</v>
      </c>
      <c r="G77" s="99">
        <v>0.95833333333333337</v>
      </c>
      <c r="H77" s="99">
        <v>0.95833333333333337</v>
      </c>
      <c r="I77" s="114">
        <v>1</v>
      </c>
      <c r="J77" s="100" t="s">
        <v>10</v>
      </c>
      <c r="K77" s="100" t="s">
        <v>99</v>
      </c>
      <c r="L77" s="100">
        <v>6</v>
      </c>
      <c r="M77" s="100" t="s">
        <v>71</v>
      </c>
      <c r="N77" s="100" t="s">
        <v>71</v>
      </c>
      <c r="O77" s="100" t="s">
        <v>71</v>
      </c>
      <c r="P77" s="101">
        <v>300</v>
      </c>
      <c r="Q77" s="105"/>
      <c r="R77" s="106"/>
      <c r="S77" s="104"/>
      <c r="T77" s="100" t="s">
        <v>71</v>
      </c>
      <c r="U77" s="133" t="b">
        <v>0</v>
      </c>
      <c r="V77" s="135" t="b">
        <v>0</v>
      </c>
      <c r="W77" s="136" t="b">
        <v>0</v>
      </c>
      <c r="X77" s="185" t="str">
        <f ca="1">IF(setca[[#This Row],[18]]=TRUE,IF($N$1=TRUE,TODAY()-1,TODAY()),"")</f>
        <v/>
      </c>
      <c r="Y77" s="195" t="b">
        <f ca="1">IF(setca[[#This Row],[2]]="","",IF(setca[[#This Row],[18]]=TRUE,                                     setca[[#This Row],[2]]+(TODAY())&lt;$C$36))</f>
        <v>0</v>
      </c>
      <c r="Z77" s="195">
        <f>IF(OR(setca[[#This Row],[5]]="WN",setca[[#This Row],[5]]="Es"),(setca[[#This Row],[12]]+setca[[#This Row],[13]])*1.12,setca[[#This Row],[12]]+setca[[#This Row],[13]])</f>
        <v>0</v>
      </c>
      <c r="AA77" s="195">
        <f>IF(OR(setca[[#This Row],[5]]="WN",setca[[#This Row],[5]]="Es"),setca[[#This Row],[4]]*1.12,setca[[#This Row],[4]])*(setca[[#This Row],[14]]+1)</f>
        <v>1.1200000000000001</v>
      </c>
      <c r="AB77" s="195" t="str">
        <f>TEXT(setca[[#This Row],[3]],"ч:мм")&amp;" "&amp;IF(OR(setca[[#This Row],[5]]="WN",setca[[#This Row],[5]]="ES"),"€","$")&amp;setca[[#This Row],[4]]&amp;" "&amp;"["&amp;setca[[#This Row],[5]]&amp;"] "&amp;setca[[#This Row],[6]]</f>
        <v>23:00 €1 [WN] Monster Stack</v>
      </c>
      <c r="AC77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 xml:space="preserve">   €1 [WN] Monster Stack, €300</v>
      </c>
      <c r="AD77" s="195" t="b">
        <f>IF(setca[[#This Row],[16]]=FALSE,TRUE,FALSE)</f>
        <v>1</v>
      </c>
      <c r="AE77" s="195" t="b">
        <f ca="1">IF(setca[[#This Row],[2]]="",FALSE,AND((setca[[#This Row],[2]]+TODAY())&lt;$C$36,setca[[#This Row],[17]]=FALSE,setca[[#This Row],[18]]=TRUE))</f>
        <v>0</v>
      </c>
      <c r="AF77" s="195" t="b">
        <f ca="1">IF(setca[[#This Row],[2]]="",FALSE,AND((setca[[#This Row],[3]]+TODAY())&lt;$C$36,setca[[#This Row],[18]]=TRUE))</f>
        <v>0</v>
      </c>
      <c r="AG77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77" s="1"/>
      <c r="AI77" s="1"/>
    </row>
    <row r="78" spans="1:35" ht="11.1" customHeight="1" x14ac:dyDescent="0.25">
      <c r="A78" s="124" t="str">
        <f t="array" aca="1" ref="A78" ca="1">IFERROR(INDEX($F$39:$F$238,MATCH(0,IF(TRUE=setca[28],0,1)+COUNTIF($F$38:F115,$F$39:$F$238),0)),"")</f>
        <v/>
      </c>
      <c r="B78" s="109">
        <f>IFERROR(VLOOKUP(setca[[#This Row],[23]],Start!$B$87:$N$10044,3,0),0)+IF(setca[[#This Row],[18]]=TRUE,1+setca[[#This Row],[14]],0)</f>
        <v>0</v>
      </c>
      <c r="C78" s="21">
        <f>IFERROR((IFERROR(VLOOKUP(setca[[#This Row],[23]],Start!$B$87:$N$10044,12,0),0)+IF(setca[[#This Row],[18]]=TRUE,setca[[#This Row],[21]]-setca[[#This Row],[22]],0))/B78,0)</f>
        <v>0</v>
      </c>
      <c r="D78" s="1"/>
      <c r="E78" s="19">
        <f t="shared" ca="1" si="4"/>
        <v>2</v>
      </c>
      <c r="F78" s="173">
        <f t="shared" si="5"/>
        <v>41</v>
      </c>
      <c r="G78" s="99"/>
      <c r="H78" s="99"/>
      <c r="I78" s="114"/>
      <c r="J78" s="100"/>
      <c r="K78" s="100"/>
      <c r="L78" s="100"/>
      <c r="M78" s="100"/>
      <c r="N78" s="100"/>
      <c r="O78" s="100"/>
      <c r="P78" s="101"/>
      <c r="Q78" s="105"/>
      <c r="R78" s="106"/>
      <c r="S78" s="104"/>
      <c r="T78" s="100" t="s">
        <v>71</v>
      </c>
      <c r="U78" s="133" t="b">
        <v>0</v>
      </c>
      <c r="V78" s="135" t="b">
        <v>0</v>
      </c>
      <c r="W78" s="136" t="b">
        <v>0</v>
      </c>
      <c r="X78" s="185" t="str">
        <f ca="1">IF(setca[[#This Row],[18]]=TRUE,IF($N$1=TRUE,TODAY()-1,TODAY()),"")</f>
        <v/>
      </c>
      <c r="Y78" s="195" t="str">
        <f ca="1">IF(setca[[#This Row],[2]]="","",IF(setca[[#This Row],[18]]=TRUE,                                     setca[[#This Row],[2]]+(TODAY())&lt;$C$36))</f>
        <v/>
      </c>
      <c r="Z78" s="195">
        <f>IF(OR(setca[[#This Row],[5]]="WN",setca[[#This Row],[5]]="Es"),(setca[[#This Row],[12]]+setca[[#This Row],[13]])*1.12,setca[[#This Row],[12]]+setca[[#This Row],[13]])</f>
        <v>0</v>
      </c>
      <c r="AA78" s="195">
        <f>IF(OR(setca[[#This Row],[5]]="WN",setca[[#This Row],[5]]="Es"),setca[[#This Row],[4]]*1.12,setca[[#This Row],[4]])*(setca[[#This Row],[14]]+1)</f>
        <v>0</v>
      </c>
      <c r="AB78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78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78" s="195" t="b">
        <f>IF(setca[[#This Row],[16]]=FALSE,TRUE,FALSE)</f>
        <v>1</v>
      </c>
      <c r="AE78" s="195" t="b">
        <f ca="1">IF(setca[[#This Row],[2]]="",FALSE,AND((setca[[#This Row],[2]]+TODAY())&lt;$C$36,setca[[#This Row],[17]]=FALSE,setca[[#This Row],[18]]=TRUE))</f>
        <v>0</v>
      </c>
      <c r="AF78" s="195" t="b">
        <f ca="1">IF(setca[[#This Row],[2]]="",FALSE,AND((setca[[#This Row],[3]]+TODAY())&lt;$C$36,setca[[#This Row],[18]]=TRUE))</f>
        <v>0</v>
      </c>
      <c r="AG78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78" s="1"/>
      <c r="AI78" s="1"/>
    </row>
    <row r="79" spans="1:35" ht="11.1" customHeight="1" x14ac:dyDescent="0.25">
      <c r="A79" s="124" t="str">
        <f t="array" aca="1" ref="A79" ca="1">IFERROR(INDEX($F$39:$F$238,MATCH(0,IF(TRUE=setca[28],0,1)+COUNTIF($F$38:F116,$F$39:$F$238),0)),"")</f>
        <v/>
      </c>
      <c r="B79" s="109">
        <f>IFERROR(VLOOKUP(setca[[#This Row],[23]],Start!$B$87:$N$10044,3,0),0)+IF(setca[[#This Row],[18]]=TRUE,1+setca[[#This Row],[14]],0)</f>
        <v>0</v>
      </c>
      <c r="C79" s="21">
        <f>IFERROR((IFERROR(VLOOKUP(setca[[#This Row],[23]],Start!$B$87:$N$10044,12,0),0)+IF(setca[[#This Row],[18]]=TRUE,setca[[#This Row],[21]]-setca[[#This Row],[22]],0))/B79,0)</f>
        <v>0</v>
      </c>
      <c r="D79" s="1"/>
      <c r="E79" s="19">
        <f t="shared" ca="1" si="4"/>
        <v>2</v>
      </c>
      <c r="F79" s="173">
        <f t="shared" si="5"/>
        <v>42</v>
      </c>
      <c r="G79" s="99"/>
      <c r="H79" s="99"/>
      <c r="I79" s="114"/>
      <c r="J79" s="99"/>
      <c r="K79" s="100"/>
      <c r="L79" s="100"/>
      <c r="M79" s="100"/>
      <c r="N79" s="100"/>
      <c r="O79" s="100"/>
      <c r="P79" s="101"/>
      <c r="Q79" s="105"/>
      <c r="R79" s="106"/>
      <c r="S79" s="104"/>
      <c r="T79" s="100" t="s">
        <v>71</v>
      </c>
      <c r="U79" s="133" t="b">
        <v>0</v>
      </c>
      <c r="V79" s="135" t="b">
        <v>0</v>
      </c>
      <c r="W79" s="136" t="b">
        <v>0</v>
      </c>
      <c r="X79" s="185" t="str">
        <f ca="1">IF(setca[[#This Row],[18]]=TRUE,IF($N$1=TRUE,TODAY()-1,TODAY()),"")</f>
        <v/>
      </c>
      <c r="Y79" s="195" t="str">
        <f ca="1">IF(setca[[#This Row],[2]]="","",IF(setca[[#This Row],[18]]=TRUE,                                     setca[[#This Row],[2]]+(TODAY())&lt;$C$36))</f>
        <v/>
      </c>
      <c r="Z79" s="195">
        <f>IF(OR(setca[[#This Row],[5]]="WN",setca[[#This Row],[5]]="Es"),(setca[[#This Row],[12]]+setca[[#This Row],[13]])*1.12,setca[[#This Row],[12]]+setca[[#This Row],[13]])</f>
        <v>0</v>
      </c>
      <c r="AA79" s="195">
        <f>IF(OR(setca[[#This Row],[5]]="WN",setca[[#This Row],[5]]="Es"),setca[[#This Row],[4]]*1.12,setca[[#This Row],[4]])*(setca[[#This Row],[14]]+1)</f>
        <v>0</v>
      </c>
      <c r="AB79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79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79" s="195" t="b">
        <f>IF(setca[[#This Row],[16]]=FALSE,TRUE,FALSE)</f>
        <v>1</v>
      </c>
      <c r="AE79" s="195" t="b">
        <f ca="1">IF(setca[[#This Row],[2]]="",FALSE,AND((setca[[#This Row],[2]]+TODAY())&lt;$C$36,setca[[#This Row],[17]]=FALSE,setca[[#This Row],[18]]=TRUE))</f>
        <v>0</v>
      </c>
      <c r="AF79" s="195" t="b">
        <f ca="1">IF(setca[[#This Row],[2]]="",FALSE,AND((setca[[#This Row],[3]]+TODAY())&lt;$C$36,setca[[#This Row],[18]]=TRUE))</f>
        <v>0</v>
      </c>
      <c r="AG79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79" s="1"/>
      <c r="AI79" s="1"/>
    </row>
    <row r="80" spans="1:35" ht="11.1" customHeight="1" x14ac:dyDescent="0.25">
      <c r="A80" s="124" t="str">
        <f t="array" aca="1" ref="A80" ca="1">IFERROR(INDEX($F$39:$F$238,MATCH(0,IF(TRUE=setca[28],0,1)+COUNTIF($F$38:F117,$F$39:$F$238),0)),"")</f>
        <v/>
      </c>
      <c r="B80" s="109">
        <f>IFERROR(VLOOKUP(setca[[#This Row],[23]],Start!$B$87:$N$10044,3,0),0)+IF(setca[[#This Row],[18]]=TRUE,1+setca[[#This Row],[14]],0)</f>
        <v>0</v>
      </c>
      <c r="C80" s="21">
        <f>IFERROR((IFERROR(VLOOKUP(setca[[#This Row],[23]],Start!$B$87:$N$10044,12,0),0)+IF(setca[[#This Row],[18]]=TRUE,setca[[#This Row],[21]]-setca[[#This Row],[22]],0))/B80,0)</f>
        <v>0</v>
      </c>
      <c r="D80" s="1"/>
      <c r="E80" s="19">
        <f t="shared" ca="1" si="4"/>
        <v>2</v>
      </c>
      <c r="F80" s="173">
        <f t="shared" si="5"/>
        <v>43</v>
      </c>
      <c r="G80" s="99"/>
      <c r="H80" s="99"/>
      <c r="I80" s="114"/>
      <c r="J80" s="100"/>
      <c r="K80" s="100"/>
      <c r="L80" s="100"/>
      <c r="M80" s="100"/>
      <c r="N80" s="100"/>
      <c r="O80" s="100"/>
      <c r="P80" s="101"/>
      <c r="Q80" s="105"/>
      <c r="R80" s="106"/>
      <c r="S80" s="104"/>
      <c r="T80" s="100" t="s">
        <v>71</v>
      </c>
      <c r="U80" s="133" t="b">
        <v>0</v>
      </c>
      <c r="V80" s="135" t="b">
        <v>0</v>
      </c>
      <c r="W80" s="136" t="b">
        <v>0</v>
      </c>
      <c r="X80" s="185" t="str">
        <f ca="1">IF(setca[[#This Row],[18]]=TRUE,IF($N$1=TRUE,TODAY()-1,TODAY()),"")</f>
        <v/>
      </c>
      <c r="Y80" s="195" t="str">
        <f ca="1">IF(setca[[#This Row],[2]]="","",IF(setca[[#This Row],[18]]=TRUE,                                     setca[[#This Row],[2]]+(TODAY())&lt;$C$36))</f>
        <v/>
      </c>
      <c r="Z80" s="195">
        <f>IF(OR(setca[[#This Row],[5]]="WN",setca[[#This Row],[5]]="Es"),(setca[[#This Row],[12]]+setca[[#This Row],[13]])*1.12,setca[[#This Row],[12]]+setca[[#This Row],[13]])</f>
        <v>0</v>
      </c>
      <c r="AA80" s="195">
        <f>IF(OR(setca[[#This Row],[5]]="WN",setca[[#This Row],[5]]="Es"),setca[[#This Row],[4]]*1.12,setca[[#This Row],[4]])*(setca[[#This Row],[14]]+1)</f>
        <v>0</v>
      </c>
      <c r="AB80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80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80" s="195" t="b">
        <f>IF(setca[[#This Row],[16]]=FALSE,TRUE,FALSE)</f>
        <v>1</v>
      </c>
      <c r="AE80" s="195" t="b">
        <f ca="1">IF(setca[[#This Row],[2]]="",FALSE,AND((setca[[#This Row],[2]]+TODAY())&lt;$C$36,setca[[#This Row],[17]]=FALSE,setca[[#This Row],[18]]=TRUE))</f>
        <v>0</v>
      </c>
      <c r="AF80" s="195" t="b">
        <f ca="1">IF(setca[[#This Row],[2]]="",FALSE,AND((setca[[#This Row],[3]]+TODAY())&lt;$C$36,setca[[#This Row],[18]]=TRUE))</f>
        <v>0</v>
      </c>
      <c r="AG80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80" s="1"/>
      <c r="AI80" s="1"/>
    </row>
    <row r="81" spans="1:35" ht="11.1" customHeight="1" x14ac:dyDescent="0.25">
      <c r="A81" s="124" t="str">
        <f t="array" aca="1" ref="A81" ca="1">IFERROR(INDEX($F$39:$F$238,MATCH(0,IF(TRUE=setca[28],0,1)+COUNTIF($F$38:F118,$F$39:$F$238),0)),"")</f>
        <v/>
      </c>
      <c r="B81" s="109">
        <f>IFERROR(VLOOKUP(setca[[#This Row],[23]],Start!$B$87:$N$10044,3,0),0)+IF(setca[[#This Row],[18]]=TRUE,1+setca[[#This Row],[14]],0)</f>
        <v>0</v>
      </c>
      <c r="C81" s="21">
        <f>IFERROR((IFERROR(VLOOKUP(setca[[#This Row],[23]],Start!$B$87:$N$10044,12,0),0)+IF(setca[[#This Row],[18]]=TRUE,setca[[#This Row],[21]]-setca[[#This Row],[22]],0))/B81,0)</f>
        <v>0</v>
      </c>
      <c r="D81" s="1"/>
      <c r="E81" s="19">
        <f t="shared" ca="1" si="4"/>
        <v>2</v>
      </c>
      <c r="F81" s="173">
        <f t="shared" si="5"/>
        <v>44</v>
      </c>
      <c r="G81" s="99"/>
      <c r="H81" s="99"/>
      <c r="I81" s="114"/>
      <c r="J81" s="100"/>
      <c r="K81" s="100"/>
      <c r="L81" s="100"/>
      <c r="M81" s="100"/>
      <c r="N81" s="100"/>
      <c r="O81" s="100"/>
      <c r="P81" s="101"/>
      <c r="Q81" s="105"/>
      <c r="R81" s="106"/>
      <c r="S81" s="104"/>
      <c r="T81" s="100" t="s">
        <v>71</v>
      </c>
      <c r="U81" s="133" t="b">
        <v>0</v>
      </c>
      <c r="V81" s="135" t="b">
        <v>0</v>
      </c>
      <c r="W81" s="136" t="b">
        <v>0</v>
      </c>
      <c r="X81" s="185" t="str">
        <f ca="1">IF(setca[[#This Row],[18]]=TRUE,IF($N$1=TRUE,TODAY()-1,TODAY()),"")</f>
        <v/>
      </c>
      <c r="Y81" s="195" t="str">
        <f ca="1">IF(setca[[#This Row],[2]]="","",IF(setca[[#This Row],[18]]=TRUE,                                     setca[[#This Row],[2]]+(TODAY())&lt;$C$36))</f>
        <v/>
      </c>
      <c r="Z81" s="195">
        <f>IF(OR(setca[[#This Row],[5]]="WN",setca[[#This Row],[5]]="Es"),(setca[[#This Row],[12]]+setca[[#This Row],[13]])*1.12,setca[[#This Row],[12]]+setca[[#This Row],[13]])</f>
        <v>0</v>
      </c>
      <c r="AA81" s="195">
        <f>IF(OR(setca[[#This Row],[5]]="WN",setca[[#This Row],[5]]="Es"),setca[[#This Row],[4]]*1.12,setca[[#This Row],[4]])*(setca[[#This Row],[14]]+1)</f>
        <v>0</v>
      </c>
      <c r="AB81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81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81" s="195" t="b">
        <f>IF(setca[[#This Row],[16]]=FALSE,TRUE,FALSE)</f>
        <v>1</v>
      </c>
      <c r="AE81" s="195" t="b">
        <f ca="1">IF(setca[[#This Row],[2]]="",FALSE,AND((setca[[#This Row],[2]]+TODAY())&lt;$C$36,setca[[#This Row],[17]]=FALSE,setca[[#This Row],[18]]=TRUE))</f>
        <v>0</v>
      </c>
      <c r="AF81" s="195" t="b">
        <f ca="1">IF(setca[[#This Row],[2]]="",FALSE,AND((setca[[#This Row],[3]]+TODAY())&lt;$C$36,setca[[#This Row],[18]]=TRUE))</f>
        <v>0</v>
      </c>
      <c r="AG81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81" s="1"/>
      <c r="AI81" s="1"/>
    </row>
    <row r="82" spans="1:35" ht="11.1" customHeight="1" x14ac:dyDescent="0.25">
      <c r="A82" s="124" t="str">
        <f t="array" aca="1" ref="A82" ca="1">IFERROR(INDEX($F$39:$F$238,MATCH(0,IF(TRUE=setca[28],0,1)+COUNTIF($F$38:F119,$F$39:$F$238),0)),"")</f>
        <v/>
      </c>
      <c r="B82" s="109">
        <f>IFERROR(VLOOKUP(setca[[#This Row],[23]],Start!$B$87:$N$10044,3,0),0)+IF(setca[[#This Row],[18]]=TRUE,1+setca[[#This Row],[14]],0)</f>
        <v>0</v>
      </c>
      <c r="C82" s="21">
        <f>IFERROR((IFERROR(VLOOKUP(setca[[#This Row],[23]],Start!$B$87:$N$10044,12,0),0)+IF(setca[[#This Row],[18]]=TRUE,setca[[#This Row],[21]]-setca[[#This Row],[22]],0))/B82,0)</f>
        <v>0</v>
      </c>
      <c r="D82" s="1"/>
      <c r="E82" s="19">
        <f t="shared" ca="1" si="4"/>
        <v>2</v>
      </c>
      <c r="F82" s="173">
        <f t="shared" si="5"/>
        <v>45</v>
      </c>
      <c r="G82" s="99"/>
      <c r="H82" s="99"/>
      <c r="I82" s="114"/>
      <c r="J82" s="100"/>
      <c r="K82" s="100"/>
      <c r="L82" s="100"/>
      <c r="M82" s="100"/>
      <c r="N82" s="100"/>
      <c r="O82" s="100"/>
      <c r="P82" s="101"/>
      <c r="Q82" s="105"/>
      <c r="R82" s="106"/>
      <c r="S82" s="104"/>
      <c r="T82" s="100" t="s">
        <v>71</v>
      </c>
      <c r="U82" s="133" t="b">
        <v>0</v>
      </c>
      <c r="V82" s="135" t="b">
        <v>0</v>
      </c>
      <c r="W82" s="136" t="b">
        <v>0</v>
      </c>
      <c r="X82" s="185" t="str">
        <f ca="1">IF(setca[[#This Row],[18]]=TRUE,IF($N$1=TRUE,TODAY()-1,TODAY()),"")</f>
        <v/>
      </c>
      <c r="Y82" s="195" t="str">
        <f ca="1">IF(setca[[#This Row],[2]]="","",IF(setca[[#This Row],[18]]=TRUE,                                     setca[[#This Row],[2]]+(TODAY())&lt;$C$36))</f>
        <v/>
      </c>
      <c r="Z82" s="195">
        <f>IF(OR(setca[[#This Row],[5]]="WN",setca[[#This Row],[5]]="Es"),(setca[[#This Row],[12]]+setca[[#This Row],[13]])*1.12,setca[[#This Row],[12]]+setca[[#This Row],[13]])</f>
        <v>0</v>
      </c>
      <c r="AA82" s="195">
        <f>IF(OR(setca[[#This Row],[5]]="WN",setca[[#This Row],[5]]="Es"),setca[[#This Row],[4]]*1.12,setca[[#This Row],[4]])*(setca[[#This Row],[14]]+1)</f>
        <v>0</v>
      </c>
      <c r="AB82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82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82" s="195" t="b">
        <f>IF(setca[[#This Row],[16]]=FALSE,TRUE,FALSE)</f>
        <v>1</v>
      </c>
      <c r="AE82" s="195" t="b">
        <f ca="1">IF(setca[[#This Row],[2]]="",FALSE,AND((setca[[#This Row],[2]]+TODAY())&lt;$C$36,setca[[#This Row],[17]]=FALSE,setca[[#This Row],[18]]=TRUE))</f>
        <v>0</v>
      </c>
      <c r="AF82" s="195" t="b">
        <f ca="1">IF(setca[[#This Row],[2]]="",FALSE,AND((setca[[#This Row],[3]]+TODAY())&lt;$C$36,setca[[#This Row],[18]]=TRUE))</f>
        <v>0</v>
      </c>
      <c r="AG82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82" s="1"/>
      <c r="AI82" s="1"/>
    </row>
    <row r="83" spans="1:35" ht="11.1" customHeight="1" x14ac:dyDescent="0.25">
      <c r="A83" s="124" t="str">
        <f t="array" aca="1" ref="A83" ca="1">IFERROR(INDEX($F$39:$F$238,MATCH(0,IF(TRUE=setca[28],0,1)+COUNTIF($F$38:F120,$F$39:$F$238),0)),"")</f>
        <v/>
      </c>
      <c r="B83" s="109">
        <f>IFERROR(VLOOKUP(setca[[#This Row],[23]],Start!$B$87:$N$10044,3,0),0)+IF(setca[[#This Row],[18]]=TRUE,1+setca[[#This Row],[14]],0)</f>
        <v>0</v>
      </c>
      <c r="C83" s="21">
        <f>IFERROR((IFERROR(VLOOKUP(setca[[#This Row],[23]],Start!$B$87:$N$10044,12,0),0)+IF(setca[[#This Row],[18]]=TRUE,setca[[#This Row],[21]]-setca[[#This Row],[22]],0))/B83,0)</f>
        <v>0</v>
      </c>
      <c r="D83" s="1"/>
      <c r="E83" s="19">
        <f t="shared" ca="1" si="4"/>
        <v>2</v>
      </c>
      <c r="F83" s="173">
        <f t="shared" si="5"/>
        <v>46</v>
      </c>
      <c r="G83" s="99"/>
      <c r="H83" s="99"/>
      <c r="I83" s="114"/>
      <c r="J83" s="100"/>
      <c r="K83" s="100"/>
      <c r="L83" s="100"/>
      <c r="M83" s="100"/>
      <c r="N83" s="100"/>
      <c r="O83" s="100"/>
      <c r="P83" s="101"/>
      <c r="Q83" s="105"/>
      <c r="R83" s="106"/>
      <c r="S83" s="104"/>
      <c r="T83" s="100" t="s">
        <v>71</v>
      </c>
      <c r="U83" s="133" t="b">
        <v>0</v>
      </c>
      <c r="V83" s="135" t="b">
        <v>0</v>
      </c>
      <c r="W83" s="136" t="b">
        <v>0</v>
      </c>
      <c r="X83" s="185" t="str">
        <f ca="1">IF(setca[[#This Row],[18]]=TRUE,IF($N$1=TRUE,TODAY()-1,TODAY()),"")</f>
        <v/>
      </c>
      <c r="Y83" s="195" t="str">
        <f ca="1">IF(setca[[#This Row],[2]]="","",IF(setca[[#This Row],[18]]=TRUE,                                     setca[[#This Row],[2]]+(TODAY())&lt;$C$36))</f>
        <v/>
      </c>
      <c r="Z83" s="195">
        <f>IF(OR(setca[[#This Row],[5]]="WN",setca[[#This Row],[5]]="Es"),(setca[[#This Row],[12]]+setca[[#This Row],[13]])*1.12,setca[[#This Row],[12]]+setca[[#This Row],[13]])</f>
        <v>0</v>
      </c>
      <c r="AA83" s="195">
        <f>IF(OR(setca[[#This Row],[5]]="WN",setca[[#This Row],[5]]="Es"),setca[[#This Row],[4]]*1.12,setca[[#This Row],[4]])*(setca[[#This Row],[14]]+1)</f>
        <v>0</v>
      </c>
      <c r="AB83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83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83" s="195" t="b">
        <f>IF(setca[[#This Row],[16]]=FALSE,TRUE,FALSE)</f>
        <v>1</v>
      </c>
      <c r="AE83" s="195" t="b">
        <f ca="1">IF(setca[[#This Row],[2]]="",FALSE,AND((setca[[#This Row],[2]]+TODAY())&lt;$C$36,setca[[#This Row],[17]]=FALSE,setca[[#This Row],[18]]=TRUE))</f>
        <v>0</v>
      </c>
      <c r="AF83" s="195" t="b">
        <f ca="1">IF(setca[[#This Row],[2]]="",FALSE,AND((setca[[#This Row],[3]]+TODAY())&lt;$C$36,setca[[#This Row],[18]]=TRUE))</f>
        <v>0</v>
      </c>
      <c r="AG83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83" s="1"/>
      <c r="AI83" s="1"/>
    </row>
    <row r="84" spans="1:35" ht="11.1" customHeight="1" x14ac:dyDescent="0.25">
      <c r="A84" s="124" t="str">
        <f t="array" aca="1" ref="A84" ca="1">IFERROR(INDEX($F$39:$F$238,MATCH(0,IF(TRUE=setca[28],0,1)+COUNTIF($F$38:F121,$F$39:$F$238),0)),"")</f>
        <v/>
      </c>
      <c r="B84" s="109">
        <f>IFERROR(VLOOKUP(setca[[#This Row],[23]],Start!$B$87:$N$10044,3,0),0)+IF(setca[[#This Row],[18]]=TRUE,1+setca[[#This Row],[14]],0)</f>
        <v>0</v>
      </c>
      <c r="C84" s="21">
        <f>IFERROR((IFERROR(VLOOKUP(setca[[#This Row],[23]],Start!$B$87:$N$10044,12,0),0)+IF(setca[[#This Row],[18]]=TRUE,setca[[#This Row],[21]]-setca[[#This Row],[22]],0))/B84,0)</f>
        <v>0</v>
      </c>
      <c r="D84" s="1"/>
      <c r="E84" s="19">
        <f t="shared" ca="1" si="4"/>
        <v>2</v>
      </c>
      <c r="F84" s="173">
        <f t="shared" si="5"/>
        <v>47</v>
      </c>
      <c r="G84" s="99"/>
      <c r="H84" s="99"/>
      <c r="I84" s="114"/>
      <c r="J84" s="100"/>
      <c r="K84" s="100"/>
      <c r="L84" s="100"/>
      <c r="M84" s="100"/>
      <c r="N84" s="100"/>
      <c r="O84" s="100"/>
      <c r="P84" s="101"/>
      <c r="Q84" s="105"/>
      <c r="R84" s="106"/>
      <c r="S84" s="104"/>
      <c r="T84" s="100" t="s">
        <v>71</v>
      </c>
      <c r="U84" s="133" t="b">
        <v>0</v>
      </c>
      <c r="V84" s="135" t="b">
        <v>0</v>
      </c>
      <c r="W84" s="136" t="b">
        <v>0</v>
      </c>
      <c r="X84" s="185" t="str">
        <f ca="1">IF(setca[[#This Row],[18]]=TRUE,IF($N$1=TRUE,TODAY()-1,TODAY()),"")</f>
        <v/>
      </c>
      <c r="Y84" s="195" t="str">
        <f ca="1">IF(setca[[#This Row],[2]]="","",IF(setca[[#This Row],[18]]=TRUE,                                     setca[[#This Row],[2]]+(TODAY())&lt;$C$36))</f>
        <v/>
      </c>
      <c r="Z84" s="195">
        <f>IF(OR(setca[[#This Row],[5]]="WN",setca[[#This Row],[5]]="Es"),(setca[[#This Row],[12]]+setca[[#This Row],[13]])*1.12,setca[[#This Row],[12]]+setca[[#This Row],[13]])</f>
        <v>0</v>
      </c>
      <c r="AA84" s="195">
        <f>IF(OR(setca[[#This Row],[5]]="WN",setca[[#This Row],[5]]="Es"),setca[[#This Row],[4]]*1.12,setca[[#This Row],[4]])*(setca[[#This Row],[14]]+1)</f>
        <v>0</v>
      </c>
      <c r="AB84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84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84" s="195" t="b">
        <f>IF(setca[[#This Row],[16]]=FALSE,TRUE,FALSE)</f>
        <v>1</v>
      </c>
      <c r="AE84" s="195" t="b">
        <f ca="1">IF(setca[[#This Row],[2]]="",FALSE,AND((setca[[#This Row],[2]]+TODAY())&lt;$C$36,setca[[#This Row],[17]]=FALSE,setca[[#This Row],[18]]=TRUE))</f>
        <v>0</v>
      </c>
      <c r="AF84" s="195" t="b">
        <f ca="1">IF(setca[[#This Row],[2]]="",FALSE,AND((setca[[#This Row],[3]]+TODAY())&lt;$C$36,setca[[#This Row],[18]]=TRUE))</f>
        <v>0</v>
      </c>
      <c r="AG84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84" s="1"/>
      <c r="AI84" s="1"/>
    </row>
    <row r="85" spans="1:35" ht="11.1" customHeight="1" x14ac:dyDescent="0.25">
      <c r="A85" s="124" t="str">
        <f t="array" aca="1" ref="A85" ca="1">IFERROR(INDEX($F$39:$F$238,MATCH(0,IF(TRUE=setca[28],0,1)+COUNTIF($F$38:F122,$F$39:$F$238),0)),"")</f>
        <v/>
      </c>
      <c r="B85" s="109">
        <f>IFERROR(VLOOKUP(setca[[#This Row],[23]],Start!$B$87:$N$10044,3,0),0)+IF(setca[[#This Row],[18]]=TRUE,1+setca[[#This Row],[14]],0)</f>
        <v>0</v>
      </c>
      <c r="C85" s="21">
        <f>IFERROR((IFERROR(VLOOKUP(setca[[#This Row],[23]],Start!$B$87:$N$10044,12,0),0)+IF(setca[[#This Row],[18]]=TRUE,setca[[#This Row],[21]]-setca[[#This Row],[22]],0))/B85,0)</f>
        <v>0</v>
      </c>
      <c r="D85" s="1"/>
      <c r="E85" s="19">
        <f t="shared" ca="1" si="4"/>
        <v>2</v>
      </c>
      <c r="F85" s="173">
        <f t="shared" si="5"/>
        <v>48</v>
      </c>
      <c r="G85" s="99"/>
      <c r="H85" s="99"/>
      <c r="I85" s="114"/>
      <c r="J85" s="100"/>
      <c r="K85" s="100"/>
      <c r="L85" s="100"/>
      <c r="M85" s="100"/>
      <c r="N85" s="100"/>
      <c r="O85" s="100"/>
      <c r="P85" s="101"/>
      <c r="Q85" s="105"/>
      <c r="R85" s="106"/>
      <c r="S85" s="104"/>
      <c r="T85" s="100" t="s">
        <v>71</v>
      </c>
      <c r="U85" s="133" t="b">
        <v>0</v>
      </c>
      <c r="V85" s="135" t="b">
        <v>0</v>
      </c>
      <c r="W85" s="136" t="b">
        <v>0</v>
      </c>
      <c r="X85" s="185" t="str">
        <f ca="1">IF(setca[[#This Row],[18]]=TRUE,IF($N$1=TRUE,TODAY()-1,TODAY()),"")</f>
        <v/>
      </c>
      <c r="Y85" s="195" t="str">
        <f ca="1">IF(setca[[#This Row],[2]]="","",IF(setca[[#This Row],[18]]=TRUE,                                     setca[[#This Row],[2]]+(TODAY())&lt;$C$36))</f>
        <v/>
      </c>
      <c r="Z85" s="195">
        <f>IF(OR(setca[[#This Row],[5]]="WN",setca[[#This Row],[5]]="Es"),(setca[[#This Row],[12]]+setca[[#This Row],[13]])*1.12,setca[[#This Row],[12]]+setca[[#This Row],[13]])</f>
        <v>0</v>
      </c>
      <c r="AA85" s="195">
        <f>IF(OR(setca[[#This Row],[5]]="WN",setca[[#This Row],[5]]="Es"),setca[[#This Row],[4]]*1.12,setca[[#This Row],[4]])*(setca[[#This Row],[14]]+1)</f>
        <v>0</v>
      </c>
      <c r="AB85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85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85" s="195" t="b">
        <f>IF(setca[[#This Row],[16]]=FALSE,TRUE,FALSE)</f>
        <v>1</v>
      </c>
      <c r="AE85" s="195" t="b">
        <f ca="1">IF(setca[[#This Row],[2]]="",FALSE,AND((setca[[#This Row],[2]]+TODAY())&lt;$C$36,setca[[#This Row],[17]]=FALSE,setca[[#This Row],[18]]=TRUE))</f>
        <v>0</v>
      </c>
      <c r="AF85" s="195" t="b">
        <f ca="1">IF(setca[[#This Row],[2]]="",FALSE,AND((setca[[#This Row],[3]]+TODAY())&lt;$C$36,setca[[#This Row],[18]]=TRUE))</f>
        <v>0</v>
      </c>
      <c r="AG85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85" s="1"/>
      <c r="AI85" s="1"/>
    </row>
    <row r="86" spans="1:35" ht="11.1" customHeight="1" x14ac:dyDescent="0.25">
      <c r="A86" s="124" t="str">
        <f t="array" aca="1" ref="A86" ca="1">IFERROR(INDEX($F$39:$F$238,MATCH(0,IF(TRUE=setca[28],0,1)+COUNTIF($F$38:F123,$F$39:$F$238),0)),"")</f>
        <v/>
      </c>
      <c r="B86" s="109">
        <f>IFERROR(VLOOKUP(setca[[#This Row],[23]],Start!$B$87:$N$10044,3,0),0)+IF(setca[[#This Row],[18]]=TRUE,1+setca[[#This Row],[14]],0)</f>
        <v>0</v>
      </c>
      <c r="C86" s="21">
        <f>IFERROR((IFERROR(VLOOKUP(setca[[#This Row],[23]],Start!$B$87:$N$10044,12,0),0)+IF(setca[[#This Row],[18]]=TRUE,setca[[#This Row],[21]]-setca[[#This Row],[22]],0))/B86,0)</f>
        <v>0</v>
      </c>
      <c r="D86" s="1"/>
      <c r="E86" s="19">
        <f t="shared" ca="1" si="4"/>
        <v>2</v>
      </c>
      <c r="F86" s="173">
        <f t="shared" si="5"/>
        <v>49</v>
      </c>
      <c r="G86" s="99"/>
      <c r="H86" s="99"/>
      <c r="I86" s="114"/>
      <c r="J86" s="100"/>
      <c r="K86" s="100"/>
      <c r="L86" s="100"/>
      <c r="M86" s="100"/>
      <c r="N86" s="100"/>
      <c r="O86" s="100"/>
      <c r="P86" s="101"/>
      <c r="Q86" s="105"/>
      <c r="R86" s="106"/>
      <c r="S86" s="104"/>
      <c r="T86" s="100" t="s">
        <v>71</v>
      </c>
      <c r="U86" s="133" t="b">
        <v>0</v>
      </c>
      <c r="V86" s="135" t="b">
        <v>0</v>
      </c>
      <c r="W86" s="136" t="b">
        <v>0</v>
      </c>
      <c r="X86" s="185" t="str">
        <f ca="1">IF(setca[[#This Row],[18]]=TRUE,IF($N$1=TRUE,TODAY()-1,TODAY()),"")</f>
        <v/>
      </c>
      <c r="Y86" s="195" t="str">
        <f ca="1">IF(setca[[#This Row],[2]]="","",IF(setca[[#This Row],[18]]=TRUE,                                     setca[[#This Row],[2]]+(TODAY())&lt;$C$36))</f>
        <v/>
      </c>
      <c r="Z86" s="195">
        <f>IF(OR(setca[[#This Row],[5]]="WN",setca[[#This Row],[5]]="Es"),(setca[[#This Row],[12]]+setca[[#This Row],[13]])*1.12,setca[[#This Row],[12]]+setca[[#This Row],[13]])</f>
        <v>0</v>
      </c>
      <c r="AA86" s="195">
        <f>IF(OR(setca[[#This Row],[5]]="WN",setca[[#This Row],[5]]="Es"),setca[[#This Row],[4]]*1.12,setca[[#This Row],[4]])*(setca[[#This Row],[14]]+1)</f>
        <v>0</v>
      </c>
      <c r="AB86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86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86" s="195" t="b">
        <f>IF(setca[[#This Row],[16]]=FALSE,TRUE,FALSE)</f>
        <v>1</v>
      </c>
      <c r="AE86" s="195" t="b">
        <f ca="1">IF(setca[[#This Row],[2]]="",FALSE,AND((setca[[#This Row],[2]]+TODAY())&lt;$C$36,setca[[#This Row],[17]]=FALSE,setca[[#This Row],[18]]=TRUE))</f>
        <v>0</v>
      </c>
      <c r="AF86" s="195" t="b">
        <f ca="1">IF(setca[[#This Row],[2]]="",FALSE,AND((setca[[#This Row],[3]]+TODAY())&lt;$C$36,setca[[#This Row],[18]]=TRUE))</f>
        <v>0</v>
      </c>
      <c r="AG86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86" s="1"/>
      <c r="AI86" s="1"/>
    </row>
    <row r="87" spans="1:35" ht="11.1" customHeight="1" x14ac:dyDescent="0.25">
      <c r="A87" s="124" t="str">
        <f t="array" aca="1" ref="A87" ca="1">IFERROR(INDEX($F$39:$F$238,MATCH(0,IF(TRUE=setca[28],0,1)+COUNTIF($F$38:F124,$F$39:$F$238),0)),"")</f>
        <v/>
      </c>
      <c r="B87" s="109">
        <f>IFERROR(VLOOKUP(setca[[#This Row],[23]],Start!$B$87:$N$10044,3,0),0)+IF(setca[[#This Row],[18]]=TRUE,1+setca[[#This Row],[14]],0)</f>
        <v>0</v>
      </c>
      <c r="C87" s="21">
        <f>IFERROR((IFERROR(VLOOKUP(setca[[#This Row],[23]],Start!$B$87:$N$10044,12,0),0)+IF(setca[[#This Row],[18]]=TRUE,setca[[#This Row],[21]]-setca[[#This Row],[22]],0))/B87,0)</f>
        <v>0</v>
      </c>
      <c r="D87" s="1"/>
      <c r="E87" s="19">
        <f t="shared" ca="1" si="4"/>
        <v>2</v>
      </c>
      <c r="F87" s="173">
        <f t="shared" si="5"/>
        <v>50</v>
      </c>
      <c r="G87" s="99"/>
      <c r="H87" s="99"/>
      <c r="I87" s="114"/>
      <c r="J87" s="100"/>
      <c r="K87" s="100"/>
      <c r="L87" s="100"/>
      <c r="M87" s="100"/>
      <c r="N87" s="100"/>
      <c r="O87" s="100"/>
      <c r="P87" s="101"/>
      <c r="Q87" s="105"/>
      <c r="R87" s="106"/>
      <c r="S87" s="104"/>
      <c r="T87" s="100" t="s">
        <v>71</v>
      </c>
      <c r="U87" s="133" t="b">
        <v>0</v>
      </c>
      <c r="V87" s="135" t="b">
        <v>0</v>
      </c>
      <c r="W87" s="136" t="b">
        <v>0</v>
      </c>
      <c r="X87" s="185" t="str">
        <f ca="1">IF(setca[[#This Row],[18]]=TRUE,IF($N$1=TRUE,TODAY()-1,TODAY()),"")</f>
        <v/>
      </c>
      <c r="Y87" s="195" t="str">
        <f ca="1">IF(setca[[#This Row],[2]]="","",IF(setca[[#This Row],[18]]=TRUE,                                     setca[[#This Row],[2]]+(TODAY())&lt;$C$36))</f>
        <v/>
      </c>
      <c r="Z87" s="195">
        <f>IF(OR(setca[[#This Row],[5]]="WN",setca[[#This Row],[5]]="Es"),(setca[[#This Row],[12]]+setca[[#This Row],[13]])*1.12,setca[[#This Row],[12]]+setca[[#This Row],[13]])</f>
        <v>0</v>
      </c>
      <c r="AA87" s="195">
        <f>IF(OR(setca[[#This Row],[5]]="WN",setca[[#This Row],[5]]="Es"),setca[[#This Row],[4]]*1.12,setca[[#This Row],[4]])*(setca[[#This Row],[14]]+1)</f>
        <v>0</v>
      </c>
      <c r="AB87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87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87" s="195" t="b">
        <f>IF(setca[[#This Row],[16]]=FALSE,TRUE,FALSE)</f>
        <v>1</v>
      </c>
      <c r="AE87" s="195" t="b">
        <f ca="1">IF(setca[[#This Row],[2]]="",FALSE,AND((setca[[#This Row],[2]]+TODAY())&lt;$C$36,setca[[#This Row],[17]]=FALSE,setca[[#This Row],[18]]=TRUE))</f>
        <v>0</v>
      </c>
      <c r="AF87" s="195" t="b">
        <f ca="1">IF(setca[[#This Row],[2]]="",FALSE,AND((setca[[#This Row],[3]]+TODAY())&lt;$C$36,setca[[#This Row],[18]]=TRUE))</f>
        <v>0</v>
      </c>
      <c r="AG87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87" s="1"/>
      <c r="AI87" s="1"/>
    </row>
    <row r="88" spans="1:35" ht="11.1" customHeight="1" x14ac:dyDescent="0.25">
      <c r="A88" s="124" t="str">
        <f t="array" aca="1" ref="A88" ca="1">IFERROR(INDEX($F$39:$F$238,MATCH(0,IF(TRUE=setca[28],0,1)+COUNTIF($F$38:F125,$F$39:$F$238),0)),"")</f>
        <v/>
      </c>
      <c r="B88" s="109">
        <f>IFERROR(VLOOKUP(setca[[#This Row],[23]],Start!$B$87:$N$10044,3,0),0)+IF(setca[[#This Row],[18]]=TRUE,1+setca[[#This Row],[14]],0)</f>
        <v>0</v>
      </c>
      <c r="C88" s="21">
        <f>IFERROR((IFERROR(VLOOKUP(setca[[#This Row],[23]],Start!$B$87:$N$10044,12,0),0)+IF(setca[[#This Row],[18]]=TRUE,setca[[#This Row],[21]]-setca[[#This Row],[22]],0))/B88,0)</f>
        <v>0</v>
      </c>
      <c r="D88" s="1"/>
      <c r="E88" s="19">
        <f t="shared" ca="1" si="4"/>
        <v>2</v>
      </c>
      <c r="F88" s="173">
        <f t="shared" si="5"/>
        <v>51</v>
      </c>
      <c r="G88" s="99"/>
      <c r="H88" s="99"/>
      <c r="I88" s="114"/>
      <c r="J88" s="100"/>
      <c r="K88" s="100"/>
      <c r="L88" s="100"/>
      <c r="M88" s="100"/>
      <c r="N88" s="100"/>
      <c r="O88" s="100"/>
      <c r="P88" s="101"/>
      <c r="Q88" s="105"/>
      <c r="R88" s="106"/>
      <c r="S88" s="104"/>
      <c r="T88" s="100" t="s">
        <v>71</v>
      </c>
      <c r="U88" s="133" t="b">
        <v>0</v>
      </c>
      <c r="V88" s="135" t="b">
        <v>0</v>
      </c>
      <c r="W88" s="136" t="b">
        <v>0</v>
      </c>
      <c r="X88" s="185" t="str">
        <f ca="1">IF(setca[[#This Row],[18]]=TRUE,IF($N$1=TRUE,TODAY()-1,TODAY()),"")</f>
        <v/>
      </c>
      <c r="Y88" s="195" t="str">
        <f ca="1">IF(setca[[#This Row],[2]]="","",IF(setca[[#This Row],[18]]=TRUE,                                     setca[[#This Row],[2]]+(TODAY())&lt;$C$36))</f>
        <v/>
      </c>
      <c r="Z88" s="195">
        <f>IF(OR(setca[[#This Row],[5]]="WN",setca[[#This Row],[5]]="Es"),(setca[[#This Row],[12]]+setca[[#This Row],[13]])*1.12,setca[[#This Row],[12]]+setca[[#This Row],[13]])</f>
        <v>0</v>
      </c>
      <c r="AA88" s="195">
        <f>IF(OR(setca[[#This Row],[5]]="WN",setca[[#This Row],[5]]="Es"),setca[[#This Row],[4]]*1.12,setca[[#This Row],[4]])*(setca[[#This Row],[14]]+1)</f>
        <v>0</v>
      </c>
      <c r="AB88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88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88" s="195" t="b">
        <f>IF(setca[[#This Row],[16]]=FALSE,TRUE,FALSE)</f>
        <v>1</v>
      </c>
      <c r="AE88" s="195" t="b">
        <f ca="1">IF(setca[[#This Row],[2]]="",FALSE,AND((setca[[#This Row],[2]]+TODAY())&lt;$C$36,setca[[#This Row],[17]]=FALSE,setca[[#This Row],[18]]=TRUE))</f>
        <v>0</v>
      </c>
      <c r="AF88" s="195" t="b">
        <f ca="1">IF(setca[[#This Row],[2]]="",FALSE,AND((setca[[#This Row],[3]]+TODAY())&lt;$C$36,setca[[#This Row],[18]]=TRUE))</f>
        <v>0</v>
      </c>
      <c r="AG88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88" s="1"/>
      <c r="AI88" s="1"/>
    </row>
    <row r="89" spans="1:35" ht="11.1" customHeight="1" x14ac:dyDescent="0.25">
      <c r="A89" s="124" t="str">
        <f t="array" aca="1" ref="A89" ca="1">IFERROR(INDEX($F$39:$F$238,MATCH(0,IF(TRUE=setca[28],0,1)+COUNTIF($F$38:F126,$F$39:$F$238),0)),"")</f>
        <v/>
      </c>
      <c r="B89" s="109">
        <f>IFERROR(VLOOKUP(setca[[#This Row],[23]],Start!$B$87:$N$10044,3,0),0)+IF(setca[[#This Row],[18]]=TRUE,1+setca[[#This Row],[14]],0)</f>
        <v>0</v>
      </c>
      <c r="C89" s="21">
        <f>IFERROR((IFERROR(VLOOKUP(setca[[#This Row],[23]],Start!$B$87:$N$10044,12,0),0)+IF(setca[[#This Row],[18]]=TRUE,setca[[#This Row],[21]]-setca[[#This Row],[22]],0))/B89,0)</f>
        <v>0</v>
      </c>
      <c r="D89" s="1"/>
      <c r="E89" s="19">
        <f t="shared" ca="1" si="4"/>
        <v>2</v>
      </c>
      <c r="F89" s="173">
        <f t="shared" si="5"/>
        <v>52</v>
      </c>
      <c r="G89" s="99"/>
      <c r="H89" s="99"/>
      <c r="I89" s="114"/>
      <c r="J89" s="100"/>
      <c r="K89" s="100"/>
      <c r="L89" s="100"/>
      <c r="M89" s="100"/>
      <c r="N89" s="100"/>
      <c r="O89" s="100"/>
      <c r="P89" s="101"/>
      <c r="Q89" s="105"/>
      <c r="R89" s="106"/>
      <c r="S89" s="104"/>
      <c r="T89" s="100" t="s">
        <v>71</v>
      </c>
      <c r="U89" s="133" t="b">
        <v>0</v>
      </c>
      <c r="V89" s="135" t="b">
        <v>0</v>
      </c>
      <c r="W89" s="136" t="b">
        <v>0</v>
      </c>
      <c r="X89" s="185" t="str">
        <f ca="1">IF(setca[[#This Row],[18]]=TRUE,IF($N$1=TRUE,TODAY()-1,TODAY()),"")</f>
        <v/>
      </c>
      <c r="Y89" s="195" t="str">
        <f ca="1">IF(setca[[#This Row],[2]]="","",IF(setca[[#This Row],[18]]=TRUE,                                     setca[[#This Row],[2]]+(TODAY())&lt;$C$36))</f>
        <v/>
      </c>
      <c r="Z89" s="195">
        <f>IF(OR(setca[[#This Row],[5]]="WN",setca[[#This Row],[5]]="Es"),(setca[[#This Row],[12]]+setca[[#This Row],[13]])*1.12,setca[[#This Row],[12]]+setca[[#This Row],[13]])</f>
        <v>0</v>
      </c>
      <c r="AA89" s="195">
        <f>IF(OR(setca[[#This Row],[5]]="WN",setca[[#This Row],[5]]="Es"),setca[[#This Row],[4]]*1.12,setca[[#This Row],[4]])*(setca[[#This Row],[14]]+1)</f>
        <v>0</v>
      </c>
      <c r="AB89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89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89" s="195" t="b">
        <f>IF(setca[[#This Row],[16]]=FALSE,TRUE,FALSE)</f>
        <v>1</v>
      </c>
      <c r="AE89" s="195" t="b">
        <f ca="1">IF(setca[[#This Row],[2]]="",FALSE,AND((setca[[#This Row],[2]]+TODAY())&lt;$C$36,setca[[#This Row],[17]]=FALSE,setca[[#This Row],[18]]=TRUE))</f>
        <v>0</v>
      </c>
      <c r="AF89" s="195" t="b">
        <f ca="1">IF(setca[[#This Row],[2]]="",FALSE,AND((setca[[#This Row],[3]]+TODAY())&lt;$C$36,setca[[#This Row],[18]]=TRUE))</f>
        <v>0</v>
      </c>
      <c r="AG89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89" s="1"/>
      <c r="AI89" s="1"/>
    </row>
    <row r="90" spans="1:35" ht="11.1" customHeight="1" x14ac:dyDescent="0.25">
      <c r="A90" s="124" t="str">
        <f t="array" aca="1" ref="A90" ca="1">IFERROR(INDEX($F$39:$F$238,MATCH(0,IF(TRUE=setca[28],0,1)+COUNTIF($F$38:F127,$F$39:$F$238),0)),"")</f>
        <v/>
      </c>
      <c r="B90" s="109">
        <f>IFERROR(VLOOKUP(setca[[#This Row],[23]],Start!$B$87:$N$10044,3,0),0)+IF(setca[[#This Row],[18]]=TRUE,1+setca[[#This Row],[14]],0)</f>
        <v>0</v>
      </c>
      <c r="C90" s="21">
        <f>IFERROR((IFERROR(VLOOKUP(setca[[#This Row],[23]],Start!$B$87:$N$10044,12,0),0)+IF(setca[[#This Row],[18]]=TRUE,setca[[#This Row],[21]]-setca[[#This Row],[22]],0))/B90,0)</f>
        <v>0</v>
      </c>
      <c r="D90" s="1"/>
      <c r="E90" s="19">
        <f t="shared" ca="1" si="4"/>
        <v>2</v>
      </c>
      <c r="F90" s="173">
        <f t="shared" si="5"/>
        <v>53</v>
      </c>
      <c r="G90" s="99"/>
      <c r="H90" s="99"/>
      <c r="I90" s="114"/>
      <c r="J90" s="100"/>
      <c r="K90" s="100"/>
      <c r="L90" s="100"/>
      <c r="M90" s="100"/>
      <c r="N90" s="100"/>
      <c r="O90" s="100"/>
      <c r="P90" s="101"/>
      <c r="Q90" s="105"/>
      <c r="R90" s="106"/>
      <c r="S90" s="104"/>
      <c r="T90" s="100" t="s">
        <v>71</v>
      </c>
      <c r="U90" s="133" t="b">
        <v>0</v>
      </c>
      <c r="V90" s="135" t="b">
        <v>0</v>
      </c>
      <c r="W90" s="136" t="b">
        <v>0</v>
      </c>
      <c r="X90" s="185" t="str">
        <f ca="1">IF(setca[[#This Row],[18]]=TRUE,IF($N$1=TRUE,TODAY()-1,TODAY()),"")</f>
        <v/>
      </c>
      <c r="Y90" s="195" t="str">
        <f ca="1">IF(setca[[#This Row],[2]]="","",IF(setca[[#This Row],[18]]=TRUE,                                     setca[[#This Row],[2]]+(TODAY())&lt;$C$36))</f>
        <v/>
      </c>
      <c r="Z90" s="195">
        <f>IF(OR(setca[[#This Row],[5]]="WN",setca[[#This Row],[5]]="Es"),(setca[[#This Row],[12]]+setca[[#This Row],[13]])*1.12,setca[[#This Row],[12]]+setca[[#This Row],[13]])</f>
        <v>0</v>
      </c>
      <c r="AA90" s="195">
        <f>IF(OR(setca[[#This Row],[5]]="WN",setca[[#This Row],[5]]="Es"),setca[[#This Row],[4]]*1.12,setca[[#This Row],[4]])*(setca[[#This Row],[14]]+1)</f>
        <v>0</v>
      </c>
      <c r="AB90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90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90" s="195" t="b">
        <f>IF(setca[[#This Row],[16]]=FALSE,TRUE,FALSE)</f>
        <v>1</v>
      </c>
      <c r="AE90" s="195" t="b">
        <f ca="1">IF(setca[[#This Row],[2]]="",FALSE,AND((setca[[#This Row],[2]]+TODAY())&lt;$C$36,setca[[#This Row],[17]]=FALSE,setca[[#This Row],[18]]=TRUE))</f>
        <v>0</v>
      </c>
      <c r="AF90" s="195" t="b">
        <f ca="1">IF(setca[[#This Row],[2]]="",FALSE,AND((setca[[#This Row],[3]]+TODAY())&lt;$C$36,setca[[#This Row],[18]]=TRUE))</f>
        <v>0</v>
      </c>
      <c r="AG90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90" s="1"/>
      <c r="AI90" s="1"/>
    </row>
    <row r="91" spans="1:35" ht="11.1" customHeight="1" x14ac:dyDescent="0.25">
      <c r="A91" s="124" t="str">
        <f t="array" aca="1" ref="A91" ca="1">IFERROR(INDEX($F$39:$F$238,MATCH(0,IF(TRUE=setca[28],0,1)+COUNTIF($F$38:F128,$F$39:$F$238),0)),"")</f>
        <v/>
      </c>
      <c r="B91" s="109">
        <f>IFERROR(VLOOKUP(setca[[#This Row],[23]],Start!$B$87:$N$10044,3,0),0)+IF(setca[[#This Row],[18]]=TRUE,1+setca[[#This Row],[14]],0)</f>
        <v>0</v>
      </c>
      <c r="C91" s="21">
        <f>IFERROR((IFERROR(VLOOKUP(setca[[#This Row],[23]],Start!$B$87:$N$10044,12,0),0)+IF(setca[[#This Row],[18]]=TRUE,setca[[#This Row],[21]]-setca[[#This Row],[22]],0))/B91,0)</f>
        <v>0</v>
      </c>
      <c r="D91" s="1"/>
      <c r="E91" s="19">
        <f t="shared" ca="1" si="4"/>
        <v>2</v>
      </c>
      <c r="F91" s="173">
        <f t="shared" si="5"/>
        <v>54</v>
      </c>
      <c r="G91" s="99"/>
      <c r="H91" s="99"/>
      <c r="I91" s="114"/>
      <c r="J91" s="100"/>
      <c r="K91" s="100"/>
      <c r="L91" s="100"/>
      <c r="M91" s="100"/>
      <c r="N91" s="100"/>
      <c r="O91" s="100"/>
      <c r="P91" s="101"/>
      <c r="Q91" s="105"/>
      <c r="R91" s="106"/>
      <c r="S91" s="104"/>
      <c r="T91" s="100" t="s">
        <v>71</v>
      </c>
      <c r="U91" s="133" t="b">
        <v>0</v>
      </c>
      <c r="V91" s="135" t="b">
        <v>0</v>
      </c>
      <c r="W91" s="136" t="b">
        <v>0</v>
      </c>
      <c r="X91" s="185" t="str">
        <f ca="1">IF(setca[[#This Row],[18]]=TRUE,IF($N$1=TRUE,TODAY()-1,TODAY()),"")</f>
        <v/>
      </c>
      <c r="Y91" s="195" t="str">
        <f ca="1">IF(setca[[#This Row],[2]]="","",IF(setca[[#This Row],[18]]=TRUE,                                     setca[[#This Row],[2]]+(TODAY())&lt;$C$36))</f>
        <v/>
      </c>
      <c r="Z91" s="195">
        <f>IF(OR(setca[[#This Row],[5]]="WN",setca[[#This Row],[5]]="Es"),(setca[[#This Row],[12]]+setca[[#This Row],[13]])*1.12,setca[[#This Row],[12]]+setca[[#This Row],[13]])</f>
        <v>0</v>
      </c>
      <c r="AA91" s="195">
        <f>IF(OR(setca[[#This Row],[5]]="WN",setca[[#This Row],[5]]="Es"),setca[[#This Row],[4]]*1.12,setca[[#This Row],[4]])*(setca[[#This Row],[14]]+1)</f>
        <v>0</v>
      </c>
      <c r="AB91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91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91" s="195" t="b">
        <f>IF(setca[[#This Row],[16]]=FALSE,TRUE,FALSE)</f>
        <v>1</v>
      </c>
      <c r="AE91" s="195" t="b">
        <f ca="1">IF(setca[[#This Row],[2]]="",FALSE,AND((setca[[#This Row],[2]]+TODAY())&lt;$C$36,setca[[#This Row],[17]]=FALSE,setca[[#This Row],[18]]=TRUE))</f>
        <v>0</v>
      </c>
      <c r="AF91" s="195" t="b">
        <f ca="1">IF(setca[[#This Row],[2]]="",FALSE,AND((setca[[#This Row],[3]]+TODAY())&lt;$C$36,setca[[#This Row],[18]]=TRUE))</f>
        <v>0</v>
      </c>
      <c r="AG91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91" s="1"/>
      <c r="AI91" s="1"/>
    </row>
    <row r="92" spans="1:35" ht="11.1" customHeight="1" x14ac:dyDescent="0.25">
      <c r="A92" s="124" t="str">
        <f t="array" aca="1" ref="A92" ca="1">IFERROR(INDEX($F$39:$F$238,MATCH(0,IF(TRUE=setca[28],0,1)+COUNTIF($F$38:F129,$F$39:$F$238),0)),"")</f>
        <v/>
      </c>
      <c r="B92" s="109">
        <f>IFERROR(VLOOKUP(setca[[#This Row],[23]],Start!$B$87:$N$10044,3,0),0)+IF(setca[[#This Row],[18]]=TRUE,1+setca[[#This Row],[14]],0)</f>
        <v>0</v>
      </c>
      <c r="C92" s="21">
        <f>IFERROR((IFERROR(VLOOKUP(setca[[#This Row],[23]],Start!$B$87:$N$10044,12,0),0)+IF(setca[[#This Row],[18]]=TRUE,setca[[#This Row],[21]]-setca[[#This Row],[22]],0))/B92,0)</f>
        <v>0</v>
      </c>
      <c r="D92" s="1"/>
      <c r="E92" s="19">
        <f t="shared" ca="1" si="4"/>
        <v>2</v>
      </c>
      <c r="F92" s="173">
        <f t="shared" si="5"/>
        <v>55</v>
      </c>
      <c r="G92" s="99"/>
      <c r="H92" s="99"/>
      <c r="I92" s="114"/>
      <c r="J92" s="99"/>
      <c r="K92" s="100"/>
      <c r="L92" s="100"/>
      <c r="M92" s="100"/>
      <c r="N92" s="100"/>
      <c r="O92" s="100"/>
      <c r="P92" s="101"/>
      <c r="Q92" s="105"/>
      <c r="R92" s="106"/>
      <c r="S92" s="104"/>
      <c r="T92" s="100" t="s">
        <v>71</v>
      </c>
      <c r="U92" s="133" t="b">
        <v>0</v>
      </c>
      <c r="V92" s="135" t="b">
        <v>0</v>
      </c>
      <c r="W92" s="136" t="b">
        <v>0</v>
      </c>
      <c r="X92" s="185" t="str">
        <f ca="1">IF(setca[[#This Row],[18]]=TRUE,IF($N$1=TRUE,TODAY()-1,TODAY()),"")</f>
        <v/>
      </c>
      <c r="Y92" s="195" t="str">
        <f ca="1">IF(setca[[#This Row],[2]]="","",IF(setca[[#This Row],[18]]=TRUE,                                     setca[[#This Row],[2]]+(TODAY())&lt;$C$36))</f>
        <v/>
      </c>
      <c r="Z92" s="195">
        <f>IF(OR(setca[[#This Row],[5]]="WN",setca[[#This Row],[5]]="Es"),(setca[[#This Row],[12]]+setca[[#This Row],[13]])*1.12,setca[[#This Row],[12]]+setca[[#This Row],[13]])</f>
        <v>0</v>
      </c>
      <c r="AA92" s="195">
        <f>IF(OR(setca[[#This Row],[5]]="WN",setca[[#This Row],[5]]="Es"),setca[[#This Row],[4]]*1.12,setca[[#This Row],[4]])*(setca[[#This Row],[14]]+1)</f>
        <v>0</v>
      </c>
      <c r="AB92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92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92" s="195" t="b">
        <f>IF(setca[[#This Row],[16]]=FALSE,TRUE,FALSE)</f>
        <v>1</v>
      </c>
      <c r="AE92" s="195" t="b">
        <f ca="1">IF(setca[[#This Row],[2]]="",FALSE,AND((setca[[#This Row],[2]]+TODAY())&lt;$C$36,setca[[#This Row],[17]]=FALSE,setca[[#This Row],[18]]=TRUE))</f>
        <v>0</v>
      </c>
      <c r="AF92" s="195" t="b">
        <f ca="1">IF(setca[[#This Row],[2]]="",FALSE,AND((setca[[#This Row],[3]]+TODAY())&lt;$C$36,setca[[#This Row],[18]]=TRUE))</f>
        <v>0</v>
      </c>
      <c r="AG92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92" s="1"/>
      <c r="AI92" s="1"/>
    </row>
    <row r="93" spans="1:35" ht="11.1" customHeight="1" x14ac:dyDescent="0.25">
      <c r="A93" s="124" t="str">
        <f t="array" aca="1" ref="A93" ca="1">IFERROR(INDEX($F$39:$F$238,MATCH(0,IF(TRUE=setca[28],0,1)+COUNTIF($F$38:F130,$F$39:$F$238),0)),"")</f>
        <v/>
      </c>
      <c r="B93" s="109">
        <f>IFERROR(VLOOKUP(setca[[#This Row],[23]],Start!$B$87:$N$10044,3,0),0)+IF(setca[[#This Row],[18]]=TRUE,1+setca[[#This Row],[14]],0)</f>
        <v>0</v>
      </c>
      <c r="C93" s="21">
        <f>IFERROR((IFERROR(VLOOKUP(setca[[#This Row],[23]],Start!$B$87:$N$10044,12,0),0)+IF(setca[[#This Row],[18]]=TRUE,setca[[#This Row],[21]]-setca[[#This Row],[22]],0))/B93,0)</f>
        <v>0</v>
      </c>
      <c r="D93" s="1"/>
      <c r="E93" s="19">
        <f t="shared" ca="1" si="4"/>
        <v>2</v>
      </c>
      <c r="F93" s="173">
        <f t="shared" si="5"/>
        <v>56</v>
      </c>
      <c r="G93" s="99"/>
      <c r="H93" s="99"/>
      <c r="I93" s="114"/>
      <c r="J93" s="99"/>
      <c r="K93" s="100"/>
      <c r="L93" s="100"/>
      <c r="M93" s="100"/>
      <c r="N93" s="100"/>
      <c r="O93" s="100"/>
      <c r="P93" s="101"/>
      <c r="Q93" s="105"/>
      <c r="R93" s="106"/>
      <c r="S93" s="104"/>
      <c r="T93" s="100" t="s">
        <v>71</v>
      </c>
      <c r="U93" s="133" t="b">
        <v>0</v>
      </c>
      <c r="V93" s="135" t="b">
        <v>0</v>
      </c>
      <c r="W93" s="136" t="b">
        <v>0</v>
      </c>
      <c r="X93" s="185" t="str">
        <f ca="1">IF(setca[[#This Row],[18]]=TRUE,IF($N$1=TRUE,TODAY()-1,TODAY()),"")</f>
        <v/>
      </c>
      <c r="Y93" s="195" t="str">
        <f ca="1">IF(setca[[#This Row],[2]]="","",IF(setca[[#This Row],[18]]=TRUE,                                     setca[[#This Row],[2]]+(TODAY())&lt;$C$36))</f>
        <v/>
      </c>
      <c r="Z93" s="195">
        <f>IF(OR(setca[[#This Row],[5]]="WN",setca[[#This Row],[5]]="Es"),(setca[[#This Row],[12]]+setca[[#This Row],[13]])*1.12,setca[[#This Row],[12]]+setca[[#This Row],[13]])</f>
        <v>0</v>
      </c>
      <c r="AA93" s="195">
        <f>IF(OR(setca[[#This Row],[5]]="WN",setca[[#This Row],[5]]="Es"),setca[[#This Row],[4]]*1.12,setca[[#This Row],[4]])*(setca[[#This Row],[14]]+1)</f>
        <v>0</v>
      </c>
      <c r="AB93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93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93" s="195" t="b">
        <f>IF(setca[[#This Row],[16]]=FALSE,TRUE,FALSE)</f>
        <v>1</v>
      </c>
      <c r="AE93" s="195" t="b">
        <f ca="1">IF(setca[[#This Row],[2]]="",FALSE,AND((setca[[#This Row],[2]]+TODAY())&lt;$C$36,setca[[#This Row],[17]]=FALSE,setca[[#This Row],[18]]=TRUE))</f>
        <v>0</v>
      </c>
      <c r="AF93" s="195" t="b">
        <f ca="1">IF(setca[[#This Row],[2]]="",FALSE,AND((setca[[#This Row],[3]]+TODAY())&lt;$C$36,setca[[#This Row],[18]]=TRUE))</f>
        <v>0</v>
      </c>
      <c r="AG93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93" s="1"/>
      <c r="AI93" s="1"/>
    </row>
    <row r="94" spans="1:35" ht="11.1" customHeight="1" x14ac:dyDescent="0.25">
      <c r="A94" s="124" t="str">
        <f t="array" aca="1" ref="A94" ca="1">IFERROR(INDEX($F$39:$F$238,MATCH(0,IF(TRUE=setca[28],0,1)+COUNTIF($F$38:F131,$F$39:$F$238),0)),"")</f>
        <v/>
      </c>
      <c r="B94" s="109">
        <f>IFERROR(VLOOKUP(setca[[#This Row],[23]],Start!$B$87:$N$10044,3,0),0)+IF(setca[[#This Row],[18]]=TRUE,1+setca[[#This Row],[14]],0)</f>
        <v>0</v>
      </c>
      <c r="C94" s="21">
        <f>IFERROR((IFERROR(VLOOKUP(setca[[#This Row],[23]],Start!$B$87:$N$10044,12,0),0)+IF(setca[[#This Row],[18]]=TRUE,setca[[#This Row],[21]]-setca[[#This Row],[22]],0))/B94,0)</f>
        <v>0</v>
      </c>
      <c r="D94" s="1"/>
      <c r="E94" s="19">
        <f t="shared" ca="1" si="4"/>
        <v>2</v>
      </c>
      <c r="F94" s="173">
        <f t="shared" si="5"/>
        <v>57</v>
      </c>
      <c r="G94" s="99"/>
      <c r="H94" s="99"/>
      <c r="I94" s="114"/>
      <c r="J94" s="100"/>
      <c r="K94" s="100"/>
      <c r="L94" s="100"/>
      <c r="M94" s="100"/>
      <c r="N94" s="100"/>
      <c r="O94" s="100"/>
      <c r="P94" s="101"/>
      <c r="Q94" s="105"/>
      <c r="R94" s="106"/>
      <c r="S94" s="104"/>
      <c r="T94" s="100" t="s">
        <v>71</v>
      </c>
      <c r="U94" s="133" t="b">
        <v>0</v>
      </c>
      <c r="V94" s="135" t="b">
        <v>0</v>
      </c>
      <c r="W94" s="136" t="b">
        <v>0</v>
      </c>
      <c r="X94" s="185" t="str">
        <f ca="1">IF(setca[[#This Row],[18]]=TRUE,IF($N$1=TRUE,TODAY()-1,TODAY()),"")</f>
        <v/>
      </c>
      <c r="Y94" s="195" t="str">
        <f ca="1">IF(setca[[#This Row],[2]]="","",IF(setca[[#This Row],[18]]=TRUE,                                     setca[[#This Row],[2]]+(TODAY())&lt;$C$36))</f>
        <v/>
      </c>
      <c r="Z94" s="195">
        <f>IF(OR(setca[[#This Row],[5]]="WN",setca[[#This Row],[5]]="Es"),(setca[[#This Row],[12]]+setca[[#This Row],[13]])*1.12,setca[[#This Row],[12]]+setca[[#This Row],[13]])</f>
        <v>0</v>
      </c>
      <c r="AA94" s="195">
        <f>IF(OR(setca[[#This Row],[5]]="WN",setca[[#This Row],[5]]="Es"),setca[[#This Row],[4]]*1.12,setca[[#This Row],[4]])*(setca[[#This Row],[14]]+1)</f>
        <v>0</v>
      </c>
      <c r="AB94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94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94" s="195" t="b">
        <f>IF(setca[[#This Row],[16]]=FALSE,TRUE,FALSE)</f>
        <v>1</v>
      </c>
      <c r="AE94" s="195" t="b">
        <f ca="1">IF(setca[[#This Row],[2]]="",FALSE,AND((setca[[#This Row],[2]]+TODAY())&lt;$C$36,setca[[#This Row],[17]]=FALSE,setca[[#This Row],[18]]=TRUE))</f>
        <v>0</v>
      </c>
      <c r="AF94" s="195" t="b">
        <f ca="1">IF(setca[[#This Row],[2]]="",FALSE,AND((setca[[#This Row],[3]]+TODAY())&lt;$C$36,setca[[#This Row],[18]]=TRUE))</f>
        <v>0</v>
      </c>
      <c r="AG94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94" s="1"/>
      <c r="AI94" s="1"/>
    </row>
    <row r="95" spans="1:35" ht="11.1" customHeight="1" x14ac:dyDescent="0.25">
      <c r="A95" s="124" t="str">
        <f t="array" aca="1" ref="A95" ca="1">IFERROR(INDEX($F$39:$F$238,MATCH(0,IF(TRUE=setca[28],0,1)+COUNTIF($F$38:F132,$F$39:$F$238),0)),"")</f>
        <v/>
      </c>
      <c r="B95" s="109">
        <f>IFERROR(VLOOKUP(setca[[#This Row],[23]],Start!$B$87:$N$10044,3,0),0)+IF(setca[[#This Row],[18]]=TRUE,1+setca[[#This Row],[14]],0)</f>
        <v>0</v>
      </c>
      <c r="C95" s="21">
        <f>IFERROR((IFERROR(VLOOKUP(setca[[#This Row],[23]],Start!$B$87:$N$10044,12,0),0)+IF(setca[[#This Row],[18]]=TRUE,setca[[#This Row],[21]]-setca[[#This Row],[22]],0))/B95,0)</f>
        <v>0</v>
      </c>
      <c r="D95" s="1"/>
      <c r="E95" s="19">
        <f t="shared" ca="1" si="4"/>
        <v>2</v>
      </c>
      <c r="F95" s="173">
        <f t="shared" si="5"/>
        <v>58</v>
      </c>
      <c r="G95" s="99"/>
      <c r="H95" s="99"/>
      <c r="I95" s="114"/>
      <c r="J95" s="100"/>
      <c r="K95" s="100"/>
      <c r="L95" s="100"/>
      <c r="M95" s="100"/>
      <c r="N95" s="100"/>
      <c r="O95" s="100"/>
      <c r="P95" s="101"/>
      <c r="Q95" s="105"/>
      <c r="R95" s="106"/>
      <c r="S95" s="104"/>
      <c r="T95" s="100" t="s">
        <v>71</v>
      </c>
      <c r="U95" s="133" t="b">
        <v>0</v>
      </c>
      <c r="V95" s="135" t="b">
        <v>0</v>
      </c>
      <c r="W95" s="136" t="b">
        <v>0</v>
      </c>
      <c r="X95" s="185" t="str">
        <f ca="1">IF(setca[[#This Row],[18]]=TRUE,IF($N$1=TRUE,TODAY()-1,TODAY()),"")</f>
        <v/>
      </c>
      <c r="Y95" s="195" t="str">
        <f ca="1">IF(setca[[#This Row],[2]]="","",IF(setca[[#This Row],[18]]=TRUE,                                     setca[[#This Row],[2]]+(TODAY())&lt;$C$36))</f>
        <v/>
      </c>
      <c r="Z95" s="195">
        <f>IF(OR(setca[[#This Row],[5]]="WN",setca[[#This Row],[5]]="Es"),(setca[[#This Row],[12]]+setca[[#This Row],[13]])*1.12,setca[[#This Row],[12]]+setca[[#This Row],[13]])</f>
        <v>0</v>
      </c>
      <c r="AA95" s="195">
        <f>IF(OR(setca[[#This Row],[5]]="WN",setca[[#This Row],[5]]="Es"),setca[[#This Row],[4]]*1.12,setca[[#This Row],[4]])*(setca[[#This Row],[14]]+1)</f>
        <v>0</v>
      </c>
      <c r="AB95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95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95" s="195" t="b">
        <f>IF(setca[[#This Row],[16]]=FALSE,TRUE,FALSE)</f>
        <v>1</v>
      </c>
      <c r="AE95" s="195" t="b">
        <f ca="1">IF(setca[[#This Row],[2]]="",FALSE,AND((setca[[#This Row],[2]]+TODAY())&lt;$C$36,setca[[#This Row],[17]]=FALSE,setca[[#This Row],[18]]=TRUE))</f>
        <v>0</v>
      </c>
      <c r="AF95" s="195" t="b">
        <f ca="1">IF(setca[[#This Row],[2]]="",FALSE,AND((setca[[#This Row],[3]]+TODAY())&lt;$C$36,setca[[#This Row],[18]]=TRUE))</f>
        <v>0</v>
      </c>
      <c r="AG95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95" s="1"/>
      <c r="AI95" s="1"/>
    </row>
    <row r="96" spans="1:35" ht="11.1" customHeight="1" x14ac:dyDescent="0.25">
      <c r="A96" s="124" t="str">
        <f t="array" aca="1" ref="A96" ca="1">IFERROR(INDEX($F$39:$F$238,MATCH(0,IF(TRUE=setca[28],0,1)+COUNTIF($F$38:F133,$F$39:$F$238),0)),"")</f>
        <v/>
      </c>
      <c r="B96" s="109">
        <f>IFERROR(VLOOKUP(setca[[#This Row],[23]],Start!$B$87:$N$10044,3,0),0)+IF(setca[[#This Row],[18]]=TRUE,1+setca[[#This Row],[14]],0)</f>
        <v>0</v>
      </c>
      <c r="C96" s="21">
        <f>IFERROR((IFERROR(VLOOKUP(setca[[#This Row],[23]],Start!$B$87:$N$10044,12,0),0)+IF(setca[[#This Row],[18]]=TRUE,setca[[#This Row],[21]]-setca[[#This Row],[22]],0))/B96,0)</f>
        <v>0</v>
      </c>
      <c r="D96" s="1"/>
      <c r="E96" s="19">
        <f t="shared" ca="1" si="4"/>
        <v>2</v>
      </c>
      <c r="F96" s="173">
        <f t="shared" si="5"/>
        <v>59</v>
      </c>
      <c r="G96" s="99"/>
      <c r="H96" s="99"/>
      <c r="I96" s="114"/>
      <c r="J96" s="100"/>
      <c r="K96" s="100"/>
      <c r="L96" s="100"/>
      <c r="M96" s="100"/>
      <c r="N96" s="100"/>
      <c r="O96" s="100"/>
      <c r="P96" s="101"/>
      <c r="Q96" s="105"/>
      <c r="R96" s="106"/>
      <c r="S96" s="104"/>
      <c r="T96" s="100" t="s">
        <v>71</v>
      </c>
      <c r="U96" s="133" t="b">
        <v>0</v>
      </c>
      <c r="V96" s="135" t="b">
        <v>0</v>
      </c>
      <c r="W96" s="136" t="b">
        <v>0</v>
      </c>
      <c r="X96" s="185" t="str">
        <f ca="1">IF(setca[[#This Row],[18]]=TRUE,IF($N$1=TRUE,TODAY()-1,TODAY()),"")</f>
        <v/>
      </c>
      <c r="Y96" s="195" t="str">
        <f ca="1">IF(setca[[#This Row],[2]]="","",IF(setca[[#This Row],[18]]=TRUE,                                     setca[[#This Row],[2]]+(TODAY())&lt;$C$36))</f>
        <v/>
      </c>
      <c r="Z96" s="195">
        <f>IF(OR(setca[[#This Row],[5]]="WN",setca[[#This Row],[5]]="Es"),(setca[[#This Row],[12]]+setca[[#This Row],[13]])*1.12,setca[[#This Row],[12]]+setca[[#This Row],[13]])</f>
        <v>0</v>
      </c>
      <c r="AA96" s="195">
        <f>IF(OR(setca[[#This Row],[5]]="WN",setca[[#This Row],[5]]="Es"),setca[[#This Row],[4]]*1.12,setca[[#This Row],[4]])*(setca[[#This Row],[14]]+1)</f>
        <v>0</v>
      </c>
      <c r="AB96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96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96" s="195" t="b">
        <f>IF(setca[[#This Row],[16]]=FALSE,TRUE,FALSE)</f>
        <v>1</v>
      </c>
      <c r="AE96" s="195" t="b">
        <f ca="1">IF(setca[[#This Row],[2]]="",FALSE,AND((setca[[#This Row],[2]]+TODAY())&lt;$C$36,setca[[#This Row],[17]]=FALSE,setca[[#This Row],[18]]=TRUE))</f>
        <v>0</v>
      </c>
      <c r="AF96" s="195" t="b">
        <f ca="1">IF(setca[[#This Row],[2]]="",FALSE,AND((setca[[#This Row],[3]]+TODAY())&lt;$C$36,setca[[#This Row],[18]]=TRUE))</f>
        <v>0</v>
      </c>
      <c r="AG96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96" s="1"/>
      <c r="AI96" s="1"/>
    </row>
    <row r="97" spans="1:35" ht="11.1" customHeight="1" x14ac:dyDescent="0.25">
      <c r="A97" s="124" t="str">
        <f t="array" aca="1" ref="A97" ca="1">IFERROR(INDEX($F$39:$F$238,MATCH(0,IF(TRUE=setca[28],0,1)+COUNTIF($F$38:F134,$F$39:$F$238),0)),"")</f>
        <v/>
      </c>
      <c r="B97" s="109">
        <f>IFERROR(VLOOKUP(setca[[#This Row],[23]],Start!$B$87:$N$10044,3,0),0)+IF(setca[[#This Row],[18]]=TRUE,1+setca[[#This Row],[14]],0)</f>
        <v>0</v>
      </c>
      <c r="C97" s="21">
        <f>IFERROR((IFERROR(VLOOKUP(setca[[#This Row],[23]],Start!$B$87:$N$10044,12,0),0)+IF(setca[[#This Row],[18]]=TRUE,setca[[#This Row],[21]]-setca[[#This Row],[22]],0))/B97,0)</f>
        <v>0</v>
      </c>
      <c r="D97" s="1"/>
      <c r="E97" s="19">
        <f t="shared" ca="1" si="4"/>
        <v>2</v>
      </c>
      <c r="F97" s="173">
        <f t="shared" si="5"/>
        <v>60</v>
      </c>
      <c r="G97" s="99"/>
      <c r="H97" s="99"/>
      <c r="I97" s="114"/>
      <c r="J97" s="100"/>
      <c r="K97" s="100"/>
      <c r="L97" s="100"/>
      <c r="M97" s="100"/>
      <c r="N97" s="100"/>
      <c r="O97" s="100"/>
      <c r="P97" s="101"/>
      <c r="Q97" s="105"/>
      <c r="R97" s="106"/>
      <c r="S97" s="104"/>
      <c r="T97" s="100" t="s">
        <v>71</v>
      </c>
      <c r="U97" s="133" t="b">
        <v>0</v>
      </c>
      <c r="V97" s="135" t="b">
        <v>0</v>
      </c>
      <c r="W97" s="136" t="b">
        <v>0</v>
      </c>
      <c r="X97" s="185" t="str">
        <f ca="1">IF(setca[[#This Row],[18]]=TRUE,IF($N$1=TRUE,TODAY()-1,TODAY()),"")</f>
        <v/>
      </c>
      <c r="Y97" s="195" t="str">
        <f ca="1">IF(setca[[#This Row],[2]]="","",IF(setca[[#This Row],[18]]=TRUE,                                     setca[[#This Row],[2]]+(TODAY())&lt;$C$36))</f>
        <v/>
      </c>
      <c r="Z97" s="195">
        <f>IF(OR(setca[[#This Row],[5]]="WN",setca[[#This Row],[5]]="Es"),(setca[[#This Row],[12]]+setca[[#This Row],[13]])*1.12,setca[[#This Row],[12]]+setca[[#This Row],[13]])</f>
        <v>0</v>
      </c>
      <c r="AA97" s="195">
        <f>IF(OR(setca[[#This Row],[5]]="WN",setca[[#This Row],[5]]="Es"),setca[[#This Row],[4]]*1.12,setca[[#This Row],[4]])*(setca[[#This Row],[14]]+1)</f>
        <v>0</v>
      </c>
      <c r="AB97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97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97" s="195" t="b">
        <f>IF(setca[[#This Row],[16]]=FALSE,TRUE,FALSE)</f>
        <v>1</v>
      </c>
      <c r="AE97" s="195" t="b">
        <f ca="1">IF(setca[[#This Row],[2]]="",FALSE,AND((setca[[#This Row],[2]]+TODAY())&lt;$C$36,setca[[#This Row],[17]]=FALSE,setca[[#This Row],[18]]=TRUE))</f>
        <v>0</v>
      </c>
      <c r="AF97" s="195" t="b">
        <f ca="1">IF(setca[[#This Row],[2]]="",FALSE,AND((setca[[#This Row],[3]]+TODAY())&lt;$C$36,setca[[#This Row],[18]]=TRUE))</f>
        <v>0</v>
      </c>
      <c r="AG97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97" s="1"/>
      <c r="AI97" s="1"/>
    </row>
    <row r="98" spans="1:35" ht="11.1" customHeight="1" x14ac:dyDescent="0.25">
      <c r="A98" s="124" t="str">
        <f t="array" aca="1" ref="A98" ca="1">IFERROR(INDEX($F$39:$F$238,MATCH(0,IF(TRUE=setca[28],0,1)+COUNTIF($F$38:F135,$F$39:$F$238),0)),"")</f>
        <v/>
      </c>
      <c r="B98" s="109">
        <f>IFERROR(VLOOKUP(setca[[#This Row],[23]],Start!$B$87:$N$10044,3,0),0)+IF(setca[[#This Row],[18]]=TRUE,1+setca[[#This Row],[14]],0)</f>
        <v>0</v>
      </c>
      <c r="C98" s="21">
        <f>IFERROR((IFERROR(VLOOKUP(setca[[#This Row],[23]],Start!$B$87:$N$10044,12,0),0)+IF(setca[[#This Row],[18]]=TRUE,setca[[#This Row],[21]]-setca[[#This Row],[22]],0))/B98,0)</f>
        <v>0</v>
      </c>
      <c r="D98" s="1"/>
      <c r="E98" s="19">
        <f t="shared" ca="1" si="4"/>
        <v>2</v>
      </c>
      <c r="F98" s="173">
        <f t="shared" si="5"/>
        <v>61</v>
      </c>
      <c r="G98" s="99"/>
      <c r="H98" s="99"/>
      <c r="I98" s="114"/>
      <c r="J98" s="100"/>
      <c r="K98" s="100"/>
      <c r="L98" s="100"/>
      <c r="M98" s="100"/>
      <c r="N98" s="100"/>
      <c r="O98" s="100"/>
      <c r="P98" s="101"/>
      <c r="Q98" s="105"/>
      <c r="R98" s="106"/>
      <c r="S98" s="104"/>
      <c r="T98" s="100" t="s">
        <v>71</v>
      </c>
      <c r="U98" s="133" t="b">
        <v>0</v>
      </c>
      <c r="V98" s="135" t="b">
        <v>0</v>
      </c>
      <c r="W98" s="136" t="b">
        <v>0</v>
      </c>
      <c r="X98" s="185" t="str">
        <f ca="1">IF(setca[[#This Row],[18]]=TRUE,IF($N$1=TRUE,TODAY()-1,TODAY()),"")</f>
        <v/>
      </c>
      <c r="Y98" s="195" t="str">
        <f ca="1">IF(setca[[#This Row],[2]]="","",IF(setca[[#This Row],[18]]=TRUE,                                     setca[[#This Row],[2]]+(TODAY())&lt;$C$36))</f>
        <v/>
      </c>
      <c r="Z98" s="195">
        <f>IF(OR(setca[[#This Row],[5]]="WN",setca[[#This Row],[5]]="Es"),(setca[[#This Row],[12]]+setca[[#This Row],[13]])*1.12,setca[[#This Row],[12]]+setca[[#This Row],[13]])</f>
        <v>0</v>
      </c>
      <c r="AA98" s="195">
        <f>IF(OR(setca[[#This Row],[5]]="WN",setca[[#This Row],[5]]="Es"),setca[[#This Row],[4]]*1.12,setca[[#This Row],[4]])*(setca[[#This Row],[14]]+1)</f>
        <v>0</v>
      </c>
      <c r="AB98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98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98" s="195" t="b">
        <f>IF(setca[[#This Row],[16]]=FALSE,TRUE,FALSE)</f>
        <v>1</v>
      </c>
      <c r="AE98" s="195" t="b">
        <f ca="1">IF(setca[[#This Row],[2]]="",FALSE,AND((setca[[#This Row],[2]]+TODAY())&lt;$C$36,setca[[#This Row],[17]]=FALSE,setca[[#This Row],[18]]=TRUE))</f>
        <v>0</v>
      </c>
      <c r="AF98" s="195" t="b">
        <f ca="1">IF(setca[[#This Row],[2]]="",FALSE,AND((setca[[#This Row],[3]]+TODAY())&lt;$C$36,setca[[#This Row],[18]]=TRUE))</f>
        <v>0</v>
      </c>
      <c r="AG98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98" s="1"/>
      <c r="AI98" s="1"/>
    </row>
    <row r="99" spans="1:35" ht="11.1" customHeight="1" x14ac:dyDescent="0.25">
      <c r="A99" s="124" t="str">
        <f t="array" aca="1" ref="A99" ca="1">IFERROR(INDEX($F$39:$F$238,MATCH(0,IF(TRUE=setca[28],0,1)+COUNTIF($F$38:F136,$F$39:$F$238),0)),"")</f>
        <v/>
      </c>
      <c r="B99" s="109">
        <f>IFERROR(VLOOKUP(setca[[#This Row],[23]],Start!$B$87:$N$10044,3,0),0)+IF(setca[[#This Row],[18]]=TRUE,1+setca[[#This Row],[14]],0)</f>
        <v>0</v>
      </c>
      <c r="C99" s="21">
        <f>IFERROR((IFERROR(VLOOKUP(setca[[#This Row],[23]],Start!$B$87:$N$10044,12,0),0)+IF(setca[[#This Row],[18]]=TRUE,setca[[#This Row],[21]]-setca[[#This Row],[22]],0))/B99,0)</f>
        <v>0</v>
      </c>
      <c r="D99" s="1"/>
      <c r="E99" s="19">
        <f t="shared" ca="1" si="4"/>
        <v>2</v>
      </c>
      <c r="F99" s="173">
        <f t="shared" si="5"/>
        <v>62</v>
      </c>
      <c r="G99" s="99"/>
      <c r="H99" s="99"/>
      <c r="I99" s="114"/>
      <c r="J99" s="100"/>
      <c r="K99" s="100"/>
      <c r="L99" s="100"/>
      <c r="M99" s="100"/>
      <c r="N99" s="100"/>
      <c r="O99" s="100"/>
      <c r="P99" s="101"/>
      <c r="Q99" s="105"/>
      <c r="R99" s="106"/>
      <c r="S99" s="104"/>
      <c r="T99" s="100" t="s">
        <v>71</v>
      </c>
      <c r="U99" s="133" t="b">
        <v>0</v>
      </c>
      <c r="V99" s="135" t="b">
        <v>0</v>
      </c>
      <c r="W99" s="136" t="b">
        <v>0</v>
      </c>
      <c r="X99" s="185" t="str">
        <f ca="1">IF(setca[[#This Row],[18]]=TRUE,IF($N$1=TRUE,TODAY()-1,TODAY()),"")</f>
        <v/>
      </c>
      <c r="Y99" s="195" t="str">
        <f ca="1">IF(setca[[#This Row],[2]]="","",IF(setca[[#This Row],[18]]=TRUE,                                     setca[[#This Row],[2]]+(TODAY())&lt;$C$36))</f>
        <v/>
      </c>
      <c r="Z99" s="195">
        <f>IF(OR(setca[[#This Row],[5]]="WN",setca[[#This Row],[5]]="Es"),(setca[[#This Row],[12]]+setca[[#This Row],[13]])*1.12,setca[[#This Row],[12]]+setca[[#This Row],[13]])</f>
        <v>0</v>
      </c>
      <c r="AA99" s="195">
        <f>IF(OR(setca[[#This Row],[5]]="WN",setca[[#This Row],[5]]="Es"),setca[[#This Row],[4]]*1.12,setca[[#This Row],[4]])*(setca[[#This Row],[14]]+1)</f>
        <v>0</v>
      </c>
      <c r="AB99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99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99" s="195" t="b">
        <f>IF(setca[[#This Row],[16]]=FALSE,TRUE,FALSE)</f>
        <v>1</v>
      </c>
      <c r="AE99" s="195" t="b">
        <f ca="1">IF(setca[[#This Row],[2]]="",FALSE,AND((setca[[#This Row],[2]]+TODAY())&lt;$C$36,setca[[#This Row],[17]]=FALSE,setca[[#This Row],[18]]=TRUE))</f>
        <v>0</v>
      </c>
      <c r="AF99" s="195" t="b">
        <f ca="1">IF(setca[[#This Row],[2]]="",FALSE,AND((setca[[#This Row],[3]]+TODAY())&lt;$C$36,setca[[#This Row],[18]]=TRUE))</f>
        <v>0</v>
      </c>
      <c r="AG99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99" s="1"/>
      <c r="AI99" s="1"/>
    </row>
    <row r="100" spans="1:35" ht="11.1" customHeight="1" x14ac:dyDescent="0.25">
      <c r="A100" s="124" t="str">
        <f t="array" aca="1" ref="A100" ca="1">IFERROR(INDEX($F$39:$F$238,MATCH(0,IF(TRUE=setca[28],0,1)+COUNTIF($F$38:F137,$F$39:$F$238),0)),"")</f>
        <v/>
      </c>
      <c r="B100" s="109">
        <f>IFERROR(VLOOKUP(setca[[#This Row],[23]],Start!$B$87:$N$10044,3,0),0)+IF(setca[[#This Row],[18]]=TRUE,1+setca[[#This Row],[14]],0)</f>
        <v>0</v>
      </c>
      <c r="C100" s="21">
        <f>IFERROR((IFERROR(VLOOKUP(setca[[#This Row],[23]],Start!$B$87:$N$10044,12,0),0)+IF(setca[[#This Row],[18]]=TRUE,setca[[#This Row],[21]]-setca[[#This Row],[22]],0))/B100,0)</f>
        <v>0</v>
      </c>
      <c r="D100" s="1"/>
      <c r="E100" s="19">
        <f t="shared" ca="1" si="4"/>
        <v>2</v>
      </c>
      <c r="F100" s="173">
        <f t="shared" si="5"/>
        <v>63</v>
      </c>
      <c r="G100" s="99"/>
      <c r="H100" s="99"/>
      <c r="I100" s="114"/>
      <c r="J100" s="100"/>
      <c r="K100" s="100"/>
      <c r="L100" s="100"/>
      <c r="M100" s="100"/>
      <c r="N100" s="100"/>
      <c r="O100" s="100"/>
      <c r="P100" s="101"/>
      <c r="Q100" s="105"/>
      <c r="R100" s="106"/>
      <c r="S100" s="104"/>
      <c r="T100" s="100" t="s">
        <v>71</v>
      </c>
      <c r="U100" s="133" t="b">
        <v>0</v>
      </c>
      <c r="V100" s="135" t="b">
        <v>0</v>
      </c>
      <c r="W100" s="136" t="b">
        <v>0</v>
      </c>
      <c r="X100" s="185" t="str">
        <f ca="1">IF(setca[[#This Row],[18]]=TRUE,IF($N$1=TRUE,TODAY()-1,TODAY()),"")</f>
        <v/>
      </c>
      <c r="Y100" s="195" t="str">
        <f ca="1">IF(setca[[#This Row],[2]]="","",IF(setca[[#This Row],[18]]=TRUE,                                     setca[[#This Row],[2]]+(TODAY())&lt;$C$36))</f>
        <v/>
      </c>
      <c r="Z100" s="195">
        <f>IF(OR(setca[[#This Row],[5]]="WN",setca[[#This Row],[5]]="Es"),(setca[[#This Row],[12]]+setca[[#This Row],[13]])*1.12,setca[[#This Row],[12]]+setca[[#This Row],[13]])</f>
        <v>0</v>
      </c>
      <c r="AA100" s="195">
        <f>IF(OR(setca[[#This Row],[5]]="WN",setca[[#This Row],[5]]="Es"),setca[[#This Row],[4]]*1.12,setca[[#This Row],[4]])*(setca[[#This Row],[14]]+1)</f>
        <v>0</v>
      </c>
      <c r="AB100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00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00" s="195" t="b">
        <f>IF(setca[[#This Row],[16]]=FALSE,TRUE,FALSE)</f>
        <v>1</v>
      </c>
      <c r="AE100" s="195" t="b">
        <f ca="1">IF(setca[[#This Row],[2]]="",FALSE,AND((setca[[#This Row],[2]]+TODAY())&lt;$C$36,setca[[#This Row],[17]]=FALSE,setca[[#This Row],[18]]=TRUE))</f>
        <v>0</v>
      </c>
      <c r="AF100" s="195" t="b">
        <f ca="1">IF(setca[[#This Row],[2]]="",FALSE,AND((setca[[#This Row],[3]]+TODAY())&lt;$C$36,setca[[#This Row],[18]]=TRUE))</f>
        <v>0</v>
      </c>
      <c r="AG100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00" s="1"/>
      <c r="AI100" s="1"/>
    </row>
    <row r="101" spans="1:35" ht="11.1" customHeight="1" x14ac:dyDescent="0.25">
      <c r="A101" s="124" t="str">
        <f t="array" aca="1" ref="A101" ca="1">IFERROR(INDEX($F$39:$F$238,MATCH(0,IF(TRUE=setca[28],0,1)+COUNTIF($F$38:F138,$F$39:$F$238),0)),"")</f>
        <v/>
      </c>
      <c r="B101" s="109">
        <f>IFERROR(VLOOKUP(setca[[#This Row],[23]],Start!$B$87:$N$10044,3,0),0)+IF(setca[[#This Row],[18]]=TRUE,1+setca[[#This Row],[14]],0)</f>
        <v>0</v>
      </c>
      <c r="C101" s="21">
        <f>IFERROR((IFERROR(VLOOKUP(setca[[#This Row],[23]],Start!$B$87:$N$10044,12,0),0)+IF(setca[[#This Row],[18]]=TRUE,setca[[#This Row],[21]]-setca[[#This Row],[22]],0))/B101,0)</f>
        <v>0</v>
      </c>
      <c r="D101" s="1"/>
      <c r="E101" s="19">
        <f t="shared" ca="1" si="4"/>
        <v>2</v>
      </c>
      <c r="F101" s="173">
        <f t="shared" si="5"/>
        <v>64</v>
      </c>
      <c r="G101" s="99"/>
      <c r="H101" s="99"/>
      <c r="I101" s="114"/>
      <c r="J101" s="100"/>
      <c r="K101" s="100"/>
      <c r="L101" s="100"/>
      <c r="M101" s="100"/>
      <c r="N101" s="100"/>
      <c r="O101" s="100"/>
      <c r="P101" s="101"/>
      <c r="Q101" s="105"/>
      <c r="R101" s="106"/>
      <c r="S101" s="104"/>
      <c r="T101" s="100" t="s">
        <v>71</v>
      </c>
      <c r="U101" s="133" t="b">
        <v>0</v>
      </c>
      <c r="V101" s="135" t="b">
        <v>0</v>
      </c>
      <c r="W101" s="136" t="b">
        <v>0</v>
      </c>
      <c r="X101" s="185" t="str">
        <f ca="1">IF(setca[[#This Row],[18]]=TRUE,IF($N$1=TRUE,TODAY()-1,TODAY()),"")</f>
        <v/>
      </c>
      <c r="Y101" s="195" t="str">
        <f ca="1">IF(setca[[#This Row],[2]]="","",IF(setca[[#This Row],[18]]=TRUE,                                     setca[[#This Row],[2]]+(TODAY())&lt;$C$36))</f>
        <v/>
      </c>
      <c r="Z101" s="195">
        <f>IF(OR(setca[[#This Row],[5]]="WN",setca[[#This Row],[5]]="Es"),(setca[[#This Row],[12]]+setca[[#This Row],[13]])*1.12,setca[[#This Row],[12]]+setca[[#This Row],[13]])</f>
        <v>0</v>
      </c>
      <c r="AA101" s="195">
        <f>IF(OR(setca[[#This Row],[5]]="WN",setca[[#This Row],[5]]="Es"),setca[[#This Row],[4]]*1.12,setca[[#This Row],[4]])*(setca[[#This Row],[14]]+1)</f>
        <v>0</v>
      </c>
      <c r="AB101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01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01" s="195" t="b">
        <f>IF(setca[[#This Row],[16]]=FALSE,TRUE,FALSE)</f>
        <v>1</v>
      </c>
      <c r="AE101" s="195" t="b">
        <f ca="1">IF(setca[[#This Row],[2]]="",FALSE,AND((setca[[#This Row],[2]]+TODAY())&lt;$C$36,setca[[#This Row],[17]]=FALSE,setca[[#This Row],[18]]=TRUE))</f>
        <v>0</v>
      </c>
      <c r="AF101" s="195" t="b">
        <f ca="1">IF(setca[[#This Row],[2]]="",FALSE,AND((setca[[#This Row],[3]]+TODAY())&lt;$C$36,setca[[#This Row],[18]]=TRUE))</f>
        <v>0</v>
      </c>
      <c r="AG101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01" s="1"/>
      <c r="AI101" s="1"/>
    </row>
    <row r="102" spans="1:35" ht="11.1" customHeight="1" x14ac:dyDescent="0.25">
      <c r="A102" s="124" t="str">
        <f t="array" aca="1" ref="A102" ca="1">IFERROR(INDEX($F$39:$F$238,MATCH(0,IF(TRUE=setca[28],0,1)+COUNTIF($F$38:F139,$F$39:$F$238),0)),"")</f>
        <v/>
      </c>
      <c r="B102" s="109">
        <f>IFERROR(VLOOKUP(setca[[#This Row],[23]],Start!$B$87:$N$10044,3,0),0)+IF(setca[[#This Row],[18]]=TRUE,1+setca[[#This Row],[14]],0)</f>
        <v>0</v>
      </c>
      <c r="C102" s="21">
        <f>IFERROR((IFERROR(VLOOKUP(setca[[#This Row],[23]],Start!$B$87:$N$10044,12,0),0)+IF(setca[[#This Row],[18]]=TRUE,setca[[#This Row],[21]]-setca[[#This Row],[22]],0))/B102,0)</f>
        <v>0</v>
      </c>
      <c r="D102" s="1"/>
      <c r="E102" s="19">
        <f t="shared" ca="1" si="4"/>
        <v>2</v>
      </c>
      <c r="F102" s="173">
        <f t="shared" si="5"/>
        <v>65</v>
      </c>
      <c r="G102" s="99"/>
      <c r="H102" s="99"/>
      <c r="I102" s="114"/>
      <c r="J102" s="100"/>
      <c r="K102" s="100"/>
      <c r="L102" s="100"/>
      <c r="M102" s="100"/>
      <c r="N102" s="100"/>
      <c r="O102" s="100"/>
      <c r="P102" s="101"/>
      <c r="Q102" s="105"/>
      <c r="R102" s="106"/>
      <c r="S102" s="104"/>
      <c r="T102" s="100" t="s">
        <v>71</v>
      </c>
      <c r="U102" s="133" t="b">
        <v>0</v>
      </c>
      <c r="V102" s="135" t="b">
        <v>0</v>
      </c>
      <c r="W102" s="136" t="b">
        <v>0</v>
      </c>
      <c r="X102" s="185" t="str">
        <f ca="1">IF(setca[[#This Row],[18]]=TRUE,IF($N$1=TRUE,TODAY()-1,TODAY()),"")</f>
        <v/>
      </c>
      <c r="Y102" s="195" t="str">
        <f ca="1">IF(setca[[#This Row],[2]]="","",IF(setca[[#This Row],[18]]=TRUE,                                     setca[[#This Row],[2]]+(TODAY())&lt;$C$36))</f>
        <v/>
      </c>
      <c r="Z102" s="195">
        <f>IF(OR(setca[[#This Row],[5]]="WN",setca[[#This Row],[5]]="Es"),(setca[[#This Row],[12]]+setca[[#This Row],[13]])*1.12,setca[[#This Row],[12]]+setca[[#This Row],[13]])</f>
        <v>0</v>
      </c>
      <c r="AA102" s="195">
        <f>IF(OR(setca[[#This Row],[5]]="WN",setca[[#This Row],[5]]="Es"),setca[[#This Row],[4]]*1.12,setca[[#This Row],[4]])*(setca[[#This Row],[14]]+1)</f>
        <v>0</v>
      </c>
      <c r="AB102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02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02" s="195" t="b">
        <f>IF(setca[[#This Row],[16]]=FALSE,TRUE,FALSE)</f>
        <v>1</v>
      </c>
      <c r="AE102" s="195" t="b">
        <f ca="1">IF(setca[[#This Row],[2]]="",FALSE,AND((setca[[#This Row],[2]]+TODAY())&lt;$C$36,setca[[#This Row],[17]]=FALSE,setca[[#This Row],[18]]=TRUE))</f>
        <v>0</v>
      </c>
      <c r="AF102" s="195" t="b">
        <f ca="1">IF(setca[[#This Row],[2]]="",FALSE,AND((setca[[#This Row],[3]]+TODAY())&lt;$C$36,setca[[#This Row],[18]]=TRUE))</f>
        <v>0</v>
      </c>
      <c r="AG102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02" s="1"/>
      <c r="AI102" s="1"/>
    </row>
    <row r="103" spans="1:35" ht="11.1" customHeight="1" x14ac:dyDescent="0.25">
      <c r="A103" s="124" t="str">
        <f t="array" aca="1" ref="A103" ca="1">IFERROR(INDEX($F$39:$F$238,MATCH(0,IF(TRUE=setca[28],0,1)+COUNTIF($F$38:F140,$F$39:$F$238),0)),"")</f>
        <v/>
      </c>
      <c r="B103" s="109">
        <f>IFERROR(VLOOKUP(setca[[#This Row],[23]],Start!$B$87:$N$10044,3,0),0)+IF(setca[[#This Row],[18]]=TRUE,1+setca[[#This Row],[14]],0)</f>
        <v>0</v>
      </c>
      <c r="C103" s="21">
        <f>IFERROR((IFERROR(VLOOKUP(setca[[#This Row],[23]],Start!$B$87:$N$10044,12,0),0)+IF(setca[[#This Row],[18]]=TRUE,setca[[#This Row],[21]]-setca[[#This Row],[22]],0))/B103,0)</f>
        <v>0</v>
      </c>
      <c r="D103" s="1"/>
      <c r="E103" s="19">
        <f t="shared" ref="E103:E134" ca="1" si="6">IF(AND($G103=TIME(HOUR($C$36),MINUTE($C$36),0),$W103=FALSE),1,2)</f>
        <v>2</v>
      </c>
      <c r="F103" s="173">
        <f t="shared" ref="F103:F134" si="7">F102+1</f>
        <v>66</v>
      </c>
      <c r="G103" s="99"/>
      <c r="H103" s="99"/>
      <c r="I103" s="114"/>
      <c r="J103" s="99"/>
      <c r="K103" s="100"/>
      <c r="L103" s="100"/>
      <c r="M103" s="100"/>
      <c r="N103" s="100"/>
      <c r="O103" s="100"/>
      <c r="P103" s="101"/>
      <c r="Q103" s="105"/>
      <c r="R103" s="106"/>
      <c r="S103" s="104"/>
      <c r="T103" s="100" t="s">
        <v>71</v>
      </c>
      <c r="U103" s="133" t="b">
        <v>0</v>
      </c>
      <c r="V103" s="135" t="b">
        <v>0</v>
      </c>
      <c r="W103" s="137" t="b">
        <v>0</v>
      </c>
      <c r="X103" s="186" t="str">
        <f ca="1">IF(setca[[#This Row],[18]]=TRUE,IF($N$1=TRUE,TODAY()-1,TODAY()),"")</f>
        <v/>
      </c>
      <c r="Y103" s="196" t="str">
        <f ca="1">IF(setca[[#This Row],[2]]="","",IF(setca[[#This Row],[18]]=TRUE,                                     setca[[#This Row],[2]]+(TODAY())&lt;$C$36))</f>
        <v/>
      </c>
      <c r="Z103" s="196">
        <f>IF(OR(setca[[#This Row],[5]]="WN",setca[[#This Row],[5]]="Es"),(setca[[#This Row],[12]]+setca[[#This Row],[13]])*1.12,setca[[#This Row],[12]]+setca[[#This Row],[13]])</f>
        <v>0</v>
      </c>
      <c r="AA103" s="196">
        <f>IF(OR(setca[[#This Row],[5]]="WN",setca[[#This Row],[5]]="Es"),setca[[#This Row],[4]]*1.12,setca[[#This Row],[4]])*(setca[[#This Row],[14]]+1)</f>
        <v>0</v>
      </c>
      <c r="AB103" s="196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03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03" s="196" t="b">
        <f>IF(setca[[#This Row],[16]]=FALSE,TRUE,FALSE)</f>
        <v>1</v>
      </c>
      <c r="AE103" s="196" t="b">
        <f ca="1">IF(setca[[#This Row],[2]]="",FALSE,AND((setca[[#This Row],[2]]+TODAY())&lt;$C$36,setca[[#This Row],[17]]=FALSE,setca[[#This Row],[18]]=TRUE))</f>
        <v>0</v>
      </c>
      <c r="AF103" s="196" t="b">
        <f ca="1">IF(setca[[#This Row],[2]]="",FALSE,AND((setca[[#This Row],[3]]+TODAY())&lt;$C$36,setca[[#This Row],[18]]=TRUE))</f>
        <v>0</v>
      </c>
      <c r="AG103" s="196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03" s="1"/>
      <c r="AI103" s="1"/>
    </row>
    <row r="104" spans="1:35" ht="11.1" customHeight="1" x14ac:dyDescent="0.25">
      <c r="A104" s="124" t="str">
        <f t="array" aca="1" ref="A104" ca="1">IFERROR(INDEX($F$39:$F$238,MATCH(0,IF(TRUE=setca[28],0,1)+COUNTIF($F$38:F141,$F$39:$F$238),0)),"")</f>
        <v/>
      </c>
      <c r="B104" s="109">
        <f>IFERROR(VLOOKUP(setca[[#This Row],[23]],Start!$B$87:$N$10044,3,0),0)+IF(setca[[#This Row],[18]]=TRUE,1+setca[[#This Row],[14]],0)</f>
        <v>0</v>
      </c>
      <c r="C104" s="21">
        <f>IFERROR((IFERROR(VLOOKUP(setca[[#This Row],[23]],Start!$B$87:$N$10044,12,0),0)+IF(setca[[#This Row],[18]]=TRUE,setca[[#This Row],[21]]-setca[[#This Row],[22]],0))/B104,0)</f>
        <v>0</v>
      </c>
      <c r="D104" s="1"/>
      <c r="E104" s="19">
        <f t="shared" ca="1" si="6"/>
        <v>2</v>
      </c>
      <c r="F104" s="173">
        <f t="shared" si="7"/>
        <v>67</v>
      </c>
      <c r="G104" s="99"/>
      <c r="H104" s="99"/>
      <c r="I104" s="114"/>
      <c r="J104" s="100"/>
      <c r="K104" s="100"/>
      <c r="L104" s="100"/>
      <c r="M104" s="100"/>
      <c r="N104" s="100"/>
      <c r="O104" s="100"/>
      <c r="P104" s="101"/>
      <c r="Q104" s="105"/>
      <c r="R104" s="106"/>
      <c r="S104" s="104"/>
      <c r="T104" s="100" t="s">
        <v>71</v>
      </c>
      <c r="U104" s="133" t="b">
        <v>0</v>
      </c>
      <c r="V104" s="135" t="b">
        <v>0</v>
      </c>
      <c r="W104" s="136" t="b">
        <v>0</v>
      </c>
      <c r="X104" s="185" t="str">
        <f ca="1">IF(setca[[#This Row],[18]]=TRUE,IF($N$1=TRUE,TODAY()-1,TODAY()),"")</f>
        <v/>
      </c>
      <c r="Y104" s="195" t="str">
        <f ca="1">IF(setca[[#This Row],[2]]="","",IF(setca[[#This Row],[18]]=TRUE,                                     setca[[#This Row],[2]]+(TODAY())&lt;$C$36))</f>
        <v/>
      </c>
      <c r="Z104" s="195">
        <f>IF(OR(setca[[#This Row],[5]]="WN",setca[[#This Row],[5]]="Es"),(setca[[#This Row],[12]]+setca[[#This Row],[13]])*1.12,setca[[#This Row],[12]]+setca[[#This Row],[13]])</f>
        <v>0</v>
      </c>
      <c r="AA104" s="195">
        <f>IF(OR(setca[[#This Row],[5]]="WN",setca[[#This Row],[5]]="Es"),setca[[#This Row],[4]]*1.12,setca[[#This Row],[4]])*(setca[[#This Row],[14]]+1)</f>
        <v>0</v>
      </c>
      <c r="AB104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04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04" s="195" t="b">
        <f>IF(setca[[#This Row],[16]]=FALSE,TRUE,FALSE)</f>
        <v>1</v>
      </c>
      <c r="AE104" s="195" t="b">
        <f ca="1">IF(setca[[#This Row],[2]]="",FALSE,AND((setca[[#This Row],[2]]+TODAY())&lt;$C$36,setca[[#This Row],[17]]=FALSE,setca[[#This Row],[18]]=TRUE))</f>
        <v>0</v>
      </c>
      <c r="AF104" s="195" t="b">
        <f ca="1">IF(setca[[#This Row],[2]]="",FALSE,AND((setca[[#This Row],[3]]+TODAY())&lt;$C$36,setca[[#This Row],[18]]=TRUE))</f>
        <v>0</v>
      </c>
      <c r="AG104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04" s="1"/>
      <c r="AI104" s="1"/>
    </row>
    <row r="105" spans="1:35" ht="11.1" customHeight="1" x14ac:dyDescent="0.25">
      <c r="A105" s="124" t="str">
        <f t="array" aca="1" ref="A105" ca="1">IFERROR(INDEX($F$39:$F$238,MATCH(0,IF(TRUE=setca[28],0,1)+COUNTIF($F$38:F142,$F$39:$F$238),0)),"")</f>
        <v/>
      </c>
      <c r="B105" s="109">
        <f>IFERROR(VLOOKUP(setca[[#This Row],[23]],Start!$B$87:$N$10044,3,0),0)+IF(setca[[#This Row],[18]]=TRUE,1+setca[[#This Row],[14]],0)</f>
        <v>0</v>
      </c>
      <c r="C105" s="21">
        <f>IFERROR((IFERROR(VLOOKUP(setca[[#This Row],[23]],Start!$B$87:$N$10044,12,0),0)+IF(setca[[#This Row],[18]]=TRUE,setca[[#This Row],[21]]-setca[[#This Row],[22]],0))/B105,0)</f>
        <v>0</v>
      </c>
      <c r="D105" s="1"/>
      <c r="E105" s="19">
        <f t="shared" ca="1" si="6"/>
        <v>2</v>
      </c>
      <c r="F105" s="173">
        <f t="shared" si="7"/>
        <v>68</v>
      </c>
      <c r="G105" s="99"/>
      <c r="H105" s="99"/>
      <c r="I105" s="114"/>
      <c r="J105" s="99"/>
      <c r="K105" s="100"/>
      <c r="L105" s="100"/>
      <c r="M105" s="100"/>
      <c r="N105" s="100"/>
      <c r="O105" s="100"/>
      <c r="P105" s="101"/>
      <c r="Q105" s="105"/>
      <c r="R105" s="106"/>
      <c r="S105" s="104"/>
      <c r="T105" s="100" t="s">
        <v>71</v>
      </c>
      <c r="U105" s="133" t="b">
        <v>0</v>
      </c>
      <c r="V105" s="135" t="b">
        <v>0</v>
      </c>
      <c r="W105" s="136" t="b">
        <v>0</v>
      </c>
      <c r="X105" s="185" t="str">
        <f ca="1">IF(setca[[#This Row],[18]]=TRUE,IF($N$1=TRUE,TODAY()-1,TODAY()),"")</f>
        <v/>
      </c>
      <c r="Y105" s="195" t="str">
        <f ca="1">IF(setca[[#This Row],[2]]="","",IF(setca[[#This Row],[18]]=TRUE,                                     setca[[#This Row],[2]]+(TODAY())&lt;$C$36))</f>
        <v/>
      </c>
      <c r="Z105" s="195">
        <f>IF(OR(setca[[#This Row],[5]]="WN",setca[[#This Row],[5]]="Es"),(setca[[#This Row],[12]]+setca[[#This Row],[13]])*1.12,setca[[#This Row],[12]]+setca[[#This Row],[13]])</f>
        <v>0</v>
      </c>
      <c r="AA105" s="195">
        <f>IF(OR(setca[[#This Row],[5]]="WN",setca[[#This Row],[5]]="Es"),setca[[#This Row],[4]]*1.12,setca[[#This Row],[4]])*(setca[[#This Row],[14]]+1)</f>
        <v>0</v>
      </c>
      <c r="AB105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05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05" s="195" t="b">
        <f>IF(setca[[#This Row],[16]]=FALSE,TRUE,FALSE)</f>
        <v>1</v>
      </c>
      <c r="AE105" s="195" t="b">
        <f ca="1">IF(setca[[#This Row],[2]]="",FALSE,AND((setca[[#This Row],[2]]+TODAY())&lt;$C$36,setca[[#This Row],[17]]=FALSE,setca[[#This Row],[18]]=TRUE))</f>
        <v>0</v>
      </c>
      <c r="AF105" s="195" t="b">
        <f ca="1">IF(setca[[#This Row],[2]]="",FALSE,AND((setca[[#This Row],[3]]+TODAY())&lt;$C$36,setca[[#This Row],[18]]=TRUE))</f>
        <v>0</v>
      </c>
      <c r="AG105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05" s="1"/>
      <c r="AI105" s="1"/>
    </row>
    <row r="106" spans="1:35" ht="11.1" customHeight="1" x14ac:dyDescent="0.25">
      <c r="A106" s="124" t="str">
        <f t="array" aca="1" ref="A106" ca="1">IFERROR(INDEX($F$39:$F$238,MATCH(0,IF(TRUE=setca[28],0,1)+COUNTIF($F$38:F143,$F$39:$F$238),0)),"")</f>
        <v/>
      </c>
      <c r="B106" s="109">
        <f>IFERROR(VLOOKUP(setca[[#This Row],[23]],Start!$B$87:$N$10044,3,0),0)+IF(setca[[#This Row],[18]]=TRUE,1+setca[[#This Row],[14]],0)</f>
        <v>0</v>
      </c>
      <c r="C106" s="21">
        <f>IFERROR((IFERROR(VLOOKUP(setca[[#This Row],[23]],Start!$B$87:$N$10044,12,0),0)+IF(setca[[#This Row],[18]]=TRUE,setca[[#This Row],[21]]-setca[[#This Row],[22]],0))/B106,0)</f>
        <v>0</v>
      </c>
      <c r="D106" s="1"/>
      <c r="E106" s="19">
        <f t="shared" ca="1" si="6"/>
        <v>2</v>
      </c>
      <c r="F106" s="173">
        <f t="shared" si="7"/>
        <v>69</v>
      </c>
      <c r="G106" s="99"/>
      <c r="H106" s="99"/>
      <c r="I106" s="114"/>
      <c r="J106" s="99"/>
      <c r="K106" s="100"/>
      <c r="L106" s="100"/>
      <c r="M106" s="100"/>
      <c r="N106" s="100"/>
      <c r="O106" s="100"/>
      <c r="P106" s="101"/>
      <c r="Q106" s="105"/>
      <c r="R106" s="106"/>
      <c r="S106" s="104"/>
      <c r="T106" s="100" t="s">
        <v>71</v>
      </c>
      <c r="U106" s="133" t="b">
        <v>0</v>
      </c>
      <c r="V106" s="135" t="b">
        <v>0</v>
      </c>
      <c r="W106" s="136" t="b">
        <v>0</v>
      </c>
      <c r="X106" s="185" t="str">
        <f ca="1">IF(setca[[#This Row],[18]]=TRUE,IF($N$1=TRUE,TODAY()-1,TODAY()),"")</f>
        <v/>
      </c>
      <c r="Y106" s="195" t="str">
        <f ca="1">IF(setca[[#This Row],[2]]="","",IF(setca[[#This Row],[18]]=TRUE,                                     setca[[#This Row],[2]]+(TODAY())&lt;$C$36))</f>
        <v/>
      </c>
      <c r="Z106" s="195">
        <f>IF(OR(setca[[#This Row],[5]]="WN",setca[[#This Row],[5]]="Es"),(setca[[#This Row],[12]]+setca[[#This Row],[13]])*1.12,setca[[#This Row],[12]]+setca[[#This Row],[13]])</f>
        <v>0</v>
      </c>
      <c r="AA106" s="195">
        <f>IF(OR(setca[[#This Row],[5]]="WN",setca[[#This Row],[5]]="Es"),setca[[#This Row],[4]]*1.12,setca[[#This Row],[4]])*(setca[[#This Row],[14]]+1)</f>
        <v>0</v>
      </c>
      <c r="AB106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06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06" s="195" t="b">
        <f>IF(setca[[#This Row],[16]]=FALSE,TRUE,FALSE)</f>
        <v>1</v>
      </c>
      <c r="AE106" s="195" t="b">
        <f ca="1">IF(setca[[#This Row],[2]]="",FALSE,AND((setca[[#This Row],[2]]+TODAY())&lt;$C$36,setca[[#This Row],[17]]=FALSE,setca[[#This Row],[18]]=TRUE))</f>
        <v>0</v>
      </c>
      <c r="AF106" s="195" t="b">
        <f ca="1">IF(setca[[#This Row],[2]]="",FALSE,AND((setca[[#This Row],[3]]+TODAY())&lt;$C$36,setca[[#This Row],[18]]=TRUE))</f>
        <v>0</v>
      </c>
      <c r="AG106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06" s="1"/>
      <c r="AI106" s="1"/>
    </row>
    <row r="107" spans="1:35" ht="11.1" customHeight="1" x14ac:dyDescent="0.25">
      <c r="A107" s="124" t="str">
        <f t="array" aca="1" ref="A107" ca="1">IFERROR(INDEX($F$39:$F$238,MATCH(0,IF(TRUE=setca[28],0,1)+COUNTIF($F$38:F144,$F$39:$F$238),0)),"")</f>
        <v/>
      </c>
      <c r="B107" s="109">
        <f>IFERROR(VLOOKUP(setca[[#This Row],[23]],Start!$B$87:$N$10044,3,0),0)+IF(setca[[#This Row],[18]]=TRUE,1+setca[[#This Row],[14]],0)</f>
        <v>0</v>
      </c>
      <c r="C107" s="21">
        <f>IFERROR((IFERROR(VLOOKUP(setca[[#This Row],[23]],Start!$B$87:$N$10044,12,0),0)+IF(setca[[#This Row],[18]]=TRUE,setca[[#This Row],[21]]-setca[[#This Row],[22]],0))/B107,0)</f>
        <v>0</v>
      </c>
      <c r="D107" s="1"/>
      <c r="E107" s="19">
        <f t="shared" ca="1" si="6"/>
        <v>2</v>
      </c>
      <c r="F107" s="173">
        <f t="shared" si="7"/>
        <v>70</v>
      </c>
      <c r="G107" s="99"/>
      <c r="H107" s="99"/>
      <c r="I107" s="114"/>
      <c r="J107" s="100"/>
      <c r="K107" s="100"/>
      <c r="L107" s="100"/>
      <c r="M107" s="100"/>
      <c r="N107" s="100"/>
      <c r="O107" s="100"/>
      <c r="P107" s="101"/>
      <c r="Q107" s="105"/>
      <c r="R107" s="106"/>
      <c r="S107" s="104"/>
      <c r="T107" s="100" t="s">
        <v>71</v>
      </c>
      <c r="U107" s="133" t="b">
        <v>0</v>
      </c>
      <c r="V107" s="135" t="b">
        <v>0</v>
      </c>
      <c r="W107" s="136" t="b">
        <v>0</v>
      </c>
      <c r="X107" s="185" t="str">
        <f ca="1">IF(setca[[#This Row],[18]]=TRUE,IF($N$1=TRUE,TODAY()-1,TODAY()),"")</f>
        <v/>
      </c>
      <c r="Y107" s="195" t="str">
        <f ca="1">IF(setca[[#This Row],[2]]="","",IF(setca[[#This Row],[18]]=TRUE,                                     setca[[#This Row],[2]]+(TODAY())&lt;$C$36))</f>
        <v/>
      </c>
      <c r="Z107" s="195">
        <f>IF(OR(setca[[#This Row],[5]]="WN",setca[[#This Row],[5]]="Es"),(setca[[#This Row],[12]]+setca[[#This Row],[13]])*1.12,setca[[#This Row],[12]]+setca[[#This Row],[13]])</f>
        <v>0</v>
      </c>
      <c r="AA107" s="195">
        <f>IF(OR(setca[[#This Row],[5]]="WN",setca[[#This Row],[5]]="Es"),setca[[#This Row],[4]]*1.12,setca[[#This Row],[4]])*(setca[[#This Row],[14]]+1)</f>
        <v>0</v>
      </c>
      <c r="AB107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07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07" s="195" t="b">
        <f>IF(setca[[#This Row],[16]]=FALSE,TRUE,FALSE)</f>
        <v>1</v>
      </c>
      <c r="AE107" s="195" t="b">
        <f ca="1">IF(setca[[#This Row],[2]]="",FALSE,AND((setca[[#This Row],[2]]+TODAY())&lt;$C$36,setca[[#This Row],[17]]=FALSE,setca[[#This Row],[18]]=TRUE))</f>
        <v>0</v>
      </c>
      <c r="AF107" s="195" t="b">
        <f ca="1">IF(setca[[#This Row],[2]]="",FALSE,AND((setca[[#This Row],[3]]+TODAY())&lt;$C$36,setca[[#This Row],[18]]=TRUE))</f>
        <v>0</v>
      </c>
      <c r="AG107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07" s="1"/>
      <c r="AI107" s="1"/>
    </row>
    <row r="108" spans="1:35" ht="11.1" customHeight="1" x14ac:dyDescent="0.25">
      <c r="A108" s="124" t="str">
        <f t="array" aca="1" ref="A108" ca="1">IFERROR(INDEX($F$39:$F$238,MATCH(0,IF(TRUE=setca[28],0,1)+COUNTIF($F$38:F145,$F$39:$F$238),0)),"")</f>
        <v/>
      </c>
      <c r="B108" s="109">
        <f>IFERROR(VLOOKUP(setca[[#This Row],[23]],Start!$B$87:$N$10044,3,0),0)+IF(setca[[#This Row],[18]]=TRUE,1+setca[[#This Row],[14]],0)</f>
        <v>0</v>
      </c>
      <c r="C108" s="21">
        <f>IFERROR((IFERROR(VLOOKUP(setca[[#This Row],[23]],Start!$B$87:$N$10044,12,0),0)+IF(setca[[#This Row],[18]]=TRUE,setca[[#This Row],[21]]-setca[[#This Row],[22]],0))/B108,0)</f>
        <v>0</v>
      </c>
      <c r="D108" s="1"/>
      <c r="E108" s="19">
        <f t="shared" ca="1" si="6"/>
        <v>2</v>
      </c>
      <c r="F108" s="173">
        <f t="shared" si="7"/>
        <v>71</v>
      </c>
      <c r="G108" s="99"/>
      <c r="H108" s="99"/>
      <c r="I108" s="114"/>
      <c r="J108" s="99"/>
      <c r="K108" s="100"/>
      <c r="L108" s="100"/>
      <c r="M108" s="100"/>
      <c r="N108" s="100"/>
      <c r="O108" s="100"/>
      <c r="P108" s="101"/>
      <c r="Q108" s="105"/>
      <c r="R108" s="106"/>
      <c r="S108" s="104"/>
      <c r="T108" s="100" t="s">
        <v>71</v>
      </c>
      <c r="U108" s="133" t="b">
        <v>0</v>
      </c>
      <c r="V108" s="135" t="b">
        <v>0</v>
      </c>
      <c r="W108" s="136" t="b">
        <v>0</v>
      </c>
      <c r="X108" s="185" t="str">
        <f ca="1">IF(setca[[#This Row],[18]]=TRUE,IF($N$1=TRUE,TODAY()-1,TODAY()),"")</f>
        <v/>
      </c>
      <c r="Y108" s="195" t="str">
        <f ca="1">IF(setca[[#This Row],[2]]="","",IF(setca[[#This Row],[18]]=TRUE,                                     setca[[#This Row],[2]]+(TODAY())&lt;$C$36))</f>
        <v/>
      </c>
      <c r="Z108" s="195">
        <f>IF(OR(setca[[#This Row],[5]]="WN",setca[[#This Row],[5]]="Es"),(setca[[#This Row],[12]]+setca[[#This Row],[13]])*1.12,setca[[#This Row],[12]]+setca[[#This Row],[13]])</f>
        <v>0</v>
      </c>
      <c r="AA108" s="195">
        <f>IF(OR(setca[[#This Row],[5]]="WN",setca[[#This Row],[5]]="Es"),setca[[#This Row],[4]]*1.12,setca[[#This Row],[4]])*(setca[[#This Row],[14]]+1)</f>
        <v>0</v>
      </c>
      <c r="AB108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08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08" s="195" t="b">
        <f>IF(setca[[#This Row],[16]]=FALSE,TRUE,FALSE)</f>
        <v>1</v>
      </c>
      <c r="AE108" s="195" t="b">
        <f ca="1">IF(setca[[#This Row],[2]]="",FALSE,AND((setca[[#This Row],[2]]+TODAY())&lt;$C$36,setca[[#This Row],[17]]=FALSE,setca[[#This Row],[18]]=TRUE))</f>
        <v>0</v>
      </c>
      <c r="AF108" s="195" t="b">
        <f ca="1">IF(setca[[#This Row],[2]]="",FALSE,AND((setca[[#This Row],[3]]+TODAY())&lt;$C$36,setca[[#This Row],[18]]=TRUE))</f>
        <v>0</v>
      </c>
      <c r="AG108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08" s="1"/>
      <c r="AI108" s="1"/>
    </row>
    <row r="109" spans="1:35" ht="11.1" customHeight="1" x14ac:dyDescent="0.25">
      <c r="A109" s="124" t="str">
        <f t="array" aca="1" ref="A109" ca="1">IFERROR(INDEX($F$39:$F$238,MATCH(0,IF(TRUE=setca[28],0,1)+COUNTIF($F$38:F146,$F$39:$F$238),0)),"")</f>
        <v/>
      </c>
      <c r="B109" s="109">
        <f>IFERROR(VLOOKUP(setca[[#This Row],[23]],Start!$B$87:$N$10044,3,0),0)+IF(setca[[#This Row],[18]]=TRUE,1+setca[[#This Row],[14]],0)</f>
        <v>0</v>
      </c>
      <c r="C109" s="21">
        <f>IFERROR((IFERROR(VLOOKUP(setca[[#This Row],[23]],Start!$B$87:$N$10044,12,0),0)+IF(setca[[#This Row],[18]]=TRUE,setca[[#This Row],[21]]-setca[[#This Row],[22]],0))/B109,0)</f>
        <v>0</v>
      </c>
      <c r="D109" s="1"/>
      <c r="E109" s="19">
        <f t="shared" ca="1" si="6"/>
        <v>2</v>
      </c>
      <c r="F109" s="173">
        <f t="shared" si="7"/>
        <v>72</v>
      </c>
      <c r="G109" s="99"/>
      <c r="H109" s="99"/>
      <c r="I109" s="114"/>
      <c r="J109" s="100"/>
      <c r="K109" s="100"/>
      <c r="L109" s="100"/>
      <c r="M109" s="100"/>
      <c r="N109" s="100"/>
      <c r="O109" s="100"/>
      <c r="P109" s="101"/>
      <c r="Q109" s="105"/>
      <c r="R109" s="106"/>
      <c r="S109" s="104"/>
      <c r="T109" s="100" t="s">
        <v>71</v>
      </c>
      <c r="U109" s="133" t="b">
        <v>0</v>
      </c>
      <c r="V109" s="135" t="b">
        <v>0</v>
      </c>
      <c r="W109" s="136" t="b">
        <v>0</v>
      </c>
      <c r="X109" s="185" t="str">
        <f ca="1">IF(setca[[#This Row],[18]]=TRUE,IF($N$1=TRUE,TODAY()-1,TODAY()),"")</f>
        <v/>
      </c>
      <c r="Y109" s="195" t="str">
        <f ca="1">IF(setca[[#This Row],[2]]="","",IF(setca[[#This Row],[18]]=TRUE,                                     setca[[#This Row],[2]]+(TODAY())&lt;$C$36))</f>
        <v/>
      </c>
      <c r="Z109" s="195">
        <f>IF(OR(setca[[#This Row],[5]]="WN",setca[[#This Row],[5]]="Es"),(setca[[#This Row],[12]]+setca[[#This Row],[13]])*1.12,setca[[#This Row],[12]]+setca[[#This Row],[13]])</f>
        <v>0</v>
      </c>
      <c r="AA109" s="195">
        <f>IF(OR(setca[[#This Row],[5]]="WN",setca[[#This Row],[5]]="Es"),setca[[#This Row],[4]]*1.12,setca[[#This Row],[4]])*(setca[[#This Row],[14]]+1)</f>
        <v>0</v>
      </c>
      <c r="AB109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09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09" s="195" t="b">
        <f>IF(setca[[#This Row],[16]]=FALSE,TRUE,FALSE)</f>
        <v>1</v>
      </c>
      <c r="AE109" s="195" t="b">
        <f ca="1">IF(setca[[#This Row],[2]]="",FALSE,AND((setca[[#This Row],[2]]+TODAY())&lt;$C$36,setca[[#This Row],[17]]=FALSE,setca[[#This Row],[18]]=TRUE))</f>
        <v>0</v>
      </c>
      <c r="AF109" s="195" t="b">
        <f ca="1">IF(setca[[#This Row],[2]]="",FALSE,AND((setca[[#This Row],[3]]+TODAY())&lt;$C$36,setca[[#This Row],[18]]=TRUE))</f>
        <v>0</v>
      </c>
      <c r="AG109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09" s="1"/>
      <c r="AI109" s="1"/>
    </row>
    <row r="110" spans="1:35" ht="11.1" customHeight="1" x14ac:dyDescent="0.25">
      <c r="A110" s="124" t="str">
        <f t="array" aca="1" ref="A110" ca="1">IFERROR(INDEX($F$39:$F$238,MATCH(0,IF(TRUE=setca[28],0,1)+COUNTIF($F$38:F147,$F$39:$F$238),0)),"")</f>
        <v/>
      </c>
      <c r="B110" s="109">
        <f>IFERROR(VLOOKUP(setca[[#This Row],[23]],Start!$B$87:$N$10044,3,0),0)+IF(setca[[#This Row],[18]]=TRUE,1+setca[[#This Row],[14]],0)</f>
        <v>0</v>
      </c>
      <c r="C110" s="21">
        <f>IFERROR((IFERROR(VLOOKUP(setca[[#This Row],[23]],Start!$B$87:$N$10044,12,0),0)+IF(setca[[#This Row],[18]]=TRUE,setca[[#This Row],[21]]-setca[[#This Row],[22]],0))/B110,0)</f>
        <v>0</v>
      </c>
      <c r="D110" s="1"/>
      <c r="E110" s="19">
        <f t="shared" ca="1" si="6"/>
        <v>2</v>
      </c>
      <c r="F110" s="173">
        <f t="shared" si="7"/>
        <v>73</v>
      </c>
      <c r="G110" s="99"/>
      <c r="H110" s="99"/>
      <c r="I110" s="114"/>
      <c r="J110" s="99"/>
      <c r="K110" s="100"/>
      <c r="L110" s="100"/>
      <c r="M110" s="100"/>
      <c r="N110" s="100"/>
      <c r="O110" s="100"/>
      <c r="P110" s="101"/>
      <c r="Q110" s="105"/>
      <c r="R110" s="106"/>
      <c r="S110" s="104"/>
      <c r="T110" s="100" t="s">
        <v>71</v>
      </c>
      <c r="U110" s="133" t="b">
        <v>0</v>
      </c>
      <c r="V110" s="135" t="b">
        <v>0</v>
      </c>
      <c r="W110" s="137" t="b">
        <v>0</v>
      </c>
      <c r="X110" s="186" t="str">
        <f ca="1">IF(setca[[#This Row],[18]]=TRUE,IF($N$1=TRUE,TODAY()-1,TODAY()),"")</f>
        <v/>
      </c>
      <c r="Y110" s="196" t="str">
        <f ca="1">IF(setca[[#This Row],[2]]="","",IF(setca[[#This Row],[18]]=TRUE,                                     setca[[#This Row],[2]]+(TODAY())&lt;$C$36))</f>
        <v/>
      </c>
      <c r="Z110" s="196">
        <f>IF(OR(setca[[#This Row],[5]]="WN",setca[[#This Row],[5]]="Es"),(setca[[#This Row],[12]]+setca[[#This Row],[13]])*1.12,setca[[#This Row],[12]]+setca[[#This Row],[13]])</f>
        <v>0</v>
      </c>
      <c r="AA110" s="196">
        <f>IF(OR(setca[[#This Row],[5]]="WN",setca[[#This Row],[5]]="Es"),setca[[#This Row],[4]]*1.12,setca[[#This Row],[4]])*(setca[[#This Row],[14]]+1)</f>
        <v>0</v>
      </c>
      <c r="AB110" s="196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10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10" s="196" t="b">
        <f>IF(setca[[#This Row],[16]]=FALSE,TRUE,FALSE)</f>
        <v>1</v>
      </c>
      <c r="AE110" s="196" t="b">
        <f ca="1">IF(setca[[#This Row],[2]]="",FALSE,AND((setca[[#This Row],[2]]+TODAY())&lt;$C$36,setca[[#This Row],[17]]=FALSE,setca[[#This Row],[18]]=TRUE))</f>
        <v>0</v>
      </c>
      <c r="AF110" s="196" t="b">
        <f ca="1">IF(setca[[#This Row],[2]]="",FALSE,AND((setca[[#This Row],[3]]+TODAY())&lt;$C$36,setca[[#This Row],[18]]=TRUE))</f>
        <v>0</v>
      </c>
      <c r="AG110" s="196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10" s="1"/>
      <c r="AI110" s="1"/>
    </row>
    <row r="111" spans="1:35" ht="11.1" customHeight="1" x14ac:dyDescent="0.25">
      <c r="A111" s="124" t="str">
        <f t="array" aca="1" ref="A111" ca="1">IFERROR(INDEX($F$39:$F$238,MATCH(0,IF(TRUE=setca[28],0,1)+COUNTIF($F$38:F148,$F$39:$F$238),0)),"")</f>
        <v/>
      </c>
      <c r="B111" s="109">
        <f>IFERROR(VLOOKUP(setca[[#This Row],[23]],Start!$B$87:$N$10044,3,0),0)+IF(setca[[#This Row],[18]]=TRUE,1+setca[[#This Row],[14]],0)</f>
        <v>0</v>
      </c>
      <c r="C111" s="21">
        <f>IFERROR((IFERROR(VLOOKUP(setca[[#This Row],[23]],Start!$B$87:$N$10044,12,0),0)+IF(setca[[#This Row],[18]]=TRUE,setca[[#This Row],[21]]-setca[[#This Row],[22]],0))/B111,0)</f>
        <v>0</v>
      </c>
      <c r="D111" s="1"/>
      <c r="E111" s="19">
        <f t="shared" ca="1" si="6"/>
        <v>2</v>
      </c>
      <c r="F111" s="173">
        <f t="shared" si="7"/>
        <v>74</v>
      </c>
      <c r="G111" s="99"/>
      <c r="H111" s="99"/>
      <c r="I111" s="114"/>
      <c r="J111" s="100"/>
      <c r="K111" s="100"/>
      <c r="L111" s="100"/>
      <c r="M111" s="100"/>
      <c r="N111" s="100"/>
      <c r="O111" s="100"/>
      <c r="P111" s="101"/>
      <c r="Q111" s="105"/>
      <c r="R111" s="106"/>
      <c r="S111" s="104"/>
      <c r="T111" s="100" t="s">
        <v>71</v>
      </c>
      <c r="U111" s="133" t="b">
        <v>0</v>
      </c>
      <c r="V111" s="135" t="b">
        <v>0</v>
      </c>
      <c r="W111" s="136" t="b">
        <v>0</v>
      </c>
      <c r="X111" s="185" t="str">
        <f ca="1">IF(setca[[#This Row],[18]]=TRUE,IF($N$1=TRUE,TODAY()-1,TODAY()),"")</f>
        <v/>
      </c>
      <c r="Y111" s="195" t="str">
        <f ca="1">IF(setca[[#This Row],[2]]="","",IF(setca[[#This Row],[18]]=TRUE,                                     setca[[#This Row],[2]]+(TODAY())&lt;$C$36))</f>
        <v/>
      </c>
      <c r="Z111" s="195">
        <f>IF(OR(setca[[#This Row],[5]]="WN",setca[[#This Row],[5]]="Es"),(setca[[#This Row],[12]]+setca[[#This Row],[13]])*1.12,setca[[#This Row],[12]]+setca[[#This Row],[13]])</f>
        <v>0</v>
      </c>
      <c r="AA111" s="195">
        <f>IF(OR(setca[[#This Row],[5]]="WN",setca[[#This Row],[5]]="Es"),setca[[#This Row],[4]]*1.12,setca[[#This Row],[4]])*(setca[[#This Row],[14]]+1)</f>
        <v>0</v>
      </c>
      <c r="AB111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11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11" s="195" t="b">
        <f>IF(setca[[#This Row],[16]]=FALSE,TRUE,FALSE)</f>
        <v>1</v>
      </c>
      <c r="AE111" s="195" t="b">
        <f ca="1">IF(setca[[#This Row],[2]]="",FALSE,AND((setca[[#This Row],[2]]+TODAY())&lt;$C$36,setca[[#This Row],[17]]=FALSE,setca[[#This Row],[18]]=TRUE))</f>
        <v>0</v>
      </c>
      <c r="AF111" s="195" t="b">
        <f ca="1">IF(setca[[#This Row],[2]]="",FALSE,AND((setca[[#This Row],[3]]+TODAY())&lt;$C$36,setca[[#This Row],[18]]=TRUE))</f>
        <v>0</v>
      </c>
      <c r="AG111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11" s="1"/>
      <c r="AI111" s="1"/>
    </row>
    <row r="112" spans="1:35" ht="11.1" customHeight="1" x14ac:dyDescent="0.25">
      <c r="A112" s="124" t="str">
        <f t="array" aca="1" ref="A112" ca="1">IFERROR(INDEX($F$39:$F$238,MATCH(0,IF(TRUE=setca[28],0,1)+COUNTIF($F$38:F149,$F$39:$F$238),0)),"")</f>
        <v/>
      </c>
      <c r="B112" s="109">
        <f>IFERROR(VLOOKUP(setca[[#This Row],[23]],Start!$B$87:$N$10044,3,0),0)+IF(setca[[#This Row],[18]]=TRUE,1+setca[[#This Row],[14]],0)</f>
        <v>0</v>
      </c>
      <c r="C112" s="21">
        <f>IFERROR((IFERROR(VLOOKUP(setca[[#This Row],[23]],Start!$B$87:$N$10044,12,0),0)+IF(setca[[#This Row],[18]]=TRUE,setca[[#This Row],[21]]-setca[[#This Row],[22]],0))/B112,0)</f>
        <v>0</v>
      </c>
      <c r="D112" s="1"/>
      <c r="E112" s="19">
        <f t="shared" ca="1" si="6"/>
        <v>2</v>
      </c>
      <c r="F112" s="173">
        <f t="shared" si="7"/>
        <v>75</v>
      </c>
      <c r="G112" s="99"/>
      <c r="H112" s="99"/>
      <c r="I112" s="114"/>
      <c r="J112" s="100"/>
      <c r="K112" s="100"/>
      <c r="L112" s="100"/>
      <c r="M112" s="100"/>
      <c r="N112" s="100"/>
      <c r="O112" s="100"/>
      <c r="P112" s="101"/>
      <c r="Q112" s="105"/>
      <c r="R112" s="106"/>
      <c r="S112" s="104"/>
      <c r="T112" s="100" t="s">
        <v>71</v>
      </c>
      <c r="U112" s="133" t="b">
        <v>0</v>
      </c>
      <c r="V112" s="135" t="b">
        <v>0</v>
      </c>
      <c r="W112" s="136" t="b">
        <v>0</v>
      </c>
      <c r="X112" s="185" t="str">
        <f ca="1">IF(setca[[#This Row],[18]]=TRUE,IF($N$1=TRUE,TODAY()-1,TODAY()),"")</f>
        <v/>
      </c>
      <c r="Y112" s="195" t="str">
        <f ca="1">IF(setca[[#This Row],[2]]="","",IF(setca[[#This Row],[18]]=TRUE,                                     setca[[#This Row],[2]]+(TODAY())&lt;$C$36))</f>
        <v/>
      </c>
      <c r="Z112" s="195">
        <f>IF(OR(setca[[#This Row],[5]]="WN",setca[[#This Row],[5]]="Es"),(setca[[#This Row],[12]]+setca[[#This Row],[13]])*1.12,setca[[#This Row],[12]]+setca[[#This Row],[13]])</f>
        <v>0</v>
      </c>
      <c r="AA112" s="195">
        <f>IF(OR(setca[[#This Row],[5]]="WN",setca[[#This Row],[5]]="Es"),setca[[#This Row],[4]]*1.12,setca[[#This Row],[4]])*(setca[[#This Row],[14]]+1)</f>
        <v>0</v>
      </c>
      <c r="AB112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12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12" s="195" t="b">
        <f>IF(setca[[#This Row],[16]]=FALSE,TRUE,FALSE)</f>
        <v>1</v>
      </c>
      <c r="AE112" s="195" t="b">
        <f ca="1">IF(setca[[#This Row],[2]]="",FALSE,AND((setca[[#This Row],[2]]+TODAY())&lt;$C$36,setca[[#This Row],[17]]=FALSE,setca[[#This Row],[18]]=TRUE))</f>
        <v>0</v>
      </c>
      <c r="AF112" s="195" t="b">
        <f ca="1">IF(setca[[#This Row],[2]]="",FALSE,AND((setca[[#This Row],[3]]+TODAY())&lt;$C$36,setca[[#This Row],[18]]=TRUE))</f>
        <v>0</v>
      </c>
      <c r="AG112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12" s="1"/>
      <c r="AI112" s="1"/>
    </row>
    <row r="113" spans="1:35" ht="11.1" customHeight="1" x14ac:dyDescent="0.25">
      <c r="A113" s="124" t="str">
        <f t="array" aca="1" ref="A113" ca="1">IFERROR(INDEX($F$39:$F$238,MATCH(0,IF(TRUE=setca[28],0,1)+COUNTIF($F$38:F150,$F$39:$F$238),0)),"")</f>
        <v/>
      </c>
      <c r="B113" s="109">
        <f>IFERROR(VLOOKUP(setca[[#This Row],[23]],Start!$B$87:$N$10044,3,0),0)+IF(setca[[#This Row],[18]]=TRUE,1+setca[[#This Row],[14]],0)</f>
        <v>0</v>
      </c>
      <c r="C113" s="21">
        <f>IFERROR((IFERROR(VLOOKUP(setca[[#This Row],[23]],Start!$B$87:$N$10044,12,0),0)+IF(setca[[#This Row],[18]]=TRUE,setca[[#This Row],[21]]-setca[[#This Row],[22]],0))/B113,0)</f>
        <v>0</v>
      </c>
      <c r="D113" s="1"/>
      <c r="E113" s="19">
        <f t="shared" ca="1" si="6"/>
        <v>2</v>
      </c>
      <c r="F113" s="173">
        <f t="shared" si="7"/>
        <v>76</v>
      </c>
      <c r="G113" s="99"/>
      <c r="H113" s="99"/>
      <c r="I113" s="114"/>
      <c r="J113" s="99"/>
      <c r="K113" s="100"/>
      <c r="L113" s="100"/>
      <c r="M113" s="100"/>
      <c r="N113" s="100"/>
      <c r="O113" s="100"/>
      <c r="P113" s="101"/>
      <c r="Q113" s="105"/>
      <c r="R113" s="106"/>
      <c r="S113" s="104"/>
      <c r="T113" s="100" t="s">
        <v>71</v>
      </c>
      <c r="U113" s="133" t="b">
        <v>0</v>
      </c>
      <c r="V113" s="135" t="b">
        <v>0</v>
      </c>
      <c r="W113" s="136" t="b">
        <v>0</v>
      </c>
      <c r="X113" s="185" t="str">
        <f ca="1">IF(setca[[#This Row],[18]]=TRUE,IF($N$1=TRUE,TODAY()-1,TODAY()),"")</f>
        <v/>
      </c>
      <c r="Y113" s="195" t="str">
        <f ca="1">IF(setca[[#This Row],[2]]="","",IF(setca[[#This Row],[18]]=TRUE,                                     setca[[#This Row],[2]]+(TODAY())&lt;$C$36))</f>
        <v/>
      </c>
      <c r="Z113" s="195">
        <f>IF(OR(setca[[#This Row],[5]]="WN",setca[[#This Row],[5]]="Es"),(setca[[#This Row],[12]]+setca[[#This Row],[13]])*1.12,setca[[#This Row],[12]]+setca[[#This Row],[13]])</f>
        <v>0</v>
      </c>
      <c r="AA113" s="195">
        <f>IF(OR(setca[[#This Row],[5]]="WN",setca[[#This Row],[5]]="Es"),setca[[#This Row],[4]]*1.12,setca[[#This Row],[4]])*(setca[[#This Row],[14]]+1)</f>
        <v>0</v>
      </c>
      <c r="AB113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13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13" s="195" t="b">
        <f>IF(setca[[#This Row],[16]]=FALSE,TRUE,FALSE)</f>
        <v>1</v>
      </c>
      <c r="AE113" s="195" t="b">
        <f ca="1">IF(setca[[#This Row],[2]]="",FALSE,AND((setca[[#This Row],[2]]+TODAY())&lt;$C$36,setca[[#This Row],[17]]=FALSE,setca[[#This Row],[18]]=TRUE))</f>
        <v>0</v>
      </c>
      <c r="AF113" s="195" t="b">
        <f ca="1">IF(setca[[#This Row],[2]]="",FALSE,AND((setca[[#This Row],[3]]+TODAY())&lt;$C$36,setca[[#This Row],[18]]=TRUE))</f>
        <v>0</v>
      </c>
      <c r="AG113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13" s="1"/>
      <c r="AI113" s="1"/>
    </row>
    <row r="114" spans="1:35" ht="11.1" customHeight="1" x14ac:dyDescent="0.25">
      <c r="A114" s="124" t="str">
        <f t="array" aca="1" ref="A114" ca="1">IFERROR(INDEX($F$39:$F$238,MATCH(0,IF(TRUE=setca[28],0,1)+COUNTIF($F$38:F151,$F$39:$F$238),0)),"")</f>
        <v/>
      </c>
      <c r="B114" s="109">
        <f>IFERROR(VLOOKUP(setca[[#This Row],[23]],Start!$B$87:$N$10044,3,0),0)+IF(setca[[#This Row],[18]]=TRUE,1+setca[[#This Row],[14]],0)</f>
        <v>0</v>
      </c>
      <c r="C114" s="21">
        <f>IFERROR((IFERROR(VLOOKUP(setca[[#This Row],[23]],Start!$B$87:$N$10044,12,0),0)+IF(setca[[#This Row],[18]]=TRUE,setca[[#This Row],[21]]-setca[[#This Row],[22]],0))/B114,0)</f>
        <v>0</v>
      </c>
      <c r="D114" s="1"/>
      <c r="E114" s="19">
        <f t="shared" ca="1" si="6"/>
        <v>2</v>
      </c>
      <c r="F114" s="173">
        <f t="shared" si="7"/>
        <v>77</v>
      </c>
      <c r="G114" s="99"/>
      <c r="H114" s="99"/>
      <c r="I114" s="114"/>
      <c r="J114" s="100"/>
      <c r="K114" s="100"/>
      <c r="L114" s="100"/>
      <c r="M114" s="100"/>
      <c r="N114" s="100"/>
      <c r="O114" s="100"/>
      <c r="P114" s="101"/>
      <c r="Q114" s="105"/>
      <c r="R114" s="106"/>
      <c r="S114" s="104"/>
      <c r="T114" s="100" t="s">
        <v>71</v>
      </c>
      <c r="U114" s="133" t="b">
        <v>0</v>
      </c>
      <c r="V114" s="135" t="b">
        <v>0</v>
      </c>
      <c r="W114" s="136" t="b">
        <v>0</v>
      </c>
      <c r="X114" s="185" t="str">
        <f ca="1">IF(setca[[#This Row],[18]]=TRUE,IF($N$1=TRUE,TODAY()-1,TODAY()),"")</f>
        <v/>
      </c>
      <c r="Y114" s="195" t="str">
        <f ca="1">IF(setca[[#This Row],[2]]="","",IF(setca[[#This Row],[18]]=TRUE,                                     setca[[#This Row],[2]]+(TODAY())&lt;$C$36))</f>
        <v/>
      </c>
      <c r="Z114" s="195">
        <f>IF(OR(setca[[#This Row],[5]]="WN",setca[[#This Row],[5]]="Es"),(setca[[#This Row],[12]]+setca[[#This Row],[13]])*1.12,setca[[#This Row],[12]]+setca[[#This Row],[13]])</f>
        <v>0</v>
      </c>
      <c r="AA114" s="195">
        <f>IF(OR(setca[[#This Row],[5]]="WN",setca[[#This Row],[5]]="Es"),setca[[#This Row],[4]]*1.12,setca[[#This Row],[4]])*(setca[[#This Row],[14]]+1)</f>
        <v>0</v>
      </c>
      <c r="AB114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14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14" s="195" t="b">
        <f>IF(setca[[#This Row],[16]]=FALSE,TRUE,FALSE)</f>
        <v>1</v>
      </c>
      <c r="AE114" s="195" t="b">
        <f ca="1">IF(setca[[#This Row],[2]]="",FALSE,AND((setca[[#This Row],[2]]+TODAY())&lt;$C$36,setca[[#This Row],[17]]=FALSE,setca[[#This Row],[18]]=TRUE))</f>
        <v>0</v>
      </c>
      <c r="AF114" s="195" t="b">
        <f ca="1">IF(setca[[#This Row],[2]]="",FALSE,AND((setca[[#This Row],[3]]+TODAY())&lt;$C$36,setca[[#This Row],[18]]=TRUE))</f>
        <v>0</v>
      </c>
      <c r="AG114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14" s="1"/>
      <c r="AI114" s="1"/>
    </row>
    <row r="115" spans="1:35" ht="11.1" customHeight="1" x14ac:dyDescent="0.25">
      <c r="A115" s="124" t="str">
        <f t="array" aca="1" ref="A115" ca="1">IFERROR(INDEX($F$39:$F$238,MATCH(0,IF(TRUE=setca[28],0,1)+COUNTIF($F$38:F152,$F$39:$F$238),0)),"")</f>
        <v/>
      </c>
      <c r="B115" s="109">
        <f>IFERROR(VLOOKUP(setca[[#This Row],[23]],Start!$B$87:$N$10044,3,0),0)+IF(setca[[#This Row],[18]]=TRUE,1+setca[[#This Row],[14]],0)</f>
        <v>0</v>
      </c>
      <c r="C115" s="21">
        <f>IFERROR((IFERROR(VLOOKUP(setca[[#This Row],[23]],Start!$B$87:$N$10044,12,0),0)+IF(setca[[#This Row],[18]]=TRUE,setca[[#This Row],[21]]-setca[[#This Row],[22]],0))/B115,0)</f>
        <v>0</v>
      </c>
      <c r="D115" s="1"/>
      <c r="E115" s="19">
        <f t="shared" ca="1" si="6"/>
        <v>2</v>
      </c>
      <c r="F115" s="173">
        <f t="shared" si="7"/>
        <v>78</v>
      </c>
      <c r="G115" s="99"/>
      <c r="H115" s="99"/>
      <c r="I115" s="114"/>
      <c r="J115" s="100"/>
      <c r="K115" s="100"/>
      <c r="L115" s="100"/>
      <c r="M115" s="100"/>
      <c r="N115" s="100"/>
      <c r="O115" s="100"/>
      <c r="P115" s="101"/>
      <c r="Q115" s="105"/>
      <c r="R115" s="106"/>
      <c r="S115" s="104"/>
      <c r="T115" s="100" t="s">
        <v>71</v>
      </c>
      <c r="U115" s="133" t="b">
        <v>0</v>
      </c>
      <c r="V115" s="135" t="b">
        <v>0</v>
      </c>
      <c r="W115" s="136" t="b">
        <v>0</v>
      </c>
      <c r="X115" s="185" t="str">
        <f ca="1">IF(setca[[#This Row],[18]]=TRUE,IF($N$1=TRUE,TODAY()-1,TODAY()),"")</f>
        <v/>
      </c>
      <c r="Y115" s="195" t="str">
        <f ca="1">IF(setca[[#This Row],[2]]="","",IF(setca[[#This Row],[18]]=TRUE,                                     setca[[#This Row],[2]]+(TODAY())&lt;$C$36))</f>
        <v/>
      </c>
      <c r="Z115" s="195">
        <f>IF(OR(setca[[#This Row],[5]]="WN",setca[[#This Row],[5]]="Es"),(setca[[#This Row],[12]]+setca[[#This Row],[13]])*1.12,setca[[#This Row],[12]]+setca[[#This Row],[13]])</f>
        <v>0</v>
      </c>
      <c r="AA115" s="195">
        <f>IF(OR(setca[[#This Row],[5]]="WN",setca[[#This Row],[5]]="Es"),setca[[#This Row],[4]]*1.12,setca[[#This Row],[4]])*(setca[[#This Row],[14]]+1)</f>
        <v>0</v>
      </c>
      <c r="AB115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15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15" s="195" t="b">
        <f>IF(setca[[#This Row],[16]]=FALSE,TRUE,FALSE)</f>
        <v>1</v>
      </c>
      <c r="AE115" s="195" t="b">
        <f ca="1">IF(setca[[#This Row],[2]]="",FALSE,AND((setca[[#This Row],[2]]+TODAY())&lt;$C$36,setca[[#This Row],[17]]=FALSE,setca[[#This Row],[18]]=TRUE))</f>
        <v>0</v>
      </c>
      <c r="AF115" s="195" t="b">
        <f ca="1">IF(setca[[#This Row],[2]]="",FALSE,AND((setca[[#This Row],[3]]+TODAY())&lt;$C$36,setca[[#This Row],[18]]=TRUE))</f>
        <v>0</v>
      </c>
      <c r="AG115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15" s="1"/>
      <c r="AI115" s="1"/>
    </row>
    <row r="116" spans="1:35" ht="11.1" customHeight="1" x14ac:dyDescent="0.25">
      <c r="A116" s="124" t="str">
        <f t="array" aca="1" ref="A116" ca="1">IFERROR(INDEX($F$39:$F$238,MATCH(0,IF(TRUE=setca[28],0,1)+COUNTIF($F$38:F153,$F$39:$F$238),0)),"")</f>
        <v/>
      </c>
      <c r="B116" s="109">
        <f>IFERROR(VLOOKUP(setca[[#This Row],[23]],Start!$B$87:$N$10044,3,0),0)+IF(setca[[#This Row],[18]]=TRUE,1+setca[[#This Row],[14]],0)</f>
        <v>0</v>
      </c>
      <c r="C116" s="21">
        <f>IFERROR((IFERROR(VLOOKUP(setca[[#This Row],[23]],Start!$B$87:$N$10044,12,0),0)+IF(setca[[#This Row],[18]]=TRUE,setca[[#This Row],[21]]-setca[[#This Row],[22]],0))/B116,0)</f>
        <v>0</v>
      </c>
      <c r="D116" s="1"/>
      <c r="E116" s="19">
        <f t="shared" ca="1" si="6"/>
        <v>2</v>
      </c>
      <c r="F116" s="173">
        <f t="shared" si="7"/>
        <v>79</v>
      </c>
      <c r="G116" s="100"/>
      <c r="H116" s="99"/>
      <c r="I116" s="114"/>
      <c r="J116" s="100"/>
      <c r="K116" s="100"/>
      <c r="L116" s="100"/>
      <c r="M116" s="100"/>
      <c r="N116" s="100"/>
      <c r="O116" s="100"/>
      <c r="P116" s="101"/>
      <c r="Q116" s="105"/>
      <c r="R116" s="106"/>
      <c r="S116" s="104"/>
      <c r="T116" s="100" t="s">
        <v>71</v>
      </c>
      <c r="U116" s="133" t="b">
        <v>0</v>
      </c>
      <c r="V116" s="135" t="b">
        <v>0</v>
      </c>
      <c r="W116" s="136" t="b">
        <v>0</v>
      </c>
      <c r="X116" s="185" t="str">
        <f ca="1">IF(setca[[#This Row],[18]]=TRUE,IF($N$1=TRUE,TODAY()-1,TODAY()),"")</f>
        <v/>
      </c>
      <c r="Y116" s="195" t="str">
        <f ca="1">IF(setca[[#This Row],[2]]="","",IF(setca[[#This Row],[18]]=TRUE,                                     setca[[#This Row],[2]]+(TODAY())&lt;$C$36))</f>
        <v/>
      </c>
      <c r="Z116" s="195">
        <f>IF(OR(setca[[#This Row],[5]]="WN",setca[[#This Row],[5]]="Es"),(setca[[#This Row],[12]]+setca[[#This Row],[13]])*1.12,setca[[#This Row],[12]]+setca[[#This Row],[13]])</f>
        <v>0</v>
      </c>
      <c r="AA116" s="195">
        <f>IF(OR(setca[[#This Row],[5]]="WN",setca[[#This Row],[5]]="Es"),setca[[#This Row],[4]]*1.12,setca[[#This Row],[4]])*(setca[[#This Row],[14]]+1)</f>
        <v>0</v>
      </c>
      <c r="AB116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16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16" s="195" t="b">
        <f>IF(setca[[#This Row],[16]]=FALSE,TRUE,FALSE)</f>
        <v>1</v>
      </c>
      <c r="AE116" s="195" t="b">
        <f ca="1">IF(setca[[#This Row],[2]]="",FALSE,AND((setca[[#This Row],[2]]+TODAY())&lt;$C$36,setca[[#This Row],[17]]=FALSE,setca[[#This Row],[18]]=TRUE))</f>
        <v>0</v>
      </c>
      <c r="AF116" s="195" t="b">
        <f ca="1">IF(setca[[#This Row],[2]]="",FALSE,AND((setca[[#This Row],[3]]+TODAY())&lt;$C$36,setca[[#This Row],[18]]=TRUE))</f>
        <v>0</v>
      </c>
      <c r="AG116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16" s="1"/>
      <c r="AI116" s="1"/>
    </row>
    <row r="117" spans="1:35" ht="11.1" customHeight="1" x14ac:dyDescent="0.25">
      <c r="A117" s="124" t="str">
        <f t="array" aca="1" ref="A117" ca="1">IFERROR(INDEX($F$39:$F$238,MATCH(0,IF(TRUE=setca[28],0,1)+COUNTIF($F$38:F154,$F$39:$F$238),0)),"")</f>
        <v/>
      </c>
      <c r="B117" s="109">
        <f>IFERROR(VLOOKUP(setca[[#This Row],[23]],Start!$B$87:$N$10044,3,0),0)+IF(setca[[#This Row],[18]]=TRUE,1+setca[[#This Row],[14]],0)</f>
        <v>0</v>
      </c>
      <c r="C117" s="21">
        <f>IFERROR((IFERROR(VLOOKUP(setca[[#This Row],[23]],Start!$B$87:$N$10044,12,0),0)+IF(setca[[#This Row],[18]]=TRUE,setca[[#This Row],[21]]-setca[[#This Row],[22]],0))/B117,0)</f>
        <v>0</v>
      </c>
      <c r="D117" s="1"/>
      <c r="E117" s="19">
        <f t="shared" ca="1" si="6"/>
        <v>2</v>
      </c>
      <c r="F117" s="173">
        <f t="shared" si="7"/>
        <v>80</v>
      </c>
      <c r="G117" s="99"/>
      <c r="H117" s="99"/>
      <c r="I117" s="114"/>
      <c r="J117" s="100"/>
      <c r="K117" s="100"/>
      <c r="L117" s="100"/>
      <c r="M117" s="100"/>
      <c r="N117" s="100"/>
      <c r="O117" s="100"/>
      <c r="P117" s="101"/>
      <c r="Q117" s="105"/>
      <c r="R117" s="106"/>
      <c r="S117" s="104"/>
      <c r="T117" s="100" t="s">
        <v>71</v>
      </c>
      <c r="U117" s="133" t="b">
        <v>0</v>
      </c>
      <c r="V117" s="135" t="b">
        <v>0</v>
      </c>
      <c r="W117" s="136" t="b">
        <v>0</v>
      </c>
      <c r="X117" s="185" t="str">
        <f ca="1">IF(setca[[#This Row],[18]]=TRUE,IF($N$1=TRUE,TODAY()-1,TODAY()),"")</f>
        <v/>
      </c>
      <c r="Y117" s="195" t="str">
        <f ca="1">IF(setca[[#This Row],[2]]="","",IF(setca[[#This Row],[18]]=TRUE,                                     setca[[#This Row],[2]]+(TODAY())&lt;$C$36))</f>
        <v/>
      </c>
      <c r="Z117" s="195">
        <f>IF(OR(setca[[#This Row],[5]]="WN",setca[[#This Row],[5]]="Es"),(setca[[#This Row],[12]]+setca[[#This Row],[13]])*1.12,setca[[#This Row],[12]]+setca[[#This Row],[13]])</f>
        <v>0</v>
      </c>
      <c r="AA117" s="195">
        <f>IF(OR(setca[[#This Row],[5]]="WN",setca[[#This Row],[5]]="Es"),setca[[#This Row],[4]]*1.12,setca[[#This Row],[4]])*(setca[[#This Row],[14]]+1)</f>
        <v>0</v>
      </c>
      <c r="AB117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17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17" s="195" t="b">
        <f>IF(setca[[#This Row],[16]]=FALSE,TRUE,FALSE)</f>
        <v>1</v>
      </c>
      <c r="AE117" s="195" t="b">
        <f ca="1">IF(setca[[#This Row],[2]]="",FALSE,AND((setca[[#This Row],[2]]+TODAY())&lt;$C$36,setca[[#This Row],[17]]=FALSE,setca[[#This Row],[18]]=TRUE))</f>
        <v>0</v>
      </c>
      <c r="AF117" s="195" t="b">
        <f ca="1">IF(setca[[#This Row],[2]]="",FALSE,AND((setca[[#This Row],[3]]+TODAY())&lt;$C$36,setca[[#This Row],[18]]=TRUE))</f>
        <v>0</v>
      </c>
      <c r="AG117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17" s="1"/>
      <c r="AI117" s="1"/>
    </row>
    <row r="118" spans="1:35" ht="11.1" customHeight="1" x14ac:dyDescent="0.25">
      <c r="A118" s="124" t="str">
        <f t="array" aca="1" ref="A118" ca="1">IFERROR(INDEX($F$39:$F$238,MATCH(0,IF(TRUE=setca[28],0,1)+COUNTIF($F$38:F155,$F$39:$F$238),0)),"")</f>
        <v/>
      </c>
      <c r="B118" s="109">
        <f>IFERROR(VLOOKUP(setca[[#This Row],[23]],Start!$B$87:$N$10044,3,0),0)+IF(setca[[#This Row],[18]]=TRUE,1+setca[[#This Row],[14]],0)</f>
        <v>0</v>
      </c>
      <c r="C118" s="21">
        <f>IFERROR((IFERROR(VLOOKUP(setca[[#This Row],[23]],Start!$B$87:$N$10044,12,0),0)+IF(setca[[#This Row],[18]]=TRUE,setca[[#This Row],[21]]-setca[[#This Row],[22]],0))/B118,0)</f>
        <v>0</v>
      </c>
      <c r="D118" s="1"/>
      <c r="E118" s="19">
        <f t="shared" ca="1" si="6"/>
        <v>2</v>
      </c>
      <c r="F118" s="173">
        <f t="shared" si="7"/>
        <v>81</v>
      </c>
      <c r="G118" s="99"/>
      <c r="H118" s="99"/>
      <c r="I118" s="114"/>
      <c r="J118" s="100"/>
      <c r="K118" s="100"/>
      <c r="L118" s="100"/>
      <c r="M118" s="100"/>
      <c r="N118" s="100"/>
      <c r="O118" s="100"/>
      <c r="P118" s="101"/>
      <c r="Q118" s="105"/>
      <c r="R118" s="106"/>
      <c r="S118" s="104"/>
      <c r="T118" s="100" t="s">
        <v>71</v>
      </c>
      <c r="U118" s="133" t="b">
        <v>0</v>
      </c>
      <c r="V118" s="135" t="b">
        <v>0</v>
      </c>
      <c r="W118" s="136" t="b">
        <v>0</v>
      </c>
      <c r="X118" s="185" t="str">
        <f ca="1">IF(setca[[#This Row],[18]]=TRUE,IF($N$1=TRUE,TODAY()-1,TODAY()),"")</f>
        <v/>
      </c>
      <c r="Y118" s="195" t="str">
        <f ca="1">IF(setca[[#This Row],[2]]="","",IF(setca[[#This Row],[18]]=TRUE,                                     setca[[#This Row],[2]]+(TODAY())&lt;$C$36))</f>
        <v/>
      </c>
      <c r="Z118" s="195">
        <f>IF(OR(setca[[#This Row],[5]]="WN",setca[[#This Row],[5]]="Es"),(setca[[#This Row],[12]]+setca[[#This Row],[13]])*1.12,setca[[#This Row],[12]]+setca[[#This Row],[13]])</f>
        <v>0</v>
      </c>
      <c r="AA118" s="195">
        <f>IF(OR(setca[[#This Row],[5]]="WN",setca[[#This Row],[5]]="Es"),setca[[#This Row],[4]]*1.12,setca[[#This Row],[4]])*(setca[[#This Row],[14]]+1)</f>
        <v>0</v>
      </c>
      <c r="AB118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18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18" s="195" t="b">
        <f>IF(setca[[#This Row],[16]]=FALSE,TRUE,FALSE)</f>
        <v>1</v>
      </c>
      <c r="AE118" s="195" t="b">
        <f ca="1">IF(setca[[#This Row],[2]]="",FALSE,AND((setca[[#This Row],[2]]+TODAY())&lt;$C$36,setca[[#This Row],[17]]=FALSE,setca[[#This Row],[18]]=TRUE))</f>
        <v>0</v>
      </c>
      <c r="AF118" s="195" t="b">
        <f ca="1">IF(setca[[#This Row],[2]]="",FALSE,AND((setca[[#This Row],[3]]+TODAY())&lt;$C$36,setca[[#This Row],[18]]=TRUE))</f>
        <v>0</v>
      </c>
      <c r="AG118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18" s="1"/>
      <c r="AI118" s="1"/>
    </row>
    <row r="119" spans="1:35" ht="11.1" customHeight="1" x14ac:dyDescent="0.25">
      <c r="A119" s="124" t="str">
        <f t="array" aca="1" ref="A119" ca="1">IFERROR(INDEX($F$39:$F$238,MATCH(0,IF(TRUE=setca[28],0,1)+COUNTIF($F$38:F156,$F$39:$F$238),0)),"")</f>
        <v/>
      </c>
      <c r="B119" s="109">
        <f>IFERROR(VLOOKUP(setca[[#This Row],[23]],Start!$B$87:$N$10044,3,0),0)+IF(setca[[#This Row],[18]]=TRUE,1+setca[[#This Row],[14]],0)</f>
        <v>0</v>
      </c>
      <c r="C119" s="21">
        <f>IFERROR((IFERROR(VLOOKUP(setca[[#This Row],[23]],Start!$B$87:$N$10044,12,0),0)+IF(setca[[#This Row],[18]]=TRUE,setca[[#This Row],[21]]-setca[[#This Row],[22]],0))/B119,0)</f>
        <v>0</v>
      </c>
      <c r="D119" s="1"/>
      <c r="E119" s="19">
        <f t="shared" ca="1" si="6"/>
        <v>2</v>
      </c>
      <c r="F119" s="173">
        <f t="shared" si="7"/>
        <v>82</v>
      </c>
      <c r="G119" s="99"/>
      <c r="H119" s="99"/>
      <c r="I119" s="114"/>
      <c r="J119" s="99"/>
      <c r="K119" s="100"/>
      <c r="L119" s="100"/>
      <c r="M119" s="100"/>
      <c r="N119" s="100"/>
      <c r="O119" s="100"/>
      <c r="P119" s="101"/>
      <c r="Q119" s="105"/>
      <c r="R119" s="106"/>
      <c r="S119" s="104"/>
      <c r="T119" s="100" t="s">
        <v>71</v>
      </c>
      <c r="U119" s="133" t="b">
        <v>0</v>
      </c>
      <c r="V119" s="135" t="b">
        <v>0</v>
      </c>
      <c r="W119" s="136" t="b">
        <v>0</v>
      </c>
      <c r="X119" s="185" t="str">
        <f ca="1">IF(setca[[#This Row],[18]]=TRUE,IF($N$1=TRUE,TODAY()-1,TODAY()),"")</f>
        <v/>
      </c>
      <c r="Y119" s="195" t="str">
        <f ca="1">IF(setca[[#This Row],[2]]="","",IF(setca[[#This Row],[18]]=TRUE,                                     setca[[#This Row],[2]]+(TODAY())&lt;$C$36))</f>
        <v/>
      </c>
      <c r="Z119" s="195">
        <f>IF(OR(setca[[#This Row],[5]]="WN",setca[[#This Row],[5]]="Es"),(setca[[#This Row],[12]]+setca[[#This Row],[13]])*1.12,setca[[#This Row],[12]]+setca[[#This Row],[13]])</f>
        <v>0</v>
      </c>
      <c r="AA119" s="195">
        <f>IF(OR(setca[[#This Row],[5]]="WN",setca[[#This Row],[5]]="Es"),setca[[#This Row],[4]]*1.12,setca[[#This Row],[4]])*(setca[[#This Row],[14]]+1)</f>
        <v>0</v>
      </c>
      <c r="AB119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19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19" s="195" t="b">
        <f>IF(setca[[#This Row],[16]]=FALSE,TRUE,FALSE)</f>
        <v>1</v>
      </c>
      <c r="AE119" s="195" t="b">
        <f ca="1">IF(setca[[#This Row],[2]]="",FALSE,AND((setca[[#This Row],[2]]+TODAY())&lt;$C$36,setca[[#This Row],[17]]=FALSE,setca[[#This Row],[18]]=TRUE))</f>
        <v>0</v>
      </c>
      <c r="AF119" s="195" t="b">
        <f ca="1">IF(setca[[#This Row],[2]]="",FALSE,AND((setca[[#This Row],[3]]+TODAY())&lt;$C$36,setca[[#This Row],[18]]=TRUE))</f>
        <v>0</v>
      </c>
      <c r="AG119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19" s="1"/>
      <c r="AI119" s="1"/>
    </row>
    <row r="120" spans="1:35" ht="11.1" customHeight="1" x14ac:dyDescent="0.25">
      <c r="A120" s="124" t="str">
        <f t="array" aca="1" ref="A120" ca="1">IFERROR(INDEX($F$39:$F$238,MATCH(0,IF(TRUE=setca[28],0,1)+COUNTIF($F$38:F157,$F$39:$F$238),0)),"")</f>
        <v/>
      </c>
      <c r="B120" s="109">
        <f>IFERROR(VLOOKUP(setca[[#This Row],[23]],Start!$B$87:$N$10044,3,0),0)+IF(setca[[#This Row],[18]]=TRUE,1+setca[[#This Row],[14]],0)</f>
        <v>0</v>
      </c>
      <c r="C120" s="21">
        <f>IFERROR((IFERROR(VLOOKUP(setca[[#This Row],[23]],Start!$B$87:$N$10044,12,0),0)+IF(setca[[#This Row],[18]]=TRUE,setca[[#This Row],[21]]-setca[[#This Row],[22]],0))/B120,0)</f>
        <v>0</v>
      </c>
      <c r="D120" s="1"/>
      <c r="E120" s="19">
        <f t="shared" ca="1" si="6"/>
        <v>2</v>
      </c>
      <c r="F120" s="173">
        <f t="shared" si="7"/>
        <v>83</v>
      </c>
      <c r="G120" s="99"/>
      <c r="H120" s="99"/>
      <c r="I120" s="114"/>
      <c r="J120" s="99"/>
      <c r="K120" s="100"/>
      <c r="L120" s="100"/>
      <c r="M120" s="100"/>
      <c r="N120" s="100"/>
      <c r="O120" s="100"/>
      <c r="P120" s="101"/>
      <c r="Q120" s="105"/>
      <c r="R120" s="106"/>
      <c r="S120" s="104"/>
      <c r="T120" s="100" t="s">
        <v>71</v>
      </c>
      <c r="U120" s="133" t="b">
        <v>0</v>
      </c>
      <c r="V120" s="135" t="b">
        <v>0</v>
      </c>
      <c r="W120" s="137" t="b">
        <v>0</v>
      </c>
      <c r="X120" s="186" t="str">
        <f ca="1">IF(setca[[#This Row],[18]]=TRUE,IF($N$1=TRUE,TODAY()-1,TODAY()),"")</f>
        <v/>
      </c>
      <c r="Y120" s="196" t="str">
        <f ca="1">IF(setca[[#This Row],[2]]="","",IF(setca[[#This Row],[18]]=TRUE,                                     setca[[#This Row],[2]]+(TODAY())&lt;$C$36))</f>
        <v/>
      </c>
      <c r="Z120" s="196">
        <f>IF(OR(setca[[#This Row],[5]]="WN",setca[[#This Row],[5]]="Es"),(setca[[#This Row],[12]]+setca[[#This Row],[13]])*1.12,setca[[#This Row],[12]]+setca[[#This Row],[13]])</f>
        <v>0</v>
      </c>
      <c r="AA120" s="196">
        <f>IF(OR(setca[[#This Row],[5]]="WN",setca[[#This Row],[5]]="Es"),setca[[#This Row],[4]]*1.12,setca[[#This Row],[4]])*(setca[[#This Row],[14]]+1)</f>
        <v>0</v>
      </c>
      <c r="AB120" s="196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20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20" s="196" t="b">
        <f>IF(setca[[#This Row],[16]]=FALSE,TRUE,FALSE)</f>
        <v>1</v>
      </c>
      <c r="AE120" s="196" t="b">
        <f ca="1">IF(setca[[#This Row],[2]]="",FALSE,AND((setca[[#This Row],[2]]+TODAY())&lt;$C$36,setca[[#This Row],[17]]=FALSE,setca[[#This Row],[18]]=TRUE))</f>
        <v>0</v>
      </c>
      <c r="AF120" s="196" t="b">
        <f ca="1">IF(setca[[#This Row],[2]]="",FALSE,AND((setca[[#This Row],[3]]+TODAY())&lt;$C$36,setca[[#This Row],[18]]=TRUE))</f>
        <v>0</v>
      </c>
      <c r="AG120" s="196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20" s="1"/>
      <c r="AI120" s="1"/>
    </row>
    <row r="121" spans="1:35" ht="11.1" customHeight="1" x14ac:dyDescent="0.25">
      <c r="A121" s="124" t="str">
        <f t="array" aca="1" ref="A121" ca="1">IFERROR(INDEX($F$39:$F$238,MATCH(0,IF(TRUE=setca[28],0,1)+COUNTIF($F$38:F158,$F$39:$F$238),0)),"")</f>
        <v/>
      </c>
      <c r="B121" s="109">
        <f>IFERROR(VLOOKUP(setca[[#This Row],[23]],Start!$B$87:$N$10044,3,0),0)+IF(setca[[#This Row],[18]]=TRUE,1+setca[[#This Row],[14]],0)</f>
        <v>0</v>
      </c>
      <c r="C121" s="21">
        <f>IFERROR((IFERROR(VLOOKUP(setca[[#This Row],[23]],Start!$B$87:$N$10044,12,0),0)+IF(setca[[#This Row],[18]]=TRUE,setca[[#This Row],[21]]-setca[[#This Row],[22]],0))/B121,0)</f>
        <v>0</v>
      </c>
      <c r="D121" s="1"/>
      <c r="E121" s="19">
        <f t="shared" ca="1" si="6"/>
        <v>2</v>
      </c>
      <c r="F121" s="173">
        <f t="shared" si="7"/>
        <v>84</v>
      </c>
      <c r="G121" s="99"/>
      <c r="H121" s="99"/>
      <c r="I121" s="114"/>
      <c r="J121" s="100"/>
      <c r="K121" s="100"/>
      <c r="L121" s="100"/>
      <c r="M121" s="100"/>
      <c r="N121" s="100"/>
      <c r="O121" s="100"/>
      <c r="P121" s="101"/>
      <c r="Q121" s="105"/>
      <c r="R121" s="106"/>
      <c r="S121" s="104"/>
      <c r="T121" s="100" t="s">
        <v>71</v>
      </c>
      <c r="U121" s="133" t="b">
        <v>0</v>
      </c>
      <c r="V121" s="135" t="b">
        <v>0</v>
      </c>
      <c r="W121" s="136" t="b">
        <v>0</v>
      </c>
      <c r="X121" s="185" t="str">
        <f ca="1">IF(setca[[#This Row],[18]]=TRUE,IF($N$1=TRUE,TODAY()-1,TODAY()),"")</f>
        <v/>
      </c>
      <c r="Y121" s="195" t="str">
        <f ca="1">IF(setca[[#This Row],[2]]="","",IF(setca[[#This Row],[18]]=TRUE,                                     setca[[#This Row],[2]]+(TODAY())&lt;$C$36))</f>
        <v/>
      </c>
      <c r="Z121" s="195">
        <f>IF(OR(setca[[#This Row],[5]]="WN",setca[[#This Row],[5]]="Es"),(setca[[#This Row],[12]]+setca[[#This Row],[13]])*1.12,setca[[#This Row],[12]]+setca[[#This Row],[13]])</f>
        <v>0</v>
      </c>
      <c r="AA121" s="195">
        <f>IF(OR(setca[[#This Row],[5]]="WN",setca[[#This Row],[5]]="Es"),setca[[#This Row],[4]]*1.12,setca[[#This Row],[4]])*(setca[[#This Row],[14]]+1)</f>
        <v>0</v>
      </c>
      <c r="AB121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21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21" s="195" t="b">
        <f>IF(setca[[#This Row],[16]]=FALSE,TRUE,FALSE)</f>
        <v>1</v>
      </c>
      <c r="AE121" s="195" t="b">
        <f ca="1">IF(setca[[#This Row],[2]]="",FALSE,AND((setca[[#This Row],[2]]+TODAY())&lt;$C$36,setca[[#This Row],[17]]=FALSE,setca[[#This Row],[18]]=TRUE))</f>
        <v>0</v>
      </c>
      <c r="AF121" s="195" t="b">
        <f ca="1">IF(setca[[#This Row],[2]]="",FALSE,AND((setca[[#This Row],[3]]+TODAY())&lt;$C$36,setca[[#This Row],[18]]=TRUE))</f>
        <v>0</v>
      </c>
      <c r="AG121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21" s="1"/>
      <c r="AI121" s="1"/>
    </row>
    <row r="122" spans="1:35" ht="11.1" customHeight="1" x14ac:dyDescent="0.25">
      <c r="A122" s="124" t="str">
        <f t="array" aca="1" ref="A122" ca="1">IFERROR(INDEX($F$39:$F$238,MATCH(0,IF(TRUE=setca[28],0,1)+COUNTIF($F$38:F159,$F$39:$F$238),0)),"")</f>
        <v/>
      </c>
      <c r="B122" s="109">
        <f>IFERROR(VLOOKUP(setca[[#This Row],[23]],Start!$B$87:$N$10044,3,0),0)+IF(setca[[#This Row],[18]]=TRUE,1+setca[[#This Row],[14]],0)</f>
        <v>0</v>
      </c>
      <c r="C122" s="21">
        <f>IFERROR((IFERROR(VLOOKUP(setca[[#This Row],[23]],Start!$B$87:$N$10044,12,0),0)+IF(setca[[#This Row],[18]]=TRUE,setca[[#This Row],[21]]-setca[[#This Row],[22]],0))/B122,0)</f>
        <v>0</v>
      </c>
      <c r="D122" s="1"/>
      <c r="E122" s="19">
        <f t="shared" ca="1" si="6"/>
        <v>2</v>
      </c>
      <c r="F122" s="173">
        <f t="shared" si="7"/>
        <v>85</v>
      </c>
      <c r="G122" s="99"/>
      <c r="H122" s="99"/>
      <c r="I122" s="114"/>
      <c r="J122" s="99"/>
      <c r="K122" s="100"/>
      <c r="L122" s="100"/>
      <c r="M122" s="100"/>
      <c r="N122" s="100"/>
      <c r="O122" s="100"/>
      <c r="P122" s="101"/>
      <c r="Q122" s="105"/>
      <c r="R122" s="106"/>
      <c r="S122" s="104"/>
      <c r="T122" s="100" t="s">
        <v>71</v>
      </c>
      <c r="U122" s="133" t="b">
        <v>0</v>
      </c>
      <c r="V122" s="135" t="b">
        <v>0</v>
      </c>
      <c r="W122" s="136" t="b">
        <v>0</v>
      </c>
      <c r="X122" s="185" t="str">
        <f ca="1">IF(setca[[#This Row],[18]]=TRUE,IF($N$1=TRUE,TODAY()-1,TODAY()),"")</f>
        <v/>
      </c>
      <c r="Y122" s="195" t="str">
        <f ca="1">IF(setca[[#This Row],[2]]="","",IF(setca[[#This Row],[18]]=TRUE,                                     setca[[#This Row],[2]]+(TODAY())&lt;$C$36))</f>
        <v/>
      </c>
      <c r="Z122" s="195">
        <f>IF(OR(setca[[#This Row],[5]]="WN",setca[[#This Row],[5]]="Es"),(setca[[#This Row],[12]]+setca[[#This Row],[13]])*1.12,setca[[#This Row],[12]]+setca[[#This Row],[13]])</f>
        <v>0</v>
      </c>
      <c r="AA122" s="195">
        <f>IF(OR(setca[[#This Row],[5]]="WN",setca[[#This Row],[5]]="Es"),setca[[#This Row],[4]]*1.12,setca[[#This Row],[4]])*(setca[[#This Row],[14]]+1)</f>
        <v>0</v>
      </c>
      <c r="AB122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22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22" s="195" t="b">
        <f>IF(setca[[#This Row],[16]]=FALSE,TRUE,FALSE)</f>
        <v>1</v>
      </c>
      <c r="AE122" s="195" t="b">
        <f ca="1">IF(setca[[#This Row],[2]]="",FALSE,AND((setca[[#This Row],[2]]+TODAY())&lt;$C$36,setca[[#This Row],[17]]=FALSE,setca[[#This Row],[18]]=TRUE))</f>
        <v>0</v>
      </c>
      <c r="AF122" s="195" t="b">
        <f ca="1">IF(setca[[#This Row],[2]]="",FALSE,AND((setca[[#This Row],[3]]+TODAY())&lt;$C$36,setca[[#This Row],[18]]=TRUE))</f>
        <v>0</v>
      </c>
      <c r="AG122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22" s="1"/>
      <c r="AI122" s="1"/>
    </row>
    <row r="123" spans="1:35" ht="11.1" customHeight="1" x14ac:dyDescent="0.25">
      <c r="A123" s="124" t="str">
        <f t="array" aca="1" ref="A123" ca="1">IFERROR(INDEX($F$39:$F$238,MATCH(0,IF(TRUE=setca[28],0,1)+COUNTIF($F$38:F160,$F$39:$F$238),0)),"")</f>
        <v/>
      </c>
      <c r="B123" s="109">
        <f>IFERROR(VLOOKUP(setca[[#This Row],[23]],Start!$B$87:$N$10044,3,0),0)+IF(setca[[#This Row],[18]]=TRUE,1+setca[[#This Row],[14]],0)</f>
        <v>0</v>
      </c>
      <c r="C123" s="21">
        <f>IFERROR((IFERROR(VLOOKUP(setca[[#This Row],[23]],Start!$B$87:$N$10044,12,0),0)+IF(setca[[#This Row],[18]]=TRUE,setca[[#This Row],[21]]-setca[[#This Row],[22]],0))/B123,0)</f>
        <v>0</v>
      </c>
      <c r="D123" s="1"/>
      <c r="E123" s="19">
        <f t="shared" ca="1" si="6"/>
        <v>2</v>
      </c>
      <c r="F123" s="173">
        <f t="shared" si="7"/>
        <v>86</v>
      </c>
      <c r="G123" s="99"/>
      <c r="H123" s="99"/>
      <c r="I123" s="114"/>
      <c r="J123" s="100"/>
      <c r="K123" s="100"/>
      <c r="L123" s="100"/>
      <c r="M123" s="100"/>
      <c r="N123" s="100"/>
      <c r="O123" s="100"/>
      <c r="P123" s="101"/>
      <c r="Q123" s="105"/>
      <c r="R123" s="106"/>
      <c r="S123" s="104"/>
      <c r="T123" s="100" t="s">
        <v>71</v>
      </c>
      <c r="U123" s="133" t="b">
        <v>0</v>
      </c>
      <c r="V123" s="135" t="b">
        <v>0</v>
      </c>
      <c r="W123" s="136" t="b">
        <v>0</v>
      </c>
      <c r="X123" s="185" t="str">
        <f ca="1">IF(setca[[#This Row],[18]]=TRUE,IF($N$1=TRUE,TODAY()-1,TODAY()),"")</f>
        <v/>
      </c>
      <c r="Y123" s="195" t="str">
        <f ca="1">IF(setca[[#This Row],[2]]="","",IF(setca[[#This Row],[18]]=TRUE,                                     setca[[#This Row],[2]]+(TODAY())&lt;$C$36))</f>
        <v/>
      </c>
      <c r="Z123" s="195">
        <f>IF(OR(setca[[#This Row],[5]]="WN",setca[[#This Row],[5]]="Es"),(setca[[#This Row],[12]]+setca[[#This Row],[13]])*1.12,setca[[#This Row],[12]]+setca[[#This Row],[13]])</f>
        <v>0</v>
      </c>
      <c r="AA123" s="195">
        <f>IF(OR(setca[[#This Row],[5]]="WN",setca[[#This Row],[5]]="Es"),setca[[#This Row],[4]]*1.12,setca[[#This Row],[4]])*(setca[[#This Row],[14]]+1)</f>
        <v>0</v>
      </c>
      <c r="AB123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23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23" s="195" t="b">
        <f>IF(setca[[#This Row],[16]]=FALSE,TRUE,FALSE)</f>
        <v>1</v>
      </c>
      <c r="AE123" s="195" t="b">
        <f ca="1">IF(setca[[#This Row],[2]]="",FALSE,AND((setca[[#This Row],[2]]+TODAY())&lt;$C$36,setca[[#This Row],[17]]=FALSE,setca[[#This Row],[18]]=TRUE))</f>
        <v>0</v>
      </c>
      <c r="AF123" s="195" t="b">
        <f ca="1">IF(setca[[#This Row],[2]]="",FALSE,AND((setca[[#This Row],[3]]+TODAY())&lt;$C$36,setca[[#This Row],[18]]=TRUE))</f>
        <v>0</v>
      </c>
      <c r="AG123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23" s="1"/>
      <c r="AI123" s="1"/>
    </row>
    <row r="124" spans="1:35" ht="11.1" customHeight="1" x14ac:dyDescent="0.25">
      <c r="A124" s="124" t="str">
        <f t="array" aca="1" ref="A124" ca="1">IFERROR(INDEX($F$39:$F$238,MATCH(0,IF(TRUE=setca[28],0,1)+COUNTIF($F$38:F161,$F$39:$F$238),0)),"")</f>
        <v/>
      </c>
      <c r="B124" s="109">
        <f>IFERROR(VLOOKUP(setca[[#This Row],[23]],Start!$B$87:$N$10044,3,0),0)+IF(setca[[#This Row],[18]]=TRUE,1+setca[[#This Row],[14]],0)</f>
        <v>0</v>
      </c>
      <c r="C124" s="21">
        <f>IFERROR((IFERROR(VLOOKUP(setca[[#This Row],[23]],Start!$B$87:$N$10044,12,0),0)+IF(setca[[#This Row],[18]]=TRUE,setca[[#This Row],[21]]-setca[[#This Row],[22]],0))/B124,0)</f>
        <v>0</v>
      </c>
      <c r="D124" s="1"/>
      <c r="E124" s="19">
        <f t="shared" ca="1" si="6"/>
        <v>2</v>
      </c>
      <c r="F124" s="173">
        <f t="shared" si="7"/>
        <v>87</v>
      </c>
      <c r="G124" s="99"/>
      <c r="H124" s="99"/>
      <c r="I124" s="114"/>
      <c r="J124" s="100"/>
      <c r="K124" s="100"/>
      <c r="L124" s="100"/>
      <c r="M124" s="100"/>
      <c r="N124" s="100"/>
      <c r="O124" s="100"/>
      <c r="P124" s="101"/>
      <c r="Q124" s="105"/>
      <c r="R124" s="106"/>
      <c r="S124" s="104"/>
      <c r="T124" s="100" t="s">
        <v>71</v>
      </c>
      <c r="U124" s="133" t="b">
        <v>0</v>
      </c>
      <c r="V124" s="135" t="b">
        <v>0</v>
      </c>
      <c r="W124" s="136" t="b">
        <v>0</v>
      </c>
      <c r="X124" s="185" t="str">
        <f ca="1">IF(setca[[#This Row],[18]]=TRUE,IF($N$1=TRUE,TODAY()-1,TODAY()),"")</f>
        <v/>
      </c>
      <c r="Y124" s="195" t="str">
        <f ca="1">IF(setca[[#This Row],[2]]="","",IF(setca[[#This Row],[18]]=TRUE,                                     setca[[#This Row],[2]]+(TODAY())&lt;$C$36))</f>
        <v/>
      </c>
      <c r="Z124" s="195">
        <f>IF(OR(setca[[#This Row],[5]]="WN",setca[[#This Row],[5]]="Es"),(setca[[#This Row],[12]]+setca[[#This Row],[13]])*1.12,setca[[#This Row],[12]]+setca[[#This Row],[13]])</f>
        <v>0</v>
      </c>
      <c r="AA124" s="195">
        <f>IF(OR(setca[[#This Row],[5]]="WN",setca[[#This Row],[5]]="Es"),setca[[#This Row],[4]]*1.12,setca[[#This Row],[4]])*(setca[[#This Row],[14]]+1)</f>
        <v>0</v>
      </c>
      <c r="AB124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24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24" s="195" t="b">
        <f>IF(setca[[#This Row],[16]]=FALSE,TRUE,FALSE)</f>
        <v>1</v>
      </c>
      <c r="AE124" s="195" t="b">
        <f ca="1">IF(setca[[#This Row],[2]]="",FALSE,AND((setca[[#This Row],[2]]+TODAY())&lt;$C$36,setca[[#This Row],[17]]=FALSE,setca[[#This Row],[18]]=TRUE))</f>
        <v>0</v>
      </c>
      <c r="AF124" s="195" t="b">
        <f ca="1">IF(setca[[#This Row],[2]]="",FALSE,AND((setca[[#This Row],[3]]+TODAY())&lt;$C$36,setca[[#This Row],[18]]=TRUE))</f>
        <v>0</v>
      </c>
      <c r="AG124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24" s="1"/>
      <c r="AI124" s="1"/>
    </row>
    <row r="125" spans="1:35" ht="11.1" customHeight="1" x14ac:dyDescent="0.25">
      <c r="A125" s="124" t="str">
        <f t="array" aca="1" ref="A125" ca="1">IFERROR(INDEX($F$39:$F$238,MATCH(0,IF(TRUE=setca[28],0,1)+COUNTIF($F$38:F162,$F$39:$F$238),0)),"")</f>
        <v/>
      </c>
      <c r="B125" s="109">
        <f>IFERROR(VLOOKUP(setca[[#This Row],[23]],Start!$B$87:$N$10044,3,0),0)+IF(setca[[#This Row],[18]]=TRUE,1+setca[[#This Row],[14]],0)</f>
        <v>0</v>
      </c>
      <c r="C125" s="21">
        <f>IFERROR((IFERROR(VLOOKUP(setca[[#This Row],[23]],Start!$B$87:$N$10044,12,0),0)+IF(setca[[#This Row],[18]]=TRUE,setca[[#This Row],[21]]-setca[[#This Row],[22]],0))/B125,0)</f>
        <v>0</v>
      </c>
      <c r="D125" s="1"/>
      <c r="E125" s="19">
        <f t="shared" ca="1" si="6"/>
        <v>2</v>
      </c>
      <c r="F125" s="173">
        <f t="shared" si="7"/>
        <v>88</v>
      </c>
      <c r="G125" s="99"/>
      <c r="H125" s="99"/>
      <c r="I125" s="114"/>
      <c r="J125" s="99"/>
      <c r="K125" s="100"/>
      <c r="L125" s="100"/>
      <c r="M125" s="100"/>
      <c r="N125" s="100"/>
      <c r="O125" s="100"/>
      <c r="P125" s="101"/>
      <c r="Q125" s="105"/>
      <c r="R125" s="106"/>
      <c r="S125" s="104"/>
      <c r="T125" s="100" t="s">
        <v>71</v>
      </c>
      <c r="U125" s="133" t="b">
        <v>0</v>
      </c>
      <c r="V125" s="135" t="b">
        <v>0</v>
      </c>
      <c r="W125" s="136" t="b">
        <v>0</v>
      </c>
      <c r="X125" s="185" t="str">
        <f ca="1">IF(setca[[#This Row],[18]]=TRUE,IF($N$1=TRUE,TODAY()-1,TODAY()),"")</f>
        <v/>
      </c>
      <c r="Y125" s="195" t="str">
        <f ca="1">IF(setca[[#This Row],[2]]="","",IF(setca[[#This Row],[18]]=TRUE,                                     setca[[#This Row],[2]]+(TODAY())&lt;$C$36))</f>
        <v/>
      </c>
      <c r="Z125" s="195">
        <f>IF(OR(setca[[#This Row],[5]]="WN",setca[[#This Row],[5]]="Es"),(setca[[#This Row],[12]]+setca[[#This Row],[13]])*1.12,setca[[#This Row],[12]]+setca[[#This Row],[13]])</f>
        <v>0</v>
      </c>
      <c r="AA125" s="195">
        <f>IF(OR(setca[[#This Row],[5]]="WN",setca[[#This Row],[5]]="Es"),setca[[#This Row],[4]]*1.12,setca[[#This Row],[4]])*(setca[[#This Row],[14]]+1)</f>
        <v>0</v>
      </c>
      <c r="AB125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25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25" s="195" t="b">
        <f>IF(setca[[#This Row],[16]]=FALSE,TRUE,FALSE)</f>
        <v>1</v>
      </c>
      <c r="AE125" s="195" t="b">
        <f ca="1">IF(setca[[#This Row],[2]]="",FALSE,AND((setca[[#This Row],[2]]+TODAY())&lt;$C$36,setca[[#This Row],[17]]=FALSE,setca[[#This Row],[18]]=TRUE))</f>
        <v>0</v>
      </c>
      <c r="AF125" s="195" t="b">
        <f ca="1">IF(setca[[#This Row],[2]]="",FALSE,AND((setca[[#This Row],[3]]+TODAY())&lt;$C$36,setca[[#This Row],[18]]=TRUE))</f>
        <v>0</v>
      </c>
      <c r="AG125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25" s="1"/>
      <c r="AI125" s="1"/>
    </row>
    <row r="126" spans="1:35" ht="11.1" customHeight="1" x14ac:dyDescent="0.25">
      <c r="A126" s="124" t="str">
        <f t="array" aca="1" ref="A126" ca="1">IFERROR(INDEX($F$39:$F$238,MATCH(0,IF(TRUE=setca[28],0,1)+COUNTIF($F$38:F163,$F$39:$F$238),0)),"")</f>
        <v/>
      </c>
      <c r="B126" s="109">
        <f>IFERROR(VLOOKUP(setca[[#This Row],[23]],Start!$B$87:$N$10044,3,0),0)+IF(setca[[#This Row],[18]]=TRUE,1+setca[[#This Row],[14]],0)</f>
        <v>0</v>
      </c>
      <c r="C126" s="21">
        <f>IFERROR((IFERROR(VLOOKUP(setca[[#This Row],[23]],Start!$B$87:$N$10044,12,0),0)+IF(setca[[#This Row],[18]]=TRUE,setca[[#This Row],[21]]-setca[[#This Row],[22]],0))/B126,0)</f>
        <v>0</v>
      </c>
      <c r="D126" s="1"/>
      <c r="E126" s="19">
        <f t="shared" ca="1" si="6"/>
        <v>2</v>
      </c>
      <c r="F126" s="173">
        <f t="shared" si="7"/>
        <v>89</v>
      </c>
      <c r="G126" s="99"/>
      <c r="H126" s="99"/>
      <c r="I126" s="114"/>
      <c r="J126" s="100"/>
      <c r="K126" s="100"/>
      <c r="L126" s="100"/>
      <c r="M126" s="100"/>
      <c r="N126" s="100"/>
      <c r="O126" s="100"/>
      <c r="P126" s="101"/>
      <c r="Q126" s="105"/>
      <c r="R126" s="106"/>
      <c r="S126" s="104"/>
      <c r="T126" s="100" t="s">
        <v>71</v>
      </c>
      <c r="U126" s="133" t="b">
        <v>0</v>
      </c>
      <c r="V126" s="135" t="b">
        <v>0</v>
      </c>
      <c r="W126" s="136" t="b">
        <v>0</v>
      </c>
      <c r="X126" s="185" t="str">
        <f ca="1">IF(setca[[#This Row],[18]]=TRUE,IF($N$1=TRUE,TODAY()-1,TODAY()),"")</f>
        <v/>
      </c>
      <c r="Y126" s="195" t="str">
        <f ca="1">IF(setca[[#This Row],[2]]="","",IF(setca[[#This Row],[18]]=TRUE,                                     setca[[#This Row],[2]]+(TODAY())&lt;$C$36))</f>
        <v/>
      </c>
      <c r="Z126" s="195">
        <f>IF(OR(setca[[#This Row],[5]]="WN",setca[[#This Row],[5]]="Es"),(setca[[#This Row],[12]]+setca[[#This Row],[13]])*1.12,setca[[#This Row],[12]]+setca[[#This Row],[13]])</f>
        <v>0</v>
      </c>
      <c r="AA126" s="195">
        <f>IF(OR(setca[[#This Row],[5]]="WN",setca[[#This Row],[5]]="Es"),setca[[#This Row],[4]]*1.12,setca[[#This Row],[4]])*(setca[[#This Row],[14]]+1)</f>
        <v>0</v>
      </c>
      <c r="AB126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26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26" s="195" t="b">
        <f>IF(setca[[#This Row],[16]]=FALSE,TRUE,FALSE)</f>
        <v>1</v>
      </c>
      <c r="AE126" s="195" t="b">
        <f ca="1">IF(setca[[#This Row],[2]]="",FALSE,AND((setca[[#This Row],[2]]+TODAY())&lt;$C$36,setca[[#This Row],[17]]=FALSE,setca[[#This Row],[18]]=TRUE))</f>
        <v>0</v>
      </c>
      <c r="AF126" s="195" t="b">
        <f ca="1">IF(setca[[#This Row],[2]]="",FALSE,AND((setca[[#This Row],[3]]+TODAY())&lt;$C$36,setca[[#This Row],[18]]=TRUE))</f>
        <v>0</v>
      </c>
      <c r="AG126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26" s="1"/>
      <c r="AI126" s="1"/>
    </row>
    <row r="127" spans="1:35" ht="11.1" customHeight="1" x14ac:dyDescent="0.25">
      <c r="A127" s="124" t="str">
        <f t="array" aca="1" ref="A127" ca="1">IFERROR(INDEX($F$39:$F$238,MATCH(0,IF(TRUE=setca[28],0,1)+COUNTIF($F$38:F164,$F$39:$F$238),0)),"")</f>
        <v/>
      </c>
      <c r="B127" s="109">
        <f>IFERROR(VLOOKUP(setca[[#This Row],[23]],Start!$B$87:$N$10044,3,0),0)+IF(setca[[#This Row],[18]]=TRUE,1+setca[[#This Row],[14]],0)</f>
        <v>0</v>
      </c>
      <c r="C127" s="21">
        <f>IFERROR((IFERROR(VLOOKUP(setca[[#This Row],[23]],Start!$B$87:$N$10044,12,0),0)+IF(setca[[#This Row],[18]]=TRUE,setca[[#This Row],[21]]-setca[[#This Row],[22]],0))/B127,0)</f>
        <v>0</v>
      </c>
      <c r="D127" s="1"/>
      <c r="E127" s="19">
        <f t="shared" ca="1" si="6"/>
        <v>2</v>
      </c>
      <c r="F127" s="173">
        <f t="shared" si="7"/>
        <v>90</v>
      </c>
      <c r="G127" s="99"/>
      <c r="H127" s="99"/>
      <c r="I127" s="114"/>
      <c r="J127" s="100"/>
      <c r="K127" s="100"/>
      <c r="L127" s="100"/>
      <c r="M127" s="100"/>
      <c r="N127" s="100"/>
      <c r="O127" s="100"/>
      <c r="P127" s="101"/>
      <c r="Q127" s="105"/>
      <c r="R127" s="106"/>
      <c r="S127" s="104"/>
      <c r="T127" s="100" t="s">
        <v>71</v>
      </c>
      <c r="U127" s="133" t="b">
        <v>0</v>
      </c>
      <c r="V127" s="135" t="b">
        <v>0</v>
      </c>
      <c r="W127" s="136" t="b">
        <v>0</v>
      </c>
      <c r="X127" s="185" t="str">
        <f ca="1">IF(setca[[#This Row],[18]]=TRUE,IF($N$1=TRUE,TODAY()-1,TODAY()),"")</f>
        <v/>
      </c>
      <c r="Y127" s="195" t="str">
        <f ca="1">IF(setca[[#This Row],[2]]="","",IF(setca[[#This Row],[18]]=TRUE,                                     setca[[#This Row],[2]]+(TODAY())&lt;$C$36))</f>
        <v/>
      </c>
      <c r="Z127" s="195">
        <f>IF(OR(setca[[#This Row],[5]]="WN",setca[[#This Row],[5]]="Es"),(setca[[#This Row],[12]]+setca[[#This Row],[13]])*1.12,setca[[#This Row],[12]]+setca[[#This Row],[13]])</f>
        <v>0</v>
      </c>
      <c r="AA127" s="195">
        <f>IF(OR(setca[[#This Row],[5]]="WN",setca[[#This Row],[5]]="Es"),setca[[#This Row],[4]]*1.12,setca[[#This Row],[4]])*(setca[[#This Row],[14]]+1)</f>
        <v>0</v>
      </c>
      <c r="AB127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27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27" s="195" t="b">
        <f>IF(setca[[#This Row],[16]]=FALSE,TRUE,FALSE)</f>
        <v>1</v>
      </c>
      <c r="AE127" s="195" t="b">
        <f ca="1">IF(setca[[#This Row],[2]]="",FALSE,AND((setca[[#This Row],[2]]+TODAY())&lt;$C$36,setca[[#This Row],[17]]=FALSE,setca[[#This Row],[18]]=TRUE))</f>
        <v>0</v>
      </c>
      <c r="AF127" s="195" t="b">
        <f ca="1">IF(setca[[#This Row],[2]]="",FALSE,AND((setca[[#This Row],[3]]+TODAY())&lt;$C$36,setca[[#This Row],[18]]=TRUE))</f>
        <v>0</v>
      </c>
      <c r="AG127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27" s="1"/>
      <c r="AI127" s="1"/>
    </row>
    <row r="128" spans="1:35" ht="11.1" customHeight="1" x14ac:dyDescent="0.25">
      <c r="A128" s="124" t="str">
        <f t="array" aca="1" ref="A128" ca="1">IFERROR(INDEX($F$39:$F$238,MATCH(0,IF(TRUE=setca[28],0,1)+COUNTIF($F$38:F165,$F$39:$F$238),0)),"")</f>
        <v/>
      </c>
      <c r="B128" s="109">
        <f>IFERROR(VLOOKUP(setca[[#This Row],[23]],Start!$B$87:$N$10044,3,0),0)+IF(setca[[#This Row],[18]]=TRUE,1+setca[[#This Row],[14]],0)</f>
        <v>0</v>
      </c>
      <c r="C128" s="21">
        <f>IFERROR((IFERROR(VLOOKUP(setca[[#This Row],[23]],Start!$B$87:$N$10044,12,0),0)+IF(setca[[#This Row],[18]]=TRUE,setca[[#This Row],[21]]-setca[[#This Row],[22]],0))/B128,0)</f>
        <v>0</v>
      </c>
      <c r="D128" s="1"/>
      <c r="E128" s="19">
        <f t="shared" ca="1" si="6"/>
        <v>2</v>
      </c>
      <c r="F128" s="173">
        <f t="shared" si="7"/>
        <v>91</v>
      </c>
      <c r="G128" s="99"/>
      <c r="H128" s="99"/>
      <c r="I128" s="114"/>
      <c r="J128" s="100"/>
      <c r="K128" s="100"/>
      <c r="L128" s="100"/>
      <c r="M128" s="100"/>
      <c r="N128" s="100"/>
      <c r="O128" s="100"/>
      <c r="P128" s="101"/>
      <c r="Q128" s="105"/>
      <c r="R128" s="106"/>
      <c r="S128" s="104"/>
      <c r="T128" s="100" t="s">
        <v>71</v>
      </c>
      <c r="U128" s="133" t="b">
        <v>0</v>
      </c>
      <c r="V128" s="135" t="b">
        <v>0</v>
      </c>
      <c r="W128" s="136" t="b">
        <v>0</v>
      </c>
      <c r="X128" s="185" t="str">
        <f ca="1">IF(setca[[#This Row],[18]]=TRUE,IF($N$1=TRUE,TODAY()-1,TODAY()),"")</f>
        <v/>
      </c>
      <c r="Y128" s="195" t="str">
        <f ca="1">IF(setca[[#This Row],[2]]="","",IF(setca[[#This Row],[18]]=TRUE,                                     setca[[#This Row],[2]]+(TODAY())&lt;$C$36))</f>
        <v/>
      </c>
      <c r="Z128" s="195">
        <f>IF(OR(setca[[#This Row],[5]]="WN",setca[[#This Row],[5]]="Es"),(setca[[#This Row],[12]]+setca[[#This Row],[13]])*1.12,setca[[#This Row],[12]]+setca[[#This Row],[13]])</f>
        <v>0</v>
      </c>
      <c r="AA128" s="195">
        <f>IF(OR(setca[[#This Row],[5]]="WN",setca[[#This Row],[5]]="Es"),setca[[#This Row],[4]]*1.12,setca[[#This Row],[4]])*(setca[[#This Row],[14]]+1)</f>
        <v>0</v>
      </c>
      <c r="AB128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28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28" s="195" t="b">
        <f>IF(setca[[#This Row],[16]]=FALSE,TRUE,FALSE)</f>
        <v>1</v>
      </c>
      <c r="AE128" s="195" t="b">
        <f ca="1">IF(setca[[#This Row],[2]]="",FALSE,AND((setca[[#This Row],[2]]+TODAY())&lt;$C$36,setca[[#This Row],[17]]=FALSE,setca[[#This Row],[18]]=TRUE))</f>
        <v>0</v>
      </c>
      <c r="AF128" s="195" t="b">
        <f ca="1">IF(setca[[#This Row],[2]]="",FALSE,AND((setca[[#This Row],[3]]+TODAY())&lt;$C$36,setca[[#This Row],[18]]=TRUE))</f>
        <v>0</v>
      </c>
      <c r="AG128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28" s="1"/>
      <c r="AI128" s="1"/>
    </row>
    <row r="129" spans="1:35" ht="11.1" customHeight="1" x14ac:dyDescent="0.25">
      <c r="A129" s="124" t="str">
        <f t="array" aca="1" ref="A129" ca="1">IFERROR(INDEX($F$39:$F$238,MATCH(0,IF(TRUE=setca[28],0,1)+COUNTIF($F$38:F166,$F$39:$F$238),0)),"")</f>
        <v/>
      </c>
      <c r="B129" s="109">
        <f>IFERROR(VLOOKUP(setca[[#This Row],[23]],Start!$B$87:$N$10044,3,0),0)+IF(setca[[#This Row],[18]]=TRUE,1+setca[[#This Row],[14]],0)</f>
        <v>0</v>
      </c>
      <c r="C129" s="21">
        <f>IFERROR((IFERROR(VLOOKUP(setca[[#This Row],[23]],Start!$B$87:$N$10044,12,0),0)+IF(setca[[#This Row],[18]]=TRUE,setca[[#This Row],[21]]-setca[[#This Row],[22]],0))/B129,0)</f>
        <v>0</v>
      </c>
      <c r="D129" s="1"/>
      <c r="E129" s="19">
        <f t="shared" ca="1" si="6"/>
        <v>2</v>
      </c>
      <c r="F129" s="173">
        <f t="shared" si="7"/>
        <v>92</v>
      </c>
      <c r="G129" s="99"/>
      <c r="H129" s="99"/>
      <c r="I129" s="114"/>
      <c r="J129" s="100"/>
      <c r="K129" s="100"/>
      <c r="L129" s="100"/>
      <c r="M129" s="100"/>
      <c r="N129" s="100"/>
      <c r="O129" s="100"/>
      <c r="P129" s="101"/>
      <c r="Q129" s="105"/>
      <c r="R129" s="106"/>
      <c r="S129" s="104"/>
      <c r="T129" s="100" t="s">
        <v>71</v>
      </c>
      <c r="U129" s="133" t="b">
        <v>0</v>
      </c>
      <c r="V129" s="135" t="b">
        <v>0</v>
      </c>
      <c r="W129" s="136" t="b">
        <v>0</v>
      </c>
      <c r="X129" s="185" t="str">
        <f ca="1">IF(setca[[#This Row],[18]]=TRUE,IF($N$1=TRUE,TODAY()-1,TODAY()),"")</f>
        <v/>
      </c>
      <c r="Y129" s="195" t="str">
        <f ca="1">IF(setca[[#This Row],[2]]="","",IF(setca[[#This Row],[18]]=TRUE,                                     setca[[#This Row],[2]]+(TODAY())&lt;$C$36))</f>
        <v/>
      </c>
      <c r="Z129" s="195">
        <f>IF(OR(setca[[#This Row],[5]]="WN",setca[[#This Row],[5]]="Es"),(setca[[#This Row],[12]]+setca[[#This Row],[13]])*1.12,setca[[#This Row],[12]]+setca[[#This Row],[13]])</f>
        <v>0</v>
      </c>
      <c r="AA129" s="195">
        <f>IF(OR(setca[[#This Row],[5]]="WN",setca[[#This Row],[5]]="Es"),setca[[#This Row],[4]]*1.12,setca[[#This Row],[4]])*(setca[[#This Row],[14]]+1)</f>
        <v>0</v>
      </c>
      <c r="AB129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29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29" s="195" t="b">
        <f>IF(setca[[#This Row],[16]]=FALSE,TRUE,FALSE)</f>
        <v>1</v>
      </c>
      <c r="AE129" s="195" t="b">
        <f ca="1">IF(setca[[#This Row],[2]]="",FALSE,AND((setca[[#This Row],[2]]+TODAY())&lt;$C$36,setca[[#This Row],[17]]=FALSE,setca[[#This Row],[18]]=TRUE))</f>
        <v>0</v>
      </c>
      <c r="AF129" s="195" t="b">
        <f ca="1">IF(setca[[#This Row],[2]]="",FALSE,AND((setca[[#This Row],[3]]+TODAY())&lt;$C$36,setca[[#This Row],[18]]=TRUE))</f>
        <v>0</v>
      </c>
      <c r="AG129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29" s="1"/>
      <c r="AI129" s="1"/>
    </row>
    <row r="130" spans="1:35" ht="11.1" customHeight="1" x14ac:dyDescent="0.25">
      <c r="A130" s="124" t="str">
        <f t="array" aca="1" ref="A130" ca="1">IFERROR(INDEX($F$39:$F$238,MATCH(0,IF(TRUE=setca[28],0,1)+COUNTIF($F$38:F167,$F$39:$F$238),0)),"")</f>
        <v/>
      </c>
      <c r="B130" s="109">
        <f>IFERROR(VLOOKUP(setca[[#This Row],[23]],Start!$B$87:$N$10044,3,0),0)+IF(setca[[#This Row],[18]]=TRUE,1+setca[[#This Row],[14]],0)</f>
        <v>0</v>
      </c>
      <c r="C130" s="21">
        <f>IFERROR((IFERROR(VLOOKUP(setca[[#This Row],[23]],Start!$B$87:$N$10044,12,0),0)+IF(setca[[#This Row],[18]]=TRUE,setca[[#This Row],[21]]-setca[[#This Row],[22]],0))/B130,0)</f>
        <v>0</v>
      </c>
      <c r="D130" s="1"/>
      <c r="E130" s="19">
        <f t="shared" ca="1" si="6"/>
        <v>2</v>
      </c>
      <c r="F130" s="173">
        <f t="shared" si="7"/>
        <v>93</v>
      </c>
      <c r="G130" s="99"/>
      <c r="H130" s="99"/>
      <c r="I130" s="114"/>
      <c r="J130" s="100"/>
      <c r="K130" s="100"/>
      <c r="L130" s="100"/>
      <c r="M130" s="100"/>
      <c r="N130" s="100"/>
      <c r="O130" s="100"/>
      <c r="P130" s="101"/>
      <c r="Q130" s="105"/>
      <c r="R130" s="106"/>
      <c r="S130" s="104"/>
      <c r="T130" s="100" t="s">
        <v>71</v>
      </c>
      <c r="U130" s="133" t="b">
        <v>0</v>
      </c>
      <c r="V130" s="135" t="b">
        <v>0</v>
      </c>
      <c r="W130" s="136" t="b">
        <v>0</v>
      </c>
      <c r="X130" s="185" t="str">
        <f ca="1">IF(setca[[#This Row],[18]]=TRUE,IF($N$1=TRUE,TODAY()-1,TODAY()),"")</f>
        <v/>
      </c>
      <c r="Y130" s="195" t="str">
        <f ca="1">IF(setca[[#This Row],[2]]="","",IF(setca[[#This Row],[18]]=TRUE,                                     setca[[#This Row],[2]]+(TODAY())&lt;$C$36))</f>
        <v/>
      </c>
      <c r="Z130" s="195">
        <f>IF(OR(setca[[#This Row],[5]]="WN",setca[[#This Row],[5]]="Es"),(setca[[#This Row],[12]]+setca[[#This Row],[13]])*1.12,setca[[#This Row],[12]]+setca[[#This Row],[13]])</f>
        <v>0</v>
      </c>
      <c r="AA130" s="195">
        <f>IF(OR(setca[[#This Row],[5]]="WN",setca[[#This Row],[5]]="Es"),setca[[#This Row],[4]]*1.12,setca[[#This Row],[4]])*(setca[[#This Row],[14]]+1)</f>
        <v>0</v>
      </c>
      <c r="AB130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30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30" s="195" t="b">
        <f>IF(setca[[#This Row],[16]]=FALSE,TRUE,FALSE)</f>
        <v>1</v>
      </c>
      <c r="AE130" s="195" t="b">
        <f ca="1">IF(setca[[#This Row],[2]]="",FALSE,AND((setca[[#This Row],[2]]+TODAY())&lt;$C$36,setca[[#This Row],[17]]=FALSE,setca[[#This Row],[18]]=TRUE))</f>
        <v>0</v>
      </c>
      <c r="AF130" s="195" t="b">
        <f ca="1">IF(setca[[#This Row],[2]]="",FALSE,AND((setca[[#This Row],[3]]+TODAY())&lt;$C$36,setca[[#This Row],[18]]=TRUE))</f>
        <v>0</v>
      </c>
      <c r="AG130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30" s="1"/>
      <c r="AI130" s="1"/>
    </row>
    <row r="131" spans="1:35" ht="11.1" customHeight="1" x14ac:dyDescent="0.25">
      <c r="A131" s="124" t="str">
        <f t="array" aca="1" ref="A131" ca="1">IFERROR(INDEX($F$39:$F$238,MATCH(0,IF(TRUE=setca[28],0,1)+COUNTIF($F$38:F168,$F$39:$F$238),0)),"")</f>
        <v/>
      </c>
      <c r="B131" s="109">
        <f>IFERROR(VLOOKUP(setca[[#This Row],[23]],Start!$B$87:$N$10044,3,0),0)+IF(setca[[#This Row],[18]]=TRUE,1+setca[[#This Row],[14]],0)</f>
        <v>0</v>
      </c>
      <c r="C131" s="21">
        <f>IFERROR((IFERROR(VLOOKUP(setca[[#This Row],[23]],Start!$B$87:$N$10044,12,0),0)+IF(setca[[#This Row],[18]]=TRUE,setca[[#This Row],[21]]-setca[[#This Row],[22]],0))/B131,0)</f>
        <v>0</v>
      </c>
      <c r="D131" s="1"/>
      <c r="E131" s="19">
        <f t="shared" ca="1" si="6"/>
        <v>2</v>
      </c>
      <c r="F131" s="173">
        <f t="shared" si="7"/>
        <v>94</v>
      </c>
      <c r="G131" s="99"/>
      <c r="H131" s="99"/>
      <c r="I131" s="114"/>
      <c r="J131" s="100"/>
      <c r="K131" s="100"/>
      <c r="L131" s="100"/>
      <c r="M131" s="100"/>
      <c r="N131" s="100"/>
      <c r="O131" s="100"/>
      <c r="P131" s="101"/>
      <c r="Q131" s="105"/>
      <c r="R131" s="106"/>
      <c r="S131" s="104"/>
      <c r="T131" s="100" t="s">
        <v>71</v>
      </c>
      <c r="U131" s="133" t="b">
        <v>0</v>
      </c>
      <c r="V131" s="135" t="b">
        <v>0</v>
      </c>
      <c r="W131" s="136" t="b">
        <v>0</v>
      </c>
      <c r="X131" s="185" t="str">
        <f ca="1">IF(setca[[#This Row],[18]]=TRUE,IF($N$1=TRUE,TODAY()-1,TODAY()),"")</f>
        <v/>
      </c>
      <c r="Y131" s="195" t="str">
        <f ca="1">IF(setca[[#This Row],[2]]="","",IF(setca[[#This Row],[18]]=TRUE,                                     setca[[#This Row],[2]]+(TODAY())&lt;$C$36))</f>
        <v/>
      </c>
      <c r="Z131" s="195">
        <f>IF(OR(setca[[#This Row],[5]]="WN",setca[[#This Row],[5]]="Es"),(setca[[#This Row],[12]]+setca[[#This Row],[13]])*1.12,setca[[#This Row],[12]]+setca[[#This Row],[13]])</f>
        <v>0</v>
      </c>
      <c r="AA131" s="195">
        <f>IF(OR(setca[[#This Row],[5]]="WN",setca[[#This Row],[5]]="Es"),setca[[#This Row],[4]]*1.12,setca[[#This Row],[4]])*(setca[[#This Row],[14]]+1)</f>
        <v>0</v>
      </c>
      <c r="AB131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31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31" s="195" t="b">
        <f>IF(setca[[#This Row],[16]]=FALSE,TRUE,FALSE)</f>
        <v>1</v>
      </c>
      <c r="AE131" s="195" t="b">
        <f ca="1">IF(setca[[#This Row],[2]]="",FALSE,AND((setca[[#This Row],[2]]+TODAY())&lt;$C$36,setca[[#This Row],[17]]=FALSE,setca[[#This Row],[18]]=TRUE))</f>
        <v>0</v>
      </c>
      <c r="AF131" s="195" t="b">
        <f ca="1">IF(setca[[#This Row],[2]]="",FALSE,AND((setca[[#This Row],[3]]+TODAY())&lt;$C$36,setca[[#This Row],[18]]=TRUE))</f>
        <v>0</v>
      </c>
      <c r="AG131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31" s="1"/>
      <c r="AI131" s="1"/>
    </row>
    <row r="132" spans="1:35" ht="11.1" customHeight="1" x14ac:dyDescent="0.25">
      <c r="A132" s="124" t="str">
        <f t="array" aca="1" ref="A132" ca="1">IFERROR(INDEX($F$39:$F$238,MATCH(0,IF(TRUE=setca[28],0,1)+COUNTIF($F$38:F169,$F$39:$F$238),0)),"")</f>
        <v/>
      </c>
      <c r="B132" s="109">
        <f>IFERROR(VLOOKUP(setca[[#This Row],[23]],Start!$B$87:$N$10044,3,0),0)+IF(setca[[#This Row],[18]]=TRUE,1+setca[[#This Row],[14]],0)</f>
        <v>0</v>
      </c>
      <c r="C132" s="21">
        <f>IFERROR((IFERROR(VLOOKUP(setca[[#This Row],[23]],Start!$B$87:$N$10044,12,0),0)+IF(setca[[#This Row],[18]]=TRUE,setca[[#This Row],[21]]-setca[[#This Row],[22]],0))/B132,0)</f>
        <v>0</v>
      </c>
      <c r="D132" s="1"/>
      <c r="E132" s="19">
        <f t="shared" ca="1" si="6"/>
        <v>2</v>
      </c>
      <c r="F132" s="173">
        <f t="shared" si="7"/>
        <v>95</v>
      </c>
      <c r="G132" s="99"/>
      <c r="H132" s="99"/>
      <c r="I132" s="114"/>
      <c r="J132" s="100"/>
      <c r="K132" s="100"/>
      <c r="L132" s="100"/>
      <c r="M132" s="100"/>
      <c r="N132" s="100"/>
      <c r="O132" s="100"/>
      <c r="P132" s="101"/>
      <c r="Q132" s="105"/>
      <c r="R132" s="106"/>
      <c r="S132" s="104"/>
      <c r="T132" s="100" t="s">
        <v>71</v>
      </c>
      <c r="U132" s="133" t="b">
        <v>0</v>
      </c>
      <c r="V132" s="135" t="b">
        <v>0</v>
      </c>
      <c r="W132" s="136" t="b">
        <v>0</v>
      </c>
      <c r="X132" s="185" t="str">
        <f ca="1">IF(setca[[#This Row],[18]]=TRUE,IF($N$1=TRUE,TODAY()-1,TODAY()),"")</f>
        <v/>
      </c>
      <c r="Y132" s="195" t="str">
        <f ca="1">IF(setca[[#This Row],[2]]="","",IF(setca[[#This Row],[18]]=TRUE,                                     setca[[#This Row],[2]]+(TODAY())&lt;$C$36))</f>
        <v/>
      </c>
      <c r="Z132" s="195">
        <f>IF(OR(setca[[#This Row],[5]]="WN",setca[[#This Row],[5]]="Es"),(setca[[#This Row],[12]]+setca[[#This Row],[13]])*1.12,setca[[#This Row],[12]]+setca[[#This Row],[13]])</f>
        <v>0</v>
      </c>
      <c r="AA132" s="195">
        <f>IF(OR(setca[[#This Row],[5]]="WN",setca[[#This Row],[5]]="Es"),setca[[#This Row],[4]]*1.12,setca[[#This Row],[4]])*(setca[[#This Row],[14]]+1)</f>
        <v>0</v>
      </c>
      <c r="AB132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32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32" s="195" t="b">
        <f>IF(setca[[#This Row],[16]]=FALSE,TRUE,FALSE)</f>
        <v>1</v>
      </c>
      <c r="AE132" s="195" t="b">
        <f ca="1">IF(setca[[#This Row],[2]]="",FALSE,AND((setca[[#This Row],[2]]+TODAY())&lt;$C$36,setca[[#This Row],[17]]=FALSE,setca[[#This Row],[18]]=TRUE))</f>
        <v>0</v>
      </c>
      <c r="AF132" s="195" t="b">
        <f ca="1">IF(setca[[#This Row],[2]]="",FALSE,AND((setca[[#This Row],[3]]+TODAY())&lt;$C$36,setca[[#This Row],[18]]=TRUE))</f>
        <v>0</v>
      </c>
      <c r="AG132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32" s="1"/>
      <c r="AI132" s="1"/>
    </row>
    <row r="133" spans="1:35" ht="11.1" customHeight="1" x14ac:dyDescent="0.25">
      <c r="A133" s="124" t="str">
        <f t="array" aca="1" ref="A133" ca="1">IFERROR(INDEX($F$39:$F$238,MATCH(0,IF(TRUE=setca[28],0,1)+COUNTIF($F$38:F170,$F$39:$F$238),0)),"")</f>
        <v/>
      </c>
      <c r="B133" s="109">
        <f>IFERROR(VLOOKUP(setca[[#This Row],[23]],Start!$B$87:$N$10044,3,0),0)+IF(setca[[#This Row],[18]]=TRUE,1+setca[[#This Row],[14]],0)</f>
        <v>0</v>
      </c>
      <c r="C133" s="21">
        <f>IFERROR((IFERROR(VLOOKUP(setca[[#This Row],[23]],Start!$B$87:$N$10044,12,0),0)+IF(setca[[#This Row],[18]]=TRUE,setca[[#This Row],[21]]-setca[[#This Row],[22]],0))/B133,0)</f>
        <v>0</v>
      </c>
      <c r="D133" s="1"/>
      <c r="E133" s="19">
        <f t="shared" ca="1" si="6"/>
        <v>2</v>
      </c>
      <c r="F133" s="173">
        <f t="shared" si="7"/>
        <v>96</v>
      </c>
      <c r="G133" s="99"/>
      <c r="H133" s="99"/>
      <c r="I133" s="114"/>
      <c r="J133" s="100"/>
      <c r="K133" s="100"/>
      <c r="L133" s="100"/>
      <c r="M133" s="100"/>
      <c r="N133" s="100"/>
      <c r="O133" s="100"/>
      <c r="P133" s="101"/>
      <c r="Q133" s="105"/>
      <c r="R133" s="106"/>
      <c r="S133" s="104"/>
      <c r="T133" s="100" t="s">
        <v>71</v>
      </c>
      <c r="U133" s="133" t="b">
        <v>0</v>
      </c>
      <c r="V133" s="135" t="b">
        <v>0</v>
      </c>
      <c r="W133" s="136" t="b">
        <v>0</v>
      </c>
      <c r="X133" s="185" t="str">
        <f ca="1">IF(setca[[#This Row],[18]]=TRUE,IF($N$1=TRUE,TODAY()-1,TODAY()),"")</f>
        <v/>
      </c>
      <c r="Y133" s="195" t="str">
        <f ca="1">IF(setca[[#This Row],[2]]="","",IF(setca[[#This Row],[18]]=TRUE,                                     setca[[#This Row],[2]]+(TODAY())&lt;$C$36))</f>
        <v/>
      </c>
      <c r="Z133" s="195">
        <f>IF(OR(setca[[#This Row],[5]]="WN",setca[[#This Row],[5]]="Es"),(setca[[#This Row],[12]]+setca[[#This Row],[13]])*1.12,setca[[#This Row],[12]]+setca[[#This Row],[13]])</f>
        <v>0</v>
      </c>
      <c r="AA133" s="195">
        <f>IF(OR(setca[[#This Row],[5]]="WN",setca[[#This Row],[5]]="Es"),setca[[#This Row],[4]]*1.12,setca[[#This Row],[4]])*(setca[[#This Row],[14]]+1)</f>
        <v>0</v>
      </c>
      <c r="AB133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33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33" s="195" t="b">
        <f>IF(setca[[#This Row],[16]]=FALSE,TRUE,FALSE)</f>
        <v>1</v>
      </c>
      <c r="AE133" s="195" t="b">
        <f ca="1">IF(setca[[#This Row],[2]]="",FALSE,AND((setca[[#This Row],[2]]+TODAY())&lt;$C$36,setca[[#This Row],[17]]=FALSE,setca[[#This Row],[18]]=TRUE))</f>
        <v>0</v>
      </c>
      <c r="AF133" s="195" t="b">
        <f ca="1">IF(setca[[#This Row],[2]]="",FALSE,AND((setca[[#This Row],[3]]+TODAY())&lt;$C$36,setca[[#This Row],[18]]=TRUE))</f>
        <v>0</v>
      </c>
      <c r="AG133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33" s="1"/>
      <c r="AI133" s="1"/>
    </row>
    <row r="134" spans="1:35" ht="11.1" customHeight="1" x14ac:dyDescent="0.25">
      <c r="A134" s="124" t="str">
        <f t="array" aca="1" ref="A134" ca="1">IFERROR(INDEX($F$39:$F$238,MATCH(0,IF(TRUE=setca[28],0,1)+COUNTIF($F$38:F171,$F$39:$F$238),0)),"")</f>
        <v/>
      </c>
      <c r="B134" s="109">
        <f>IFERROR(VLOOKUP(setca[[#This Row],[23]],Start!$B$87:$N$10044,3,0),0)+IF(setca[[#This Row],[18]]=TRUE,1+setca[[#This Row],[14]],0)</f>
        <v>0</v>
      </c>
      <c r="C134" s="21">
        <f>IFERROR((IFERROR(VLOOKUP(setca[[#This Row],[23]],Start!$B$87:$N$10044,12,0),0)+IF(setca[[#This Row],[18]]=TRUE,setca[[#This Row],[21]]-setca[[#This Row],[22]],0))/B134,0)</f>
        <v>0</v>
      </c>
      <c r="D134" s="1"/>
      <c r="E134" s="19">
        <f t="shared" ca="1" si="6"/>
        <v>2</v>
      </c>
      <c r="F134" s="173">
        <f t="shared" si="7"/>
        <v>97</v>
      </c>
      <c r="G134" s="99"/>
      <c r="H134" s="99"/>
      <c r="I134" s="114"/>
      <c r="J134" s="99"/>
      <c r="K134" s="100"/>
      <c r="L134" s="100"/>
      <c r="M134" s="100"/>
      <c r="N134" s="100"/>
      <c r="O134" s="100"/>
      <c r="P134" s="101"/>
      <c r="Q134" s="105"/>
      <c r="R134" s="106"/>
      <c r="S134" s="104"/>
      <c r="T134" s="100" t="s">
        <v>71</v>
      </c>
      <c r="U134" s="133" t="b">
        <v>0</v>
      </c>
      <c r="V134" s="135" t="b">
        <v>0</v>
      </c>
      <c r="W134" s="136" t="b">
        <v>0</v>
      </c>
      <c r="X134" s="185" t="str">
        <f ca="1">IF(setca[[#This Row],[18]]=TRUE,IF($N$1=TRUE,TODAY()-1,TODAY()),"")</f>
        <v/>
      </c>
      <c r="Y134" s="195" t="str">
        <f ca="1">IF(setca[[#This Row],[2]]="","",IF(setca[[#This Row],[18]]=TRUE,                                     setca[[#This Row],[2]]+(TODAY())&lt;$C$36))</f>
        <v/>
      </c>
      <c r="Z134" s="195">
        <f>IF(OR(setca[[#This Row],[5]]="WN",setca[[#This Row],[5]]="Es"),(setca[[#This Row],[12]]+setca[[#This Row],[13]])*1.12,setca[[#This Row],[12]]+setca[[#This Row],[13]])</f>
        <v>0</v>
      </c>
      <c r="AA134" s="195">
        <f>IF(OR(setca[[#This Row],[5]]="WN",setca[[#This Row],[5]]="Es"),setca[[#This Row],[4]]*1.12,setca[[#This Row],[4]])*(setca[[#This Row],[14]]+1)</f>
        <v>0</v>
      </c>
      <c r="AB134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34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34" s="195" t="b">
        <f>IF(setca[[#This Row],[16]]=FALSE,TRUE,FALSE)</f>
        <v>1</v>
      </c>
      <c r="AE134" s="195" t="b">
        <f ca="1">IF(setca[[#This Row],[2]]="",FALSE,AND((setca[[#This Row],[2]]+TODAY())&lt;$C$36,setca[[#This Row],[17]]=FALSE,setca[[#This Row],[18]]=TRUE))</f>
        <v>0</v>
      </c>
      <c r="AF134" s="195" t="b">
        <f ca="1">IF(setca[[#This Row],[2]]="",FALSE,AND((setca[[#This Row],[3]]+TODAY())&lt;$C$36,setca[[#This Row],[18]]=TRUE))</f>
        <v>0</v>
      </c>
      <c r="AG134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34" s="1"/>
      <c r="AI134" s="1"/>
    </row>
    <row r="135" spans="1:35" ht="11.1" customHeight="1" x14ac:dyDescent="0.25">
      <c r="A135" s="124" t="str">
        <f t="array" aca="1" ref="A135" ca="1">IFERROR(INDEX($F$39:$F$238,MATCH(0,IF(TRUE=setca[28],0,1)+COUNTIF($F$38:F172,$F$39:$F$238),0)),"")</f>
        <v/>
      </c>
      <c r="B135" s="109">
        <f>IFERROR(VLOOKUP(setca[[#This Row],[23]],Start!$B$87:$N$10044,3,0),0)+IF(setca[[#This Row],[18]]=TRUE,1+setca[[#This Row],[14]],0)</f>
        <v>0</v>
      </c>
      <c r="C135" s="21">
        <f>IFERROR((IFERROR(VLOOKUP(setca[[#This Row],[23]],Start!$B$87:$N$10044,12,0),0)+IF(setca[[#This Row],[18]]=TRUE,setca[[#This Row],[21]]-setca[[#This Row],[22]],0))/B135,0)</f>
        <v>0</v>
      </c>
      <c r="D135" s="1"/>
      <c r="E135" s="19">
        <f t="shared" ref="E135:E166" ca="1" si="8">IF(AND($G135=TIME(HOUR($C$36),MINUTE($C$36),0),$W135=FALSE),1,2)</f>
        <v>2</v>
      </c>
      <c r="F135" s="173">
        <f t="shared" ref="F135:F166" si="9">F134+1</f>
        <v>98</v>
      </c>
      <c r="G135" s="99"/>
      <c r="H135" s="99"/>
      <c r="I135" s="114"/>
      <c r="J135" s="100"/>
      <c r="K135" s="100"/>
      <c r="L135" s="100"/>
      <c r="M135" s="100"/>
      <c r="N135" s="100"/>
      <c r="O135" s="100"/>
      <c r="P135" s="101"/>
      <c r="Q135" s="105"/>
      <c r="R135" s="106"/>
      <c r="S135" s="104"/>
      <c r="T135" s="100" t="s">
        <v>71</v>
      </c>
      <c r="U135" s="133" t="b">
        <v>0</v>
      </c>
      <c r="V135" s="135" t="b">
        <v>0</v>
      </c>
      <c r="W135" s="136" t="b">
        <v>0</v>
      </c>
      <c r="X135" s="185" t="str">
        <f ca="1">IF(setca[[#This Row],[18]]=TRUE,IF($N$1=TRUE,TODAY()-1,TODAY()),"")</f>
        <v/>
      </c>
      <c r="Y135" s="195" t="str">
        <f ca="1">IF(setca[[#This Row],[2]]="","",IF(setca[[#This Row],[18]]=TRUE,                                     setca[[#This Row],[2]]+(TODAY())&lt;$C$36))</f>
        <v/>
      </c>
      <c r="Z135" s="195">
        <f>IF(OR(setca[[#This Row],[5]]="WN",setca[[#This Row],[5]]="Es"),(setca[[#This Row],[12]]+setca[[#This Row],[13]])*1.12,setca[[#This Row],[12]]+setca[[#This Row],[13]])</f>
        <v>0</v>
      </c>
      <c r="AA135" s="195">
        <f>IF(OR(setca[[#This Row],[5]]="WN",setca[[#This Row],[5]]="Es"),setca[[#This Row],[4]]*1.12,setca[[#This Row],[4]])*(setca[[#This Row],[14]]+1)</f>
        <v>0</v>
      </c>
      <c r="AB135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35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35" s="195" t="b">
        <f>IF(setca[[#This Row],[16]]=FALSE,TRUE,FALSE)</f>
        <v>1</v>
      </c>
      <c r="AE135" s="195" t="b">
        <f ca="1">IF(setca[[#This Row],[2]]="",FALSE,AND((setca[[#This Row],[2]]+TODAY())&lt;$C$36,setca[[#This Row],[17]]=FALSE,setca[[#This Row],[18]]=TRUE))</f>
        <v>0</v>
      </c>
      <c r="AF135" s="195" t="b">
        <f ca="1">IF(setca[[#This Row],[2]]="",FALSE,AND((setca[[#This Row],[3]]+TODAY())&lt;$C$36,setca[[#This Row],[18]]=TRUE))</f>
        <v>0</v>
      </c>
      <c r="AG135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35" s="1"/>
      <c r="AI135" s="1"/>
    </row>
    <row r="136" spans="1:35" ht="11.1" customHeight="1" x14ac:dyDescent="0.25">
      <c r="A136" s="124" t="str">
        <f t="array" aca="1" ref="A136" ca="1">IFERROR(INDEX($F$39:$F$238,MATCH(0,IF(TRUE=setca[28],0,1)+COUNTIF($F$38:F173,$F$39:$F$238),0)),"")</f>
        <v/>
      </c>
      <c r="B136" s="109">
        <f>IFERROR(VLOOKUP(setca[[#This Row],[23]],Start!$B$87:$N$10044,3,0),0)+IF(setca[[#This Row],[18]]=TRUE,1+setca[[#This Row],[14]],0)</f>
        <v>0</v>
      </c>
      <c r="C136" s="21">
        <f>IFERROR((IFERROR(VLOOKUP(setca[[#This Row],[23]],Start!$B$87:$N$10044,12,0),0)+IF(setca[[#This Row],[18]]=TRUE,setca[[#This Row],[21]]-setca[[#This Row],[22]],0))/B136,0)</f>
        <v>0</v>
      </c>
      <c r="D136" s="1"/>
      <c r="E136" s="19">
        <f t="shared" ca="1" si="8"/>
        <v>2</v>
      </c>
      <c r="F136" s="173">
        <f t="shared" si="9"/>
        <v>99</v>
      </c>
      <c r="G136" s="99"/>
      <c r="H136" s="99"/>
      <c r="I136" s="114"/>
      <c r="J136" s="100"/>
      <c r="K136" s="100"/>
      <c r="L136" s="100"/>
      <c r="M136" s="100"/>
      <c r="N136" s="100"/>
      <c r="O136" s="100"/>
      <c r="P136" s="101"/>
      <c r="Q136" s="105"/>
      <c r="R136" s="106"/>
      <c r="S136" s="104"/>
      <c r="T136" s="100" t="s">
        <v>71</v>
      </c>
      <c r="U136" s="133" t="b">
        <v>0</v>
      </c>
      <c r="V136" s="135" t="b">
        <v>0</v>
      </c>
      <c r="W136" s="136" t="b">
        <v>0</v>
      </c>
      <c r="X136" s="185" t="str">
        <f ca="1">IF(setca[[#This Row],[18]]=TRUE,IF($N$1=TRUE,TODAY()-1,TODAY()),"")</f>
        <v/>
      </c>
      <c r="Y136" s="195" t="str">
        <f ca="1">IF(setca[[#This Row],[2]]="","",IF(setca[[#This Row],[18]]=TRUE,                                     setca[[#This Row],[2]]+(TODAY())&lt;$C$36))</f>
        <v/>
      </c>
      <c r="Z136" s="195">
        <f>IF(OR(setca[[#This Row],[5]]="WN",setca[[#This Row],[5]]="Es"),(setca[[#This Row],[12]]+setca[[#This Row],[13]])*1.12,setca[[#This Row],[12]]+setca[[#This Row],[13]])</f>
        <v>0</v>
      </c>
      <c r="AA136" s="195">
        <f>IF(OR(setca[[#This Row],[5]]="WN",setca[[#This Row],[5]]="Es"),setca[[#This Row],[4]]*1.12,setca[[#This Row],[4]])*(setca[[#This Row],[14]]+1)</f>
        <v>0</v>
      </c>
      <c r="AB136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36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36" s="195" t="b">
        <f>IF(setca[[#This Row],[16]]=FALSE,TRUE,FALSE)</f>
        <v>1</v>
      </c>
      <c r="AE136" s="195" t="b">
        <f ca="1">IF(setca[[#This Row],[2]]="",FALSE,AND((setca[[#This Row],[2]]+TODAY())&lt;$C$36,setca[[#This Row],[17]]=FALSE,setca[[#This Row],[18]]=TRUE))</f>
        <v>0</v>
      </c>
      <c r="AF136" s="195" t="b">
        <f ca="1">IF(setca[[#This Row],[2]]="",FALSE,AND((setca[[#This Row],[3]]+TODAY())&lt;$C$36,setca[[#This Row],[18]]=TRUE))</f>
        <v>0</v>
      </c>
      <c r="AG136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36" s="1"/>
      <c r="AI136" s="1"/>
    </row>
    <row r="137" spans="1:35" ht="11.1" customHeight="1" x14ac:dyDescent="0.25">
      <c r="A137" s="124" t="str">
        <f t="array" aca="1" ref="A137" ca="1">IFERROR(INDEX($F$39:$F$238,MATCH(0,IF(TRUE=setca[28],0,1)+COUNTIF($F$38:F174,$F$39:$F$238),0)),"")</f>
        <v/>
      </c>
      <c r="B137" s="109">
        <f>IFERROR(VLOOKUP(setca[[#This Row],[23]],Start!$B$87:$N$10044,3,0),0)+IF(setca[[#This Row],[18]]=TRUE,1+setca[[#This Row],[14]],0)</f>
        <v>0</v>
      </c>
      <c r="C137" s="21">
        <f>IFERROR((IFERROR(VLOOKUP(setca[[#This Row],[23]],Start!$B$87:$N$10044,12,0),0)+IF(setca[[#This Row],[18]]=TRUE,setca[[#This Row],[21]]-setca[[#This Row],[22]],0))/B137,0)</f>
        <v>0</v>
      </c>
      <c r="D137" s="1"/>
      <c r="E137" s="19">
        <f t="shared" ca="1" si="8"/>
        <v>2</v>
      </c>
      <c r="F137" s="173">
        <f t="shared" si="9"/>
        <v>100</v>
      </c>
      <c r="G137" s="99"/>
      <c r="H137" s="99"/>
      <c r="I137" s="114"/>
      <c r="J137" s="100"/>
      <c r="K137" s="100"/>
      <c r="L137" s="100"/>
      <c r="M137" s="100"/>
      <c r="N137" s="100"/>
      <c r="O137" s="100"/>
      <c r="P137" s="101"/>
      <c r="Q137" s="105"/>
      <c r="R137" s="106"/>
      <c r="S137" s="104"/>
      <c r="T137" s="100" t="s">
        <v>71</v>
      </c>
      <c r="U137" s="133" t="b">
        <v>0</v>
      </c>
      <c r="V137" s="135" t="b">
        <v>0</v>
      </c>
      <c r="W137" s="136" t="b">
        <v>0</v>
      </c>
      <c r="X137" s="185" t="str">
        <f ca="1">IF(setca[[#This Row],[18]]=TRUE,IF($N$1=TRUE,TODAY()-1,TODAY()),"")</f>
        <v/>
      </c>
      <c r="Y137" s="195" t="str">
        <f ca="1">IF(setca[[#This Row],[2]]="","",IF(setca[[#This Row],[18]]=TRUE,                                     setca[[#This Row],[2]]+(TODAY())&lt;$C$36))</f>
        <v/>
      </c>
      <c r="Z137" s="195">
        <f>IF(OR(setca[[#This Row],[5]]="WN",setca[[#This Row],[5]]="Es"),(setca[[#This Row],[12]]+setca[[#This Row],[13]])*1.12,setca[[#This Row],[12]]+setca[[#This Row],[13]])</f>
        <v>0</v>
      </c>
      <c r="AA137" s="195">
        <f>IF(OR(setca[[#This Row],[5]]="WN",setca[[#This Row],[5]]="Es"),setca[[#This Row],[4]]*1.12,setca[[#This Row],[4]])*(setca[[#This Row],[14]]+1)</f>
        <v>0</v>
      </c>
      <c r="AB137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37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37" s="195" t="b">
        <f>IF(setca[[#This Row],[16]]=FALSE,TRUE,FALSE)</f>
        <v>1</v>
      </c>
      <c r="AE137" s="195" t="b">
        <f ca="1">IF(setca[[#This Row],[2]]="",FALSE,AND((setca[[#This Row],[2]]+TODAY())&lt;$C$36,setca[[#This Row],[17]]=FALSE,setca[[#This Row],[18]]=TRUE))</f>
        <v>0</v>
      </c>
      <c r="AF137" s="195" t="b">
        <f ca="1">IF(setca[[#This Row],[2]]="",FALSE,AND((setca[[#This Row],[3]]+TODAY())&lt;$C$36,setca[[#This Row],[18]]=TRUE))</f>
        <v>0</v>
      </c>
      <c r="AG137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37" s="1"/>
      <c r="AI137" s="1"/>
    </row>
    <row r="138" spans="1:35" ht="11.1" customHeight="1" x14ac:dyDescent="0.25">
      <c r="A138" s="124" t="str">
        <f t="array" aca="1" ref="A138" ca="1">IFERROR(INDEX($F$39:$F$238,MATCH(0,IF(TRUE=setca[28],0,1)+COUNTIF($F$38:F175,$F$39:$F$238),0)),"")</f>
        <v/>
      </c>
      <c r="B138" s="109">
        <f>IFERROR(VLOOKUP(setca[[#This Row],[23]],Start!$B$87:$N$10044,3,0),0)+IF(setca[[#This Row],[18]]=TRUE,1+setca[[#This Row],[14]],0)</f>
        <v>0</v>
      </c>
      <c r="C138" s="21">
        <f>IFERROR((IFERROR(VLOOKUP(setca[[#This Row],[23]],Start!$B$87:$N$10044,12,0),0)+IF(setca[[#This Row],[18]]=TRUE,setca[[#This Row],[21]]-setca[[#This Row],[22]],0))/B138,0)</f>
        <v>0</v>
      </c>
      <c r="D138" s="1"/>
      <c r="E138" s="19">
        <f t="shared" ca="1" si="8"/>
        <v>2</v>
      </c>
      <c r="F138" s="173">
        <f t="shared" si="9"/>
        <v>101</v>
      </c>
      <c r="G138" s="99"/>
      <c r="H138" s="99"/>
      <c r="I138" s="114"/>
      <c r="J138" s="100"/>
      <c r="K138" s="100"/>
      <c r="L138" s="100"/>
      <c r="M138" s="100"/>
      <c r="N138" s="100"/>
      <c r="O138" s="100"/>
      <c r="P138" s="101"/>
      <c r="Q138" s="105"/>
      <c r="R138" s="106"/>
      <c r="S138" s="104"/>
      <c r="T138" s="100" t="s">
        <v>71</v>
      </c>
      <c r="U138" s="133" t="b">
        <v>0</v>
      </c>
      <c r="V138" s="135" t="b">
        <v>0</v>
      </c>
      <c r="W138" s="136" t="b">
        <v>0</v>
      </c>
      <c r="X138" s="185" t="str">
        <f ca="1">IF(setca[[#This Row],[18]]=TRUE,IF($N$1=TRUE,TODAY()-1,TODAY()),"")</f>
        <v/>
      </c>
      <c r="Y138" s="195" t="str">
        <f ca="1">IF(setca[[#This Row],[2]]="","",IF(setca[[#This Row],[18]]=TRUE,                                     setca[[#This Row],[2]]+(TODAY())&lt;$C$36))</f>
        <v/>
      </c>
      <c r="Z138" s="195">
        <f>IF(OR(setca[[#This Row],[5]]="WN",setca[[#This Row],[5]]="Es"),(setca[[#This Row],[12]]+setca[[#This Row],[13]])*1.12,setca[[#This Row],[12]]+setca[[#This Row],[13]])</f>
        <v>0</v>
      </c>
      <c r="AA138" s="195">
        <f>IF(OR(setca[[#This Row],[5]]="WN",setca[[#This Row],[5]]="Es"),setca[[#This Row],[4]]*1.12,setca[[#This Row],[4]])*(setca[[#This Row],[14]]+1)</f>
        <v>0</v>
      </c>
      <c r="AB138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38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38" s="195" t="b">
        <f>IF(setca[[#This Row],[16]]=FALSE,TRUE,FALSE)</f>
        <v>1</v>
      </c>
      <c r="AE138" s="195" t="b">
        <f ca="1">IF(setca[[#This Row],[2]]="",FALSE,AND((setca[[#This Row],[2]]+TODAY())&lt;$C$36,setca[[#This Row],[17]]=FALSE,setca[[#This Row],[18]]=TRUE))</f>
        <v>0</v>
      </c>
      <c r="AF138" s="195" t="b">
        <f ca="1">IF(setca[[#This Row],[2]]="",FALSE,AND((setca[[#This Row],[3]]+TODAY())&lt;$C$36,setca[[#This Row],[18]]=TRUE))</f>
        <v>0</v>
      </c>
      <c r="AG138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38" s="1"/>
      <c r="AI138" s="1"/>
    </row>
    <row r="139" spans="1:35" ht="11.1" customHeight="1" x14ac:dyDescent="0.25">
      <c r="A139" s="124" t="str">
        <f t="array" aca="1" ref="A139" ca="1">IFERROR(INDEX($F$39:$F$238,MATCH(0,IF(TRUE=setca[28],0,1)+COUNTIF($F$38:F176,$F$39:$F$238),0)),"")</f>
        <v/>
      </c>
      <c r="B139" s="109">
        <f>IFERROR(VLOOKUP(setca[[#This Row],[23]],Start!$B$87:$N$10044,3,0),0)+IF(setca[[#This Row],[18]]=TRUE,1+setca[[#This Row],[14]],0)</f>
        <v>0</v>
      </c>
      <c r="C139" s="21">
        <f>IFERROR((IFERROR(VLOOKUP(setca[[#This Row],[23]],Start!$B$87:$N$10044,12,0),0)+IF(setca[[#This Row],[18]]=TRUE,setca[[#This Row],[21]]-setca[[#This Row],[22]],0))/B139,0)</f>
        <v>0</v>
      </c>
      <c r="D139" s="1"/>
      <c r="E139" s="19">
        <f t="shared" ca="1" si="8"/>
        <v>2</v>
      </c>
      <c r="F139" s="173">
        <f t="shared" si="9"/>
        <v>102</v>
      </c>
      <c r="G139" s="99"/>
      <c r="H139" s="99"/>
      <c r="I139" s="114"/>
      <c r="J139" s="100"/>
      <c r="K139" s="100"/>
      <c r="L139" s="100"/>
      <c r="M139" s="100"/>
      <c r="N139" s="100"/>
      <c r="O139" s="100"/>
      <c r="P139" s="101"/>
      <c r="Q139" s="105"/>
      <c r="R139" s="106"/>
      <c r="S139" s="104"/>
      <c r="T139" s="100" t="s">
        <v>71</v>
      </c>
      <c r="U139" s="133" t="b">
        <v>0</v>
      </c>
      <c r="V139" s="135" t="b">
        <v>0</v>
      </c>
      <c r="W139" s="136" t="b">
        <v>0</v>
      </c>
      <c r="X139" s="185" t="str">
        <f ca="1">IF(setca[[#This Row],[18]]=TRUE,IF($N$1=TRUE,TODAY()-1,TODAY()),"")</f>
        <v/>
      </c>
      <c r="Y139" s="195" t="str">
        <f ca="1">IF(setca[[#This Row],[2]]="","",IF(setca[[#This Row],[18]]=TRUE,                                     setca[[#This Row],[2]]+(TODAY())&lt;$C$36))</f>
        <v/>
      </c>
      <c r="Z139" s="195">
        <f>IF(OR(setca[[#This Row],[5]]="WN",setca[[#This Row],[5]]="Es"),(setca[[#This Row],[12]]+setca[[#This Row],[13]])*1.12,setca[[#This Row],[12]]+setca[[#This Row],[13]])</f>
        <v>0</v>
      </c>
      <c r="AA139" s="195">
        <f>IF(OR(setca[[#This Row],[5]]="WN",setca[[#This Row],[5]]="Es"),setca[[#This Row],[4]]*1.12,setca[[#This Row],[4]])*(setca[[#This Row],[14]]+1)</f>
        <v>0</v>
      </c>
      <c r="AB139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39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39" s="195" t="b">
        <f>IF(setca[[#This Row],[16]]=FALSE,TRUE,FALSE)</f>
        <v>1</v>
      </c>
      <c r="AE139" s="195" t="b">
        <f ca="1">IF(setca[[#This Row],[2]]="",FALSE,AND((setca[[#This Row],[2]]+TODAY())&lt;$C$36,setca[[#This Row],[17]]=FALSE,setca[[#This Row],[18]]=TRUE))</f>
        <v>0</v>
      </c>
      <c r="AF139" s="195" t="b">
        <f ca="1">IF(setca[[#This Row],[2]]="",FALSE,AND((setca[[#This Row],[3]]+TODAY())&lt;$C$36,setca[[#This Row],[18]]=TRUE))</f>
        <v>0</v>
      </c>
      <c r="AG139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39" s="1"/>
      <c r="AI139" s="1"/>
    </row>
    <row r="140" spans="1:35" ht="11.1" customHeight="1" x14ac:dyDescent="0.25">
      <c r="A140" s="124" t="str">
        <f t="array" aca="1" ref="A140" ca="1">IFERROR(INDEX($F$39:$F$238,MATCH(0,IF(TRUE=setca[28],0,1)+COUNTIF($F$38:F177,$F$39:$F$238),0)),"")</f>
        <v/>
      </c>
      <c r="B140" s="109">
        <f>IFERROR(VLOOKUP(setca[[#This Row],[23]],Start!$B$87:$N$10044,3,0),0)+IF(setca[[#This Row],[18]]=TRUE,1+setca[[#This Row],[14]],0)</f>
        <v>0</v>
      </c>
      <c r="C140" s="21">
        <f>IFERROR((IFERROR(VLOOKUP(setca[[#This Row],[23]],Start!$B$87:$N$10044,12,0),0)+IF(setca[[#This Row],[18]]=TRUE,setca[[#This Row],[21]]-setca[[#This Row],[22]],0))/B140,0)</f>
        <v>0</v>
      </c>
      <c r="D140" s="1"/>
      <c r="E140" s="19">
        <f t="shared" ca="1" si="8"/>
        <v>2</v>
      </c>
      <c r="F140" s="173">
        <f t="shared" si="9"/>
        <v>103</v>
      </c>
      <c r="G140" s="99"/>
      <c r="H140" s="99"/>
      <c r="I140" s="114"/>
      <c r="J140" s="99"/>
      <c r="K140" s="100"/>
      <c r="L140" s="100"/>
      <c r="M140" s="100"/>
      <c r="N140" s="100"/>
      <c r="O140" s="100"/>
      <c r="P140" s="101"/>
      <c r="Q140" s="105"/>
      <c r="R140" s="106"/>
      <c r="S140" s="104"/>
      <c r="T140" s="100" t="s">
        <v>71</v>
      </c>
      <c r="U140" s="133" t="b">
        <v>0</v>
      </c>
      <c r="V140" s="135" t="b">
        <v>0</v>
      </c>
      <c r="W140" s="136" t="b">
        <v>0</v>
      </c>
      <c r="X140" s="185" t="str">
        <f ca="1">IF(setca[[#This Row],[18]]=TRUE,IF($N$1=TRUE,TODAY()-1,TODAY()),"")</f>
        <v/>
      </c>
      <c r="Y140" s="195" t="str">
        <f ca="1">IF(setca[[#This Row],[2]]="","",IF(setca[[#This Row],[18]]=TRUE,                                     setca[[#This Row],[2]]+(TODAY())&lt;$C$36))</f>
        <v/>
      </c>
      <c r="Z140" s="195">
        <f>IF(OR(setca[[#This Row],[5]]="WN",setca[[#This Row],[5]]="Es"),(setca[[#This Row],[12]]+setca[[#This Row],[13]])*1.12,setca[[#This Row],[12]]+setca[[#This Row],[13]])</f>
        <v>0</v>
      </c>
      <c r="AA140" s="195">
        <f>IF(OR(setca[[#This Row],[5]]="WN",setca[[#This Row],[5]]="Es"),setca[[#This Row],[4]]*1.12,setca[[#This Row],[4]])*(setca[[#This Row],[14]]+1)</f>
        <v>0</v>
      </c>
      <c r="AB140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40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40" s="195" t="b">
        <f>IF(setca[[#This Row],[16]]=FALSE,TRUE,FALSE)</f>
        <v>1</v>
      </c>
      <c r="AE140" s="195" t="b">
        <f ca="1">IF(setca[[#This Row],[2]]="",FALSE,AND((setca[[#This Row],[2]]+TODAY())&lt;$C$36,setca[[#This Row],[17]]=FALSE,setca[[#This Row],[18]]=TRUE))</f>
        <v>0</v>
      </c>
      <c r="AF140" s="195" t="b">
        <f ca="1">IF(setca[[#This Row],[2]]="",FALSE,AND((setca[[#This Row],[3]]+TODAY())&lt;$C$36,setca[[#This Row],[18]]=TRUE))</f>
        <v>0</v>
      </c>
      <c r="AG140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40" s="1"/>
      <c r="AI140" s="1"/>
    </row>
    <row r="141" spans="1:35" ht="11.1" customHeight="1" x14ac:dyDescent="0.25">
      <c r="A141" s="124" t="str">
        <f t="array" aca="1" ref="A141" ca="1">IFERROR(INDEX($F$39:$F$238,MATCH(0,IF(TRUE=setca[28],0,1)+COUNTIF($F$38:F178,$F$39:$F$238),0)),"")</f>
        <v/>
      </c>
      <c r="B141" s="109">
        <f>IFERROR(VLOOKUP(setca[[#This Row],[23]],Start!$B$87:$N$10044,3,0),0)+IF(setca[[#This Row],[18]]=TRUE,1+setca[[#This Row],[14]],0)</f>
        <v>0</v>
      </c>
      <c r="C141" s="21">
        <f>IFERROR((IFERROR(VLOOKUP(setca[[#This Row],[23]],Start!$B$87:$N$10044,12,0),0)+IF(setca[[#This Row],[18]]=TRUE,setca[[#This Row],[21]]-setca[[#This Row],[22]],0))/B141,0)</f>
        <v>0</v>
      </c>
      <c r="D141" s="1"/>
      <c r="E141" s="19">
        <f t="shared" ca="1" si="8"/>
        <v>2</v>
      </c>
      <c r="F141" s="173">
        <f t="shared" si="9"/>
        <v>104</v>
      </c>
      <c r="G141" s="99"/>
      <c r="H141" s="99"/>
      <c r="I141" s="114"/>
      <c r="J141" s="100"/>
      <c r="K141" s="100"/>
      <c r="L141" s="100"/>
      <c r="M141" s="100"/>
      <c r="N141" s="100"/>
      <c r="O141" s="100"/>
      <c r="P141" s="101"/>
      <c r="Q141" s="105"/>
      <c r="R141" s="106"/>
      <c r="S141" s="104"/>
      <c r="T141" s="100" t="s">
        <v>71</v>
      </c>
      <c r="U141" s="133" t="b">
        <v>0</v>
      </c>
      <c r="V141" s="135" t="b">
        <v>0</v>
      </c>
      <c r="W141" s="136" t="b">
        <v>0</v>
      </c>
      <c r="X141" s="185" t="str">
        <f ca="1">IF(setca[[#This Row],[18]]=TRUE,IF($N$1=TRUE,TODAY()-1,TODAY()),"")</f>
        <v/>
      </c>
      <c r="Y141" s="195" t="str">
        <f ca="1">IF(setca[[#This Row],[2]]="","",IF(setca[[#This Row],[18]]=TRUE,                                     setca[[#This Row],[2]]+(TODAY())&lt;$C$36))</f>
        <v/>
      </c>
      <c r="Z141" s="195">
        <f>IF(OR(setca[[#This Row],[5]]="WN",setca[[#This Row],[5]]="Es"),(setca[[#This Row],[12]]+setca[[#This Row],[13]])*1.12,setca[[#This Row],[12]]+setca[[#This Row],[13]])</f>
        <v>0</v>
      </c>
      <c r="AA141" s="195">
        <f>IF(OR(setca[[#This Row],[5]]="WN",setca[[#This Row],[5]]="Es"),setca[[#This Row],[4]]*1.12,setca[[#This Row],[4]])*(setca[[#This Row],[14]]+1)</f>
        <v>0</v>
      </c>
      <c r="AB141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41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41" s="195" t="b">
        <f>IF(setca[[#This Row],[16]]=FALSE,TRUE,FALSE)</f>
        <v>1</v>
      </c>
      <c r="AE141" s="195" t="b">
        <f ca="1">IF(setca[[#This Row],[2]]="",FALSE,AND((setca[[#This Row],[2]]+TODAY())&lt;$C$36,setca[[#This Row],[17]]=FALSE,setca[[#This Row],[18]]=TRUE))</f>
        <v>0</v>
      </c>
      <c r="AF141" s="195" t="b">
        <f ca="1">IF(setca[[#This Row],[2]]="",FALSE,AND((setca[[#This Row],[3]]+TODAY())&lt;$C$36,setca[[#This Row],[18]]=TRUE))</f>
        <v>0</v>
      </c>
      <c r="AG141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41" s="1"/>
      <c r="AI141" s="1"/>
    </row>
    <row r="142" spans="1:35" ht="11.1" customHeight="1" x14ac:dyDescent="0.25">
      <c r="A142" s="124" t="str">
        <f t="array" aca="1" ref="A142" ca="1">IFERROR(INDEX($F$39:$F$238,MATCH(0,IF(TRUE=setca[28],0,1)+COUNTIF($F$38:F179,$F$39:$F$238),0)),"")</f>
        <v/>
      </c>
      <c r="B142" s="109">
        <f>IFERROR(VLOOKUP(setca[[#This Row],[23]],Start!$B$87:$N$10044,3,0),0)+IF(setca[[#This Row],[18]]=TRUE,1+setca[[#This Row],[14]],0)</f>
        <v>0</v>
      </c>
      <c r="C142" s="21">
        <f>IFERROR((IFERROR(VLOOKUP(setca[[#This Row],[23]],Start!$B$87:$N$10044,12,0),0)+IF(setca[[#This Row],[18]]=TRUE,setca[[#This Row],[21]]-setca[[#This Row],[22]],0))/B142,0)</f>
        <v>0</v>
      </c>
      <c r="D142" s="1"/>
      <c r="E142" s="19">
        <f t="shared" ca="1" si="8"/>
        <v>2</v>
      </c>
      <c r="F142" s="173">
        <f t="shared" si="9"/>
        <v>105</v>
      </c>
      <c r="G142" s="99"/>
      <c r="H142" s="99"/>
      <c r="I142" s="114"/>
      <c r="J142" s="100"/>
      <c r="K142" s="100"/>
      <c r="L142" s="100"/>
      <c r="M142" s="100"/>
      <c r="N142" s="100"/>
      <c r="O142" s="100"/>
      <c r="P142" s="101"/>
      <c r="Q142" s="105"/>
      <c r="R142" s="106"/>
      <c r="S142" s="104"/>
      <c r="T142" s="100" t="s">
        <v>71</v>
      </c>
      <c r="U142" s="133" t="b">
        <v>0</v>
      </c>
      <c r="V142" s="135" t="b">
        <v>0</v>
      </c>
      <c r="W142" s="136" t="b">
        <v>0</v>
      </c>
      <c r="X142" s="185" t="str">
        <f ca="1">IF(setca[[#This Row],[18]]=TRUE,IF($N$1=TRUE,TODAY()-1,TODAY()),"")</f>
        <v/>
      </c>
      <c r="Y142" s="195" t="str">
        <f ca="1">IF(setca[[#This Row],[2]]="","",IF(setca[[#This Row],[18]]=TRUE,                                     setca[[#This Row],[2]]+(TODAY())&lt;$C$36))</f>
        <v/>
      </c>
      <c r="Z142" s="195">
        <f>IF(OR(setca[[#This Row],[5]]="WN",setca[[#This Row],[5]]="Es"),(setca[[#This Row],[12]]+setca[[#This Row],[13]])*1.12,setca[[#This Row],[12]]+setca[[#This Row],[13]])</f>
        <v>0</v>
      </c>
      <c r="AA142" s="195">
        <f>IF(OR(setca[[#This Row],[5]]="WN",setca[[#This Row],[5]]="Es"),setca[[#This Row],[4]]*1.12,setca[[#This Row],[4]])*(setca[[#This Row],[14]]+1)</f>
        <v>0</v>
      </c>
      <c r="AB142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42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42" s="195" t="b">
        <f>IF(setca[[#This Row],[16]]=FALSE,TRUE,FALSE)</f>
        <v>1</v>
      </c>
      <c r="AE142" s="195" t="b">
        <f ca="1">IF(setca[[#This Row],[2]]="",FALSE,AND((setca[[#This Row],[2]]+TODAY())&lt;$C$36,setca[[#This Row],[17]]=FALSE,setca[[#This Row],[18]]=TRUE))</f>
        <v>0</v>
      </c>
      <c r="AF142" s="195" t="b">
        <f ca="1">IF(setca[[#This Row],[2]]="",FALSE,AND((setca[[#This Row],[3]]+TODAY())&lt;$C$36,setca[[#This Row],[18]]=TRUE))</f>
        <v>0</v>
      </c>
      <c r="AG142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42" s="1"/>
      <c r="AI142" s="1"/>
    </row>
    <row r="143" spans="1:35" ht="11.1" customHeight="1" x14ac:dyDescent="0.25">
      <c r="A143" s="124" t="str">
        <f t="array" aca="1" ref="A143" ca="1">IFERROR(INDEX($F$39:$F$238,MATCH(0,IF(TRUE=setca[28],0,1)+COUNTIF($F$38:F180,$F$39:$F$238),0)),"")</f>
        <v/>
      </c>
      <c r="B143" s="109">
        <f>IFERROR(VLOOKUP(setca[[#This Row],[23]],Start!$B$87:$N$10044,3,0),0)+IF(setca[[#This Row],[18]]=TRUE,1+setca[[#This Row],[14]],0)</f>
        <v>0</v>
      </c>
      <c r="C143" s="21">
        <f>IFERROR((IFERROR(VLOOKUP(setca[[#This Row],[23]],Start!$B$87:$N$10044,12,0),0)+IF(setca[[#This Row],[18]]=TRUE,setca[[#This Row],[21]]-setca[[#This Row],[22]],0))/B143,0)</f>
        <v>0</v>
      </c>
      <c r="D143" s="1"/>
      <c r="E143" s="19">
        <f t="shared" ca="1" si="8"/>
        <v>2</v>
      </c>
      <c r="F143" s="173">
        <f t="shared" si="9"/>
        <v>106</v>
      </c>
      <c r="G143" s="99"/>
      <c r="H143" s="99"/>
      <c r="I143" s="114"/>
      <c r="J143" s="100"/>
      <c r="K143" s="100"/>
      <c r="L143" s="100"/>
      <c r="M143" s="100"/>
      <c r="N143" s="100"/>
      <c r="O143" s="100"/>
      <c r="P143" s="101"/>
      <c r="Q143" s="105"/>
      <c r="R143" s="106"/>
      <c r="S143" s="104"/>
      <c r="T143" s="100" t="s">
        <v>71</v>
      </c>
      <c r="U143" s="133" t="b">
        <v>0</v>
      </c>
      <c r="V143" s="135" t="b">
        <v>0</v>
      </c>
      <c r="W143" s="136" t="b">
        <v>0</v>
      </c>
      <c r="X143" s="185" t="str">
        <f ca="1">IF(setca[[#This Row],[18]]=TRUE,IF($N$1=TRUE,TODAY()-1,TODAY()),"")</f>
        <v/>
      </c>
      <c r="Y143" s="195" t="str">
        <f ca="1">IF(setca[[#This Row],[2]]="","",IF(setca[[#This Row],[18]]=TRUE,                                     setca[[#This Row],[2]]+(TODAY())&lt;$C$36))</f>
        <v/>
      </c>
      <c r="Z143" s="195">
        <f>IF(OR(setca[[#This Row],[5]]="WN",setca[[#This Row],[5]]="Es"),(setca[[#This Row],[12]]+setca[[#This Row],[13]])*1.12,setca[[#This Row],[12]]+setca[[#This Row],[13]])</f>
        <v>0</v>
      </c>
      <c r="AA143" s="195">
        <f>IF(OR(setca[[#This Row],[5]]="WN",setca[[#This Row],[5]]="Es"),setca[[#This Row],[4]]*1.12,setca[[#This Row],[4]])*(setca[[#This Row],[14]]+1)</f>
        <v>0</v>
      </c>
      <c r="AB143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43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43" s="195" t="b">
        <f>IF(setca[[#This Row],[16]]=FALSE,TRUE,FALSE)</f>
        <v>1</v>
      </c>
      <c r="AE143" s="195" t="b">
        <f ca="1">IF(setca[[#This Row],[2]]="",FALSE,AND((setca[[#This Row],[2]]+TODAY())&lt;$C$36,setca[[#This Row],[17]]=FALSE,setca[[#This Row],[18]]=TRUE))</f>
        <v>0</v>
      </c>
      <c r="AF143" s="195" t="b">
        <f ca="1">IF(setca[[#This Row],[2]]="",FALSE,AND((setca[[#This Row],[3]]+TODAY())&lt;$C$36,setca[[#This Row],[18]]=TRUE))</f>
        <v>0</v>
      </c>
      <c r="AG143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43" s="1"/>
      <c r="AI143" s="1"/>
    </row>
    <row r="144" spans="1:35" ht="11.1" customHeight="1" x14ac:dyDescent="0.25">
      <c r="A144" s="124" t="str">
        <f t="array" aca="1" ref="A144" ca="1">IFERROR(INDEX($F$39:$F$238,MATCH(0,IF(TRUE=setca[28],0,1)+COUNTIF($F$38:F181,$F$39:$F$238),0)),"")</f>
        <v/>
      </c>
      <c r="B144" s="109">
        <f>IFERROR(VLOOKUP(setca[[#This Row],[23]],Start!$B$87:$N$10044,3,0),0)+IF(setca[[#This Row],[18]]=TRUE,1+setca[[#This Row],[14]],0)</f>
        <v>0</v>
      </c>
      <c r="C144" s="21">
        <f>IFERROR((IFERROR(VLOOKUP(setca[[#This Row],[23]],Start!$B$87:$N$10044,12,0),0)+IF(setca[[#This Row],[18]]=TRUE,setca[[#This Row],[21]]-setca[[#This Row],[22]],0))/B144,0)</f>
        <v>0</v>
      </c>
      <c r="D144" s="1"/>
      <c r="E144" s="19">
        <f t="shared" ca="1" si="8"/>
        <v>2</v>
      </c>
      <c r="F144" s="173">
        <f t="shared" si="9"/>
        <v>107</v>
      </c>
      <c r="G144" s="99"/>
      <c r="H144" s="99"/>
      <c r="I144" s="114"/>
      <c r="J144" s="100"/>
      <c r="K144" s="100"/>
      <c r="L144" s="100"/>
      <c r="M144" s="100"/>
      <c r="N144" s="100"/>
      <c r="O144" s="100"/>
      <c r="P144" s="101"/>
      <c r="Q144" s="105"/>
      <c r="R144" s="106"/>
      <c r="S144" s="104"/>
      <c r="T144" s="100" t="s">
        <v>71</v>
      </c>
      <c r="U144" s="133" t="b">
        <v>0</v>
      </c>
      <c r="V144" s="135" t="b">
        <v>0</v>
      </c>
      <c r="W144" s="136" t="b">
        <v>0</v>
      </c>
      <c r="X144" s="185" t="str">
        <f ca="1">IF(setca[[#This Row],[18]]=TRUE,IF($N$1=TRUE,TODAY()-1,TODAY()),"")</f>
        <v/>
      </c>
      <c r="Y144" s="195" t="str">
        <f ca="1">IF(setca[[#This Row],[2]]="","",IF(setca[[#This Row],[18]]=TRUE,                                     setca[[#This Row],[2]]+(TODAY())&lt;$C$36))</f>
        <v/>
      </c>
      <c r="Z144" s="195">
        <f>IF(OR(setca[[#This Row],[5]]="WN",setca[[#This Row],[5]]="Es"),(setca[[#This Row],[12]]+setca[[#This Row],[13]])*1.12,setca[[#This Row],[12]]+setca[[#This Row],[13]])</f>
        <v>0</v>
      </c>
      <c r="AA144" s="195">
        <f>IF(OR(setca[[#This Row],[5]]="WN",setca[[#This Row],[5]]="Es"),setca[[#This Row],[4]]*1.12,setca[[#This Row],[4]])*(setca[[#This Row],[14]]+1)</f>
        <v>0</v>
      </c>
      <c r="AB144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44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44" s="195" t="b">
        <f>IF(setca[[#This Row],[16]]=FALSE,TRUE,FALSE)</f>
        <v>1</v>
      </c>
      <c r="AE144" s="195" t="b">
        <f ca="1">IF(setca[[#This Row],[2]]="",FALSE,AND((setca[[#This Row],[2]]+TODAY())&lt;$C$36,setca[[#This Row],[17]]=FALSE,setca[[#This Row],[18]]=TRUE))</f>
        <v>0</v>
      </c>
      <c r="AF144" s="195" t="b">
        <f ca="1">IF(setca[[#This Row],[2]]="",FALSE,AND((setca[[#This Row],[3]]+TODAY())&lt;$C$36,setca[[#This Row],[18]]=TRUE))</f>
        <v>0</v>
      </c>
      <c r="AG144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44" s="1"/>
      <c r="AI144" s="1"/>
    </row>
    <row r="145" spans="1:35" ht="11.1" customHeight="1" x14ac:dyDescent="0.25">
      <c r="A145" s="124" t="str">
        <f t="array" aca="1" ref="A145" ca="1">IFERROR(INDEX($F$39:$F$238,MATCH(0,IF(TRUE=setca[28],0,1)+COUNTIF($F$38:F182,$F$39:$F$238),0)),"")</f>
        <v/>
      </c>
      <c r="B145" s="109">
        <f>IFERROR(VLOOKUP(setca[[#This Row],[23]],Start!$B$87:$N$10044,3,0),0)+IF(setca[[#This Row],[18]]=TRUE,1+setca[[#This Row],[14]],0)</f>
        <v>0</v>
      </c>
      <c r="C145" s="21">
        <f>IFERROR((IFERROR(VLOOKUP(setca[[#This Row],[23]],Start!$B$87:$N$10044,12,0),0)+IF(setca[[#This Row],[18]]=TRUE,setca[[#This Row],[21]]-setca[[#This Row],[22]],0))/B145,0)</f>
        <v>0</v>
      </c>
      <c r="D145" s="1"/>
      <c r="E145" s="19">
        <f t="shared" ca="1" si="8"/>
        <v>2</v>
      </c>
      <c r="F145" s="173">
        <f t="shared" si="9"/>
        <v>108</v>
      </c>
      <c r="G145" s="99"/>
      <c r="H145" s="99"/>
      <c r="I145" s="114"/>
      <c r="J145" s="99"/>
      <c r="K145" s="100"/>
      <c r="L145" s="100"/>
      <c r="M145" s="100"/>
      <c r="N145" s="100"/>
      <c r="O145" s="100"/>
      <c r="P145" s="101"/>
      <c r="Q145" s="105"/>
      <c r="R145" s="106"/>
      <c r="S145" s="104"/>
      <c r="T145" s="100" t="s">
        <v>71</v>
      </c>
      <c r="U145" s="133" t="b">
        <v>0</v>
      </c>
      <c r="V145" s="135" t="b">
        <v>0</v>
      </c>
      <c r="W145" s="136" t="b">
        <v>0</v>
      </c>
      <c r="X145" s="185" t="str">
        <f ca="1">IF(setca[[#This Row],[18]]=TRUE,IF($N$1=TRUE,TODAY()-1,TODAY()),"")</f>
        <v/>
      </c>
      <c r="Y145" s="195" t="str">
        <f ca="1">IF(setca[[#This Row],[2]]="","",IF(setca[[#This Row],[18]]=TRUE,                                     setca[[#This Row],[2]]+(TODAY())&lt;$C$36))</f>
        <v/>
      </c>
      <c r="Z145" s="195">
        <f>IF(OR(setca[[#This Row],[5]]="WN",setca[[#This Row],[5]]="Es"),(setca[[#This Row],[12]]+setca[[#This Row],[13]])*1.12,setca[[#This Row],[12]]+setca[[#This Row],[13]])</f>
        <v>0</v>
      </c>
      <c r="AA145" s="195">
        <f>IF(OR(setca[[#This Row],[5]]="WN",setca[[#This Row],[5]]="Es"),setca[[#This Row],[4]]*1.12,setca[[#This Row],[4]])*(setca[[#This Row],[14]]+1)</f>
        <v>0</v>
      </c>
      <c r="AB145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45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45" s="195" t="b">
        <f>IF(setca[[#This Row],[16]]=FALSE,TRUE,FALSE)</f>
        <v>1</v>
      </c>
      <c r="AE145" s="195" t="b">
        <f ca="1">IF(setca[[#This Row],[2]]="",FALSE,AND((setca[[#This Row],[2]]+TODAY())&lt;$C$36,setca[[#This Row],[17]]=FALSE,setca[[#This Row],[18]]=TRUE))</f>
        <v>0</v>
      </c>
      <c r="AF145" s="195" t="b">
        <f ca="1">IF(setca[[#This Row],[2]]="",FALSE,AND((setca[[#This Row],[3]]+TODAY())&lt;$C$36,setca[[#This Row],[18]]=TRUE))</f>
        <v>0</v>
      </c>
      <c r="AG145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45" s="1"/>
      <c r="AI145" s="1"/>
    </row>
    <row r="146" spans="1:35" ht="11.1" customHeight="1" x14ac:dyDescent="0.25">
      <c r="A146" s="124" t="str">
        <f t="array" aca="1" ref="A146" ca="1">IFERROR(INDEX($F$39:$F$238,MATCH(0,IF(TRUE=setca[28],0,1)+COUNTIF($F$38:F183,$F$39:$F$238),0)),"")</f>
        <v/>
      </c>
      <c r="B146" s="109">
        <f>IFERROR(VLOOKUP(setca[[#This Row],[23]],Start!$B$87:$N$10044,3,0),0)+IF(setca[[#This Row],[18]]=TRUE,1+setca[[#This Row],[14]],0)</f>
        <v>0</v>
      </c>
      <c r="C146" s="21">
        <f>IFERROR((IFERROR(VLOOKUP(setca[[#This Row],[23]],Start!$B$87:$N$10044,12,0),0)+IF(setca[[#This Row],[18]]=TRUE,setca[[#This Row],[21]]-setca[[#This Row],[22]],0))/B146,0)</f>
        <v>0</v>
      </c>
      <c r="D146" s="1"/>
      <c r="E146" s="19">
        <f t="shared" ca="1" si="8"/>
        <v>2</v>
      </c>
      <c r="F146" s="173">
        <f t="shared" si="9"/>
        <v>109</v>
      </c>
      <c r="G146" s="99"/>
      <c r="H146" s="99"/>
      <c r="I146" s="114"/>
      <c r="J146" s="99"/>
      <c r="K146" s="100"/>
      <c r="L146" s="100"/>
      <c r="M146" s="100"/>
      <c r="N146" s="100"/>
      <c r="O146" s="100"/>
      <c r="P146" s="101"/>
      <c r="Q146" s="105"/>
      <c r="R146" s="106"/>
      <c r="S146" s="104"/>
      <c r="T146" s="100" t="s">
        <v>71</v>
      </c>
      <c r="U146" s="133" t="b">
        <v>0</v>
      </c>
      <c r="V146" s="135" t="b">
        <v>0</v>
      </c>
      <c r="W146" s="136" t="b">
        <v>0</v>
      </c>
      <c r="X146" s="185" t="str">
        <f ca="1">IF(setca[[#This Row],[18]]=TRUE,IF($N$1=TRUE,TODAY()-1,TODAY()),"")</f>
        <v/>
      </c>
      <c r="Y146" s="195" t="str">
        <f ca="1">IF(setca[[#This Row],[2]]="","",IF(setca[[#This Row],[18]]=TRUE,                                     setca[[#This Row],[2]]+(TODAY())&lt;$C$36))</f>
        <v/>
      </c>
      <c r="Z146" s="195">
        <f>IF(OR(setca[[#This Row],[5]]="WN",setca[[#This Row],[5]]="Es"),(setca[[#This Row],[12]]+setca[[#This Row],[13]])*1.12,setca[[#This Row],[12]]+setca[[#This Row],[13]])</f>
        <v>0</v>
      </c>
      <c r="AA146" s="195">
        <f>IF(OR(setca[[#This Row],[5]]="WN",setca[[#This Row],[5]]="Es"),setca[[#This Row],[4]]*1.12,setca[[#This Row],[4]])*(setca[[#This Row],[14]]+1)</f>
        <v>0</v>
      </c>
      <c r="AB146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46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46" s="195" t="b">
        <f>IF(setca[[#This Row],[16]]=FALSE,TRUE,FALSE)</f>
        <v>1</v>
      </c>
      <c r="AE146" s="195" t="b">
        <f ca="1">IF(setca[[#This Row],[2]]="",FALSE,AND((setca[[#This Row],[2]]+TODAY())&lt;$C$36,setca[[#This Row],[17]]=FALSE,setca[[#This Row],[18]]=TRUE))</f>
        <v>0</v>
      </c>
      <c r="AF146" s="195" t="b">
        <f ca="1">IF(setca[[#This Row],[2]]="",FALSE,AND((setca[[#This Row],[3]]+TODAY())&lt;$C$36,setca[[#This Row],[18]]=TRUE))</f>
        <v>0</v>
      </c>
      <c r="AG146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46" s="1"/>
      <c r="AI146" s="1"/>
    </row>
    <row r="147" spans="1:35" ht="11.1" customHeight="1" x14ac:dyDescent="0.25">
      <c r="A147" s="124" t="str">
        <f t="array" aca="1" ref="A147" ca="1">IFERROR(INDEX($F$39:$F$238,MATCH(0,IF(TRUE=setca[28],0,1)+COUNTIF($F$38:F184,$F$39:$F$238),0)),"")</f>
        <v/>
      </c>
      <c r="B147" s="109">
        <f>IFERROR(VLOOKUP(setca[[#This Row],[23]],Start!$B$87:$N$10044,3,0),0)+IF(setca[[#This Row],[18]]=TRUE,1+setca[[#This Row],[14]],0)</f>
        <v>0</v>
      </c>
      <c r="C147" s="21">
        <f>IFERROR((IFERROR(VLOOKUP(setca[[#This Row],[23]],Start!$B$87:$N$10044,12,0),0)+IF(setca[[#This Row],[18]]=TRUE,setca[[#This Row],[21]]-setca[[#This Row],[22]],0))/B147,0)</f>
        <v>0</v>
      </c>
      <c r="D147" s="1"/>
      <c r="E147" s="19">
        <f t="shared" ca="1" si="8"/>
        <v>2</v>
      </c>
      <c r="F147" s="173">
        <f t="shared" si="9"/>
        <v>110</v>
      </c>
      <c r="G147" s="99"/>
      <c r="H147" s="99"/>
      <c r="I147" s="114"/>
      <c r="J147" s="100"/>
      <c r="K147" s="100"/>
      <c r="L147" s="100"/>
      <c r="M147" s="100"/>
      <c r="N147" s="100"/>
      <c r="O147" s="100"/>
      <c r="P147" s="101"/>
      <c r="Q147" s="105"/>
      <c r="R147" s="106"/>
      <c r="S147" s="104"/>
      <c r="T147" s="100" t="s">
        <v>71</v>
      </c>
      <c r="U147" s="133" t="b">
        <v>0</v>
      </c>
      <c r="V147" s="135" t="b">
        <v>0</v>
      </c>
      <c r="W147" s="136" t="b">
        <v>0</v>
      </c>
      <c r="X147" s="185" t="str">
        <f ca="1">IF(setca[[#This Row],[18]]=TRUE,IF($N$1=TRUE,TODAY()-1,TODAY()),"")</f>
        <v/>
      </c>
      <c r="Y147" s="195" t="str">
        <f ca="1">IF(setca[[#This Row],[2]]="","",IF(setca[[#This Row],[18]]=TRUE,                                     setca[[#This Row],[2]]+(TODAY())&lt;$C$36))</f>
        <v/>
      </c>
      <c r="Z147" s="195">
        <f>IF(OR(setca[[#This Row],[5]]="WN",setca[[#This Row],[5]]="Es"),(setca[[#This Row],[12]]+setca[[#This Row],[13]])*1.12,setca[[#This Row],[12]]+setca[[#This Row],[13]])</f>
        <v>0</v>
      </c>
      <c r="AA147" s="195">
        <f>IF(OR(setca[[#This Row],[5]]="WN",setca[[#This Row],[5]]="Es"),setca[[#This Row],[4]]*1.12,setca[[#This Row],[4]])*(setca[[#This Row],[14]]+1)</f>
        <v>0</v>
      </c>
      <c r="AB147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47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47" s="195" t="b">
        <f>IF(setca[[#This Row],[16]]=FALSE,TRUE,FALSE)</f>
        <v>1</v>
      </c>
      <c r="AE147" s="195" t="b">
        <f ca="1">IF(setca[[#This Row],[2]]="",FALSE,AND((setca[[#This Row],[2]]+TODAY())&lt;$C$36,setca[[#This Row],[17]]=FALSE,setca[[#This Row],[18]]=TRUE))</f>
        <v>0</v>
      </c>
      <c r="AF147" s="195" t="b">
        <f ca="1">IF(setca[[#This Row],[2]]="",FALSE,AND((setca[[#This Row],[3]]+TODAY())&lt;$C$36,setca[[#This Row],[18]]=TRUE))</f>
        <v>0</v>
      </c>
      <c r="AG147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47" s="1"/>
      <c r="AI147" s="1"/>
    </row>
    <row r="148" spans="1:35" ht="11.1" customHeight="1" x14ac:dyDescent="0.25">
      <c r="A148" s="124" t="str">
        <f t="array" aca="1" ref="A148" ca="1">IFERROR(INDEX($F$39:$F$238,MATCH(0,IF(TRUE=setca[28],0,1)+COUNTIF($F$38:F185,$F$39:$F$238),0)),"")</f>
        <v/>
      </c>
      <c r="B148" s="109">
        <f>IFERROR(VLOOKUP(setca[[#This Row],[23]],Start!$B$87:$N$10044,3,0),0)+IF(setca[[#This Row],[18]]=TRUE,1+setca[[#This Row],[14]],0)</f>
        <v>0</v>
      </c>
      <c r="C148" s="21">
        <f>IFERROR((IFERROR(VLOOKUP(setca[[#This Row],[23]],Start!$B$87:$N$10044,12,0),0)+IF(setca[[#This Row],[18]]=TRUE,setca[[#This Row],[21]]-setca[[#This Row],[22]],0))/B148,0)</f>
        <v>0</v>
      </c>
      <c r="D148" s="1"/>
      <c r="E148" s="19">
        <f t="shared" ca="1" si="8"/>
        <v>2</v>
      </c>
      <c r="F148" s="173">
        <f t="shared" si="9"/>
        <v>111</v>
      </c>
      <c r="G148" s="99"/>
      <c r="H148" s="99"/>
      <c r="I148" s="114"/>
      <c r="J148" s="99"/>
      <c r="K148" s="100"/>
      <c r="L148" s="100"/>
      <c r="M148" s="100"/>
      <c r="N148" s="100"/>
      <c r="O148" s="100"/>
      <c r="P148" s="101"/>
      <c r="Q148" s="105"/>
      <c r="R148" s="106"/>
      <c r="S148" s="104"/>
      <c r="T148" s="100" t="s">
        <v>71</v>
      </c>
      <c r="U148" s="133" t="b">
        <v>0</v>
      </c>
      <c r="V148" s="135" t="b">
        <v>0</v>
      </c>
      <c r="W148" s="136" t="b">
        <v>0</v>
      </c>
      <c r="X148" s="185" t="str">
        <f ca="1">IF(setca[[#This Row],[18]]=TRUE,IF($N$1=TRUE,TODAY()-1,TODAY()),"")</f>
        <v/>
      </c>
      <c r="Y148" s="195" t="str">
        <f ca="1">IF(setca[[#This Row],[2]]="","",IF(setca[[#This Row],[18]]=TRUE,                                     setca[[#This Row],[2]]+(TODAY())&lt;$C$36))</f>
        <v/>
      </c>
      <c r="Z148" s="195">
        <f>IF(OR(setca[[#This Row],[5]]="WN",setca[[#This Row],[5]]="Es"),(setca[[#This Row],[12]]+setca[[#This Row],[13]])*1.12,setca[[#This Row],[12]]+setca[[#This Row],[13]])</f>
        <v>0</v>
      </c>
      <c r="AA148" s="195">
        <f>IF(OR(setca[[#This Row],[5]]="WN",setca[[#This Row],[5]]="Es"),setca[[#This Row],[4]]*1.12,setca[[#This Row],[4]])*(setca[[#This Row],[14]]+1)</f>
        <v>0</v>
      </c>
      <c r="AB148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48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48" s="195" t="b">
        <f>IF(setca[[#This Row],[16]]=FALSE,TRUE,FALSE)</f>
        <v>1</v>
      </c>
      <c r="AE148" s="195" t="b">
        <f ca="1">IF(setca[[#This Row],[2]]="",FALSE,AND((setca[[#This Row],[2]]+TODAY())&lt;$C$36,setca[[#This Row],[17]]=FALSE,setca[[#This Row],[18]]=TRUE))</f>
        <v>0</v>
      </c>
      <c r="AF148" s="195" t="b">
        <f ca="1">IF(setca[[#This Row],[2]]="",FALSE,AND((setca[[#This Row],[3]]+TODAY())&lt;$C$36,setca[[#This Row],[18]]=TRUE))</f>
        <v>0</v>
      </c>
      <c r="AG148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48" s="1"/>
      <c r="AI148" s="1"/>
    </row>
    <row r="149" spans="1:35" ht="11.1" customHeight="1" x14ac:dyDescent="0.25">
      <c r="A149" s="124" t="str">
        <f t="array" aca="1" ref="A149" ca="1">IFERROR(INDEX($F$39:$F$238,MATCH(0,IF(TRUE=setca[28],0,1)+COUNTIF($F$38:F186,$F$39:$F$238),0)),"")</f>
        <v/>
      </c>
      <c r="B149" s="109">
        <f>IFERROR(VLOOKUP(setca[[#This Row],[23]],Start!$B$87:$N$10044,3,0),0)+IF(setca[[#This Row],[18]]=TRUE,1+setca[[#This Row],[14]],0)</f>
        <v>0</v>
      </c>
      <c r="C149" s="21">
        <f>IFERROR((IFERROR(VLOOKUP(setca[[#This Row],[23]],Start!$B$87:$N$10044,12,0),0)+IF(setca[[#This Row],[18]]=TRUE,setca[[#This Row],[21]]-setca[[#This Row],[22]],0))/B149,0)</f>
        <v>0</v>
      </c>
      <c r="D149" s="1"/>
      <c r="E149" s="19">
        <f t="shared" ca="1" si="8"/>
        <v>2</v>
      </c>
      <c r="F149" s="173">
        <f t="shared" si="9"/>
        <v>112</v>
      </c>
      <c r="G149" s="99"/>
      <c r="H149" s="99"/>
      <c r="I149" s="114"/>
      <c r="J149" s="100"/>
      <c r="K149" s="100"/>
      <c r="L149" s="100"/>
      <c r="M149" s="100"/>
      <c r="N149" s="100"/>
      <c r="O149" s="100"/>
      <c r="P149" s="101"/>
      <c r="Q149" s="105"/>
      <c r="R149" s="106"/>
      <c r="S149" s="104"/>
      <c r="T149" s="100" t="s">
        <v>71</v>
      </c>
      <c r="U149" s="133" t="b">
        <v>0</v>
      </c>
      <c r="V149" s="135" t="b">
        <v>0</v>
      </c>
      <c r="W149" s="136" t="b">
        <v>0</v>
      </c>
      <c r="X149" s="185" t="str">
        <f ca="1">IF(setca[[#This Row],[18]]=TRUE,IF($N$1=TRUE,TODAY()-1,TODAY()),"")</f>
        <v/>
      </c>
      <c r="Y149" s="195" t="str">
        <f ca="1">IF(setca[[#This Row],[2]]="","",IF(setca[[#This Row],[18]]=TRUE,                                     setca[[#This Row],[2]]+(TODAY())&lt;$C$36))</f>
        <v/>
      </c>
      <c r="Z149" s="195">
        <f>IF(OR(setca[[#This Row],[5]]="WN",setca[[#This Row],[5]]="Es"),(setca[[#This Row],[12]]+setca[[#This Row],[13]])*1.12,setca[[#This Row],[12]]+setca[[#This Row],[13]])</f>
        <v>0</v>
      </c>
      <c r="AA149" s="195">
        <f>IF(OR(setca[[#This Row],[5]]="WN",setca[[#This Row],[5]]="Es"),setca[[#This Row],[4]]*1.12,setca[[#This Row],[4]])*(setca[[#This Row],[14]]+1)</f>
        <v>0</v>
      </c>
      <c r="AB149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49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49" s="195" t="b">
        <f>IF(setca[[#This Row],[16]]=FALSE,TRUE,FALSE)</f>
        <v>1</v>
      </c>
      <c r="AE149" s="195" t="b">
        <f ca="1">IF(setca[[#This Row],[2]]="",FALSE,AND((setca[[#This Row],[2]]+TODAY())&lt;$C$36,setca[[#This Row],[17]]=FALSE,setca[[#This Row],[18]]=TRUE))</f>
        <v>0</v>
      </c>
      <c r="AF149" s="195" t="b">
        <f ca="1">IF(setca[[#This Row],[2]]="",FALSE,AND((setca[[#This Row],[3]]+TODAY())&lt;$C$36,setca[[#This Row],[18]]=TRUE))</f>
        <v>0</v>
      </c>
      <c r="AG149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49" s="1"/>
      <c r="AI149" s="1"/>
    </row>
    <row r="150" spans="1:35" ht="11.1" customHeight="1" x14ac:dyDescent="0.25">
      <c r="A150" s="124" t="str">
        <f t="array" aca="1" ref="A150" ca="1">IFERROR(INDEX($F$39:$F$238,MATCH(0,IF(TRUE=setca[28],0,1)+COUNTIF($F$38:F187,$F$39:$F$238),0)),"")</f>
        <v/>
      </c>
      <c r="B150" s="109">
        <f>IFERROR(VLOOKUP(setca[[#This Row],[23]],Start!$B$87:$N$10044,3,0),0)+IF(setca[[#This Row],[18]]=TRUE,1+setca[[#This Row],[14]],0)</f>
        <v>0</v>
      </c>
      <c r="C150" s="21">
        <f>IFERROR((IFERROR(VLOOKUP(setca[[#This Row],[23]],Start!$B$87:$N$10044,12,0),0)+IF(setca[[#This Row],[18]]=TRUE,setca[[#This Row],[21]]-setca[[#This Row],[22]],0))/B150,0)</f>
        <v>0</v>
      </c>
      <c r="D150" s="1"/>
      <c r="E150" s="19">
        <f t="shared" ca="1" si="8"/>
        <v>2</v>
      </c>
      <c r="F150" s="173">
        <f t="shared" si="9"/>
        <v>113</v>
      </c>
      <c r="G150" s="99"/>
      <c r="H150" s="99"/>
      <c r="I150" s="114"/>
      <c r="J150" s="99"/>
      <c r="K150" s="100"/>
      <c r="L150" s="100"/>
      <c r="M150" s="100"/>
      <c r="N150" s="100"/>
      <c r="O150" s="100"/>
      <c r="P150" s="101"/>
      <c r="Q150" s="105"/>
      <c r="R150" s="106"/>
      <c r="S150" s="104"/>
      <c r="T150" s="100" t="s">
        <v>71</v>
      </c>
      <c r="U150" s="133" t="b">
        <v>0</v>
      </c>
      <c r="V150" s="135" t="b">
        <v>0</v>
      </c>
      <c r="W150" s="136" t="b">
        <v>0</v>
      </c>
      <c r="X150" s="185" t="str">
        <f ca="1">IF(setca[[#This Row],[18]]=TRUE,IF($N$1=TRUE,TODAY()-1,TODAY()),"")</f>
        <v/>
      </c>
      <c r="Y150" s="195" t="str">
        <f ca="1">IF(setca[[#This Row],[2]]="","",IF(setca[[#This Row],[18]]=TRUE,                                     setca[[#This Row],[2]]+(TODAY())&lt;$C$36))</f>
        <v/>
      </c>
      <c r="Z150" s="195">
        <f>IF(OR(setca[[#This Row],[5]]="WN",setca[[#This Row],[5]]="Es"),(setca[[#This Row],[12]]+setca[[#This Row],[13]])*1.12,setca[[#This Row],[12]]+setca[[#This Row],[13]])</f>
        <v>0</v>
      </c>
      <c r="AA150" s="195">
        <f>IF(OR(setca[[#This Row],[5]]="WN",setca[[#This Row],[5]]="Es"),setca[[#This Row],[4]]*1.12,setca[[#This Row],[4]])*(setca[[#This Row],[14]]+1)</f>
        <v>0</v>
      </c>
      <c r="AB150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50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50" s="195" t="b">
        <f>IF(setca[[#This Row],[16]]=FALSE,TRUE,FALSE)</f>
        <v>1</v>
      </c>
      <c r="AE150" s="195" t="b">
        <f ca="1">IF(setca[[#This Row],[2]]="",FALSE,AND((setca[[#This Row],[2]]+TODAY())&lt;$C$36,setca[[#This Row],[17]]=FALSE,setca[[#This Row],[18]]=TRUE))</f>
        <v>0</v>
      </c>
      <c r="AF150" s="195" t="b">
        <f ca="1">IF(setca[[#This Row],[2]]="",FALSE,AND((setca[[#This Row],[3]]+TODAY())&lt;$C$36,setca[[#This Row],[18]]=TRUE))</f>
        <v>0</v>
      </c>
      <c r="AG150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50" s="1"/>
      <c r="AI150" s="1"/>
    </row>
    <row r="151" spans="1:35" ht="11.1" customHeight="1" x14ac:dyDescent="0.25">
      <c r="A151" s="124" t="str">
        <f t="array" aca="1" ref="A151" ca="1">IFERROR(INDEX($F$39:$F$238,MATCH(0,IF(TRUE=setca[28],0,1)+COUNTIF($F$38:F188,$F$39:$F$238),0)),"")</f>
        <v/>
      </c>
      <c r="B151" s="109">
        <f>IFERROR(VLOOKUP(setca[[#This Row],[23]],Start!$B$87:$N$10044,3,0),0)+IF(setca[[#This Row],[18]]=TRUE,1+setca[[#This Row],[14]],0)</f>
        <v>0</v>
      </c>
      <c r="C151" s="21">
        <f>IFERROR((IFERROR(VLOOKUP(setca[[#This Row],[23]],Start!$B$87:$N$10044,12,0),0)+IF(setca[[#This Row],[18]]=TRUE,setca[[#This Row],[21]]-setca[[#This Row],[22]],0))/B151,0)</f>
        <v>0</v>
      </c>
      <c r="D151" s="1"/>
      <c r="E151" s="19">
        <f t="shared" ca="1" si="8"/>
        <v>2</v>
      </c>
      <c r="F151" s="173">
        <f t="shared" si="9"/>
        <v>114</v>
      </c>
      <c r="G151" s="99"/>
      <c r="H151" s="99"/>
      <c r="I151" s="114"/>
      <c r="J151" s="100"/>
      <c r="K151" s="100"/>
      <c r="L151" s="100"/>
      <c r="M151" s="100"/>
      <c r="N151" s="100"/>
      <c r="O151" s="100"/>
      <c r="P151" s="101"/>
      <c r="Q151" s="105"/>
      <c r="R151" s="106"/>
      <c r="S151" s="104"/>
      <c r="T151" s="100" t="s">
        <v>71</v>
      </c>
      <c r="U151" s="133" t="b">
        <v>0</v>
      </c>
      <c r="V151" s="135" t="b">
        <v>0</v>
      </c>
      <c r="W151" s="136" t="b">
        <v>0</v>
      </c>
      <c r="X151" s="185" t="str">
        <f ca="1">IF(setca[[#This Row],[18]]=TRUE,IF($N$1=TRUE,TODAY()-1,TODAY()),"")</f>
        <v/>
      </c>
      <c r="Y151" s="195" t="str">
        <f ca="1">IF(setca[[#This Row],[2]]="","",IF(setca[[#This Row],[18]]=TRUE,                                     setca[[#This Row],[2]]+(TODAY())&lt;$C$36))</f>
        <v/>
      </c>
      <c r="Z151" s="195">
        <f>IF(OR(setca[[#This Row],[5]]="WN",setca[[#This Row],[5]]="Es"),(setca[[#This Row],[12]]+setca[[#This Row],[13]])*1.12,setca[[#This Row],[12]]+setca[[#This Row],[13]])</f>
        <v>0</v>
      </c>
      <c r="AA151" s="195">
        <f>IF(OR(setca[[#This Row],[5]]="WN",setca[[#This Row],[5]]="Es"),setca[[#This Row],[4]]*1.12,setca[[#This Row],[4]])*(setca[[#This Row],[14]]+1)</f>
        <v>0</v>
      </c>
      <c r="AB151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51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51" s="195" t="b">
        <f>IF(setca[[#This Row],[16]]=FALSE,TRUE,FALSE)</f>
        <v>1</v>
      </c>
      <c r="AE151" s="195" t="b">
        <f ca="1">IF(setca[[#This Row],[2]]="",FALSE,AND((setca[[#This Row],[2]]+TODAY())&lt;$C$36,setca[[#This Row],[17]]=FALSE,setca[[#This Row],[18]]=TRUE))</f>
        <v>0</v>
      </c>
      <c r="AF151" s="195" t="b">
        <f ca="1">IF(setca[[#This Row],[2]]="",FALSE,AND((setca[[#This Row],[3]]+TODAY())&lt;$C$36,setca[[#This Row],[18]]=TRUE))</f>
        <v>0</v>
      </c>
      <c r="AG151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51" s="1"/>
      <c r="AI151" s="1"/>
    </row>
    <row r="152" spans="1:35" ht="11.1" customHeight="1" x14ac:dyDescent="0.25">
      <c r="A152" s="124" t="str">
        <f t="array" aca="1" ref="A152" ca="1">IFERROR(INDEX($F$39:$F$238,MATCH(0,IF(TRUE=setca[28],0,1)+COUNTIF($F$38:F189,$F$39:$F$238),0)),"")</f>
        <v/>
      </c>
      <c r="B152" s="109">
        <f>IFERROR(VLOOKUP(setca[[#This Row],[23]],Start!$B$87:$N$10044,3,0),0)+IF(setca[[#This Row],[18]]=TRUE,1+setca[[#This Row],[14]],0)</f>
        <v>0</v>
      </c>
      <c r="C152" s="21">
        <f>IFERROR((IFERROR(VLOOKUP(setca[[#This Row],[23]],Start!$B$87:$N$10044,12,0),0)+IF(setca[[#This Row],[18]]=TRUE,setca[[#This Row],[21]]-setca[[#This Row],[22]],0))/B152,0)</f>
        <v>0</v>
      </c>
      <c r="D152" s="1"/>
      <c r="E152" s="19">
        <f t="shared" ca="1" si="8"/>
        <v>2</v>
      </c>
      <c r="F152" s="173">
        <f t="shared" si="9"/>
        <v>115</v>
      </c>
      <c r="G152" s="99"/>
      <c r="H152" s="99"/>
      <c r="I152" s="114"/>
      <c r="J152" s="100"/>
      <c r="K152" s="100"/>
      <c r="L152" s="100"/>
      <c r="M152" s="100"/>
      <c r="N152" s="100"/>
      <c r="O152" s="100"/>
      <c r="P152" s="101"/>
      <c r="Q152" s="105"/>
      <c r="R152" s="106"/>
      <c r="S152" s="104"/>
      <c r="T152" s="100" t="s">
        <v>71</v>
      </c>
      <c r="U152" s="133" t="b">
        <v>0</v>
      </c>
      <c r="V152" s="135" t="b">
        <v>0</v>
      </c>
      <c r="W152" s="136" t="b">
        <v>0</v>
      </c>
      <c r="X152" s="185" t="str">
        <f ca="1">IF(setca[[#This Row],[18]]=TRUE,IF($N$1=TRUE,TODAY()-1,TODAY()),"")</f>
        <v/>
      </c>
      <c r="Y152" s="195" t="str">
        <f ca="1">IF(setca[[#This Row],[2]]="","",IF(setca[[#This Row],[18]]=TRUE,                                     setca[[#This Row],[2]]+(TODAY())&lt;$C$36))</f>
        <v/>
      </c>
      <c r="Z152" s="195">
        <f>IF(OR(setca[[#This Row],[5]]="WN",setca[[#This Row],[5]]="Es"),(setca[[#This Row],[12]]+setca[[#This Row],[13]])*1.12,setca[[#This Row],[12]]+setca[[#This Row],[13]])</f>
        <v>0</v>
      </c>
      <c r="AA152" s="195">
        <f>IF(OR(setca[[#This Row],[5]]="WN",setca[[#This Row],[5]]="Es"),setca[[#This Row],[4]]*1.12,setca[[#This Row],[4]])*(setca[[#This Row],[14]]+1)</f>
        <v>0</v>
      </c>
      <c r="AB152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52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52" s="195" t="b">
        <f>IF(setca[[#This Row],[16]]=FALSE,TRUE,FALSE)</f>
        <v>1</v>
      </c>
      <c r="AE152" s="195" t="b">
        <f ca="1">IF(setca[[#This Row],[2]]="",FALSE,AND((setca[[#This Row],[2]]+TODAY())&lt;$C$36,setca[[#This Row],[17]]=FALSE,setca[[#This Row],[18]]=TRUE))</f>
        <v>0</v>
      </c>
      <c r="AF152" s="195" t="b">
        <f ca="1">IF(setca[[#This Row],[2]]="",FALSE,AND((setca[[#This Row],[3]]+TODAY())&lt;$C$36,setca[[#This Row],[18]]=TRUE))</f>
        <v>0</v>
      </c>
      <c r="AG152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52" s="1"/>
      <c r="AI152" s="1"/>
    </row>
    <row r="153" spans="1:35" ht="11.1" customHeight="1" x14ac:dyDescent="0.25">
      <c r="A153" s="124" t="str">
        <f t="array" aca="1" ref="A153" ca="1">IFERROR(INDEX($F$39:$F$238,MATCH(0,IF(TRUE=setca[28],0,1)+COUNTIF($F$38:F190,$F$39:$F$238),0)),"")</f>
        <v/>
      </c>
      <c r="B153" s="109">
        <f>IFERROR(VLOOKUP(setca[[#This Row],[23]],Start!$B$87:$N$10044,3,0),0)+IF(setca[[#This Row],[18]]=TRUE,1+setca[[#This Row],[14]],0)</f>
        <v>0</v>
      </c>
      <c r="C153" s="21">
        <f>IFERROR((IFERROR(VLOOKUP(setca[[#This Row],[23]],Start!$B$87:$N$10044,12,0),0)+IF(setca[[#This Row],[18]]=TRUE,setca[[#This Row],[21]]-setca[[#This Row],[22]],0))/B153,0)</f>
        <v>0</v>
      </c>
      <c r="D153" s="1"/>
      <c r="E153" s="19">
        <f t="shared" ca="1" si="8"/>
        <v>2</v>
      </c>
      <c r="F153" s="173">
        <f t="shared" si="9"/>
        <v>116</v>
      </c>
      <c r="G153" s="99"/>
      <c r="H153" s="99"/>
      <c r="I153" s="114"/>
      <c r="J153" s="100"/>
      <c r="K153" s="100"/>
      <c r="L153" s="100"/>
      <c r="M153" s="100"/>
      <c r="N153" s="100"/>
      <c r="O153" s="100"/>
      <c r="P153" s="101"/>
      <c r="Q153" s="105"/>
      <c r="R153" s="106"/>
      <c r="S153" s="104"/>
      <c r="T153" s="100" t="s">
        <v>71</v>
      </c>
      <c r="U153" s="133" t="b">
        <v>0</v>
      </c>
      <c r="V153" s="135" t="b">
        <v>0</v>
      </c>
      <c r="W153" s="136" t="b">
        <v>0</v>
      </c>
      <c r="X153" s="185" t="str">
        <f ca="1">IF(setca[[#This Row],[18]]=TRUE,IF($N$1=TRUE,TODAY()-1,TODAY()),"")</f>
        <v/>
      </c>
      <c r="Y153" s="195" t="str">
        <f ca="1">IF(setca[[#This Row],[2]]="","",IF(setca[[#This Row],[18]]=TRUE,                                     setca[[#This Row],[2]]+(TODAY())&lt;$C$36))</f>
        <v/>
      </c>
      <c r="Z153" s="195">
        <f>IF(OR(setca[[#This Row],[5]]="WN",setca[[#This Row],[5]]="Es"),(setca[[#This Row],[12]]+setca[[#This Row],[13]])*1.12,setca[[#This Row],[12]]+setca[[#This Row],[13]])</f>
        <v>0</v>
      </c>
      <c r="AA153" s="195">
        <f>IF(OR(setca[[#This Row],[5]]="WN",setca[[#This Row],[5]]="Es"),setca[[#This Row],[4]]*1.12,setca[[#This Row],[4]])*(setca[[#This Row],[14]]+1)</f>
        <v>0</v>
      </c>
      <c r="AB153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53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53" s="195" t="b">
        <f>IF(setca[[#This Row],[16]]=FALSE,TRUE,FALSE)</f>
        <v>1</v>
      </c>
      <c r="AE153" s="195" t="b">
        <f ca="1">IF(setca[[#This Row],[2]]="",FALSE,AND((setca[[#This Row],[2]]+TODAY())&lt;$C$36,setca[[#This Row],[17]]=FALSE,setca[[#This Row],[18]]=TRUE))</f>
        <v>0</v>
      </c>
      <c r="AF153" s="195" t="b">
        <f ca="1">IF(setca[[#This Row],[2]]="",FALSE,AND((setca[[#This Row],[3]]+TODAY())&lt;$C$36,setca[[#This Row],[18]]=TRUE))</f>
        <v>0</v>
      </c>
      <c r="AG153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53" s="1"/>
      <c r="AI153" s="1"/>
    </row>
    <row r="154" spans="1:35" ht="11.1" customHeight="1" x14ac:dyDescent="0.25">
      <c r="A154" s="124" t="str">
        <f t="array" aca="1" ref="A154" ca="1">IFERROR(INDEX($F$39:$F$238,MATCH(0,IF(TRUE=setca[28],0,1)+COUNTIF($F$38:F191,$F$39:$F$238),0)),"")</f>
        <v/>
      </c>
      <c r="B154" s="109">
        <f>IFERROR(VLOOKUP(setca[[#This Row],[23]],Start!$B$87:$N$10044,3,0),0)+IF(setca[[#This Row],[18]]=TRUE,1+setca[[#This Row],[14]],0)</f>
        <v>0</v>
      </c>
      <c r="C154" s="21">
        <f>IFERROR((IFERROR(VLOOKUP(setca[[#This Row],[23]],Start!$B$87:$N$10044,12,0),0)+IF(setca[[#This Row],[18]]=TRUE,setca[[#This Row],[21]]-setca[[#This Row],[22]],0))/B154,0)</f>
        <v>0</v>
      </c>
      <c r="D154" s="1"/>
      <c r="E154" s="19">
        <f t="shared" ca="1" si="8"/>
        <v>2</v>
      </c>
      <c r="F154" s="173">
        <f t="shared" si="9"/>
        <v>117</v>
      </c>
      <c r="G154" s="99"/>
      <c r="H154" s="99"/>
      <c r="I154" s="114"/>
      <c r="J154" s="100"/>
      <c r="K154" s="100"/>
      <c r="L154" s="100"/>
      <c r="M154" s="100"/>
      <c r="N154" s="100"/>
      <c r="O154" s="100"/>
      <c r="P154" s="101"/>
      <c r="Q154" s="105"/>
      <c r="R154" s="106"/>
      <c r="S154" s="104"/>
      <c r="T154" s="100" t="s">
        <v>71</v>
      </c>
      <c r="U154" s="133" t="b">
        <v>0</v>
      </c>
      <c r="V154" s="135" t="b">
        <v>0</v>
      </c>
      <c r="W154" s="136" t="b">
        <v>0</v>
      </c>
      <c r="X154" s="185" t="str">
        <f ca="1">IF(setca[[#This Row],[18]]=TRUE,IF($N$1=TRUE,TODAY()-1,TODAY()),"")</f>
        <v/>
      </c>
      <c r="Y154" s="195" t="str">
        <f ca="1">IF(setca[[#This Row],[2]]="","",IF(setca[[#This Row],[18]]=TRUE,                                     setca[[#This Row],[2]]+(TODAY())&lt;$C$36))</f>
        <v/>
      </c>
      <c r="Z154" s="195">
        <f>IF(OR(setca[[#This Row],[5]]="WN",setca[[#This Row],[5]]="Es"),(setca[[#This Row],[12]]+setca[[#This Row],[13]])*1.12,setca[[#This Row],[12]]+setca[[#This Row],[13]])</f>
        <v>0</v>
      </c>
      <c r="AA154" s="195">
        <f>IF(OR(setca[[#This Row],[5]]="WN",setca[[#This Row],[5]]="Es"),setca[[#This Row],[4]]*1.12,setca[[#This Row],[4]])*(setca[[#This Row],[14]]+1)</f>
        <v>0</v>
      </c>
      <c r="AB154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54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54" s="195" t="b">
        <f>IF(setca[[#This Row],[16]]=FALSE,TRUE,FALSE)</f>
        <v>1</v>
      </c>
      <c r="AE154" s="195" t="b">
        <f ca="1">IF(setca[[#This Row],[2]]="",FALSE,AND((setca[[#This Row],[2]]+TODAY())&lt;$C$36,setca[[#This Row],[17]]=FALSE,setca[[#This Row],[18]]=TRUE))</f>
        <v>0</v>
      </c>
      <c r="AF154" s="195" t="b">
        <f ca="1">IF(setca[[#This Row],[2]]="",FALSE,AND((setca[[#This Row],[3]]+TODAY())&lt;$C$36,setca[[#This Row],[18]]=TRUE))</f>
        <v>0</v>
      </c>
      <c r="AG154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54" s="1"/>
      <c r="AI154" s="1"/>
    </row>
    <row r="155" spans="1:35" ht="11.1" customHeight="1" x14ac:dyDescent="0.25">
      <c r="A155" s="124" t="str">
        <f t="array" aca="1" ref="A155" ca="1">IFERROR(INDEX($F$39:$F$238,MATCH(0,IF(TRUE=setca[28],0,1)+COUNTIF($F$38:F192,$F$39:$F$238),0)),"")</f>
        <v/>
      </c>
      <c r="B155" s="109">
        <f>IFERROR(VLOOKUP(setca[[#This Row],[23]],Start!$B$87:$N$10044,3,0),0)+IF(setca[[#This Row],[18]]=TRUE,1+setca[[#This Row],[14]],0)</f>
        <v>0</v>
      </c>
      <c r="C155" s="21">
        <f>IFERROR((IFERROR(VLOOKUP(setca[[#This Row],[23]],Start!$B$87:$N$10044,12,0),0)+IF(setca[[#This Row],[18]]=TRUE,setca[[#This Row],[21]]-setca[[#This Row],[22]],0))/B155,0)</f>
        <v>0</v>
      </c>
      <c r="D155" s="1"/>
      <c r="E155" s="19">
        <f t="shared" ca="1" si="8"/>
        <v>2</v>
      </c>
      <c r="F155" s="173">
        <f t="shared" si="9"/>
        <v>118</v>
      </c>
      <c r="G155" s="99"/>
      <c r="H155" s="99"/>
      <c r="I155" s="114"/>
      <c r="J155" s="99"/>
      <c r="K155" s="100"/>
      <c r="L155" s="100"/>
      <c r="M155" s="100"/>
      <c r="N155" s="100"/>
      <c r="O155" s="100"/>
      <c r="P155" s="101"/>
      <c r="Q155" s="105"/>
      <c r="R155" s="106"/>
      <c r="S155" s="104"/>
      <c r="T155" s="100" t="s">
        <v>71</v>
      </c>
      <c r="U155" s="133" t="b">
        <v>0</v>
      </c>
      <c r="V155" s="135" t="b">
        <v>0</v>
      </c>
      <c r="W155" s="136" t="b">
        <v>0</v>
      </c>
      <c r="X155" s="185" t="str">
        <f ca="1">IF(setca[[#This Row],[18]]=TRUE,IF($N$1=TRUE,TODAY()-1,TODAY()),"")</f>
        <v/>
      </c>
      <c r="Y155" s="195" t="str">
        <f ca="1">IF(setca[[#This Row],[2]]="","",IF(setca[[#This Row],[18]]=TRUE,                                     setca[[#This Row],[2]]+(TODAY())&lt;$C$36))</f>
        <v/>
      </c>
      <c r="Z155" s="195">
        <f>IF(OR(setca[[#This Row],[5]]="WN",setca[[#This Row],[5]]="Es"),(setca[[#This Row],[12]]+setca[[#This Row],[13]])*1.12,setca[[#This Row],[12]]+setca[[#This Row],[13]])</f>
        <v>0</v>
      </c>
      <c r="AA155" s="195">
        <f>IF(OR(setca[[#This Row],[5]]="WN",setca[[#This Row],[5]]="Es"),setca[[#This Row],[4]]*1.12,setca[[#This Row],[4]])*(setca[[#This Row],[14]]+1)</f>
        <v>0</v>
      </c>
      <c r="AB155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55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55" s="195" t="b">
        <f>IF(setca[[#This Row],[16]]=FALSE,TRUE,FALSE)</f>
        <v>1</v>
      </c>
      <c r="AE155" s="195" t="b">
        <f ca="1">IF(setca[[#This Row],[2]]="",FALSE,AND((setca[[#This Row],[2]]+TODAY())&lt;$C$36,setca[[#This Row],[17]]=FALSE,setca[[#This Row],[18]]=TRUE))</f>
        <v>0</v>
      </c>
      <c r="AF155" s="195" t="b">
        <f ca="1">IF(setca[[#This Row],[2]]="",FALSE,AND((setca[[#This Row],[3]]+TODAY())&lt;$C$36,setca[[#This Row],[18]]=TRUE))</f>
        <v>0</v>
      </c>
      <c r="AG155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55" s="1"/>
      <c r="AI155" s="1"/>
    </row>
    <row r="156" spans="1:35" ht="11.1" customHeight="1" x14ac:dyDescent="0.25">
      <c r="A156" s="124" t="str">
        <f t="array" aca="1" ref="A156" ca="1">IFERROR(INDEX($F$39:$F$238,MATCH(0,IF(TRUE=setca[28],0,1)+COUNTIF($F$38:F193,$F$39:$F$238),0)),"")</f>
        <v/>
      </c>
      <c r="B156" s="109">
        <f>IFERROR(VLOOKUP(setca[[#This Row],[23]],Start!$B$87:$N$10044,3,0),0)+IF(setca[[#This Row],[18]]=TRUE,1+setca[[#This Row],[14]],0)</f>
        <v>0</v>
      </c>
      <c r="C156" s="21">
        <f>IFERROR((IFERROR(VLOOKUP(setca[[#This Row],[23]],Start!$B$87:$N$10044,12,0),0)+IF(setca[[#This Row],[18]]=TRUE,setca[[#This Row],[21]]-setca[[#This Row],[22]],0))/B156,0)</f>
        <v>0</v>
      </c>
      <c r="D156" s="1"/>
      <c r="E156" s="19">
        <f t="shared" ca="1" si="8"/>
        <v>2</v>
      </c>
      <c r="F156" s="173">
        <f t="shared" si="9"/>
        <v>119</v>
      </c>
      <c r="G156" s="99"/>
      <c r="H156" s="99"/>
      <c r="I156" s="114"/>
      <c r="J156" s="100"/>
      <c r="K156" s="100"/>
      <c r="L156" s="100"/>
      <c r="M156" s="100"/>
      <c r="N156" s="100"/>
      <c r="O156" s="100"/>
      <c r="P156" s="101"/>
      <c r="Q156" s="105"/>
      <c r="R156" s="106"/>
      <c r="S156" s="104"/>
      <c r="T156" s="100" t="s">
        <v>71</v>
      </c>
      <c r="U156" s="133" t="b">
        <v>0</v>
      </c>
      <c r="V156" s="135" t="b">
        <v>0</v>
      </c>
      <c r="W156" s="136" t="b">
        <v>0</v>
      </c>
      <c r="X156" s="185" t="str">
        <f ca="1">IF(setca[[#This Row],[18]]=TRUE,IF($N$1=TRUE,TODAY()-1,TODAY()),"")</f>
        <v/>
      </c>
      <c r="Y156" s="195" t="str">
        <f ca="1">IF(setca[[#This Row],[2]]="","",IF(setca[[#This Row],[18]]=TRUE,                                     setca[[#This Row],[2]]+(TODAY())&lt;$C$36))</f>
        <v/>
      </c>
      <c r="Z156" s="195">
        <f>IF(OR(setca[[#This Row],[5]]="WN",setca[[#This Row],[5]]="Es"),(setca[[#This Row],[12]]+setca[[#This Row],[13]])*1.12,setca[[#This Row],[12]]+setca[[#This Row],[13]])</f>
        <v>0</v>
      </c>
      <c r="AA156" s="195">
        <f>IF(OR(setca[[#This Row],[5]]="WN",setca[[#This Row],[5]]="Es"),setca[[#This Row],[4]]*1.12,setca[[#This Row],[4]])*(setca[[#This Row],[14]]+1)</f>
        <v>0</v>
      </c>
      <c r="AB156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56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56" s="195" t="b">
        <f>IF(setca[[#This Row],[16]]=FALSE,TRUE,FALSE)</f>
        <v>1</v>
      </c>
      <c r="AE156" s="195" t="b">
        <f ca="1">IF(setca[[#This Row],[2]]="",FALSE,AND((setca[[#This Row],[2]]+TODAY())&lt;$C$36,setca[[#This Row],[17]]=FALSE,setca[[#This Row],[18]]=TRUE))</f>
        <v>0</v>
      </c>
      <c r="AF156" s="195" t="b">
        <f ca="1">IF(setca[[#This Row],[2]]="",FALSE,AND((setca[[#This Row],[3]]+TODAY())&lt;$C$36,setca[[#This Row],[18]]=TRUE))</f>
        <v>0</v>
      </c>
      <c r="AG156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56" s="1"/>
      <c r="AI156" s="1"/>
    </row>
    <row r="157" spans="1:35" ht="11.1" customHeight="1" x14ac:dyDescent="0.25">
      <c r="A157" s="124" t="str">
        <f t="array" aca="1" ref="A157" ca="1">IFERROR(INDEX($F$39:$F$238,MATCH(0,IF(TRUE=setca[28],0,1)+COUNTIF($F$38:F194,$F$39:$F$238),0)),"")</f>
        <v/>
      </c>
      <c r="B157" s="109">
        <f>IFERROR(VLOOKUP(setca[[#This Row],[23]],Start!$B$87:$N$10044,3,0),0)+IF(setca[[#This Row],[18]]=TRUE,1+setca[[#This Row],[14]],0)</f>
        <v>0</v>
      </c>
      <c r="C157" s="21">
        <f>IFERROR((IFERROR(VLOOKUP(setca[[#This Row],[23]],Start!$B$87:$N$10044,12,0),0)+IF(setca[[#This Row],[18]]=TRUE,setca[[#This Row],[21]]-setca[[#This Row],[22]],0))/B157,0)</f>
        <v>0</v>
      </c>
      <c r="D157" s="1"/>
      <c r="E157" s="19">
        <f t="shared" ca="1" si="8"/>
        <v>2</v>
      </c>
      <c r="F157" s="173">
        <f t="shared" si="9"/>
        <v>120</v>
      </c>
      <c r="G157" s="99"/>
      <c r="H157" s="99"/>
      <c r="I157" s="114"/>
      <c r="J157" s="100"/>
      <c r="K157" s="100"/>
      <c r="L157" s="100"/>
      <c r="M157" s="100"/>
      <c r="N157" s="100"/>
      <c r="O157" s="100"/>
      <c r="P157" s="101"/>
      <c r="Q157" s="105"/>
      <c r="R157" s="106"/>
      <c r="S157" s="104"/>
      <c r="T157" s="100" t="s">
        <v>71</v>
      </c>
      <c r="U157" s="133" t="b">
        <v>0</v>
      </c>
      <c r="V157" s="135" t="b">
        <v>0</v>
      </c>
      <c r="W157" s="136" t="b">
        <v>0</v>
      </c>
      <c r="X157" s="185" t="str">
        <f ca="1">IF(setca[[#This Row],[18]]=TRUE,IF($N$1=TRUE,TODAY()-1,TODAY()),"")</f>
        <v/>
      </c>
      <c r="Y157" s="195" t="str">
        <f ca="1">IF(setca[[#This Row],[2]]="","",IF(setca[[#This Row],[18]]=TRUE,                                     setca[[#This Row],[2]]+(TODAY())&lt;$C$36))</f>
        <v/>
      </c>
      <c r="Z157" s="195">
        <f>IF(OR(setca[[#This Row],[5]]="WN",setca[[#This Row],[5]]="Es"),(setca[[#This Row],[12]]+setca[[#This Row],[13]])*1.12,setca[[#This Row],[12]]+setca[[#This Row],[13]])</f>
        <v>0</v>
      </c>
      <c r="AA157" s="195">
        <f>IF(OR(setca[[#This Row],[5]]="WN",setca[[#This Row],[5]]="Es"),setca[[#This Row],[4]]*1.12,setca[[#This Row],[4]])*(setca[[#This Row],[14]]+1)</f>
        <v>0</v>
      </c>
      <c r="AB157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57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57" s="195" t="b">
        <f>IF(setca[[#This Row],[16]]=FALSE,TRUE,FALSE)</f>
        <v>1</v>
      </c>
      <c r="AE157" s="195" t="b">
        <f ca="1">IF(setca[[#This Row],[2]]="",FALSE,AND((setca[[#This Row],[2]]+TODAY())&lt;$C$36,setca[[#This Row],[17]]=FALSE,setca[[#This Row],[18]]=TRUE))</f>
        <v>0</v>
      </c>
      <c r="AF157" s="195" t="b">
        <f ca="1">IF(setca[[#This Row],[2]]="",FALSE,AND((setca[[#This Row],[3]]+TODAY())&lt;$C$36,setca[[#This Row],[18]]=TRUE))</f>
        <v>0</v>
      </c>
      <c r="AG157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57" s="1"/>
      <c r="AI157" s="1"/>
    </row>
    <row r="158" spans="1:35" ht="11.1" customHeight="1" x14ac:dyDescent="0.25">
      <c r="A158" s="124" t="str">
        <f t="array" aca="1" ref="A158" ca="1">IFERROR(INDEX($F$39:$F$238,MATCH(0,IF(TRUE=setca[28],0,1)+COUNTIF($F$38:F195,$F$39:$F$238),0)),"")</f>
        <v/>
      </c>
      <c r="B158" s="109">
        <f>IFERROR(VLOOKUP(setca[[#This Row],[23]],Start!$B$87:$N$10044,3,0),0)+IF(setca[[#This Row],[18]]=TRUE,1+setca[[#This Row],[14]],0)</f>
        <v>0</v>
      </c>
      <c r="C158" s="21">
        <f>IFERROR((IFERROR(VLOOKUP(setca[[#This Row],[23]],Start!$B$87:$N$10044,12,0),0)+IF(setca[[#This Row],[18]]=TRUE,setca[[#This Row],[21]]-setca[[#This Row],[22]],0))/B158,0)</f>
        <v>0</v>
      </c>
      <c r="D158" s="1"/>
      <c r="E158" s="19">
        <f t="shared" ca="1" si="8"/>
        <v>2</v>
      </c>
      <c r="F158" s="173">
        <f t="shared" si="9"/>
        <v>121</v>
      </c>
      <c r="G158" s="99"/>
      <c r="H158" s="99"/>
      <c r="I158" s="114"/>
      <c r="J158" s="100"/>
      <c r="K158" s="100"/>
      <c r="L158" s="100"/>
      <c r="M158" s="100"/>
      <c r="N158" s="100"/>
      <c r="O158" s="100"/>
      <c r="P158" s="101"/>
      <c r="Q158" s="105"/>
      <c r="R158" s="106"/>
      <c r="S158" s="104"/>
      <c r="T158" s="100" t="s">
        <v>71</v>
      </c>
      <c r="U158" s="133" t="b">
        <v>0</v>
      </c>
      <c r="V158" s="135" t="b">
        <v>0</v>
      </c>
      <c r="W158" s="136" t="b">
        <v>0</v>
      </c>
      <c r="X158" s="185" t="str">
        <f ca="1">IF(setca[[#This Row],[18]]=TRUE,IF($N$1=TRUE,TODAY()-1,TODAY()),"")</f>
        <v/>
      </c>
      <c r="Y158" s="195" t="str">
        <f ca="1">IF(setca[[#This Row],[2]]="","",IF(setca[[#This Row],[18]]=TRUE,                                     setca[[#This Row],[2]]+(TODAY())&lt;$C$36))</f>
        <v/>
      </c>
      <c r="Z158" s="195">
        <f>IF(OR(setca[[#This Row],[5]]="WN",setca[[#This Row],[5]]="Es"),(setca[[#This Row],[12]]+setca[[#This Row],[13]])*1.12,setca[[#This Row],[12]]+setca[[#This Row],[13]])</f>
        <v>0</v>
      </c>
      <c r="AA158" s="195">
        <f>IF(OR(setca[[#This Row],[5]]="WN",setca[[#This Row],[5]]="Es"),setca[[#This Row],[4]]*1.12,setca[[#This Row],[4]])*(setca[[#This Row],[14]]+1)</f>
        <v>0</v>
      </c>
      <c r="AB158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58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58" s="195" t="b">
        <f>IF(setca[[#This Row],[16]]=FALSE,TRUE,FALSE)</f>
        <v>1</v>
      </c>
      <c r="AE158" s="195" t="b">
        <f ca="1">IF(setca[[#This Row],[2]]="",FALSE,AND((setca[[#This Row],[2]]+TODAY())&lt;$C$36,setca[[#This Row],[17]]=FALSE,setca[[#This Row],[18]]=TRUE))</f>
        <v>0</v>
      </c>
      <c r="AF158" s="195" t="b">
        <f ca="1">IF(setca[[#This Row],[2]]="",FALSE,AND((setca[[#This Row],[3]]+TODAY())&lt;$C$36,setca[[#This Row],[18]]=TRUE))</f>
        <v>0</v>
      </c>
      <c r="AG158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58" s="1"/>
      <c r="AI158" s="1"/>
    </row>
    <row r="159" spans="1:35" ht="11.1" customHeight="1" x14ac:dyDescent="0.25">
      <c r="A159" s="124" t="str">
        <f t="array" aca="1" ref="A159" ca="1">IFERROR(INDEX($F$39:$F$238,MATCH(0,IF(TRUE=setca[28],0,1)+COUNTIF($F$38:F196,$F$39:$F$238),0)),"")</f>
        <v/>
      </c>
      <c r="B159" s="109">
        <f>IFERROR(VLOOKUP(setca[[#This Row],[23]],Start!$B$87:$N$10044,3,0),0)+IF(setca[[#This Row],[18]]=TRUE,1+setca[[#This Row],[14]],0)</f>
        <v>0</v>
      </c>
      <c r="C159" s="21">
        <f>IFERROR((IFERROR(VLOOKUP(setca[[#This Row],[23]],Start!$B$87:$N$10044,12,0),0)+IF(setca[[#This Row],[18]]=TRUE,setca[[#This Row],[21]]-setca[[#This Row],[22]],0))/B159,0)</f>
        <v>0</v>
      </c>
      <c r="D159" s="1"/>
      <c r="E159" s="19">
        <f t="shared" ca="1" si="8"/>
        <v>2</v>
      </c>
      <c r="F159" s="173">
        <f t="shared" si="9"/>
        <v>122</v>
      </c>
      <c r="G159" s="99"/>
      <c r="H159" s="99"/>
      <c r="I159" s="114"/>
      <c r="J159" s="100"/>
      <c r="K159" s="100"/>
      <c r="L159" s="100"/>
      <c r="M159" s="100"/>
      <c r="N159" s="100"/>
      <c r="O159" s="100"/>
      <c r="P159" s="101"/>
      <c r="Q159" s="105"/>
      <c r="R159" s="106"/>
      <c r="S159" s="104"/>
      <c r="T159" s="100" t="s">
        <v>71</v>
      </c>
      <c r="U159" s="133" t="b">
        <v>0</v>
      </c>
      <c r="V159" s="135" t="b">
        <v>0</v>
      </c>
      <c r="W159" s="136" t="b">
        <v>0</v>
      </c>
      <c r="X159" s="185" t="str">
        <f ca="1">IF(setca[[#This Row],[18]]=TRUE,IF($N$1=TRUE,TODAY()-1,TODAY()),"")</f>
        <v/>
      </c>
      <c r="Y159" s="195" t="str">
        <f ca="1">IF(setca[[#This Row],[2]]="","",IF(setca[[#This Row],[18]]=TRUE,                                     setca[[#This Row],[2]]+(TODAY())&lt;$C$36))</f>
        <v/>
      </c>
      <c r="Z159" s="195">
        <f>IF(OR(setca[[#This Row],[5]]="WN",setca[[#This Row],[5]]="Es"),(setca[[#This Row],[12]]+setca[[#This Row],[13]])*1.12,setca[[#This Row],[12]]+setca[[#This Row],[13]])</f>
        <v>0</v>
      </c>
      <c r="AA159" s="195">
        <f>IF(OR(setca[[#This Row],[5]]="WN",setca[[#This Row],[5]]="Es"),setca[[#This Row],[4]]*1.12,setca[[#This Row],[4]])*(setca[[#This Row],[14]]+1)</f>
        <v>0</v>
      </c>
      <c r="AB159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59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59" s="195" t="b">
        <f>IF(setca[[#This Row],[16]]=FALSE,TRUE,FALSE)</f>
        <v>1</v>
      </c>
      <c r="AE159" s="195" t="b">
        <f ca="1">IF(setca[[#This Row],[2]]="",FALSE,AND((setca[[#This Row],[2]]+TODAY())&lt;$C$36,setca[[#This Row],[17]]=FALSE,setca[[#This Row],[18]]=TRUE))</f>
        <v>0</v>
      </c>
      <c r="AF159" s="195" t="b">
        <f ca="1">IF(setca[[#This Row],[2]]="",FALSE,AND((setca[[#This Row],[3]]+TODAY())&lt;$C$36,setca[[#This Row],[18]]=TRUE))</f>
        <v>0</v>
      </c>
      <c r="AG159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59" s="1"/>
      <c r="AI159" s="1"/>
    </row>
    <row r="160" spans="1:35" ht="11.1" customHeight="1" x14ac:dyDescent="0.25">
      <c r="A160" s="124" t="str">
        <f t="array" aca="1" ref="A160" ca="1">IFERROR(INDEX($F$39:$F$238,MATCH(0,IF(TRUE=setca[28],0,1)+COUNTIF($F$38:F197,$F$39:$F$238),0)),"")</f>
        <v/>
      </c>
      <c r="B160" s="109">
        <f>IFERROR(VLOOKUP(setca[[#This Row],[23]],Start!$B$87:$N$10044,3,0),0)+IF(setca[[#This Row],[18]]=TRUE,1+setca[[#This Row],[14]],0)</f>
        <v>0</v>
      </c>
      <c r="C160" s="21">
        <f>IFERROR((IFERROR(VLOOKUP(setca[[#This Row],[23]],Start!$B$87:$N$10044,12,0),0)+IF(setca[[#This Row],[18]]=TRUE,setca[[#This Row],[21]]-setca[[#This Row],[22]],0))/B160,0)</f>
        <v>0</v>
      </c>
      <c r="D160" s="1"/>
      <c r="E160" s="19">
        <f t="shared" ca="1" si="8"/>
        <v>2</v>
      </c>
      <c r="F160" s="173">
        <f t="shared" si="9"/>
        <v>123</v>
      </c>
      <c r="G160" s="99"/>
      <c r="H160" s="99"/>
      <c r="I160" s="114"/>
      <c r="J160" s="99"/>
      <c r="K160" s="100"/>
      <c r="L160" s="100"/>
      <c r="M160" s="100"/>
      <c r="N160" s="100"/>
      <c r="O160" s="100"/>
      <c r="P160" s="101"/>
      <c r="Q160" s="105"/>
      <c r="R160" s="106"/>
      <c r="S160" s="104"/>
      <c r="T160" s="100" t="s">
        <v>71</v>
      </c>
      <c r="U160" s="133" t="b">
        <v>0</v>
      </c>
      <c r="V160" s="135" t="b">
        <v>0</v>
      </c>
      <c r="W160" s="136" t="b">
        <v>0</v>
      </c>
      <c r="X160" s="185" t="str">
        <f ca="1">IF(setca[[#This Row],[18]]=TRUE,IF($N$1=TRUE,TODAY()-1,TODAY()),"")</f>
        <v/>
      </c>
      <c r="Y160" s="195" t="str">
        <f ca="1">IF(setca[[#This Row],[2]]="","",IF(setca[[#This Row],[18]]=TRUE,                                     setca[[#This Row],[2]]+(TODAY())&lt;$C$36))</f>
        <v/>
      </c>
      <c r="Z160" s="195">
        <f>IF(OR(setca[[#This Row],[5]]="WN",setca[[#This Row],[5]]="Es"),(setca[[#This Row],[12]]+setca[[#This Row],[13]])*1.12,setca[[#This Row],[12]]+setca[[#This Row],[13]])</f>
        <v>0</v>
      </c>
      <c r="AA160" s="195">
        <f>IF(OR(setca[[#This Row],[5]]="WN",setca[[#This Row],[5]]="Es"),setca[[#This Row],[4]]*1.12,setca[[#This Row],[4]])*(setca[[#This Row],[14]]+1)</f>
        <v>0</v>
      </c>
      <c r="AB160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60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60" s="195" t="b">
        <f>IF(setca[[#This Row],[16]]=FALSE,TRUE,FALSE)</f>
        <v>1</v>
      </c>
      <c r="AE160" s="195" t="b">
        <f ca="1">IF(setca[[#This Row],[2]]="",FALSE,AND((setca[[#This Row],[2]]+TODAY())&lt;$C$36,setca[[#This Row],[17]]=FALSE,setca[[#This Row],[18]]=TRUE))</f>
        <v>0</v>
      </c>
      <c r="AF160" s="195" t="b">
        <f ca="1">IF(setca[[#This Row],[2]]="",FALSE,AND((setca[[#This Row],[3]]+TODAY())&lt;$C$36,setca[[#This Row],[18]]=TRUE))</f>
        <v>0</v>
      </c>
      <c r="AG160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60" s="1"/>
      <c r="AI160" s="1"/>
    </row>
    <row r="161" spans="1:35" ht="11.1" customHeight="1" x14ac:dyDescent="0.25">
      <c r="A161" s="124" t="str">
        <f t="array" aca="1" ref="A161" ca="1">IFERROR(INDEX($F$39:$F$238,MATCH(0,IF(TRUE=setca[28],0,1)+COUNTIF($F$38:F198,$F$39:$F$238),0)),"")</f>
        <v/>
      </c>
      <c r="B161" s="109">
        <f>IFERROR(VLOOKUP(setca[[#This Row],[23]],Start!$B$87:$N$10044,3,0),0)+IF(setca[[#This Row],[18]]=TRUE,1+setca[[#This Row],[14]],0)</f>
        <v>0</v>
      </c>
      <c r="C161" s="21">
        <f>IFERROR((IFERROR(VLOOKUP(setca[[#This Row],[23]],Start!$B$87:$N$10044,12,0),0)+IF(setca[[#This Row],[18]]=TRUE,setca[[#This Row],[21]]-setca[[#This Row],[22]],0))/B161,0)</f>
        <v>0</v>
      </c>
      <c r="D161" s="1"/>
      <c r="E161" s="19">
        <f t="shared" ca="1" si="8"/>
        <v>2</v>
      </c>
      <c r="F161" s="173">
        <f t="shared" si="9"/>
        <v>124</v>
      </c>
      <c r="G161" s="99"/>
      <c r="H161" s="99"/>
      <c r="I161" s="114"/>
      <c r="J161" s="100"/>
      <c r="K161" s="100"/>
      <c r="L161" s="100"/>
      <c r="M161" s="100"/>
      <c r="N161" s="100"/>
      <c r="O161" s="100"/>
      <c r="P161" s="101"/>
      <c r="Q161" s="105"/>
      <c r="R161" s="106"/>
      <c r="S161" s="104"/>
      <c r="T161" s="100" t="s">
        <v>71</v>
      </c>
      <c r="U161" s="133" t="b">
        <v>0</v>
      </c>
      <c r="V161" s="135" t="b">
        <v>0</v>
      </c>
      <c r="W161" s="136" t="b">
        <v>0</v>
      </c>
      <c r="X161" s="185" t="str">
        <f ca="1">IF(setca[[#This Row],[18]]=TRUE,IF($N$1=TRUE,TODAY()-1,TODAY()),"")</f>
        <v/>
      </c>
      <c r="Y161" s="195" t="str">
        <f ca="1">IF(setca[[#This Row],[2]]="","",IF(setca[[#This Row],[18]]=TRUE,                                     setca[[#This Row],[2]]+(TODAY())&lt;$C$36))</f>
        <v/>
      </c>
      <c r="Z161" s="195">
        <f>IF(OR(setca[[#This Row],[5]]="WN",setca[[#This Row],[5]]="Es"),(setca[[#This Row],[12]]+setca[[#This Row],[13]])*1.12,setca[[#This Row],[12]]+setca[[#This Row],[13]])</f>
        <v>0</v>
      </c>
      <c r="AA161" s="195">
        <f>IF(OR(setca[[#This Row],[5]]="WN",setca[[#This Row],[5]]="Es"),setca[[#This Row],[4]]*1.12,setca[[#This Row],[4]])*(setca[[#This Row],[14]]+1)</f>
        <v>0</v>
      </c>
      <c r="AB161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61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61" s="195" t="b">
        <f>IF(setca[[#This Row],[16]]=FALSE,TRUE,FALSE)</f>
        <v>1</v>
      </c>
      <c r="AE161" s="195" t="b">
        <f ca="1">IF(setca[[#This Row],[2]]="",FALSE,AND((setca[[#This Row],[2]]+TODAY())&lt;$C$36,setca[[#This Row],[17]]=FALSE,setca[[#This Row],[18]]=TRUE))</f>
        <v>0</v>
      </c>
      <c r="AF161" s="195" t="b">
        <f ca="1">IF(setca[[#This Row],[2]]="",FALSE,AND((setca[[#This Row],[3]]+TODAY())&lt;$C$36,setca[[#This Row],[18]]=TRUE))</f>
        <v>0</v>
      </c>
      <c r="AG161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61" s="1"/>
      <c r="AI161" s="1"/>
    </row>
    <row r="162" spans="1:35" ht="11.1" customHeight="1" x14ac:dyDescent="0.25">
      <c r="A162" s="124" t="str">
        <f t="array" aca="1" ref="A162" ca="1">IFERROR(INDEX($F$39:$F$238,MATCH(0,IF(TRUE=setca[28],0,1)+COUNTIF($F$38:F199,$F$39:$F$238),0)),"")</f>
        <v/>
      </c>
      <c r="B162" s="109">
        <f>IFERROR(VLOOKUP(setca[[#This Row],[23]],Start!$B$87:$N$10044,3,0),0)+IF(setca[[#This Row],[18]]=TRUE,1+setca[[#This Row],[14]],0)</f>
        <v>0</v>
      </c>
      <c r="C162" s="21">
        <f>IFERROR((IFERROR(VLOOKUP(setca[[#This Row],[23]],Start!$B$87:$N$10044,12,0),0)+IF(setca[[#This Row],[18]]=TRUE,setca[[#This Row],[21]]-setca[[#This Row],[22]],0))/B162,0)</f>
        <v>0</v>
      </c>
      <c r="D162" s="1"/>
      <c r="E162" s="19">
        <f t="shared" ca="1" si="8"/>
        <v>2</v>
      </c>
      <c r="F162" s="173">
        <f t="shared" si="9"/>
        <v>125</v>
      </c>
      <c r="G162" s="99"/>
      <c r="H162" s="99"/>
      <c r="I162" s="114"/>
      <c r="J162" s="99"/>
      <c r="K162" s="100"/>
      <c r="L162" s="100"/>
      <c r="M162" s="100"/>
      <c r="N162" s="100"/>
      <c r="O162" s="100"/>
      <c r="P162" s="101"/>
      <c r="Q162" s="105"/>
      <c r="R162" s="106"/>
      <c r="S162" s="104"/>
      <c r="T162" s="100" t="s">
        <v>71</v>
      </c>
      <c r="U162" s="133" t="b">
        <v>0</v>
      </c>
      <c r="V162" s="135" t="b">
        <v>0</v>
      </c>
      <c r="W162" s="137" t="b">
        <v>0</v>
      </c>
      <c r="X162" s="186" t="str">
        <f ca="1">IF(setca[[#This Row],[18]]=TRUE,IF($N$1=TRUE,TODAY()-1,TODAY()),"")</f>
        <v/>
      </c>
      <c r="Y162" s="196" t="str">
        <f ca="1">IF(setca[[#This Row],[2]]="","",IF(setca[[#This Row],[18]]=TRUE,                                     setca[[#This Row],[2]]+(TODAY())&lt;$C$36))</f>
        <v/>
      </c>
      <c r="Z162" s="196">
        <f>IF(OR(setca[[#This Row],[5]]="WN",setca[[#This Row],[5]]="Es"),(setca[[#This Row],[12]]+setca[[#This Row],[13]])*1.12,setca[[#This Row],[12]]+setca[[#This Row],[13]])</f>
        <v>0</v>
      </c>
      <c r="AA162" s="196">
        <f>IF(OR(setca[[#This Row],[5]]="WN",setca[[#This Row],[5]]="Es"),setca[[#This Row],[4]]*1.12,setca[[#This Row],[4]])*(setca[[#This Row],[14]]+1)</f>
        <v>0</v>
      </c>
      <c r="AB162" s="196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62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62" s="196" t="b">
        <f>IF(setca[[#This Row],[16]]=FALSE,TRUE,FALSE)</f>
        <v>1</v>
      </c>
      <c r="AE162" s="196" t="b">
        <f ca="1">IF(setca[[#This Row],[2]]="",FALSE,AND((setca[[#This Row],[2]]+TODAY())&lt;$C$36,setca[[#This Row],[17]]=FALSE,setca[[#This Row],[18]]=TRUE))</f>
        <v>0</v>
      </c>
      <c r="AF162" s="196" t="b">
        <f ca="1">IF(setca[[#This Row],[2]]="",FALSE,AND((setca[[#This Row],[3]]+TODAY())&lt;$C$36,setca[[#This Row],[18]]=TRUE))</f>
        <v>0</v>
      </c>
      <c r="AG162" s="196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62" s="1"/>
      <c r="AI162" s="1"/>
    </row>
    <row r="163" spans="1:35" ht="11.1" customHeight="1" x14ac:dyDescent="0.25">
      <c r="A163" s="124" t="str">
        <f t="array" aca="1" ref="A163" ca="1">IFERROR(INDEX($F$39:$F$238,MATCH(0,IF(TRUE=setca[28],0,1)+COUNTIF($F$38:F200,$F$39:$F$238),0)),"")</f>
        <v/>
      </c>
      <c r="B163" s="109">
        <f>IFERROR(VLOOKUP(setca[[#This Row],[23]],Start!$B$87:$N$10044,3,0),0)+IF(setca[[#This Row],[18]]=TRUE,1+setca[[#This Row],[14]],0)</f>
        <v>0</v>
      </c>
      <c r="C163" s="21">
        <f>IFERROR((IFERROR(VLOOKUP(setca[[#This Row],[23]],Start!$B$87:$N$10044,12,0),0)+IF(setca[[#This Row],[18]]=TRUE,setca[[#This Row],[21]]-setca[[#This Row],[22]],0))/B163,0)</f>
        <v>0</v>
      </c>
      <c r="D163" s="1"/>
      <c r="E163" s="19">
        <f t="shared" ca="1" si="8"/>
        <v>2</v>
      </c>
      <c r="F163" s="173">
        <f t="shared" si="9"/>
        <v>126</v>
      </c>
      <c r="G163" s="99"/>
      <c r="H163" s="99"/>
      <c r="I163" s="114"/>
      <c r="J163" s="100"/>
      <c r="K163" s="100"/>
      <c r="L163" s="100"/>
      <c r="M163" s="100"/>
      <c r="N163" s="100"/>
      <c r="O163" s="100"/>
      <c r="P163" s="101"/>
      <c r="Q163" s="105"/>
      <c r="R163" s="106"/>
      <c r="S163" s="104"/>
      <c r="T163" s="100" t="s">
        <v>71</v>
      </c>
      <c r="U163" s="133" t="b">
        <v>0</v>
      </c>
      <c r="V163" s="135" t="b">
        <v>0</v>
      </c>
      <c r="W163" s="136" t="b">
        <v>0</v>
      </c>
      <c r="X163" s="185" t="str">
        <f ca="1">IF(setca[[#This Row],[18]]=TRUE,IF($N$1=TRUE,TODAY()-1,TODAY()),"")</f>
        <v/>
      </c>
      <c r="Y163" s="195" t="str">
        <f ca="1">IF(setca[[#This Row],[2]]="","",IF(setca[[#This Row],[18]]=TRUE,                                     setca[[#This Row],[2]]+(TODAY())&lt;$C$36))</f>
        <v/>
      </c>
      <c r="Z163" s="195">
        <f>IF(OR(setca[[#This Row],[5]]="WN",setca[[#This Row],[5]]="Es"),(setca[[#This Row],[12]]+setca[[#This Row],[13]])*1.12,setca[[#This Row],[12]]+setca[[#This Row],[13]])</f>
        <v>0</v>
      </c>
      <c r="AA163" s="195">
        <f>IF(OR(setca[[#This Row],[5]]="WN",setca[[#This Row],[5]]="Es"),setca[[#This Row],[4]]*1.12,setca[[#This Row],[4]])*(setca[[#This Row],[14]]+1)</f>
        <v>0</v>
      </c>
      <c r="AB163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63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63" s="195" t="b">
        <f>IF(setca[[#This Row],[16]]=FALSE,TRUE,FALSE)</f>
        <v>1</v>
      </c>
      <c r="AE163" s="195" t="b">
        <f ca="1">IF(setca[[#This Row],[2]]="",FALSE,AND((setca[[#This Row],[2]]+TODAY())&lt;$C$36,setca[[#This Row],[17]]=FALSE,setca[[#This Row],[18]]=TRUE))</f>
        <v>0</v>
      </c>
      <c r="AF163" s="195" t="b">
        <f ca="1">IF(setca[[#This Row],[2]]="",FALSE,AND((setca[[#This Row],[3]]+TODAY())&lt;$C$36,setca[[#This Row],[18]]=TRUE))</f>
        <v>0</v>
      </c>
      <c r="AG163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63" s="1"/>
      <c r="AI163" s="1"/>
    </row>
    <row r="164" spans="1:35" ht="11.1" customHeight="1" x14ac:dyDescent="0.25">
      <c r="A164" s="124" t="str">
        <f t="array" aca="1" ref="A164" ca="1">IFERROR(INDEX($F$39:$F$238,MATCH(0,IF(TRUE=setca[28],0,1)+COUNTIF($F$38:F201,$F$39:$F$238),0)),"")</f>
        <v/>
      </c>
      <c r="B164" s="109">
        <f>IFERROR(VLOOKUP(setca[[#This Row],[23]],Start!$B$87:$N$10044,3,0),0)+IF(setca[[#This Row],[18]]=TRUE,1+setca[[#This Row],[14]],0)</f>
        <v>0</v>
      </c>
      <c r="C164" s="21">
        <f>IFERROR((IFERROR(VLOOKUP(setca[[#This Row],[23]],Start!$B$87:$N$10044,12,0),0)+IF(setca[[#This Row],[18]]=TRUE,setca[[#This Row],[21]]-setca[[#This Row],[22]],0))/B164,0)</f>
        <v>0</v>
      </c>
      <c r="D164" s="1"/>
      <c r="E164" s="19">
        <f t="shared" ca="1" si="8"/>
        <v>2</v>
      </c>
      <c r="F164" s="173">
        <f t="shared" si="9"/>
        <v>127</v>
      </c>
      <c r="G164" s="99"/>
      <c r="H164" s="99"/>
      <c r="I164" s="114"/>
      <c r="J164" s="99"/>
      <c r="K164" s="100"/>
      <c r="L164" s="100"/>
      <c r="M164" s="100"/>
      <c r="N164" s="100"/>
      <c r="O164" s="100"/>
      <c r="P164" s="101"/>
      <c r="Q164" s="105"/>
      <c r="R164" s="106"/>
      <c r="S164" s="104"/>
      <c r="T164" s="100" t="s">
        <v>71</v>
      </c>
      <c r="U164" s="133" t="b">
        <v>0</v>
      </c>
      <c r="V164" s="135" t="b">
        <v>0</v>
      </c>
      <c r="W164" s="137" t="b">
        <v>0</v>
      </c>
      <c r="X164" s="186" t="str">
        <f ca="1">IF(setca[[#This Row],[18]]=TRUE,IF($N$1=TRUE,TODAY()-1,TODAY()),"")</f>
        <v/>
      </c>
      <c r="Y164" s="196" t="str">
        <f ca="1">IF(setca[[#This Row],[2]]="","",IF(setca[[#This Row],[18]]=TRUE,                                     setca[[#This Row],[2]]+(TODAY())&lt;$C$36))</f>
        <v/>
      </c>
      <c r="Z164" s="196">
        <f>IF(OR(setca[[#This Row],[5]]="WN",setca[[#This Row],[5]]="Es"),(setca[[#This Row],[12]]+setca[[#This Row],[13]])*1.12,setca[[#This Row],[12]]+setca[[#This Row],[13]])</f>
        <v>0</v>
      </c>
      <c r="AA164" s="196">
        <f>IF(OR(setca[[#This Row],[5]]="WN",setca[[#This Row],[5]]="Es"),setca[[#This Row],[4]]*1.12,setca[[#This Row],[4]])*(setca[[#This Row],[14]]+1)</f>
        <v>0</v>
      </c>
      <c r="AB164" s="196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64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64" s="196" t="b">
        <f>IF(setca[[#This Row],[16]]=FALSE,TRUE,FALSE)</f>
        <v>1</v>
      </c>
      <c r="AE164" s="196" t="b">
        <f ca="1">IF(setca[[#This Row],[2]]="",FALSE,AND((setca[[#This Row],[2]]+TODAY())&lt;$C$36,setca[[#This Row],[17]]=FALSE,setca[[#This Row],[18]]=TRUE))</f>
        <v>0</v>
      </c>
      <c r="AF164" s="196" t="b">
        <f ca="1">IF(setca[[#This Row],[2]]="",FALSE,AND((setca[[#This Row],[3]]+TODAY())&lt;$C$36,setca[[#This Row],[18]]=TRUE))</f>
        <v>0</v>
      </c>
      <c r="AG164" s="196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64" s="1"/>
      <c r="AI164" s="1"/>
    </row>
    <row r="165" spans="1:35" ht="11.1" customHeight="1" x14ac:dyDescent="0.25">
      <c r="A165" s="124" t="str">
        <f t="array" aca="1" ref="A165" ca="1">IFERROR(INDEX($F$39:$F$238,MATCH(0,IF(TRUE=setca[28],0,1)+COUNTIF($F$38:F202,$F$39:$F$238),0)),"")</f>
        <v/>
      </c>
      <c r="B165" s="109">
        <f>IFERROR(VLOOKUP(setca[[#This Row],[23]],Start!$B$87:$N$10044,3,0),0)+IF(setca[[#This Row],[18]]=TRUE,1+setca[[#This Row],[14]],0)</f>
        <v>0</v>
      </c>
      <c r="C165" s="21">
        <f>IFERROR((IFERROR(VLOOKUP(setca[[#This Row],[23]],Start!$B$87:$N$10044,12,0),0)+IF(setca[[#This Row],[18]]=TRUE,setca[[#This Row],[21]]-setca[[#This Row],[22]],0))/B165,0)</f>
        <v>0</v>
      </c>
      <c r="D165" s="1"/>
      <c r="E165" s="19">
        <f t="shared" ca="1" si="8"/>
        <v>2</v>
      </c>
      <c r="F165" s="173">
        <f t="shared" si="9"/>
        <v>128</v>
      </c>
      <c r="G165" s="99"/>
      <c r="H165" s="99"/>
      <c r="I165" s="114"/>
      <c r="J165" s="99"/>
      <c r="K165" s="100"/>
      <c r="L165" s="100"/>
      <c r="M165" s="100"/>
      <c r="N165" s="100"/>
      <c r="O165" s="100"/>
      <c r="P165" s="101"/>
      <c r="Q165" s="105"/>
      <c r="R165" s="106"/>
      <c r="S165" s="104"/>
      <c r="T165" s="100" t="s">
        <v>71</v>
      </c>
      <c r="U165" s="133" t="b">
        <v>0</v>
      </c>
      <c r="V165" s="135" t="b">
        <v>0</v>
      </c>
      <c r="W165" s="137" t="b">
        <v>0</v>
      </c>
      <c r="X165" s="186" t="str">
        <f ca="1">IF(setca[[#This Row],[18]]=TRUE,IF($N$1=TRUE,TODAY()-1,TODAY()),"")</f>
        <v/>
      </c>
      <c r="Y165" s="196" t="str">
        <f ca="1">IF(setca[[#This Row],[2]]="","",IF(setca[[#This Row],[18]]=TRUE,                                     setca[[#This Row],[2]]+(TODAY())&lt;$C$36))</f>
        <v/>
      </c>
      <c r="Z165" s="196">
        <f>IF(OR(setca[[#This Row],[5]]="WN",setca[[#This Row],[5]]="Es"),(setca[[#This Row],[12]]+setca[[#This Row],[13]])*1.12,setca[[#This Row],[12]]+setca[[#This Row],[13]])</f>
        <v>0</v>
      </c>
      <c r="AA165" s="196">
        <f>IF(OR(setca[[#This Row],[5]]="WN",setca[[#This Row],[5]]="Es"),setca[[#This Row],[4]]*1.12,setca[[#This Row],[4]])*(setca[[#This Row],[14]]+1)</f>
        <v>0</v>
      </c>
      <c r="AB165" s="196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65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65" s="196" t="b">
        <f>IF(setca[[#This Row],[16]]=FALSE,TRUE,FALSE)</f>
        <v>1</v>
      </c>
      <c r="AE165" s="196" t="b">
        <f ca="1">IF(setca[[#This Row],[2]]="",FALSE,AND((setca[[#This Row],[2]]+TODAY())&lt;$C$36,setca[[#This Row],[17]]=FALSE,setca[[#This Row],[18]]=TRUE))</f>
        <v>0</v>
      </c>
      <c r="AF165" s="196" t="b">
        <f ca="1">IF(setca[[#This Row],[2]]="",FALSE,AND((setca[[#This Row],[3]]+TODAY())&lt;$C$36,setca[[#This Row],[18]]=TRUE))</f>
        <v>0</v>
      </c>
      <c r="AG165" s="196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65" s="1"/>
      <c r="AI165" s="1"/>
    </row>
    <row r="166" spans="1:35" ht="11.1" customHeight="1" x14ac:dyDescent="0.25">
      <c r="A166" s="124" t="str">
        <f t="array" aca="1" ref="A166" ca="1">IFERROR(INDEX($F$39:$F$238,MATCH(0,IF(TRUE=setca[28],0,1)+COUNTIF($F$38:F203,$F$39:$F$238),0)),"")</f>
        <v/>
      </c>
      <c r="B166" s="109">
        <f>IFERROR(VLOOKUP(setca[[#This Row],[23]],Start!$B$87:$N$10044,3,0),0)+IF(setca[[#This Row],[18]]=TRUE,1+setca[[#This Row],[14]],0)</f>
        <v>0</v>
      </c>
      <c r="C166" s="21">
        <f>IFERROR((IFERROR(VLOOKUP(setca[[#This Row],[23]],Start!$B$87:$N$10044,12,0),0)+IF(setca[[#This Row],[18]]=TRUE,setca[[#This Row],[21]]-setca[[#This Row],[22]],0))/B166,0)</f>
        <v>0</v>
      </c>
      <c r="D166" s="1"/>
      <c r="E166" s="19">
        <f t="shared" ca="1" si="8"/>
        <v>2</v>
      </c>
      <c r="F166" s="173">
        <f t="shared" si="9"/>
        <v>129</v>
      </c>
      <c r="G166" s="99"/>
      <c r="H166" s="99"/>
      <c r="I166" s="114"/>
      <c r="J166" s="100"/>
      <c r="K166" s="100"/>
      <c r="L166" s="100"/>
      <c r="M166" s="100"/>
      <c r="N166" s="100"/>
      <c r="O166" s="100"/>
      <c r="P166" s="101"/>
      <c r="Q166" s="105"/>
      <c r="R166" s="106"/>
      <c r="S166" s="104"/>
      <c r="T166" s="100" t="s">
        <v>71</v>
      </c>
      <c r="U166" s="133" t="b">
        <v>0</v>
      </c>
      <c r="V166" s="135" t="b">
        <v>0</v>
      </c>
      <c r="W166" s="136" t="b">
        <v>0</v>
      </c>
      <c r="X166" s="185" t="str">
        <f ca="1">IF(setca[[#This Row],[18]]=TRUE,IF($N$1=TRUE,TODAY()-1,TODAY()),"")</f>
        <v/>
      </c>
      <c r="Y166" s="195" t="str">
        <f ca="1">IF(setca[[#This Row],[2]]="","",IF(setca[[#This Row],[18]]=TRUE,                                     setca[[#This Row],[2]]+(TODAY())&lt;$C$36))</f>
        <v/>
      </c>
      <c r="Z166" s="195">
        <f>IF(OR(setca[[#This Row],[5]]="WN",setca[[#This Row],[5]]="Es"),(setca[[#This Row],[12]]+setca[[#This Row],[13]])*1.12,setca[[#This Row],[12]]+setca[[#This Row],[13]])</f>
        <v>0</v>
      </c>
      <c r="AA166" s="195">
        <f>IF(OR(setca[[#This Row],[5]]="WN",setca[[#This Row],[5]]="Es"),setca[[#This Row],[4]]*1.12,setca[[#This Row],[4]])*(setca[[#This Row],[14]]+1)</f>
        <v>0</v>
      </c>
      <c r="AB166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66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66" s="195" t="b">
        <f>IF(setca[[#This Row],[16]]=FALSE,TRUE,FALSE)</f>
        <v>1</v>
      </c>
      <c r="AE166" s="195" t="b">
        <f ca="1">IF(setca[[#This Row],[2]]="",FALSE,AND((setca[[#This Row],[2]]+TODAY())&lt;$C$36,setca[[#This Row],[17]]=FALSE,setca[[#This Row],[18]]=TRUE))</f>
        <v>0</v>
      </c>
      <c r="AF166" s="195" t="b">
        <f ca="1">IF(setca[[#This Row],[2]]="",FALSE,AND((setca[[#This Row],[3]]+TODAY())&lt;$C$36,setca[[#This Row],[18]]=TRUE))</f>
        <v>0</v>
      </c>
      <c r="AG166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66" s="1"/>
      <c r="AI166" s="1"/>
    </row>
    <row r="167" spans="1:35" ht="11.1" customHeight="1" x14ac:dyDescent="0.25">
      <c r="A167" s="124" t="str">
        <f t="array" aca="1" ref="A167" ca="1">IFERROR(INDEX($F$39:$F$238,MATCH(0,IF(TRUE=setca[28],0,1)+COUNTIF($F$38:F204,$F$39:$F$238),0)),"")</f>
        <v/>
      </c>
      <c r="B167" s="109">
        <f>IFERROR(VLOOKUP(setca[[#This Row],[23]],Start!$B$87:$N$10044,3,0),0)+IF(setca[[#This Row],[18]]=TRUE,1+setca[[#This Row],[14]],0)</f>
        <v>0</v>
      </c>
      <c r="C167" s="21">
        <f>IFERROR((IFERROR(VLOOKUP(setca[[#This Row],[23]],Start!$B$87:$N$10044,12,0),0)+IF(setca[[#This Row],[18]]=TRUE,setca[[#This Row],[21]]-setca[[#This Row],[22]],0))/B167,0)</f>
        <v>0</v>
      </c>
      <c r="D167" s="1"/>
      <c r="E167" s="19">
        <f t="shared" ref="E167:E198" ca="1" si="10">IF(AND($G167=TIME(HOUR($C$36),MINUTE($C$36),0),$W167=FALSE),1,2)</f>
        <v>2</v>
      </c>
      <c r="F167" s="173">
        <f t="shared" ref="F167:F198" si="11">F166+1</f>
        <v>130</v>
      </c>
      <c r="G167" s="99"/>
      <c r="H167" s="99"/>
      <c r="I167" s="114"/>
      <c r="J167" s="100"/>
      <c r="K167" s="100"/>
      <c r="L167" s="100"/>
      <c r="M167" s="100"/>
      <c r="N167" s="100"/>
      <c r="O167" s="100"/>
      <c r="P167" s="101"/>
      <c r="Q167" s="105"/>
      <c r="R167" s="106"/>
      <c r="S167" s="104"/>
      <c r="T167" s="100" t="s">
        <v>71</v>
      </c>
      <c r="U167" s="133" t="b">
        <v>0</v>
      </c>
      <c r="V167" s="135" t="b">
        <v>0</v>
      </c>
      <c r="W167" s="136" t="b">
        <v>0</v>
      </c>
      <c r="X167" s="185" t="str">
        <f ca="1">IF(setca[[#This Row],[18]]=TRUE,IF($N$1=TRUE,TODAY()-1,TODAY()),"")</f>
        <v/>
      </c>
      <c r="Y167" s="195" t="str">
        <f ca="1">IF(setca[[#This Row],[2]]="","",IF(setca[[#This Row],[18]]=TRUE,                                     setca[[#This Row],[2]]+(TODAY())&lt;$C$36))</f>
        <v/>
      </c>
      <c r="Z167" s="195">
        <f>IF(OR(setca[[#This Row],[5]]="WN",setca[[#This Row],[5]]="Es"),(setca[[#This Row],[12]]+setca[[#This Row],[13]])*1.12,setca[[#This Row],[12]]+setca[[#This Row],[13]])</f>
        <v>0</v>
      </c>
      <c r="AA167" s="195">
        <f>IF(OR(setca[[#This Row],[5]]="WN",setca[[#This Row],[5]]="Es"),setca[[#This Row],[4]]*1.12,setca[[#This Row],[4]])*(setca[[#This Row],[14]]+1)</f>
        <v>0</v>
      </c>
      <c r="AB167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67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67" s="195" t="b">
        <f>IF(setca[[#This Row],[16]]=FALSE,TRUE,FALSE)</f>
        <v>1</v>
      </c>
      <c r="AE167" s="195" t="b">
        <f ca="1">IF(setca[[#This Row],[2]]="",FALSE,AND((setca[[#This Row],[2]]+TODAY())&lt;$C$36,setca[[#This Row],[17]]=FALSE,setca[[#This Row],[18]]=TRUE))</f>
        <v>0</v>
      </c>
      <c r="AF167" s="195" t="b">
        <f ca="1">IF(setca[[#This Row],[2]]="",FALSE,AND((setca[[#This Row],[3]]+TODAY())&lt;$C$36,setca[[#This Row],[18]]=TRUE))</f>
        <v>0</v>
      </c>
      <c r="AG167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67" s="1"/>
      <c r="AI167" s="1"/>
    </row>
    <row r="168" spans="1:35" ht="11.1" customHeight="1" x14ac:dyDescent="0.25">
      <c r="A168" s="124" t="str">
        <f t="array" aca="1" ref="A168" ca="1">IFERROR(INDEX($F$39:$F$238,MATCH(0,IF(TRUE=setca[28],0,1)+COUNTIF($F$38:F205,$F$39:$F$238),0)),"")</f>
        <v/>
      </c>
      <c r="B168" s="109">
        <f>IFERROR(VLOOKUP(setca[[#This Row],[23]],Start!$B$87:$N$10044,3,0),0)+IF(setca[[#This Row],[18]]=TRUE,1+setca[[#This Row],[14]],0)</f>
        <v>0</v>
      </c>
      <c r="C168" s="21">
        <f>IFERROR((IFERROR(VLOOKUP(setca[[#This Row],[23]],Start!$B$87:$N$10044,12,0),0)+IF(setca[[#This Row],[18]]=TRUE,setca[[#This Row],[21]]-setca[[#This Row],[22]],0))/B168,0)</f>
        <v>0</v>
      </c>
      <c r="D168" s="1"/>
      <c r="E168" s="19">
        <f t="shared" ca="1" si="10"/>
        <v>2</v>
      </c>
      <c r="F168" s="173">
        <f t="shared" si="11"/>
        <v>131</v>
      </c>
      <c r="G168" s="99"/>
      <c r="H168" s="99"/>
      <c r="I168" s="114"/>
      <c r="J168" s="100"/>
      <c r="K168" s="100"/>
      <c r="L168" s="100"/>
      <c r="M168" s="100"/>
      <c r="N168" s="100"/>
      <c r="O168" s="100"/>
      <c r="P168" s="101"/>
      <c r="Q168" s="105"/>
      <c r="R168" s="106"/>
      <c r="S168" s="104"/>
      <c r="T168" s="100" t="s">
        <v>71</v>
      </c>
      <c r="U168" s="133" t="b">
        <v>0</v>
      </c>
      <c r="V168" s="135" t="b">
        <v>0</v>
      </c>
      <c r="W168" s="136" t="b">
        <v>0</v>
      </c>
      <c r="X168" s="185" t="str">
        <f ca="1">IF(setca[[#This Row],[18]]=TRUE,IF($N$1=TRUE,TODAY()-1,TODAY()),"")</f>
        <v/>
      </c>
      <c r="Y168" s="195" t="str">
        <f ca="1">IF(setca[[#This Row],[2]]="","",IF(setca[[#This Row],[18]]=TRUE,                                     setca[[#This Row],[2]]+(TODAY())&lt;$C$36))</f>
        <v/>
      </c>
      <c r="Z168" s="195">
        <f>IF(OR(setca[[#This Row],[5]]="WN",setca[[#This Row],[5]]="Es"),(setca[[#This Row],[12]]+setca[[#This Row],[13]])*1.12,setca[[#This Row],[12]]+setca[[#This Row],[13]])</f>
        <v>0</v>
      </c>
      <c r="AA168" s="195">
        <f>IF(OR(setca[[#This Row],[5]]="WN",setca[[#This Row],[5]]="Es"),setca[[#This Row],[4]]*1.12,setca[[#This Row],[4]])*(setca[[#This Row],[14]]+1)</f>
        <v>0</v>
      </c>
      <c r="AB168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68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68" s="195" t="b">
        <f>IF(setca[[#This Row],[16]]=FALSE,TRUE,FALSE)</f>
        <v>1</v>
      </c>
      <c r="AE168" s="195" t="b">
        <f ca="1">IF(setca[[#This Row],[2]]="",FALSE,AND((setca[[#This Row],[2]]+TODAY())&lt;$C$36,setca[[#This Row],[17]]=FALSE,setca[[#This Row],[18]]=TRUE))</f>
        <v>0</v>
      </c>
      <c r="AF168" s="195" t="b">
        <f ca="1">IF(setca[[#This Row],[2]]="",FALSE,AND((setca[[#This Row],[3]]+TODAY())&lt;$C$36,setca[[#This Row],[18]]=TRUE))</f>
        <v>0</v>
      </c>
      <c r="AG168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68" s="1"/>
      <c r="AI168" s="1"/>
    </row>
    <row r="169" spans="1:35" ht="11.1" customHeight="1" x14ac:dyDescent="0.25">
      <c r="A169" s="124" t="str">
        <f t="array" aca="1" ref="A169" ca="1">IFERROR(INDEX($F$39:$F$238,MATCH(0,IF(TRUE=setca[28],0,1)+COUNTIF($F$38:F206,$F$39:$F$238),0)),"")</f>
        <v/>
      </c>
      <c r="B169" s="109">
        <f>IFERROR(VLOOKUP(setca[[#This Row],[23]],Start!$B$87:$N$10044,3,0),0)+IF(setca[[#This Row],[18]]=TRUE,1+setca[[#This Row],[14]],0)</f>
        <v>0</v>
      </c>
      <c r="C169" s="21">
        <f>IFERROR((IFERROR(VLOOKUP(setca[[#This Row],[23]],Start!$B$87:$N$10044,12,0),0)+IF(setca[[#This Row],[18]]=TRUE,setca[[#This Row],[21]]-setca[[#This Row],[22]],0))/B169,0)</f>
        <v>0</v>
      </c>
      <c r="D169" s="1"/>
      <c r="E169" s="19">
        <f t="shared" ca="1" si="10"/>
        <v>2</v>
      </c>
      <c r="F169" s="173">
        <f t="shared" si="11"/>
        <v>132</v>
      </c>
      <c r="G169" s="99"/>
      <c r="H169" s="99"/>
      <c r="I169" s="114"/>
      <c r="J169" s="99"/>
      <c r="K169" s="100"/>
      <c r="L169" s="100"/>
      <c r="M169" s="100"/>
      <c r="N169" s="100"/>
      <c r="O169" s="100"/>
      <c r="P169" s="101"/>
      <c r="Q169" s="105"/>
      <c r="R169" s="106"/>
      <c r="S169" s="104"/>
      <c r="T169" s="100" t="s">
        <v>71</v>
      </c>
      <c r="U169" s="133" t="b">
        <v>0</v>
      </c>
      <c r="V169" s="135" t="b">
        <v>0</v>
      </c>
      <c r="W169" s="137" t="b">
        <v>0</v>
      </c>
      <c r="X169" s="186" t="str">
        <f ca="1">IF(setca[[#This Row],[18]]=TRUE,IF($N$1=TRUE,TODAY()-1,TODAY()),"")</f>
        <v/>
      </c>
      <c r="Y169" s="196" t="str">
        <f ca="1">IF(setca[[#This Row],[2]]="","",IF(setca[[#This Row],[18]]=TRUE,                                     setca[[#This Row],[2]]+(TODAY())&lt;$C$36))</f>
        <v/>
      </c>
      <c r="Z169" s="196">
        <f>IF(OR(setca[[#This Row],[5]]="WN",setca[[#This Row],[5]]="Es"),(setca[[#This Row],[12]]+setca[[#This Row],[13]])*1.12,setca[[#This Row],[12]]+setca[[#This Row],[13]])</f>
        <v>0</v>
      </c>
      <c r="AA169" s="196">
        <f>IF(OR(setca[[#This Row],[5]]="WN",setca[[#This Row],[5]]="Es"),setca[[#This Row],[4]]*1.12,setca[[#This Row],[4]])*(setca[[#This Row],[14]]+1)</f>
        <v>0</v>
      </c>
      <c r="AB169" s="196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69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69" s="196" t="b">
        <f>IF(setca[[#This Row],[16]]=FALSE,TRUE,FALSE)</f>
        <v>1</v>
      </c>
      <c r="AE169" s="196" t="b">
        <f ca="1">IF(setca[[#This Row],[2]]="",FALSE,AND((setca[[#This Row],[2]]+TODAY())&lt;$C$36,setca[[#This Row],[17]]=FALSE,setca[[#This Row],[18]]=TRUE))</f>
        <v>0</v>
      </c>
      <c r="AF169" s="196" t="b">
        <f ca="1">IF(setca[[#This Row],[2]]="",FALSE,AND((setca[[#This Row],[3]]+TODAY())&lt;$C$36,setca[[#This Row],[18]]=TRUE))</f>
        <v>0</v>
      </c>
      <c r="AG169" s="196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69" s="1"/>
      <c r="AI169" s="1"/>
    </row>
    <row r="170" spans="1:35" ht="11.1" customHeight="1" x14ac:dyDescent="0.25">
      <c r="A170" s="124" t="str">
        <f t="array" aca="1" ref="A170" ca="1">IFERROR(INDEX($F$39:$F$238,MATCH(0,IF(TRUE=setca[28],0,1)+COUNTIF($F$38:F207,$F$39:$F$238),0)),"")</f>
        <v/>
      </c>
      <c r="B170" s="109">
        <f>IFERROR(VLOOKUP(setca[[#This Row],[23]],Start!$B$87:$N$10044,3,0),0)+IF(setca[[#This Row],[18]]=TRUE,1+setca[[#This Row],[14]],0)</f>
        <v>0</v>
      </c>
      <c r="C170" s="21">
        <f>IFERROR((IFERROR(VLOOKUP(setca[[#This Row],[23]],Start!$B$87:$N$10044,12,0),0)+IF(setca[[#This Row],[18]]=TRUE,setca[[#This Row],[21]]-setca[[#This Row],[22]],0))/B170,0)</f>
        <v>0</v>
      </c>
      <c r="D170" s="1"/>
      <c r="E170" s="19">
        <f t="shared" ca="1" si="10"/>
        <v>2</v>
      </c>
      <c r="F170" s="173">
        <f t="shared" si="11"/>
        <v>133</v>
      </c>
      <c r="G170" s="99"/>
      <c r="H170" s="99"/>
      <c r="I170" s="114"/>
      <c r="J170" s="99"/>
      <c r="K170" s="100"/>
      <c r="L170" s="100"/>
      <c r="M170" s="100"/>
      <c r="N170" s="100"/>
      <c r="O170" s="100"/>
      <c r="P170" s="101"/>
      <c r="Q170" s="105"/>
      <c r="R170" s="106"/>
      <c r="S170" s="104"/>
      <c r="T170" s="100" t="s">
        <v>71</v>
      </c>
      <c r="U170" s="133" t="b">
        <v>0</v>
      </c>
      <c r="V170" s="135" t="b">
        <v>0</v>
      </c>
      <c r="W170" s="136" t="b">
        <v>0</v>
      </c>
      <c r="X170" s="185" t="str">
        <f ca="1">IF(setca[[#This Row],[18]]=TRUE,IF($N$1=TRUE,TODAY()-1,TODAY()),"")</f>
        <v/>
      </c>
      <c r="Y170" s="195" t="str">
        <f ca="1">IF(setca[[#This Row],[2]]="","",IF(setca[[#This Row],[18]]=TRUE,                                     setca[[#This Row],[2]]+(TODAY())&lt;$C$36))</f>
        <v/>
      </c>
      <c r="Z170" s="195">
        <f>IF(OR(setca[[#This Row],[5]]="WN",setca[[#This Row],[5]]="Es"),(setca[[#This Row],[12]]+setca[[#This Row],[13]])*1.12,setca[[#This Row],[12]]+setca[[#This Row],[13]])</f>
        <v>0</v>
      </c>
      <c r="AA170" s="195">
        <f>IF(OR(setca[[#This Row],[5]]="WN",setca[[#This Row],[5]]="Es"),setca[[#This Row],[4]]*1.12,setca[[#This Row],[4]])*(setca[[#This Row],[14]]+1)</f>
        <v>0</v>
      </c>
      <c r="AB170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70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70" s="195" t="b">
        <f>IF(setca[[#This Row],[16]]=FALSE,TRUE,FALSE)</f>
        <v>1</v>
      </c>
      <c r="AE170" s="195" t="b">
        <f ca="1">IF(setca[[#This Row],[2]]="",FALSE,AND((setca[[#This Row],[2]]+TODAY())&lt;$C$36,setca[[#This Row],[17]]=FALSE,setca[[#This Row],[18]]=TRUE))</f>
        <v>0</v>
      </c>
      <c r="AF170" s="195" t="b">
        <f ca="1">IF(setca[[#This Row],[2]]="",FALSE,AND((setca[[#This Row],[3]]+TODAY())&lt;$C$36,setca[[#This Row],[18]]=TRUE))</f>
        <v>0</v>
      </c>
      <c r="AG170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70" s="1"/>
      <c r="AI170" s="1"/>
    </row>
    <row r="171" spans="1:35" ht="11.1" customHeight="1" x14ac:dyDescent="0.25">
      <c r="A171" s="124" t="str">
        <f t="array" aca="1" ref="A171" ca="1">IFERROR(INDEX($F$39:$F$238,MATCH(0,IF(TRUE=setca[28],0,1)+COUNTIF($F$38:F208,$F$39:$F$238),0)),"")</f>
        <v/>
      </c>
      <c r="B171" s="109">
        <f>IFERROR(VLOOKUP(setca[[#This Row],[23]],Start!$B$87:$N$10044,3,0),0)+IF(setca[[#This Row],[18]]=TRUE,1+setca[[#This Row],[14]],0)</f>
        <v>0</v>
      </c>
      <c r="C171" s="21">
        <f>IFERROR((IFERROR(VLOOKUP(setca[[#This Row],[23]],Start!$B$87:$N$10044,12,0),0)+IF(setca[[#This Row],[18]]=TRUE,setca[[#This Row],[21]]-setca[[#This Row],[22]],0))/B171,0)</f>
        <v>0</v>
      </c>
      <c r="D171" s="1"/>
      <c r="E171" s="19">
        <f t="shared" ca="1" si="10"/>
        <v>2</v>
      </c>
      <c r="F171" s="173">
        <f t="shared" si="11"/>
        <v>134</v>
      </c>
      <c r="G171" s="99"/>
      <c r="H171" s="99"/>
      <c r="I171" s="114"/>
      <c r="J171" s="99"/>
      <c r="K171" s="100"/>
      <c r="L171" s="100"/>
      <c r="M171" s="100"/>
      <c r="N171" s="100"/>
      <c r="O171" s="100"/>
      <c r="P171" s="101"/>
      <c r="Q171" s="105"/>
      <c r="R171" s="106"/>
      <c r="S171" s="104"/>
      <c r="T171" s="100" t="s">
        <v>71</v>
      </c>
      <c r="U171" s="133" t="b">
        <v>0</v>
      </c>
      <c r="V171" s="135" t="b">
        <v>0</v>
      </c>
      <c r="W171" s="136" t="b">
        <v>0</v>
      </c>
      <c r="X171" s="185" t="str">
        <f ca="1">IF(setca[[#This Row],[18]]=TRUE,IF($N$1=TRUE,TODAY()-1,TODAY()),"")</f>
        <v/>
      </c>
      <c r="Y171" s="195" t="str">
        <f ca="1">IF(setca[[#This Row],[2]]="","",IF(setca[[#This Row],[18]]=TRUE,                                     setca[[#This Row],[2]]+(TODAY())&lt;$C$36))</f>
        <v/>
      </c>
      <c r="Z171" s="195">
        <f>IF(OR(setca[[#This Row],[5]]="WN",setca[[#This Row],[5]]="Es"),(setca[[#This Row],[12]]+setca[[#This Row],[13]])*1.12,setca[[#This Row],[12]]+setca[[#This Row],[13]])</f>
        <v>0</v>
      </c>
      <c r="AA171" s="195">
        <f>IF(OR(setca[[#This Row],[5]]="WN",setca[[#This Row],[5]]="Es"),setca[[#This Row],[4]]*1.12,setca[[#This Row],[4]])*(setca[[#This Row],[14]]+1)</f>
        <v>0</v>
      </c>
      <c r="AB171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71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71" s="195" t="b">
        <f>IF(setca[[#This Row],[16]]=FALSE,TRUE,FALSE)</f>
        <v>1</v>
      </c>
      <c r="AE171" s="195" t="b">
        <f ca="1">IF(setca[[#This Row],[2]]="",FALSE,AND((setca[[#This Row],[2]]+TODAY())&lt;$C$36,setca[[#This Row],[17]]=FALSE,setca[[#This Row],[18]]=TRUE))</f>
        <v>0</v>
      </c>
      <c r="AF171" s="195" t="b">
        <f ca="1">IF(setca[[#This Row],[2]]="",FALSE,AND((setca[[#This Row],[3]]+TODAY())&lt;$C$36,setca[[#This Row],[18]]=TRUE))</f>
        <v>0</v>
      </c>
      <c r="AG171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71" s="1"/>
      <c r="AI171" s="1"/>
    </row>
    <row r="172" spans="1:35" ht="11.1" customHeight="1" x14ac:dyDescent="0.25">
      <c r="A172" s="124" t="str">
        <f t="array" aca="1" ref="A172" ca="1">IFERROR(INDEX($F$39:$F$238,MATCH(0,IF(TRUE=setca[28],0,1)+COUNTIF($F$38:F209,$F$39:$F$238),0)),"")</f>
        <v/>
      </c>
      <c r="B172" s="109">
        <f>IFERROR(VLOOKUP(setca[[#This Row],[23]],Start!$B$87:$N$10044,3,0),0)+IF(setca[[#This Row],[18]]=TRUE,1+setca[[#This Row],[14]],0)</f>
        <v>0</v>
      </c>
      <c r="C172" s="21">
        <f>IFERROR((IFERROR(VLOOKUP(setca[[#This Row],[23]],Start!$B$87:$N$10044,12,0),0)+IF(setca[[#This Row],[18]]=TRUE,setca[[#This Row],[21]]-setca[[#This Row],[22]],0))/B172,0)</f>
        <v>0</v>
      </c>
      <c r="D172" s="1"/>
      <c r="E172" s="19">
        <f t="shared" ca="1" si="10"/>
        <v>2</v>
      </c>
      <c r="F172" s="173">
        <f t="shared" si="11"/>
        <v>135</v>
      </c>
      <c r="G172" s="99"/>
      <c r="H172" s="99"/>
      <c r="I172" s="114"/>
      <c r="J172" s="100"/>
      <c r="K172" s="100"/>
      <c r="L172" s="100"/>
      <c r="M172" s="100"/>
      <c r="N172" s="100"/>
      <c r="O172" s="100"/>
      <c r="P172" s="101"/>
      <c r="Q172" s="105"/>
      <c r="R172" s="106"/>
      <c r="S172" s="104"/>
      <c r="T172" s="100" t="s">
        <v>71</v>
      </c>
      <c r="U172" s="133" t="b">
        <v>0</v>
      </c>
      <c r="V172" s="135" t="b">
        <v>0</v>
      </c>
      <c r="W172" s="136" t="b">
        <v>0</v>
      </c>
      <c r="X172" s="185" t="str">
        <f ca="1">IF(setca[[#This Row],[18]]=TRUE,IF($N$1=TRUE,TODAY()-1,TODAY()),"")</f>
        <v/>
      </c>
      <c r="Y172" s="195" t="str">
        <f ca="1">IF(setca[[#This Row],[2]]="","",IF(setca[[#This Row],[18]]=TRUE,                                     setca[[#This Row],[2]]+(TODAY())&lt;$C$36))</f>
        <v/>
      </c>
      <c r="Z172" s="195">
        <f>IF(OR(setca[[#This Row],[5]]="WN",setca[[#This Row],[5]]="Es"),(setca[[#This Row],[12]]+setca[[#This Row],[13]])*1.12,setca[[#This Row],[12]]+setca[[#This Row],[13]])</f>
        <v>0</v>
      </c>
      <c r="AA172" s="195">
        <f>IF(OR(setca[[#This Row],[5]]="WN",setca[[#This Row],[5]]="Es"),setca[[#This Row],[4]]*1.12,setca[[#This Row],[4]])*(setca[[#This Row],[14]]+1)</f>
        <v>0</v>
      </c>
      <c r="AB172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72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72" s="195" t="b">
        <f>IF(setca[[#This Row],[16]]=FALSE,TRUE,FALSE)</f>
        <v>1</v>
      </c>
      <c r="AE172" s="195" t="b">
        <f ca="1">IF(setca[[#This Row],[2]]="",FALSE,AND((setca[[#This Row],[2]]+TODAY())&lt;$C$36,setca[[#This Row],[17]]=FALSE,setca[[#This Row],[18]]=TRUE))</f>
        <v>0</v>
      </c>
      <c r="AF172" s="195" t="b">
        <f ca="1">IF(setca[[#This Row],[2]]="",FALSE,AND((setca[[#This Row],[3]]+TODAY())&lt;$C$36,setca[[#This Row],[18]]=TRUE))</f>
        <v>0</v>
      </c>
      <c r="AG172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72" s="1"/>
      <c r="AI172" s="1"/>
    </row>
    <row r="173" spans="1:35" ht="11.1" customHeight="1" x14ac:dyDescent="0.25">
      <c r="A173" s="124" t="str">
        <f t="array" aca="1" ref="A173" ca="1">IFERROR(INDEX($F$39:$F$238,MATCH(0,IF(TRUE=setca[28],0,1)+COUNTIF($F$38:F210,$F$39:$F$238),0)),"")</f>
        <v/>
      </c>
      <c r="B173" s="109">
        <f>IFERROR(VLOOKUP(setca[[#This Row],[23]],Start!$B$87:$N$10044,3,0),0)+IF(setca[[#This Row],[18]]=TRUE,1+setca[[#This Row],[14]],0)</f>
        <v>0</v>
      </c>
      <c r="C173" s="21">
        <f>IFERROR((IFERROR(VLOOKUP(setca[[#This Row],[23]],Start!$B$87:$N$10044,12,0),0)+IF(setca[[#This Row],[18]]=TRUE,setca[[#This Row],[21]]-setca[[#This Row],[22]],0))/B173,0)</f>
        <v>0</v>
      </c>
      <c r="D173" s="1"/>
      <c r="E173" s="19">
        <f t="shared" ca="1" si="10"/>
        <v>2</v>
      </c>
      <c r="F173" s="173">
        <f t="shared" si="11"/>
        <v>136</v>
      </c>
      <c r="G173" s="99"/>
      <c r="H173" s="99"/>
      <c r="I173" s="114"/>
      <c r="J173" s="100"/>
      <c r="K173" s="100"/>
      <c r="L173" s="100"/>
      <c r="M173" s="100"/>
      <c r="N173" s="100"/>
      <c r="O173" s="100"/>
      <c r="P173" s="101"/>
      <c r="Q173" s="105"/>
      <c r="R173" s="106"/>
      <c r="S173" s="104"/>
      <c r="T173" s="100" t="s">
        <v>71</v>
      </c>
      <c r="U173" s="133" t="b">
        <v>0</v>
      </c>
      <c r="V173" s="135" t="b">
        <v>0</v>
      </c>
      <c r="W173" s="136" t="b">
        <v>0</v>
      </c>
      <c r="X173" s="185" t="str">
        <f ca="1">IF(setca[[#This Row],[18]]=TRUE,IF($N$1=TRUE,TODAY()-1,TODAY()),"")</f>
        <v/>
      </c>
      <c r="Y173" s="195" t="str">
        <f ca="1">IF(setca[[#This Row],[2]]="","",IF(setca[[#This Row],[18]]=TRUE,                                     setca[[#This Row],[2]]+(TODAY())&lt;$C$36))</f>
        <v/>
      </c>
      <c r="Z173" s="195">
        <f>IF(OR(setca[[#This Row],[5]]="WN",setca[[#This Row],[5]]="Es"),(setca[[#This Row],[12]]+setca[[#This Row],[13]])*1.12,setca[[#This Row],[12]]+setca[[#This Row],[13]])</f>
        <v>0</v>
      </c>
      <c r="AA173" s="195">
        <f>IF(OR(setca[[#This Row],[5]]="WN",setca[[#This Row],[5]]="Es"),setca[[#This Row],[4]]*1.12,setca[[#This Row],[4]])*(setca[[#This Row],[14]]+1)</f>
        <v>0</v>
      </c>
      <c r="AB173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73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73" s="195" t="b">
        <f>IF(setca[[#This Row],[16]]=FALSE,TRUE,FALSE)</f>
        <v>1</v>
      </c>
      <c r="AE173" s="195" t="b">
        <f ca="1">IF(setca[[#This Row],[2]]="",FALSE,AND((setca[[#This Row],[2]]+TODAY())&lt;$C$36,setca[[#This Row],[17]]=FALSE,setca[[#This Row],[18]]=TRUE))</f>
        <v>0</v>
      </c>
      <c r="AF173" s="195" t="b">
        <f ca="1">IF(setca[[#This Row],[2]]="",FALSE,AND((setca[[#This Row],[3]]+TODAY())&lt;$C$36,setca[[#This Row],[18]]=TRUE))</f>
        <v>0</v>
      </c>
      <c r="AG173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73" s="1"/>
      <c r="AI173" s="1"/>
    </row>
    <row r="174" spans="1:35" ht="11.1" customHeight="1" x14ac:dyDescent="0.25">
      <c r="A174" s="124" t="str">
        <f t="array" aca="1" ref="A174" ca="1">IFERROR(INDEX($F$39:$F$238,MATCH(0,IF(TRUE=setca[28],0,1)+COUNTIF($F$38:F211,$F$39:$F$238),0)),"")</f>
        <v/>
      </c>
      <c r="B174" s="109">
        <f>IFERROR(VLOOKUP(setca[[#This Row],[23]],Start!$B$87:$N$10044,3,0),0)+IF(setca[[#This Row],[18]]=TRUE,1+setca[[#This Row],[14]],0)</f>
        <v>0</v>
      </c>
      <c r="C174" s="21">
        <f>IFERROR((IFERROR(VLOOKUP(setca[[#This Row],[23]],Start!$B$87:$N$10044,12,0),0)+IF(setca[[#This Row],[18]]=TRUE,setca[[#This Row],[21]]-setca[[#This Row],[22]],0))/B174,0)</f>
        <v>0</v>
      </c>
      <c r="D174" s="1"/>
      <c r="E174" s="19">
        <f t="shared" ca="1" si="10"/>
        <v>2</v>
      </c>
      <c r="F174" s="173">
        <f t="shared" si="11"/>
        <v>137</v>
      </c>
      <c r="G174" s="99"/>
      <c r="H174" s="99"/>
      <c r="I174" s="114"/>
      <c r="J174" s="100"/>
      <c r="K174" s="100"/>
      <c r="L174" s="100"/>
      <c r="M174" s="100"/>
      <c r="N174" s="100"/>
      <c r="O174" s="100"/>
      <c r="P174" s="101"/>
      <c r="Q174" s="105"/>
      <c r="R174" s="106"/>
      <c r="S174" s="104"/>
      <c r="T174" s="100" t="s">
        <v>71</v>
      </c>
      <c r="U174" s="133" t="b">
        <v>0</v>
      </c>
      <c r="V174" s="135" t="b">
        <v>0</v>
      </c>
      <c r="W174" s="136" t="b">
        <v>0</v>
      </c>
      <c r="X174" s="185" t="str">
        <f ca="1">IF(setca[[#This Row],[18]]=TRUE,IF($N$1=TRUE,TODAY()-1,TODAY()),"")</f>
        <v/>
      </c>
      <c r="Y174" s="195" t="str">
        <f ca="1">IF(setca[[#This Row],[2]]="","",IF(setca[[#This Row],[18]]=TRUE,                                     setca[[#This Row],[2]]+(TODAY())&lt;$C$36))</f>
        <v/>
      </c>
      <c r="Z174" s="195">
        <f>IF(OR(setca[[#This Row],[5]]="WN",setca[[#This Row],[5]]="Es"),(setca[[#This Row],[12]]+setca[[#This Row],[13]])*1.12,setca[[#This Row],[12]]+setca[[#This Row],[13]])</f>
        <v>0</v>
      </c>
      <c r="AA174" s="195">
        <f>IF(OR(setca[[#This Row],[5]]="WN",setca[[#This Row],[5]]="Es"),setca[[#This Row],[4]]*1.12,setca[[#This Row],[4]])*(setca[[#This Row],[14]]+1)</f>
        <v>0</v>
      </c>
      <c r="AB174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74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74" s="195" t="b">
        <f>IF(setca[[#This Row],[16]]=FALSE,TRUE,FALSE)</f>
        <v>1</v>
      </c>
      <c r="AE174" s="195" t="b">
        <f ca="1">IF(setca[[#This Row],[2]]="",FALSE,AND((setca[[#This Row],[2]]+TODAY())&lt;$C$36,setca[[#This Row],[17]]=FALSE,setca[[#This Row],[18]]=TRUE))</f>
        <v>0</v>
      </c>
      <c r="AF174" s="195" t="b">
        <f ca="1">IF(setca[[#This Row],[2]]="",FALSE,AND((setca[[#This Row],[3]]+TODAY())&lt;$C$36,setca[[#This Row],[18]]=TRUE))</f>
        <v>0</v>
      </c>
      <c r="AG174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74" s="1"/>
      <c r="AI174" s="1"/>
    </row>
    <row r="175" spans="1:35" ht="11.1" customHeight="1" x14ac:dyDescent="0.25">
      <c r="A175" s="124" t="str">
        <f t="array" aca="1" ref="A175" ca="1">IFERROR(INDEX($F$39:$F$238,MATCH(0,IF(TRUE=setca[28],0,1)+COUNTIF($F$38:F212,$F$39:$F$238),0)),"")</f>
        <v/>
      </c>
      <c r="B175" s="109">
        <f>IFERROR(VLOOKUP(setca[[#This Row],[23]],Start!$B$87:$N$10044,3,0),0)+IF(setca[[#This Row],[18]]=TRUE,1+setca[[#This Row],[14]],0)</f>
        <v>0</v>
      </c>
      <c r="C175" s="21">
        <f>IFERROR((IFERROR(VLOOKUP(setca[[#This Row],[23]],Start!$B$87:$N$10044,12,0),0)+IF(setca[[#This Row],[18]]=TRUE,setca[[#This Row],[21]]-setca[[#This Row],[22]],0))/B175,0)</f>
        <v>0</v>
      </c>
      <c r="D175" s="1"/>
      <c r="E175" s="19">
        <f t="shared" ca="1" si="10"/>
        <v>2</v>
      </c>
      <c r="F175" s="173">
        <f t="shared" si="11"/>
        <v>138</v>
      </c>
      <c r="G175" s="99"/>
      <c r="H175" s="99"/>
      <c r="I175" s="114"/>
      <c r="J175" s="100"/>
      <c r="K175" s="100"/>
      <c r="L175" s="100"/>
      <c r="M175" s="100"/>
      <c r="N175" s="100"/>
      <c r="O175" s="100"/>
      <c r="P175" s="101"/>
      <c r="Q175" s="105"/>
      <c r="R175" s="106"/>
      <c r="S175" s="104"/>
      <c r="T175" s="100" t="s">
        <v>71</v>
      </c>
      <c r="U175" s="133" t="b">
        <v>0</v>
      </c>
      <c r="V175" s="135" t="b">
        <v>0</v>
      </c>
      <c r="W175" s="136" t="b">
        <v>0</v>
      </c>
      <c r="X175" s="185" t="str">
        <f ca="1">IF(setca[[#This Row],[18]]=TRUE,IF($N$1=TRUE,TODAY()-1,TODAY()),"")</f>
        <v/>
      </c>
      <c r="Y175" s="195" t="str">
        <f ca="1">IF(setca[[#This Row],[2]]="","",IF(setca[[#This Row],[18]]=TRUE,                                     setca[[#This Row],[2]]+(TODAY())&lt;$C$36))</f>
        <v/>
      </c>
      <c r="Z175" s="195">
        <f>IF(OR(setca[[#This Row],[5]]="WN",setca[[#This Row],[5]]="Es"),(setca[[#This Row],[12]]+setca[[#This Row],[13]])*1.12,setca[[#This Row],[12]]+setca[[#This Row],[13]])</f>
        <v>0</v>
      </c>
      <c r="AA175" s="195">
        <f>IF(OR(setca[[#This Row],[5]]="WN",setca[[#This Row],[5]]="Es"),setca[[#This Row],[4]]*1.12,setca[[#This Row],[4]])*(setca[[#This Row],[14]]+1)</f>
        <v>0</v>
      </c>
      <c r="AB175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75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75" s="195" t="b">
        <f>IF(setca[[#This Row],[16]]=FALSE,TRUE,FALSE)</f>
        <v>1</v>
      </c>
      <c r="AE175" s="195" t="b">
        <f ca="1">IF(setca[[#This Row],[2]]="",FALSE,AND((setca[[#This Row],[2]]+TODAY())&lt;$C$36,setca[[#This Row],[17]]=FALSE,setca[[#This Row],[18]]=TRUE))</f>
        <v>0</v>
      </c>
      <c r="AF175" s="195" t="b">
        <f ca="1">IF(setca[[#This Row],[2]]="",FALSE,AND((setca[[#This Row],[3]]+TODAY())&lt;$C$36,setca[[#This Row],[18]]=TRUE))</f>
        <v>0</v>
      </c>
      <c r="AG175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75" s="1"/>
      <c r="AI175" s="1"/>
    </row>
    <row r="176" spans="1:35" ht="11.1" customHeight="1" x14ac:dyDescent="0.25">
      <c r="A176" s="124" t="str">
        <f t="array" aca="1" ref="A176" ca="1">IFERROR(INDEX($F$39:$F$238,MATCH(0,IF(TRUE=setca[28],0,1)+COUNTIF($F$38:F213,$F$39:$F$238),0)),"")</f>
        <v/>
      </c>
      <c r="B176" s="109">
        <f>IFERROR(VLOOKUP(setca[[#This Row],[23]],Start!$B$87:$N$10044,3,0),0)+IF(setca[[#This Row],[18]]=TRUE,1+setca[[#This Row],[14]],0)</f>
        <v>0</v>
      </c>
      <c r="C176" s="21">
        <f>IFERROR((IFERROR(VLOOKUP(setca[[#This Row],[23]],Start!$B$87:$N$10044,12,0),0)+IF(setca[[#This Row],[18]]=TRUE,setca[[#This Row],[21]]-setca[[#This Row],[22]],0))/B176,0)</f>
        <v>0</v>
      </c>
      <c r="D176" s="1"/>
      <c r="E176" s="19">
        <f t="shared" ca="1" si="10"/>
        <v>2</v>
      </c>
      <c r="F176" s="173">
        <f t="shared" si="11"/>
        <v>139</v>
      </c>
      <c r="G176" s="99"/>
      <c r="H176" s="99"/>
      <c r="I176" s="114"/>
      <c r="J176" s="100"/>
      <c r="K176" s="100"/>
      <c r="L176" s="100"/>
      <c r="M176" s="100"/>
      <c r="N176" s="100"/>
      <c r="O176" s="100"/>
      <c r="P176" s="101"/>
      <c r="Q176" s="105"/>
      <c r="R176" s="106"/>
      <c r="S176" s="104"/>
      <c r="T176" s="100" t="s">
        <v>71</v>
      </c>
      <c r="U176" s="133" t="b">
        <v>0</v>
      </c>
      <c r="V176" s="135" t="b">
        <v>0</v>
      </c>
      <c r="W176" s="136" t="b">
        <v>0</v>
      </c>
      <c r="X176" s="185" t="str">
        <f ca="1">IF(setca[[#This Row],[18]]=TRUE,IF($N$1=TRUE,TODAY()-1,TODAY()),"")</f>
        <v/>
      </c>
      <c r="Y176" s="195" t="str">
        <f ca="1">IF(setca[[#This Row],[2]]="","",IF(setca[[#This Row],[18]]=TRUE,                                     setca[[#This Row],[2]]+(TODAY())&lt;$C$36))</f>
        <v/>
      </c>
      <c r="Z176" s="195">
        <f>IF(OR(setca[[#This Row],[5]]="WN",setca[[#This Row],[5]]="Es"),(setca[[#This Row],[12]]+setca[[#This Row],[13]])*1.12,setca[[#This Row],[12]]+setca[[#This Row],[13]])</f>
        <v>0</v>
      </c>
      <c r="AA176" s="195">
        <f>IF(OR(setca[[#This Row],[5]]="WN",setca[[#This Row],[5]]="Es"),setca[[#This Row],[4]]*1.12,setca[[#This Row],[4]])*(setca[[#This Row],[14]]+1)</f>
        <v>0</v>
      </c>
      <c r="AB176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76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76" s="195" t="b">
        <f>IF(setca[[#This Row],[16]]=FALSE,TRUE,FALSE)</f>
        <v>1</v>
      </c>
      <c r="AE176" s="195" t="b">
        <f ca="1">IF(setca[[#This Row],[2]]="",FALSE,AND((setca[[#This Row],[2]]+TODAY())&lt;$C$36,setca[[#This Row],[17]]=FALSE,setca[[#This Row],[18]]=TRUE))</f>
        <v>0</v>
      </c>
      <c r="AF176" s="195" t="b">
        <f ca="1">IF(setca[[#This Row],[2]]="",FALSE,AND((setca[[#This Row],[3]]+TODAY())&lt;$C$36,setca[[#This Row],[18]]=TRUE))</f>
        <v>0</v>
      </c>
      <c r="AG176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76" s="1"/>
      <c r="AI176" s="1"/>
    </row>
    <row r="177" spans="1:35" ht="11.1" customHeight="1" x14ac:dyDescent="0.25">
      <c r="A177" s="124" t="str">
        <f t="array" aca="1" ref="A177" ca="1">IFERROR(INDEX($F$39:$F$238,MATCH(0,IF(TRUE=setca[28],0,1)+COUNTIF($F$38:F214,$F$39:$F$238),0)),"")</f>
        <v/>
      </c>
      <c r="B177" s="109">
        <f>IFERROR(VLOOKUP(setca[[#This Row],[23]],Start!$B$87:$N$10044,3,0),0)+IF(setca[[#This Row],[18]]=TRUE,1+setca[[#This Row],[14]],0)</f>
        <v>0</v>
      </c>
      <c r="C177" s="21">
        <f>IFERROR((IFERROR(VLOOKUP(setca[[#This Row],[23]],Start!$B$87:$N$10044,12,0),0)+IF(setca[[#This Row],[18]]=TRUE,setca[[#This Row],[21]]-setca[[#This Row],[22]],0))/B177,0)</f>
        <v>0</v>
      </c>
      <c r="D177" s="1"/>
      <c r="E177" s="19">
        <f t="shared" ca="1" si="10"/>
        <v>2</v>
      </c>
      <c r="F177" s="173">
        <f t="shared" si="11"/>
        <v>140</v>
      </c>
      <c r="G177" s="99"/>
      <c r="H177" s="99"/>
      <c r="I177" s="114"/>
      <c r="J177" s="99"/>
      <c r="K177" s="100"/>
      <c r="L177" s="100"/>
      <c r="M177" s="100"/>
      <c r="N177" s="100"/>
      <c r="O177" s="100"/>
      <c r="P177" s="101"/>
      <c r="Q177" s="105"/>
      <c r="R177" s="106"/>
      <c r="S177" s="104"/>
      <c r="T177" s="100" t="s">
        <v>71</v>
      </c>
      <c r="U177" s="133" t="b">
        <v>0</v>
      </c>
      <c r="V177" s="135" t="b">
        <v>0</v>
      </c>
      <c r="W177" s="137" t="b">
        <v>0</v>
      </c>
      <c r="X177" s="186" t="str">
        <f ca="1">IF(setca[[#This Row],[18]]=TRUE,IF($N$1=TRUE,TODAY()-1,TODAY()),"")</f>
        <v/>
      </c>
      <c r="Y177" s="196" t="str">
        <f ca="1">IF(setca[[#This Row],[2]]="","",IF(setca[[#This Row],[18]]=TRUE,                                     setca[[#This Row],[2]]+(TODAY())&lt;$C$36))</f>
        <v/>
      </c>
      <c r="Z177" s="196">
        <f>IF(OR(setca[[#This Row],[5]]="WN",setca[[#This Row],[5]]="Es"),(setca[[#This Row],[12]]+setca[[#This Row],[13]])*1.12,setca[[#This Row],[12]]+setca[[#This Row],[13]])</f>
        <v>0</v>
      </c>
      <c r="AA177" s="196">
        <f>IF(OR(setca[[#This Row],[5]]="WN",setca[[#This Row],[5]]="Es"),setca[[#This Row],[4]]*1.12,setca[[#This Row],[4]])*(setca[[#This Row],[14]]+1)</f>
        <v>0</v>
      </c>
      <c r="AB177" s="196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77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77" s="196" t="b">
        <f>IF(setca[[#This Row],[16]]=FALSE,TRUE,FALSE)</f>
        <v>1</v>
      </c>
      <c r="AE177" s="196" t="b">
        <f ca="1">IF(setca[[#This Row],[2]]="",FALSE,AND((setca[[#This Row],[2]]+TODAY())&lt;$C$36,setca[[#This Row],[17]]=FALSE,setca[[#This Row],[18]]=TRUE))</f>
        <v>0</v>
      </c>
      <c r="AF177" s="196" t="b">
        <f ca="1">IF(setca[[#This Row],[2]]="",FALSE,AND((setca[[#This Row],[3]]+TODAY())&lt;$C$36,setca[[#This Row],[18]]=TRUE))</f>
        <v>0</v>
      </c>
      <c r="AG177" s="196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77" s="1"/>
      <c r="AI177" s="1"/>
    </row>
    <row r="178" spans="1:35" ht="11.1" customHeight="1" x14ac:dyDescent="0.25">
      <c r="A178" s="124" t="str">
        <f t="array" aca="1" ref="A178" ca="1">IFERROR(INDEX($F$39:$F$238,MATCH(0,IF(TRUE=setca[28],0,1)+COUNTIF($F$38:F215,$F$39:$F$238),0)),"")</f>
        <v/>
      </c>
      <c r="B178" s="109">
        <f>IFERROR(VLOOKUP(setca[[#This Row],[23]],Start!$B$87:$N$10044,3,0),0)+IF(setca[[#This Row],[18]]=TRUE,1+setca[[#This Row],[14]],0)</f>
        <v>0</v>
      </c>
      <c r="C178" s="21">
        <f>IFERROR((IFERROR(VLOOKUP(setca[[#This Row],[23]],Start!$B$87:$N$10044,12,0),0)+IF(setca[[#This Row],[18]]=TRUE,setca[[#This Row],[21]]-setca[[#This Row],[22]],0))/B178,0)</f>
        <v>0</v>
      </c>
      <c r="D178" s="1"/>
      <c r="E178" s="19">
        <f t="shared" ca="1" si="10"/>
        <v>2</v>
      </c>
      <c r="F178" s="173">
        <f t="shared" si="11"/>
        <v>141</v>
      </c>
      <c r="G178" s="99"/>
      <c r="H178" s="99"/>
      <c r="I178" s="114"/>
      <c r="J178" s="99"/>
      <c r="K178" s="100"/>
      <c r="L178" s="100"/>
      <c r="M178" s="100"/>
      <c r="N178" s="100"/>
      <c r="O178" s="100"/>
      <c r="P178" s="101"/>
      <c r="Q178" s="105"/>
      <c r="R178" s="106"/>
      <c r="S178" s="104"/>
      <c r="T178" s="100" t="s">
        <v>71</v>
      </c>
      <c r="U178" s="133" t="b">
        <v>0</v>
      </c>
      <c r="V178" s="135" t="b">
        <v>0</v>
      </c>
      <c r="W178" s="136" t="b">
        <v>0</v>
      </c>
      <c r="X178" s="185" t="str">
        <f ca="1">IF(setca[[#This Row],[18]]=TRUE,IF($N$1=TRUE,TODAY()-1,TODAY()),"")</f>
        <v/>
      </c>
      <c r="Y178" s="195" t="str">
        <f ca="1">IF(setca[[#This Row],[2]]="","",IF(setca[[#This Row],[18]]=TRUE,                                     setca[[#This Row],[2]]+(TODAY())&lt;$C$36))</f>
        <v/>
      </c>
      <c r="Z178" s="195">
        <f>IF(OR(setca[[#This Row],[5]]="WN",setca[[#This Row],[5]]="Es"),(setca[[#This Row],[12]]+setca[[#This Row],[13]])*1.12,setca[[#This Row],[12]]+setca[[#This Row],[13]])</f>
        <v>0</v>
      </c>
      <c r="AA178" s="195">
        <f>IF(OR(setca[[#This Row],[5]]="WN",setca[[#This Row],[5]]="Es"),setca[[#This Row],[4]]*1.12,setca[[#This Row],[4]])*(setca[[#This Row],[14]]+1)</f>
        <v>0</v>
      </c>
      <c r="AB178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78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78" s="195" t="b">
        <f>IF(setca[[#This Row],[16]]=FALSE,TRUE,FALSE)</f>
        <v>1</v>
      </c>
      <c r="AE178" s="195" t="b">
        <f ca="1">IF(setca[[#This Row],[2]]="",FALSE,AND((setca[[#This Row],[2]]+TODAY())&lt;$C$36,setca[[#This Row],[17]]=FALSE,setca[[#This Row],[18]]=TRUE))</f>
        <v>0</v>
      </c>
      <c r="AF178" s="195" t="b">
        <f ca="1">IF(setca[[#This Row],[2]]="",FALSE,AND((setca[[#This Row],[3]]+TODAY())&lt;$C$36,setca[[#This Row],[18]]=TRUE))</f>
        <v>0</v>
      </c>
      <c r="AG178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78" s="1"/>
      <c r="AI178" s="1"/>
    </row>
    <row r="179" spans="1:35" ht="11.1" customHeight="1" x14ac:dyDescent="0.25">
      <c r="A179" s="124" t="str">
        <f t="array" aca="1" ref="A179" ca="1">IFERROR(INDEX($F$39:$F$238,MATCH(0,IF(TRUE=setca[28],0,1)+COUNTIF($F$38:F216,$F$39:$F$238),0)),"")</f>
        <v/>
      </c>
      <c r="B179" s="109">
        <f>IFERROR(VLOOKUP(setca[[#This Row],[23]],Start!$B$87:$N$10044,3,0),0)+IF(setca[[#This Row],[18]]=TRUE,1+setca[[#This Row],[14]],0)</f>
        <v>0</v>
      </c>
      <c r="C179" s="21">
        <f>IFERROR((IFERROR(VLOOKUP(setca[[#This Row],[23]],Start!$B$87:$N$10044,12,0),0)+IF(setca[[#This Row],[18]]=TRUE,setca[[#This Row],[21]]-setca[[#This Row],[22]],0))/B179,0)</f>
        <v>0</v>
      </c>
      <c r="D179" s="1"/>
      <c r="E179" s="19">
        <f t="shared" ca="1" si="10"/>
        <v>2</v>
      </c>
      <c r="F179" s="173">
        <f t="shared" si="11"/>
        <v>142</v>
      </c>
      <c r="G179" s="99"/>
      <c r="H179" s="99"/>
      <c r="I179" s="114"/>
      <c r="J179" s="99"/>
      <c r="K179" s="100"/>
      <c r="L179" s="100"/>
      <c r="M179" s="100"/>
      <c r="N179" s="100"/>
      <c r="O179" s="100"/>
      <c r="P179" s="101"/>
      <c r="Q179" s="105"/>
      <c r="R179" s="106"/>
      <c r="S179" s="104"/>
      <c r="T179" s="100" t="s">
        <v>71</v>
      </c>
      <c r="U179" s="133" t="b">
        <v>0</v>
      </c>
      <c r="V179" s="135" t="b">
        <v>0</v>
      </c>
      <c r="W179" s="136" t="b">
        <v>0</v>
      </c>
      <c r="X179" s="185" t="str">
        <f ca="1">IF(setca[[#This Row],[18]]=TRUE,IF($N$1=TRUE,TODAY()-1,TODAY()),"")</f>
        <v/>
      </c>
      <c r="Y179" s="195" t="str">
        <f ca="1">IF(setca[[#This Row],[2]]="","",IF(setca[[#This Row],[18]]=TRUE,                                     setca[[#This Row],[2]]+(TODAY())&lt;$C$36))</f>
        <v/>
      </c>
      <c r="Z179" s="195">
        <f>IF(OR(setca[[#This Row],[5]]="WN",setca[[#This Row],[5]]="Es"),(setca[[#This Row],[12]]+setca[[#This Row],[13]])*1.12,setca[[#This Row],[12]]+setca[[#This Row],[13]])</f>
        <v>0</v>
      </c>
      <c r="AA179" s="195">
        <f>IF(OR(setca[[#This Row],[5]]="WN",setca[[#This Row],[5]]="Es"),setca[[#This Row],[4]]*1.12,setca[[#This Row],[4]])*(setca[[#This Row],[14]]+1)</f>
        <v>0</v>
      </c>
      <c r="AB179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79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79" s="195" t="b">
        <f>IF(setca[[#This Row],[16]]=FALSE,TRUE,FALSE)</f>
        <v>1</v>
      </c>
      <c r="AE179" s="195" t="b">
        <f ca="1">IF(setca[[#This Row],[2]]="",FALSE,AND((setca[[#This Row],[2]]+TODAY())&lt;$C$36,setca[[#This Row],[17]]=FALSE,setca[[#This Row],[18]]=TRUE))</f>
        <v>0</v>
      </c>
      <c r="AF179" s="195" t="b">
        <f ca="1">IF(setca[[#This Row],[2]]="",FALSE,AND((setca[[#This Row],[3]]+TODAY())&lt;$C$36,setca[[#This Row],[18]]=TRUE))</f>
        <v>0</v>
      </c>
      <c r="AG179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79" s="1"/>
      <c r="AI179" s="1"/>
    </row>
    <row r="180" spans="1:35" ht="11.1" customHeight="1" x14ac:dyDescent="0.25">
      <c r="A180" s="124" t="str">
        <f t="array" aca="1" ref="A180" ca="1">IFERROR(INDEX($F$39:$F$238,MATCH(0,IF(TRUE=setca[28],0,1)+COUNTIF($F$38:F217,$F$39:$F$238),0)),"")</f>
        <v/>
      </c>
      <c r="B180" s="109">
        <f>IFERROR(VLOOKUP(setca[[#This Row],[23]],Start!$B$87:$N$10044,3,0),0)+IF(setca[[#This Row],[18]]=TRUE,1+setca[[#This Row],[14]],0)</f>
        <v>0</v>
      </c>
      <c r="C180" s="21">
        <f>IFERROR((IFERROR(VLOOKUP(setca[[#This Row],[23]],Start!$B$87:$N$10044,12,0),0)+IF(setca[[#This Row],[18]]=TRUE,setca[[#This Row],[21]]-setca[[#This Row],[22]],0))/B180,0)</f>
        <v>0</v>
      </c>
      <c r="D180" s="1"/>
      <c r="E180" s="19">
        <f t="shared" ca="1" si="10"/>
        <v>2</v>
      </c>
      <c r="F180" s="173">
        <f t="shared" si="11"/>
        <v>143</v>
      </c>
      <c r="G180" s="99"/>
      <c r="H180" s="99"/>
      <c r="I180" s="114"/>
      <c r="J180" s="100"/>
      <c r="K180" s="100"/>
      <c r="L180" s="100"/>
      <c r="M180" s="100"/>
      <c r="N180" s="100"/>
      <c r="O180" s="100"/>
      <c r="P180" s="101"/>
      <c r="Q180" s="105"/>
      <c r="R180" s="106"/>
      <c r="S180" s="104"/>
      <c r="T180" s="100" t="s">
        <v>71</v>
      </c>
      <c r="U180" s="133" t="b">
        <v>0</v>
      </c>
      <c r="V180" s="135" t="b">
        <v>0</v>
      </c>
      <c r="W180" s="136" t="b">
        <v>0</v>
      </c>
      <c r="X180" s="185" t="str">
        <f ca="1">IF(setca[[#This Row],[18]]=TRUE,IF($N$1=TRUE,TODAY()-1,TODAY()),"")</f>
        <v/>
      </c>
      <c r="Y180" s="195" t="str">
        <f ca="1">IF(setca[[#This Row],[2]]="","",IF(setca[[#This Row],[18]]=TRUE,                                     setca[[#This Row],[2]]+(TODAY())&lt;$C$36))</f>
        <v/>
      </c>
      <c r="Z180" s="195">
        <f>IF(OR(setca[[#This Row],[5]]="WN",setca[[#This Row],[5]]="Es"),(setca[[#This Row],[12]]+setca[[#This Row],[13]])*1.12,setca[[#This Row],[12]]+setca[[#This Row],[13]])</f>
        <v>0</v>
      </c>
      <c r="AA180" s="195">
        <f>IF(OR(setca[[#This Row],[5]]="WN",setca[[#This Row],[5]]="Es"),setca[[#This Row],[4]]*1.12,setca[[#This Row],[4]])*(setca[[#This Row],[14]]+1)</f>
        <v>0</v>
      </c>
      <c r="AB180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80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80" s="195" t="b">
        <f>IF(setca[[#This Row],[16]]=FALSE,TRUE,FALSE)</f>
        <v>1</v>
      </c>
      <c r="AE180" s="195" t="b">
        <f ca="1">IF(setca[[#This Row],[2]]="",FALSE,AND((setca[[#This Row],[2]]+TODAY())&lt;$C$36,setca[[#This Row],[17]]=FALSE,setca[[#This Row],[18]]=TRUE))</f>
        <v>0</v>
      </c>
      <c r="AF180" s="195" t="b">
        <f ca="1">IF(setca[[#This Row],[2]]="",FALSE,AND((setca[[#This Row],[3]]+TODAY())&lt;$C$36,setca[[#This Row],[18]]=TRUE))</f>
        <v>0</v>
      </c>
      <c r="AG180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80" s="1"/>
      <c r="AI180" s="1"/>
    </row>
    <row r="181" spans="1:35" ht="11.1" customHeight="1" x14ac:dyDescent="0.25">
      <c r="A181" s="124" t="str">
        <f t="array" aca="1" ref="A181" ca="1">IFERROR(INDEX($F$39:$F$238,MATCH(0,IF(TRUE=setca[28],0,1)+COUNTIF($F$38:F218,$F$39:$F$238),0)),"")</f>
        <v/>
      </c>
      <c r="B181" s="109">
        <f>IFERROR(VLOOKUP(setca[[#This Row],[23]],Start!$B$87:$N$10044,3,0),0)+IF(setca[[#This Row],[18]]=TRUE,1+setca[[#This Row],[14]],0)</f>
        <v>0</v>
      </c>
      <c r="C181" s="21">
        <f>IFERROR((IFERROR(VLOOKUP(setca[[#This Row],[23]],Start!$B$87:$N$10044,12,0),0)+IF(setca[[#This Row],[18]]=TRUE,setca[[#This Row],[21]]-setca[[#This Row],[22]],0))/B181,0)</f>
        <v>0</v>
      </c>
      <c r="D181" s="1"/>
      <c r="E181" s="19">
        <f t="shared" ca="1" si="10"/>
        <v>2</v>
      </c>
      <c r="F181" s="173">
        <f t="shared" si="11"/>
        <v>144</v>
      </c>
      <c r="G181" s="99"/>
      <c r="H181" s="99"/>
      <c r="I181" s="114"/>
      <c r="J181" s="100"/>
      <c r="K181" s="100"/>
      <c r="L181" s="100"/>
      <c r="M181" s="100"/>
      <c r="N181" s="100"/>
      <c r="O181" s="100"/>
      <c r="P181" s="101"/>
      <c r="Q181" s="105"/>
      <c r="R181" s="106"/>
      <c r="S181" s="104"/>
      <c r="T181" s="100" t="s">
        <v>71</v>
      </c>
      <c r="U181" s="133" t="b">
        <v>0</v>
      </c>
      <c r="V181" s="135" t="b">
        <v>0</v>
      </c>
      <c r="W181" s="136" t="b">
        <v>0</v>
      </c>
      <c r="X181" s="185" t="str">
        <f ca="1">IF(setca[[#This Row],[18]]=TRUE,IF($N$1=TRUE,TODAY()-1,TODAY()),"")</f>
        <v/>
      </c>
      <c r="Y181" s="195" t="str">
        <f ca="1">IF(setca[[#This Row],[2]]="","",IF(setca[[#This Row],[18]]=TRUE,                                     setca[[#This Row],[2]]+(TODAY())&lt;$C$36))</f>
        <v/>
      </c>
      <c r="Z181" s="195">
        <f>IF(OR(setca[[#This Row],[5]]="WN",setca[[#This Row],[5]]="Es"),(setca[[#This Row],[12]]+setca[[#This Row],[13]])*1.12,setca[[#This Row],[12]]+setca[[#This Row],[13]])</f>
        <v>0</v>
      </c>
      <c r="AA181" s="195">
        <f>IF(OR(setca[[#This Row],[5]]="WN",setca[[#This Row],[5]]="Es"),setca[[#This Row],[4]]*1.12,setca[[#This Row],[4]])*(setca[[#This Row],[14]]+1)</f>
        <v>0</v>
      </c>
      <c r="AB181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81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81" s="195" t="b">
        <f>IF(setca[[#This Row],[16]]=FALSE,TRUE,FALSE)</f>
        <v>1</v>
      </c>
      <c r="AE181" s="195" t="b">
        <f ca="1">IF(setca[[#This Row],[2]]="",FALSE,AND((setca[[#This Row],[2]]+TODAY())&lt;$C$36,setca[[#This Row],[17]]=FALSE,setca[[#This Row],[18]]=TRUE))</f>
        <v>0</v>
      </c>
      <c r="AF181" s="195" t="b">
        <f ca="1">IF(setca[[#This Row],[2]]="",FALSE,AND((setca[[#This Row],[3]]+TODAY())&lt;$C$36,setca[[#This Row],[18]]=TRUE))</f>
        <v>0</v>
      </c>
      <c r="AG181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81" s="1"/>
      <c r="AI181" s="1"/>
    </row>
    <row r="182" spans="1:35" ht="11.1" customHeight="1" x14ac:dyDescent="0.25">
      <c r="A182" s="124" t="str">
        <f t="array" aca="1" ref="A182" ca="1">IFERROR(INDEX($F$39:$F$238,MATCH(0,IF(TRUE=setca[28],0,1)+COUNTIF($F$38:F219,$F$39:$F$238),0)),"")</f>
        <v/>
      </c>
      <c r="B182" s="109">
        <f>IFERROR(VLOOKUP(setca[[#This Row],[23]],Start!$B$87:$N$10044,3,0),0)+IF(setca[[#This Row],[18]]=TRUE,1+setca[[#This Row],[14]],0)</f>
        <v>0</v>
      </c>
      <c r="C182" s="21">
        <f>IFERROR((IFERROR(VLOOKUP(setca[[#This Row],[23]],Start!$B$87:$N$10044,12,0),0)+IF(setca[[#This Row],[18]]=TRUE,setca[[#This Row],[21]]-setca[[#This Row],[22]],0))/B182,0)</f>
        <v>0</v>
      </c>
      <c r="D182" s="1"/>
      <c r="E182" s="19">
        <f t="shared" ca="1" si="10"/>
        <v>2</v>
      </c>
      <c r="F182" s="173">
        <f t="shared" si="11"/>
        <v>145</v>
      </c>
      <c r="G182" s="99"/>
      <c r="H182" s="99"/>
      <c r="I182" s="114"/>
      <c r="J182" s="99"/>
      <c r="K182" s="100"/>
      <c r="L182" s="100"/>
      <c r="M182" s="100"/>
      <c r="N182" s="100"/>
      <c r="O182" s="100"/>
      <c r="P182" s="101"/>
      <c r="Q182" s="105"/>
      <c r="R182" s="106"/>
      <c r="S182" s="104"/>
      <c r="T182" s="100" t="s">
        <v>71</v>
      </c>
      <c r="U182" s="133" t="b">
        <v>0</v>
      </c>
      <c r="V182" s="135" t="b">
        <v>0</v>
      </c>
      <c r="W182" s="137" t="b">
        <v>0</v>
      </c>
      <c r="X182" s="186" t="str">
        <f ca="1">IF(setca[[#This Row],[18]]=TRUE,IF($N$1=TRUE,TODAY()-1,TODAY()),"")</f>
        <v/>
      </c>
      <c r="Y182" s="196" t="str">
        <f ca="1">IF(setca[[#This Row],[2]]="","",IF(setca[[#This Row],[18]]=TRUE,                                     setca[[#This Row],[2]]+(TODAY())&lt;$C$36))</f>
        <v/>
      </c>
      <c r="Z182" s="196">
        <f>IF(OR(setca[[#This Row],[5]]="WN",setca[[#This Row],[5]]="Es"),(setca[[#This Row],[12]]+setca[[#This Row],[13]])*1.12,setca[[#This Row],[12]]+setca[[#This Row],[13]])</f>
        <v>0</v>
      </c>
      <c r="AA182" s="196">
        <f>IF(OR(setca[[#This Row],[5]]="WN",setca[[#This Row],[5]]="Es"),setca[[#This Row],[4]]*1.12,setca[[#This Row],[4]])*(setca[[#This Row],[14]]+1)</f>
        <v>0</v>
      </c>
      <c r="AB182" s="196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82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82" s="196" t="b">
        <f>IF(setca[[#This Row],[16]]=FALSE,TRUE,FALSE)</f>
        <v>1</v>
      </c>
      <c r="AE182" s="196" t="b">
        <f ca="1">IF(setca[[#This Row],[2]]="",FALSE,AND((setca[[#This Row],[2]]+TODAY())&lt;$C$36,setca[[#This Row],[17]]=FALSE,setca[[#This Row],[18]]=TRUE))</f>
        <v>0</v>
      </c>
      <c r="AF182" s="196" t="b">
        <f ca="1">IF(setca[[#This Row],[2]]="",FALSE,AND((setca[[#This Row],[3]]+TODAY())&lt;$C$36,setca[[#This Row],[18]]=TRUE))</f>
        <v>0</v>
      </c>
      <c r="AG182" s="196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82" s="1"/>
      <c r="AI182" s="1"/>
    </row>
    <row r="183" spans="1:35" ht="11.1" customHeight="1" x14ac:dyDescent="0.25">
      <c r="A183" s="124" t="str">
        <f t="array" aca="1" ref="A183" ca="1">IFERROR(INDEX($F$39:$F$238,MATCH(0,IF(TRUE=setca[28],0,1)+COUNTIF($F$38:F220,$F$39:$F$238),0)),"")</f>
        <v/>
      </c>
      <c r="B183" s="109">
        <f>IFERROR(VLOOKUP(setca[[#This Row],[23]],Start!$B$87:$N$10044,3,0),0)+IF(setca[[#This Row],[18]]=TRUE,1+setca[[#This Row],[14]],0)</f>
        <v>0</v>
      </c>
      <c r="C183" s="21">
        <f>IFERROR((IFERROR(VLOOKUP(setca[[#This Row],[23]],Start!$B$87:$N$10044,12,0),0)+IF(setca[[#This Row],[18]]=TRUE,setca[[#This Row],[21]]-setca[[#This Row],[22]],0))/B183,0)</f>
        <v>0</v>
      </c>
      <c r="D183" s="1"/>
      <c r="E183" s="19">
        <f t="shared" ca="1" si="10"/>
        <v>2</v>
      </c>
      <c r="F183" s="173">
        <f t="shared" si="11"/>
        <v>146</v>
      </c>
      <c r="G183" s="99"/>
      <c r="H183" s="99"/>
      <c r="I183" s="114"/>
      <c r="J183" s="100"/>
      <c r="K183" s="100"/>
      <c r="L183" s="100"/>
      <c r="M183" s="100"/>
      <c r="N183" s="100"/>
      <c r="O183" s="100"/>
      <c r="P183" s="101"/>
      <c r="Q183" s="105"/>
      <c r="R183" s="106"/>
      <c r="S183" s="104"/>
      <c r="T183" s="100" t="s">
        <v>71</v>
      </c>
      <c r="U183" s="133" t="b">
        <v>0</v>
      </c>
      <c r="V183" s="135" t="b">
        <v>0</v>
      </c>
      <c r="W183" s="136" t="b">
        <v>0</v>
      </c>
      <c r="X183" s="185" t="str">
        <f ca="1">IF(setca[[#This Row],[18]]=TRUE,IF($N$1=TRUE,TODAY()-1,TODAY()),"")</f>
        <v/>
      </c>
      <c r="Y183" s="195" t="str">
        <f ca="1">IF(setca[[#This Row],[2]]="","",IF(setca[[#This Row],[18]]=TRUE,                                     setca[[#This Row],[2]]+(TODAY())&lt;$C$36))</f>
        <v/>
      </c>
      <c r="Z183" s="195">
        <f>IF(OR(setca[[#This Row],[5]]="WN",setca[[#This Row],[5]]="Es"),(setca[[#This Row],[12]]+setca[[#This Row],[13]])*1.12,setca[[#This Row],[12]]+setca[[#This Row],[13]])</f>
        <v>0</v>
      </c>
      <c r="AA183" s="195">
        <f>IF(OR(setca[[#This Row],[5]]="WN",setca[[#This Row],[5]]="Es"),setca[[#This Row],[4]]*1.12,setca[[#This Row],[4]])*(setca[[#This Row],[14]]+1)</f>
        <v>0</v>
      </c>
      <c r="AB183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83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83" s="195" t="b">
        <f>IF(setca[[#This Row],[16]]=FALSE,TRUE,FALSE)</f>
        <v>1</v>
      </c>
      <c r="AE183" s="195" t="b">
        <f ca="1">IF(setca[[#This Row],[2]]="",FALSE,AND((setca[[#This Row],[2]]+TODAY())&lt;$C$36,setca[[#This Row],[17]]=FALSE,setca[[#This Row],[18]]=TRUE))</f>
        <v>0</v>
      </c>
      <c r="AF183" s="195" t="b">
        <f ca="1">IF(setca[[#This Row],[2]]="",FALSE,AND((setca[[#This Row],[3]]+TODAY())&lt;$C$36,setca[[#This Row],[18]]=TRUE))</f>
        <v>0</v>
      </c>
      <c r="AG183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83" s="1"/>
      <c r="AI183" s="1"/>
    </row>
    <row r="184" spans="1:35" ht="11.1" customHeight="1" x14ac:dyDescent="0.25">
      <c r="A184" s="124" t="str">
        <f t="array" aca="1" ref="A184" ca="1">IFERROR(INDEX($F$39:$F$238,MATCH(0,IF(TRUE=setca[28],0,1)+COUNTIF($F$38:F221,$F$39:$F$238),0)),"")</f>
        <v/>
      </c>
      <c r="B184" s="109">
        <f>IFERROR(VLOOKUP(setca[[#This Row],[23]],Start!$B$87:$N$10044,3,0),0)+IF(setca[[#This Row],[18]]=TRUE,1+setca[[#This Row],[14]],0)</f>
        <v>0</v>
      </c>
      <c r="C184" s="21">
        <f>IFERROR((IFERROR(VLOOKUP(setca[[#This Row],[23]],Start!$B$87:$N$10044,12,0),0)+IF(setca[[#This Row],[18]]=TRUE,setca[[#This Row],[21]]-setca[[#This Row],[22]],0))/B184,0)</f>
        <v>0</v>
      </c>
      <c r="D184" s="1"/>
      <c r="E184" s="19">
        <f t="shared" ca="1" si="10"/>
        <v>2</v>
      </c>
      <c r="F184" s="173">
        <f t="shared" si="11"/>
        <v>147</v>
      </c>
      <c r="G184" s="99"/>
      <c r="H184" s="99"/>
      <c r="I184" s="114"/>
      <c r="J184" s="99"/>
      <c r="K184" s="100"/>
      <c r="L184" s="100"/>
      <c r="M184" s="100"/>
      <c r="N184" s="100"/>
      <c r="O184" s="100"/>
      <c r="P184" s="101"/>
      <c r="Q184" s="105"/>
      <c r="R184" s="106"/>
      <c r="S184" s="104"/>
      <c r="T184" s="100" t="s">
        <v>71</v>
      </c>
      <c r="U184" s="133" t="b">
        <v>0</v>
      </c>
      <c r="V184" s="135" t="b">
        <v>0</v>
      </c>
      <c r="W184" s="136" t="b">
        <v>0</v>
      </c>
      <c r="X184" s="185" t="str">
        <f ca="1">IF(setca[[#This Row],[18]]=TRUE,IF($N$1=TRUE,TODAY()-1,TODAY()),"")</f>
        <v/>
      </c>
      <c r="Y184" s="195" t="str">
        <f ca="1">IF(setca[[#This Row],[2]]="","",IF(setca[[#This Row],[18]]=TRUE,                                     setca[[#This Row],[2]]+(TODAY())&lt;$C$36))</f>
        <v/>
      </c>
      <c r="Z184" s="195">
        <f>IF(OR(setca[[#This Row],[5]]="WN",setca[[#This Row],[5]]="Es"),(setca[[#This Row],[12]]+setca[[#This Row],[13]])*1.12,setca[[#This Row],[12]]+setca[[#This Row],[13]])</f>
        <v>0</v>
      </c>
      <c r="AA184" s="195">
        <f>IF(OR(setca[[#This Row],[5]]="WN",setca[[#This Row],[5]]="Es"),setca[[#This Row],[4]]*1.12,setca[[#This Row],[4]])*(setca[[#This Row],[14]]+1)</f>
        <v>0</v>
      </c>
      <c r="AB184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84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84" s="195" t="b">
        <f>IF(setca[[#This Row],[16]]=FALSE,TRUE,FALSE)</f>
        <v>1</v>
      </c>
      <c r="AE184" s="195" t="b">
        <f ca="1">IF(setca[[#This Row],[2]]="",FALSE,AND((setca[[#This Row],[2]]+TODAY())&lt;$C$36,setca[[#This Row],[17]]=FALSE,setca[[#This Row],[18]]=TRUE))</f>
        <v>0</v>
      </c>
      <c r="AF184" s="195" t="b">
        <f ca="1">IF(setca[[#This Row],[2]]="",FALSE,AND((setca[[#This Row],[3]]+TODAY())&lt;$C$36,setca[[#This Row],[18]]=TRUE))</f>
        <v>0</v>
      </c>
      <c r="AG184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84" s="1"/>
      <c r="AI184" s="1"/>
    </row>
    <row r="185" spans="1:35" ht="11.1" customHeight="1" x14ac:dyDescent="0.25">
      <c r="A185" s="124" t="str">
        <f t="array" aca="1" ref="A185" ca="1">IFERROR(INDEX($F$39:$F$238,MATCH(0,IF(TRUE=setca[28],0,1)+COUNTIF($F$38:F222,$F$39:$F$238),0)),"")</f>
        <v/>
      </c>
      <c r="B185" s="109">
        <f>IFERROR(VLOOKUP(setca[[#This Row],[23]],Start!$B$87:$N$10044,3,0),0)+IF(setca[[#This Row],[18]]=TRUE,1+setca[[#This Row],[14]],0)</f>
        <v>0</v>
      </c>
      <c r="C185" s="21">
        <f>IFERROR((IFERROR(VLOOKUP(setca[[#This Row],[23]],Start!$B$87:$N$10044,12,0),0)+IF(setca[[#This Row],[18]]=TRUE,setca[[#This Row],[21]]-setca[[#This Row],[22]],0))/B185,0)</f>
        <v>0</v>
      </c>
      <c r="D185" s="1"/>
      <c r="E185" s="19">
        <f t="shared" ca="1" si="10"/>
        <v>2</v>
      </c>
      <c r="F185" s="173">
        <f t="shared" si="11"/>
        <v>148</v>
      </c>
      <c r="G185" s="99"/>
      <c r="H185" s="99"/>
      <c r="I185" s="114"/>
      <c r="J185" s="100"/>
      <c r="K185" s="100"/>
      <c r="L185" s="100"/>
      <c r="M185" s="100"/>
      <c r="N185" s="100"/>
      <c r="O185" s="100"/>
      <c r="P185" s="101"/>
      <c r="Q185" s="105"/>
      <c r="R185" s="106"/>
      <c r="S185" s="104"/>
      <c r="T185" s="100" t="s">
        <v>71</v>
      </c>
      <c r="U185" s="133" t="b">
        <v>0</v>
      </c>
      <c r="V185" s="135" t="b">
        <v>0</v>
      </c>
      <c r="W185" s="136" t="b">
        <v>0</v>
      </c>
      <c r="X185" s="185" t="str">
        <f ca="1">IF(setca[[#This Row],[18]]=TRUE,IF($N$1=TRUE,TODAY()-1,TODAY()),"")</f>
        <v/>
      </c>
      <c r="Y185" s="195" t="str">
        <f ca="1">IF(setca[[#This Row],[2]]="","",IF(setca[[#This Row],[18]]=TRUE,                                     setca[[#This Row],[2]]+(TODAY())&lt;$C$36))</f>
        <v/>
      </c>
      <c r="Z185" s="195">
        <f>IF(OR(setca[[#This Row],[5]]="WN",setca[[#This Row],[5]]="Es"),(setca[[#This Row],[12]]+setca[[#This Row],[13]])*1.12,setca[[#This Row],[12]]+setca[[#This Row],[13]])</f>
        <v>0</v>
      </c>
      <c r="AA185" s="195">
        <f>IF(OR(setca[[#This Row],[5]]="WN",setca[[#This Row],[5]]="Es"),setca[[#This Row],[4]]*1.12,setca[[#This Row],[4]])*(setca[[#This Row],[14]]+1)</f>
        <v>0</v>
      </c>
      <c r="AB185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85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85" s="195" t="b">
        <f>IF(setca[[#This Row],[16]]=FALSE,TRUE,FALSE)</f>
        <v>1</v>
      </c>
      <c r="AE185" s="195" t="b">
        <f ca="1">IF(setca[[#This Row],[2]]="",FALSE,AND((setca[[#This Row],[2]]+TODAY())&lt;$C$36,setca[[#This Row],[17]]=FALSE,setca[[#This Row],[18]]=TRUE))</f>
        <v>0</v>
      </c>
      <c r="AF185" s="195" t="b">
        <f ca="1">IF(setca[[#This Row],[2]]="",FALSE,AND((setca[[#This Row],[3]]+TODAY())&lt;$C$36,setca[[#This Row],[18]]=TRUE))</f>
        <v>0</v>
      </c>
      <c r="AG185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85" s="1"/>
      <c r="AI185" s="1"/>
    </row>
    <row r="186" spans="1:35" ht="11.1" customHeight="1" x14ac:dyDescent="0.25">
      <c r="A186" s="124" t="str">
        <f t="array" aca="1" ref="A186" ca="1">IFERROR(INDEX($F$39:$F$238,MATCH(0,IF(TRUE=setca[28],0,1)+COUNTIF($F$38:F223,$F$39:$F$238),0)),"")</f>
        <v/>
      </c>
      <c r="B186" s="109">
        <f>IFERROR(VLOOKUP(setca[[#This Row],[23]],Start!$B$87:$N$10044,3,0),0)+IF(setca[[#This Row],[18]]=TRUE,1+setca[[#This Row],[14]],0)</f>
        <v>0</v>
      </c>
      <c r="C186" s="21">
        <f>IFERROR((IFERROR(VLOOKUP(setca[[#This Row],[23]],Start!$B$87:$N$10044,12,0),0)+IF(setca[[#This Row],[18]]=TRUE,setca[[#This Row],[21]]-setca[[#This Row],[22]],0))/B186,0)</f>
        <v>0</v>
      </c>
      <c r="D186" s="1"/>
      <c r="E186" s="19">
        <f t="shared" ca="1" si="10"/>
        <v>2</v>
      </c>
      <c r="F186" s="173">
        <f t="shared" si="11"/>
        <v>149</v>
      </c>
      <c r="G186" s="99"/>
      <c r="H186" s="99"/>
      <c r="I186" s="114"/>
      <c r="J186" s="99"/>
      <c r="K186" s="100"/>
      <c r="L186" s="100"/>
      <c r="M186" s="100"/>
      <c r="N186" s="100"/>
      <c r="O186" s="100"/>
      <c r="P186" s="101"/>
      <c r="Q186" s="105"/>
      <c r="R186" s="106"/>
      <c r="S186" s="104"/>
      <c r="T186" s="100" t="s">
        <v>71</v>
      </c>
      <c r="U186" s="133" t="b">
        <v>0</v>
      </c>
      <c r="V186" s="135" t="b">
        <v>0</v>
      </c>
      <c r="W186" s="136" t="b">
        <v>0</v>
      </c>
      <c r="X186" s="185" t="str">
        <f ca="1">IF(setca[[#This Row],[18]]=TRUE,IF($N$1=TRUE,TODAY()-1,TODAY()),"")</f>
        <v/>
      </c>
      <c r="Y186" s="195" t="str">
        <f ca="1">IF(setca[[#This Row],[2]]="","",IF(setca[[#This Row],[18]]=TRUE,                                     setca[[#This Row],[2]]+(TODAY())&lt;$C$36))</f>
        <v/>
      </c>
      <c r="Z186" s="195">
        <f>IF(OR(setca[[#This Row],[5]]="WN",setca[[#This Row],[5]]="Es"),(setca[[#This Row],[12]]+setca[[#This Row],[13]])*1.12,setca[[#This Row],[12]]+setca[[#This Row],[13]])</f>
        <v>0</v>
      </c>
      <c r="AA186" s="195">
        <f>IF(OR(setca[[#This Row],[5]]="WN",setca[[#This Row],[5]]="Es"),setca[[#This Row],[4]]*1.12,setca[[#This Row],[4]])*(setca[[#This Row],[14]]+1)</f>
        <v>0</v>
      </c>
      <c r="AB186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86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86" s="195" t="b">
        <f>IF(setca[[#This Row],[16]]=FALSE,TRUE,FALSE)</f>
        <v>1</v>
      </c>
      <c r="AE186" s="195" t="b">
        <f ca="1">IF(setca[[#This Row],[2]]="",FALSE,AND((setca[[#This Row],[2]]+TODAY())&lt;$C$36,setca[[#This Row],[17]]=FALSE,setca[[#This Row],[18]]=TRUE))</f>
        <v>0</v>
      </c>
      <c r="AF186" s="195" t="b">
        <f ca="1">IF(setca[[#This Row],[2]]="",FALSE,AND((setca[[#This Row],[3]]+TODAY())&lt;$C$36,setca[[#This Row],[18]]=TRUE))</f>
        <v>0</v>
      </c>
      <c r="AG186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86" s="1"/>
      <c r="AI186" s="1"/>
    </row>
    <row r="187" spans="1:35" ht="11.1" customHeight="1" x14ac:dyDescent="0.25">
      <c r="A187" s="124" t="str">
        <f t="array" aca="1" ref="A187" ca="1">IFERROR(INDEX($F$39:$F$238,MATCH(0,IF(TRUE=setca[28],0,1)+COUNTIF($F$38:F224,$F$39:$F$238),0)),"")</f>
        <v/>
      </c>
      <c r="B187" s="109">
        <f>IFERROR(VLOOKUP(setca[[#This Row],[23]],Start!$B$87:$N$10044,3,0),0)+IF(setca[[#This Row],[18]]=TRUE,1+setca[[#This Row],[14]],0)</f>
        <v>0</v>
      </c>
      <c r="C187" s="21">
        <f>IFERROR((IFERROR(VLOOKUP(setca[[#This Row],[23]],Start!$B$87:$N$10044,12,0),0)+IF(setca[[#This Row],[18]]=TRUE,setca[[#This Row],[21]]-setca[[#This Row],[22]],0))/B187,0)</f>
        <v>0</v>
      </c>
      <c r="D187" s="1"/>
      <c r="E187" s="19">
        <f t="shared" ca="1" si="10"/>
        <v>2</v>
      </c>
      <c r="F187" s="173">
        <f t="shared" si="11"/>
        <v>150</v>
      </c>
      <c r="G187" s="99"/>
      <c r="H187" s="99"/>
      <c r="I187" s="114"/>
      <c r="J187" s="100"/>
      <c r="K187" s="100"/>
      <c r="L187" s="100"/>
      <c r="M187" s="100"/>
      <c r="N187" s="100"/>
      <c r="O187" s="100"/>
      <c r="P187" s="101"/>
      <c r="Q187" s="105"/>
      <c r="R187" s="106"/>
      <c r="S187" s="104"/>
      <c r="T187" s="100" t="s">
        <v>71</v>
      </c>
      <c r="U187" s="133" t="b">
        <v>0</v>
      </c>
      <c r="V187" s="135" t="b">
        <v>0</v>
      </c>
      <c r="W187" s="136" t="b">
        <v>0</v>
      </c>
      <c r="X187" s="185" t="str">
        <f ca="1">IF(setca[[#This Row],[18]]=TRUE,IF($N$1=TRUE,TODAY()-1,TODAY()),"")</f>
        <v/>
      </c>
      <c r="Y187" s="195" t="str">
        <f ca="1">IF(setca[[#This Row],[2]]="","",IF(setca[[#This Row],[18]]=TRUE,                                     setca[[#This Row],[2]]+(TODAY())&lt;$C$36))</f>
        <v/>
      </c>
      <c r="Z187" s="195">
        <f>IF(OR(setca[[#This Row],[5]]="WN",setca[[#This Row],[5]]="Es"),(setca[[#This Row],[12]]+setca[[#This Row],[13]])*1.12,setca[[#This Row],[12]]+setca[[#This Row],[13]])</f>
        <v>0</v>
      </c>
      <c r="AA187" s="195">
        <f>IF(OR(setca[[#This Row],[5]]="WN",setca[[#This Row],[5]]="Es"),setca[[#This Row],[4]]*1.12,setca[[#This Row],[4]])*(setca[[#This Row],[14]]+1)</f>
        <v>0</v>
      </c>
      <c r="AB187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87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87" s="195" t="b">
        <f>IF(setca[[#This Row],[16]]=FALSE,TRUE,FALSE)</f>
        <v>1</v>
      </c>
      <c r="AE187" s="195" t="b">
        <f ca="1">IF(setca[[#This Row],[2]]="",FALSE,AND((setca[[#This Row],[2]]+TODAY())&lt;$C$36,setca[[#This Row],[17]]=FALSE,setca[[#This Row],[18]]=TRUE))</f>
        <v>0</v>
      </c>
      <c r="AF187" s="195" t="b">
        <f ca="1">IF(setca[[#This Row],[2]]="",FALSE,AND((setca[[#This Row],[3]]+TODAY())&lt;$C$36,setca[[#This Row],[18]]=TRUE))</f>
        <v>0</v>
      </c>
      <c r="AG187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87" s="1"/>
      <c r="AI187" s="1"/>
    </row>
    <row r="188" spans="1:35" ht="11.1" customHeight="1" x14ac:dyDescent="0.25">
      <c r="A188" s="124" t="str">
        <f t="array" aca="1" ref="A188" ca="1">IFERROR(INDEX($F$39:$F$238,MATCH(0,IF(TRUE=setca[28],0,1)+COUNTIF($F$38:F225,$F$39:$F$238),0)),"")</f>
        <v/>
      </c>
      <c r="B188" s="109">
        <f>IFERROR(VLOOKUP(setca[[#This Row],[23]],Start!$B$87:$N$10044,3,0),0)+IF(setca[[#This Row],[18]]=TRUE,1+setca[[#This Row],[14]],0)</f>
        <v>0</v>
      </c>
      <c r="C188" s="21">
        <f>IFERROR((IFERROR(VLOOKUP(setca[[#This Row],[23]],Start!$B$87:$N$10044,12,0),0)+IF(setca[[#This Row],[18]]=TRUE,setca[[#This Row],[21]]-setca[[#This Row],[22]],0))/B188,0)</f>
        <v>0</v>
      </c>
      <c r="D188" s="1"/>
      <c r="E188" s="19">
        <f t="shared" ca="1" si="10"/>
        <v>2</v>
      </c>
      <c r="F188" s="173">
        <f t="shared" si="11"/>
        <v>151</v>
      </c>
      <c r="G188" s="99"/>
      <c r="H188" s="99"/>
      <c r="I188" s="114"/>
      <c r="J188" s="100"/>
      <c r="K188" s="100"/>
      <c r="L188" s="100"/>
      <c r="M188" s="100"/>
      <c r="N188" s="100"/>
      <c r="O188" s="100"/>
      <c r="P188" s="101"/>
      <c r="Q188" s="105"/>
      <c r="R188" s="106"/>
      <c r="S188" s="104"/>
      <c r="T188" s="100" t="s">
        <v>71</v>
      </c>
      <c r="U188" s="133" t="b">
        <v>0</v>
      </c>
      <c r="V188" s="135" t="b">
        <v>0</v>
      </c>
      <c r="W188" s="136" t="b">
        <v>0</v>
      </c>
      <c r="X188" s="185" t="str">
        <f ca="1">IF(setca[[#This Row],[18]]=TRUE,IF($N$1=TRUE,TODAY()-1,TODAY()),"")</f>
        <v/>
      </c>
      <c r="Y188" s="195" t="str">
        <f ca="1">IF(setca[[#This Row],[2]]="","",IF(setca[[#This Row],[18]]=TRUE,                                     setca[[#This Row],[2]]+(TODAY())&lt;$C$36))</f>
        <v/>
      </c>
      <c r="Z188" s="195">
        <f>IF(OR(setca[[#This Row],[5]]="WN",setca[[#This Row],[5]]="Es"),(setca[[#This Row],[12]]+setca[[#This Row],[13]])*1.12,setca[[#This Row],[12]]+setca[[#This Row],[13]])</f>
        <v>0</v>
      </c>
      <c r="AA188" s="195">
        <f>IF(OR(setca[[#This Row],[5]]="WN",setca[[#This Row],[5]]="Es"),setca[[#This Row],[4]]*1.12,setca[[#This Row],[4]])*(setca[[#This Row],[14]]+1)</f>
        <v>0</v>
      </c>
      <c r="AB188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88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88" s="195" t="b">
        <f>IF(setca[[#This Row],[16]]=FALSE,TRUE,FALSE)</f>
        <v>1</v>
      </c>
      <c r="AE188" s="195" t="b">
        <f ca="1">IF(setca[[#This Row],[2]]="",FALSE,AND((setca[[#This Row],[2]]+TODAY())&lt;$C$36,setca[[#This Row],[17]]=FALSE,setca[[#This Row],[18]]=TRUE))</f>
        <v>0</v>
      </c>
      <c r="AF188" s="195" t="b">
        <f ca="1">IF(setca[[#This Row],[2]]="",FALSE,AND((setca[[#This Row],[3]]+TODAY())&lt;$C$36,setca[[#This Row],[18]]=TRUE))</f>
        <v>0</v>
      </c>
      <c r="AG188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88" s="1"/>
      <c r="AI188" s="1"/>
    </row>
    <row r="189" spans="1:35" ht="11.1" customHeight="1" x14ac:dyDescent="0.25">
      <c r="A189" s="124" t="str">
        <f t="array" aca="1" ref="A189" ca="1">IFERROR(INDEX($F$39:$F$238,MATCH(0,IF(TRUE=setca[28],0,1)+COUNTIF($F$38:F226,$F$39:$F$238),0)),"")</f>
        <v/>
      </c>
      <c r="B189" s="109">
        <f>IFERROR(VLOOKUP(setca[[#This Row],[23]],Start!$B$87:$N$10044,3,0),0)+IF(setca[[#This Row],[18]]=TRUE,1+setca[[#This Row],[14]],0)</f>
        <v>0</v>
      </c>
      <c r="C189" s="21">
        <f>IFERROR((IFERROR(VLOOKUP(setca[[#This Row],[23]],Start!$B$87:$N$10044,12,0),0)+IF(setca[[#This Row],[18]]=TRUE,setca[[#This Row],[21]]-setca[[#This Row],[22]],0))/B189,0)</f>
        <v>0</v>
      </c>
      <c r="D189" s="1"/>
      <c r="E189" s="19">
        <f t="shared" ca="1" si="10"/>
        <v>2</v>
      </c>
      <c r="F189" s="173">
        <f t="shared" si="11"/>
        <v>152</v>
      </c>
      <c r="G189" s="99"/>
      <c r="H189" s="99"/>
      <c r="I189" s="114"/>
      <c r="J189" s="99"/>
      <c r="K189" s="100"/>
      <c r="L189" s="100"/>
      <c r="M189" s="100"/>
      <c r="N189" s="100"/>
      <c r="O189" s="100"/>
      <c r="P189" s="101"/>
      <c r="Q189" s="105"/>
      <c r="R189" s="106"/>
      <c r="S189" s="104"/>
      <c r="T189" s="100" t="s">
        <v>71</v>
      </c>
      <c r="U189" s="133" t="b">
        <v>0</v>
      </c>
      <c r="V189" s="135" t="b">
        <v>0</v>
      </c>
      <c r="W189" s="136" t="b">
        <v>0</v>
      </c>
      <c r="X189" s="185" t="str">
        <f ca="1">IF(setca[[#This Row],[18]]=TRUE,IF($N$1=TRUE,TODAY()-1,TODAY()),"")</f>
        <v/>
      </c>
      <c r="Y189" s="195" t="str">
        <f ca="1">IF(setca[[#This Row],[2]]="","",IF(setca[[#This Row],[18]]=TRUE,                                     setca[[#This Row],[2]]+(TODAY())&lt;$C$36))</f>
        <v/>
      </c>
      <c r="Z189" s="195">
        <f>IF(OR(setca[[#This Row],[5]]="WN",setca[[#This Row],[5]]="Es"),(setca[[#This Row],[12]]+setca[[#This Row],[13]])*1.12,setca[[#This Row],[12]]+setca[[#This Row],[13]])</f>
        <v>0</v>
      </c>
      <c r="AA189" s="195">
        <f>IF(OR(setca[[#This Row],[5]]="WN",setca[[#This Row],[5]]="Es"),setca[[#This Row],[4]]*1.12,setca[[#This Row],[4]])*(setca[[#This Row],[14]]+1)</f>
        <v>0</v>
      </c>
      <c r="AB189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89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89" s="195" t="b">
        <f>IF(setca[[#This Row],[16]]=FALSE,TRUE,FALSE)</f>
        <v>1</v>
      </c>
      <c r="AE189" s="195" t="b">
        <f ca="1">IF(setca[[#This Row],[2]]="",FALSE,AND((setca[[#This Row],[2]]+TODAY())&lt;$C$36,setca[[#This Row],[17]]=FALSE,setca[[#This Row],[18]]=TRUE))</f>
        <v>0</v>
      </c>
      <c r="AF189" s="195" t="b">
        <f ca="1">IF(setca[[#This Row],[2]]="",FALSE,AND((setca[[#This Row],[3]]+TODAY())&lt;$C$36,setca[[#This Row],[18]]=TRUE))</f>
        <v>0</v>
      </c>
      <c r="AG189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89" s="1"/>
      <c r="AI189" s="1"/>
    </row>
    <row r="190" spans="1:35" ht="11.1" customHeight="1" x14ac:dyDescent="0.25">
      <c r="A190" s="124" t="str">
        <f t="array" aca="1" ref="A190" ca="1">IFERROR(INDEX($F$39:$F$238,MATCH(0,IF(TRUE=setca[28],0,1)+COUNTIF($F$38:F227,$F$39:$F$238),0)),"")</f>
        <v/>
      </c>
      <c r="B190" s="109">
        <f>IFERROR(VLOOKUP(setca[[#This Row],[23]],Start!$B$87:$N$10044,3,0),0)+IF(setca[[#This Row],[18]]=TRUE,1+setca[[#This Row],[14]],0)</f>
        <v>0</v>
      </c>
      <c r="C190" s="21">
        <f>IFERROR((IFERROR(VLOOKUP(setca[[#This Row],[23]],Start!$B$87:$N$10044,12,0),0)+IF(setca[[#This Row],[18]]=TRUE,setca[[#This Row],[21]]-setca[[#This Row],[22]],0))/B190,0)</f>
        <v>0</v>
      </c>
      <c r="D190" s="1"/>
      <c r="E190" s="19">
        <f t="shared" ca="1" si="10"/>
        <v>2</v>
      </c>
      <c r="F190" s="173">
        <f t="shared" si="11"/>
        <v>153</v>
      </c>
      <c r="G190" s="99"/>
      <c r="H190" s="99"/>
      <c r="I190" s="114"/>
      <c r="J190" s="99"/>
      <c r="K190" s="100"/>
      <c r="L190" s="100"/>
      <c r="M190" s="100"/>
      <c r="N190" s="100"/>
      <c r="O190" s="100"/>
      <c r="P190" s="101"/>
      <c r="Q190" s="105"/>
      <c r="R190" s="106"/>
      <c r="S190" s="104"/>
      <c r="T190" s="100" t="s">
        <v>71</v>
      </c>
      <c r="U190" s="133" t="b">
        <v>0</v>
      </c>
      <c r="V190" s="135" t="b">
        <v>0</v>
      </c>
      <c r="W190" s="136" t="b">
        <v>0</v>
      </c>
      <c r="X190" s="185" t="str">
        <f ca="1">IF(setca[[#This Row],[18]]=TRUE,IF($N$1=TRUE,TODAY()-1,TODAY()),"")</f>
        <v/>
      </c>
      <c r="Y190" s="195" t="str">
        <f ca="1">IF(setca[[#This Row],[2]]="","",IF(setca[[#This Row],[18]]=TRUE,                                     setca[[#This Row],[2]]+(TODAY())&lt;$C$36))</f>
        <v/>
      </c>
      <c r="Z190" s="195">
        <f>IF(OR(setca[[#This Row],[5]]="WN",setca[[#This Row],[5]]="Es"),(setca[[#This Row],[12]]+setca[[#This Row],[13]])*1.12,setca[[#This Row],[12]]+setca[[#This Row],[13]])</f>
        <v>0</v>
      </c>
      <c r="AA190" s="195">
        <f>IF(OR(setca[[#This Row],[5]]="WN",setca[[#This Row],[5]]="Es"),setca[[#This Row],[4]]*1.12,setca[[#This Row],[4]])*(setca[[#This Row],[14]]+1)</f>
        <v>0</v>
      </c>
      <c r="AB190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90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90" s="195" t="b">
        <f>IF(setca[[#This Row],[16]]=FALSE,TRUE,FALSE)</f>
        <v>1</v>
      </c>
      <c r="AE190" s="195" t="b">
        <f ca="1">IF(setca[[#This Row],[2]]="",FALSE,AND((setca[[#This Row],[2]]+TODAY())&lt;$C$36,setca[[#This Row],[17]]=FALSE,setca[[#This Row],[18]]=TRUE))</f>
        <v>0</v>
      </c>
      <c r="AF190" s="195" t="b">
        <f ca="1">IF(setca[[#This Row],[2]]="",FALSE,AND((setca[[#This Row],[3]]+TODAY())&lt;$C$36,setca[[#This Row],[18]]=TRUE))</f>
        <v>0</v>
      </c>
      <c r="AG190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90" s="1"/>
      <c r="AI190" s="1"/>
    </row>
    <row r="191" spans="1:35" ht="11.1" customHeight="1" x14ac:dyDescent="0.25">
      <c r="A191" s="124" t="str">
        <f t="array" aca="1" ref="A191" ca="1">IFERROR(INDEX($F$39:$F$238,MATCH(0,IF(TRUE=setca[28],0,1)+COUNTIF($F$38:F228,$F$39:$F$238),0)),"")</f>
        <v/>
      </c>
      <c r="B191" s="109">
        <f>IFERROR(VLOOKUP(setca[[#This Row],[23]],Start!$B$87:$N$10044,3,0),0)+IF(setca[[#This Row],[18]]=TRUE,1+setca[[#This Row],[14]],0)</f>
        <v>0</v>
      </c>
      <c r="C191" s="21">
        <f>IFERROR((IFERROR(VLOOKUP(setca[[#This Row],[23]],Start!$B$87:$N$10044,12,0),0)+IF(setca[[#This Row],[18]]=TRUE,setca[[#This Row],[21]]-setca[[#This Row],[22]],0))/B191,0)</f>
        <v>0</v>
      </c>
      <c r="D191" s="1"/>
      <c r="E191" s="19">
        <f t="shared" ca="1" si="10"/>
        <v>2</v>
      </c>
      <c r="F191" s="173">
        <f t="shared" si="11"/>
        <v>154</v>
      </c>
      <c r="G191" s="99"/>
      <c r="H191" s="99"/>
      <c r="I191" s="114"/>
      <c r="J191" s="99"/>
      <c r="K191" s="100"/>
      <c r="L191" s="100"/>
      <c r="M191" s="100"/>
      <c r="N191" s="100"/>
      <c r="O191" s="100"/>
      <c r="P191" s="101"/>
      <c r="Q191" s="105"/>
      <c r="R191" s="106"/>
      <c r="S191" s="104"/>
      <c r="T191" s="100" t="s">
        <v>71</v>
      </c>
      <c r="U191" s="133" t="b">
        <v>0</v>
      </c>
      <c r="V191" s="135" t="b">
        <v>0</v>
      </c>
      <c r="W191" s="136" t="b">
        <v>0</v>
      </c>
      <c r="X191" s="185" t="str">
        <f ca="1">IF(setca[[#This Row],[18]]=TRUE,IF($N$1=TRUE,TODAY()-1,TODAY()),"")</f>
        <v/>
      </c>
      <c r="Y191" s="195" t="str">
        <f ca="1">IF(setca[[#This Row],[2]]="","",IF(setca[[#This Row],[18]]=TRUE,                                     setca[[#This Row],[2]]+(TODAY())&lt;$C$36))</f>
        <v/>
      </c>
      <c r="Z191" s="195">
        <f>IF(OR(setca[[#This Row],[5]]="WN",setca[[#This Row],[5]]="Es"),(setca[[#This Row],[12]]+setca[[#This Row],[13]])*1.12,setca[[#This Row],[12]]+setca[[#This Row],[13]])</f>
        <v>0</v>
      </c>
      <c r="AA191" s="195">
        <f>IF(OR(setca[[#This Row],[5]]="WN",setca[[#This Row],[5]]="Es"),setca[[#This Row],[4]]*1.12,setca[[#This Row],[4]])*(setca[[#This Row],[14]]+1)</f>
        <v>0</v>
      </c>
      <c r="AB191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91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91" s="195" t="b">
        <f>IF(setca[[#This Row],[16]]=FALSE,TRUE,FALSE)</f>
        <v>1</v>
      </c>
      <c r="AE191" s="195" t="b">
        <f ca="1">IF(setca[[#This Row],[2]]="",FALSE,AND((setca[[#This Row],[2]]+TODAY())&lt;$C$36,setca[[#This Row],[17]]=FALSE,setca[[#This Row],[18]]=TRUE))</f>
        <v>0</v>
      </c>
      <c r="AF191" s="195" t="b">
        <f ca="1">IF(setca[[#This Row],[2]]="",FALSE,AND((setca[[#This Row],[3]]+TODAY())&lt;$C$36,setca[[#This Row],[18]]=TRUE))</f>
        <v>0</v>
      </c>
      <c r="AG191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91" s="1"/>
      <c r="AI191" s="1"/>
    </row>
    <row r="192" spans="1:35" ht="11.1" customHeight="1" x14ac:dyDescent="0.25">
      <c r="A192" s="124" t="str">
        <f t="array" aca="1" ref="A192" ca="1">IFERROR(INDEX($F$39:$F$238,MATCH(0,IF(TRUE=setca[28],0,1)+COUNTIF($F$38:F229,$F$39:$F$238),0)),"")</f>
        <v/>
      </c>
      <c r="B192" s="109">
        <f>IFERROR(VLOOKUP(setca[[#This Row],[23]],Start!$B$87:$N$10044,3,0),0)+IF(setca[[#This Row],[18]]=TRUE,1+setca[[#This Row],[14]],0)</f>
        <v>0</v>
      </c>
      <c r="C192" s="21">
        <f>IFERROR((IFERROR(VLOOKUP(setca[[#This Row],[23]],Start!$B$87:$N$10044,12,0),0)+IF(setca[[#This Row],[18]]=TRUE,setca[[#This Row],[21]]-setca[[#This Row],[22]],0))/B192,0)</f>
        <v>0</v>
      </c>
      <c r="D192" s="1"/>
      <c r="E192" s="19">
        <f t="shared" ca="1" si="10"/>
        <v>2</v>
      </c>
      <c r="F192" s="173">
        <f t="shared" si="11"/>
        <v>155</v>
      </c>
      <c r="G192" s="99"/>
      <c r="H192" s="99"/>
      <c r="I192" s="114"/>
      <c r="J192" s="100"/>
      <c r="K192" s="100"/>
      <c r="L192" s="100"/>
      <c r="M192" s="100"/>
      <c r="N192" s="100"/>
      <c r="O192" s="100"/>
      <c r="P192" s="101"/>
      <c r="Q192" s="105"/>
      <c r="R192" s="106"/>
      <c r="S192" s="104"/>
      <c r="T192" s="100" t="s">
        <v>71</v>
      </c>
      <c r="U192" s="133" t="b">
        <v>0</v>
      </c>
      <c r="V192" s="135" t="b">
        <v>0</v>
      </c>
      <c r="W192" s="136" t="b">
        <v>0</v>
      </c>
      <c r="X192" s="185" t="str">
        <f ca="1">IF(setca[[#This Row],[18]]=TRUE,IF($N$1=TRUE,TODAY()-1,TODAY()),"")</f>
        <v/>
      </c>
      <c r="Y192" s="195" t="str">
        <f ca="1">IF(setca[[#This Row],[2]]="","",IF(setca[[#This Row],[18]]=TRUE,                                     setca[[#This Row],[2]]+(TODAY())&lt;$C$36))</f>
        <v/>
      </c>
      <c r="Z192" s="195">
        <f>IF(OR(setca[[#This Row],[5]]="WN",setca[[#This Row],[5]]="Es"),(setca[[#This Row],[12]]+setca[[#This Row],[13]])*1.12,setca[[#This Row],[12]]+setca[[#This Row],[13]])</f>
        <v>0</v>
      </c>
      <c r="AA192" s="195">
        <f>IF(OR(setca[[#This Row],[5]]="WN",setca[[#This Row],[5]]="Es"),setca[[#This Row],[4]]*1.12,setca[[#This Row],[4]])*(setca[[#This Row],[14]]+1)</f>
        <v>0</v>
      </c>
      <c r="AB192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92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92" s="195" t="b">
        <f>IF(setca[[#This Row],[16]]=FALSE,TRUE,FALSE)</f>
        <v>1</v>
      </c>
      <c r="AE192" s="195" t="b">
        <f ca="1">IF(setca[[#This Row],[2]]="",FALSE,AND((setca[[#This Row],[2]]+TODAY())&lt;$C$36,setca[[#This Row],[17]]=FALSE,setca[[#This Row],[18]]=TRUE))</f>
        <v>0</v>
      </c>
      <c r="AF192" s="195" t="b">
        <f ca="1">IF(setca[[#This Row],[2]]="",FALSE,AND((setca[[#This Row],[3]]+TODAY())&lt;$C$36,setca[[#This Row],[18]]=TRUE))</f>
        <v>0</v>
      </c>
      <c r="AG192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92" s="1"/>
      <c r="AI192" s="1"/>
    </row>
    <row r="193" spans="1:35" ht="11.1" customHeight="1" x14ac:dyDescent="0.25">
      <c r="A193" s="124" t="str">
        <f t="array" aca="1" ref="A193" ca="1">IFERROR(INDEX($F$39:$F$238,MATCH(0,IF(TRUE=setca[28],0,1)+COUNTIF($F$38:F230,$F$39:$F$238),0)),"")</f>
        <v/>
      </c>
      <c r="B193" s="109">
        <f>IFERROR(VLOOKUP(setca[[#This Row],[23]],Start!$B$87:$N$10044,3,0),0)+IF(setca[[#This Row],[18]]=TRUE,1+setca[[#This Row],[14]],0)</f>
        <v>0</v>
      </c>
      <c r="C193" s="21">
        <f>IFERROR((IFERROR(VLOOKUP(setca[[#This Row],[23]],Start!$B$87:$N$10044,12,0),0)+IF(setca[[#This Row],[18]]=TRUE,setca[[#This Row],[21]]-setca[[#This Row],[22]],0))/B193,0)</f>
        <v>0</v>
      </c>
      <c r="D193" s="1"/>
      <c r="E193" s="19">
        <f t="shared" ca="1" si="10"/>
        <v>2</v>
      </c>
      <c r="F193" s="173">
        <f t="shared" si="11"/>
        <v>156</v>
      </c>
      <c r="G193" s="99"/>
      <c r="H193" s="99"/>
      <c r="I193" s="114"/>
      <c r="J193" s="99"/>
      <c r="K193" s="100"/>
      <c r="L193" s="100"/>
      <c r="M193" s="100"/>
      <c r="N193" s="100"/>
      <c r="O193" s="100"/>
      <c r="P193" s="101"/>
      <c r="Q193" s="105"/>
      <c r="R193" s="106"/>
      <c r="S193" s="104"/>
      <c r="T193" s="100" t="s">
        <v>71</v>
      </c>
      <c r="U193" s="133" t="b">
        <v>0</v>
      </c>
      <c r="V193" s="135" t="b">
        <v>0</v>
      </c>
      <c r="W193" s="136" t="b">
        <v>0</v>
      </c>
      <c r="X193" s="185" t="str">
        <f ca="1">IF(setca[[#This Row],[18]]=TRUE,IF($N$1=TRUE,TODAY()-1,TODAY()),"")</f>
        <v/>
      </c>
      <c r="Y193" s="195" t="str">
        <f ca="1">IF(setca[[#This Row],[2]]="","",IF(setca[[#This Row],[18]]=TRUE,                                     setca[[#This Row],[2]]+(TODAY())&lt;$C$36))</f>
        <v/>
      </c>
      <c r="Z193" s="195">
        <f>IF(OR(setca[[#This Row],[5]]="WN",setca[[#This Row],[5]]="Es"),(setca[[#This Row],[12]]+setca[[#This Row],[13]])*1.12,setca[[#This Row],[12]]+setca[[#This Row],[13]])</f>
        <v>0</v>
      </c>
      <c r="AA193" s="195">
        <f>IF(OR(setca[[#This Row],[5]]="WN",setca[[#This Row],[5]]="Es"),setca[[#This Row],[4]]*1.12,setca[[#This Row],[4]])*(setca[[#This Row],[14]]+1)</f>
        <v>0</v>
      </c>
      <c r="AB193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93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93" s="195" t="b">
        <f>IF(setca[[#This Row],[16]]=FALSE,TRUE,FALSE)</f>
        <v>1</v>
      </c>
      <c r="AE193" s="195" t="b">
        <f ca="1">IF(setca[[#This Row],[2]]="",FALSE,AND((setca[[#This Row],[2]]+TODAY())&lt;$C$36,setca[[#This Row],[17]]=FALSE,setca[[#This Row],[18]]=TRUE))</f>
        <v>0</v>
      </c>
      <c r="AF193" s="195" t="b">
        <f ca="1">IF(setca[[#This Row],[2]]="",FALSE,AND((setca[[#This Row],[3]]+TODAY())&lt;$C$36,setca[[#This Row],[18]]=TRUE))</f>
        <v>0</v>
      </c>
      <c r="AG193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93" s="1"/>
      <c r="AI193" s="1"/>
    </row>
    <row r="194" spans="1:35" ht="11.1" customHeight="1" x14ac:dyDescent="0.25">
      <c r="A194" s="124" t="str">
        <f t="array" aca="1" ref="A194" ca="1">IFERROR(INDEX($F$39:$F$238,MATCH(0,IF(TRUE=setca[28],0,1)+COUNTIF($F$38:F231,$F$39:$F$238),0)),"")</f>
        <v/>
      </c>
      <c r="B194" s="109">
        <f>IFERROR(VLOOKUP(setca[[#This Row],[23]],Start!$B$87:$N$10044,3,0),0)+IF(setca[[#This Row],[18]]=TRUE,1+setca[[#This Row],[14]],0)</f>
        <v>0</v>
      </c>
      <c r="C194" s="21">
        <f>IFERROR((IFERROR(VLOOKUP(setca[[#This Row],[23]],Start!$B$87:$N$10044,12,0),0)+IF(setca[[#This Row],[18]]=TRUE,setca[[#This Row],[21]]-setca[[#This Row],[22]],0))/B194,0)</f>
        <v>0</v>
      </c>
      <c r="D194" s="1"/>
      <c r="E194" s="19">
        <f t="shared" ca="1" si="10"/>
        <v>2</v>
      </c>
      <c r="F194" s="173">
        <f t="shared" si="11"/>
        <v>157</v>
      </c>
      <c r="G194" s="99"/>
      <c r="H194" s="99"/>
      <c r="I194" s="114"/>
      <c r="J194" s="99"/>
      <c r="K194" s="100"/>
      <c r="L194" s="100"/>
      <c r="M194" s="100"/>
      <c r="N194" s="100"/>
      <c r="O194" s="100"/>
      <c r="P194" s="101"/>
      <c r="Q194" s="105"/>
      <c r="R194" s="106"/>
      <c r="S194" s="104"/>
      <c r="T194" s="100" t="s">
        <v>71</v>
      </c>
      <c r="U194" s="133" t="b">
        <v>0</v>
      </c>
      <c r="V194" s="135" t="b">
        <v>0</v>
      </c>
      <c r="W194" s="136" t="b">
        <v>0</v>
      </c>
      <c r="X194" s="185" t="str">
        <f ca="1">IF(setca[[#This Row],[18]]=TRUE,IF($N$1=TRUE,TODAY()-1,TODAY()),"")</f>
        <v/>
      </c>
      <c r="Y194" s="195" t="str">
        <f ca="1">IF(setca[[#This Row],[2]]="","",IF(setca[[#This Row],[18]]=TRUE,                                     setca[[#This Row],[2]]+(TODAY())&lt;$C$36))</f>
        <v/>
      </c>
      <c r="Z194" s="195">
        <f>IF(OR(setca[[#This Row],[5]]="WN",setca[[#This Row],[5]]="Es"),(setca[[#This Row],[12]]+setca[[#This Row],[13]])*1.12,setca[[#This Row],[12]]+setca[[#This Row],[13]])</f>
        <v>0</v>
      </c>
      <c r="AA194" s="195">
        <f>IF(OR(setca[[#This Row],[5]]="WN",setca[[#This Row],[5]]="Es"),setca[[#This Row],[4]]*1.12,setca[[#This Row],[4]])*(setca[[#This Row],[14]]+1)</f>
        <v>0</v>
      </c>
      <c r="AB194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94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94" s="195" t="b">
        <f>IF(setca[[#This Row],[16]]=FALSE,TRUE,FALSE)</f>
        <v>1</v>
      </c>
      <c r="AE194" s="195" t="b">
        <f ca="1">IF(setca[[#This Row],[2]]="",FALSE,AND((setca[[#This Row],[2]]+TODAY())&lt;$C$36,setca[[#This Row],[17]]=FALSE,setca[[#This Row],[18]]=TRUE))</f>
        <v>0</v>
      </c>
      <c r="AF194" s="195" t="b">
        <f ca="1">IF(setca[[#This Row],[2]]="",FALSE,AND((setca[[#This Row],[3]]+TODAY())&lt;$C$36,setca[[#This Row],[18]]=TRUE))</f>
        <v>0</v>
      </c>
      <c r="AG194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94" s="1"/>
      <c r="AI194" s="1"/>
    </row>
    <row r="195" spans="1:35" ht="11.1" customHeight="1" x14ac:dyDescent="0.25">
      <c r="A195" s="124" t="str">
        <f t="array" aca="1" ref="A195" ca="1">IFERROR(INDEX($F$39:$F$238,MATCH(0,IF(TRUE=setca[28],0,1)+COUNTIF($F$38:F232,$F$39:$F$238),0)),"")</f>
        <v/>
      </c>
      <c r="B195" s="109">
        <f>IFERROR(VLOOKUP(setca[[#This Row],[23]],Start!$B$87:$N$10044,3,0),0)+IF(setca[[#This Row],[18]]=TRUE,1+setca[[#This Row],[14]],0)</f>
        <v>0</v>
      </c>
      <c r="C195" s="21">
        <f>IFERROR((IFERROR(VLOOKUP(setca[[#This Row],[23]],Start!$B$87:$N$10044,12,0),0)+IF(setca[[#This Row],[18]]=TRUE,setca[[#This Row],[21]]-setca[[#This Row],[22]],0))/B195,0)</f>
        <v>0</v>
      </c>
      <c r="D195" s="1"/>
      <c r="E195" s="19">
        <f t="shared" ca="1" si="10"/>
        <v>2</v>
      </c>
      <c r="F195" s="173">
        <f t="shared" si="11"/>
        <v>158</v>
      </c>
      <c r="G195" s="99"/>
      <c r="H195" s="99"/>
      <c r="I195" s="114"/>
      <c r="J195" s="99"/>
      <c r="K195" s="100"/>
      <c r="L195" s="100"/>
      <c r="M195" s="100"/>
      <c r="N195" s="100"/>
      <c r="O195" s="100"/>
      <c r="P195" s="101"/>
      <c r="Q195" s="105"/>
      <c r="R195" s="106"/>
      <c r="S195" s="104"/>
      <c r="T195" s="100" t="s">
        <v>71</v>
      </c>
      <c r="U195" s="133" t="b">
        <v>0</v>
      </c>
      <c r="V195" s="135" t="b">
        <v>0</v>
      </c>
      <c r="W195" s="136" t="b">
        <v>0</v>
      </c>
      <c r="X195" s="185" t="str">
        <f ca="1">IF(setca[[#This Row],[18]]=TRUE,IF($N$1=TRUE,TODAY()-1,TODAY()),"")</f>
        <v/>
      </c>
      <c r="Y195" s="195" t="str">
        <f ca="1">IF(setca[[#This Row],[2]]="","",IF(setca[[#This Row],[18]]=TRUE,                                     setca[[#This Row],[2]]+(TODAY())&lt;$C$36))</f>
        <v/>
      </c>
      <c r="Z195" s="195">
        <f>IF(OR(setca[[#This Row],[5]]="WN",setca[[#This Row],[5]]="Es"),(setca[[#This Row],[12]]+setca[[#This Row],[13]])*1.12,setca[[#This Row],[12]]+setca[[#This Row],[13]])</f>
        <v>0</v>
      </c>
      <c r="AA195" s="195">
        <f>IF(OR(setca[[#This Row],[5]]="WN",setca[[#This Row],[5]]="Es"),setca[[#This Row],[4]]*1.12,setca[[#This Row],[4]])*(setca[[#This Row],[14]]+1)</f>
        <v>0</v>
      </c>
      <c r="AB195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95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95" s="195" t="b">
        <f>IF(setca[[#This Row],[16]]=FALSE,TRUE,FALSE)</f>
        <v>1</v>
      </c>
      <c r="AE195" s="195" t="b">
        <f ca="1">IF(setca[[#This Row],[2]]="",FALSE,AND((setca[[#This Row],[2]]+TODAY())&lt;$C$36,setca[[#This Row],[17]]=FALSE,setca[[#This Row],[18]]=TRUE))</f>
        <v>0</v>
      </c>
      <c r="AF195" s="195" t="b">
        <f ca="1">IF(setca[[#This Row],[2]]="",FALSE,AND((setca[[#This Row],[3]]+TODAY())&lt;$C$36,setca[[#This Row],[18]]=TRUE))</f>
        <v>0</v>
      </c>
      <c r="AG195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95" s="1"/>
      <c r="AI195" s="1"/>
    </row>
    <row r="196" spans="1:35" ht="11.1" customHeight="1" x14ac:dyDescent="0.25">
      <c r="A196" s="124" t="str">
        <f t="array" aca="1" ref="A196" ca="1">IFERROR(INDEX($F$39:$F$238,MATCH(0,IF(TRUE=setca[28],0,1)+COUNTIF($F$38:F233,$F$39:$F$238),0)),"")</f>
        <v/>
      </c>
      <c r="B196" s="109">
        <f>IFERROR(VLOOKUP(setca[[#This Row],[23]],Start!$B$87:$N$10044,3,0),0)+IF(setca[[#This Row],[18]]=TRUE,1+setca[[#This Row],[14]],0)</f>
        <v>0</v>
      </c>
      <c r="C196" s="21">
        <f>IFERROR((IFERROR(VLOOKUP(setca[[#This Row],[23]],Start!$B$87:$N$10044,12,0),0)+IF(setca[[#This Row],[18]]=TRUE,setca[[#This Row],[21]]-setca[[#This Row],[22]],0))/B196,0)</f>
        <v>0</v>
      </c>
      <c r="D196" s="1"/>
      <c r="E196" s="19">
        <f t="shared" ca="1" si="10"/>
        <v>2</v>
      </c>
      <c r="F196" s="173">
        <f t="shared" si="11"/>
        <v>159</v>
      </c>
      <c r="G196" s="99"/>
      <c r="H196" s="99"/>
      <c r="I196" s="114"/>
      <c r="J196" s="99"/>
      <c r="K196" s="100"/>
      <c r="L196" s="100"/>
      <c r="M196" s="100"/>
      <c r="N196" s="100"/>
      <c r="O196" s="100"/>
      <c r="P196" s="101"/>
      <c r="Q196" s="105"/>
      <c r="R196" s="106"/>
      <c r="S196" s="104"/>
      <c r="T196" s="100" t="s">
        <v>71</v>
      </c>
      <c r="U196" s="133" t="b">
        <v>0</v>
      </c>
      <c r="V196" s="135" t="b">
        <v>0</v>
      </c>
      <c r="W196" s="136" t="b">
        <v>0</v>
      </c>
      <c r="X196" s="185" t="str">
        <f ca="1">IF(setca[[#This Row],[18]]=TRUE,IF($N$1=TRUE,TODAY()-1,TODAY()),"")</f>
        <v/>
      </c>
      <c r="Y196" s="195" t="str">
        <f ca="1">IF(setca[[#This Row],[2]]="","",IF(setca[[#This Row],[18]]=TRUE,                                     setca[[#This Row],[2]]+(TODAY())&lt;$C$36))</f>
        <v/>
      </c>
      <c r="Z196" s="195">
        <f>IF(OR(setca[[#This Row],[5]]="WN",setca[[#This Row],[5]]="Es"),(setca[[#This Row],[12]]+setca[[#This Row],[13]])*1.12,setca[[#This Row],[12]]+setca[[#This Row],[13]])</f>
        <v>0</v>
      </c>
      <c r="AA196" s="195">
        <f>IF(OR(setca[[#This Row],[5]]="WN",setca[[#This Row],[5]]="Es"),setca[[#This Row],[4]]*1.12,setca[[#This Row],[4]])*(setca[[#This Row],[14]]+1)</f>
        <v>0</v>
      </c>
      <c r="AB196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96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96" s="195" t="b">
        <f>IF(setca[[#This Row],[16]]=FALSE,TRUE,FALSE)</f>
        <v>1</v>
      </c>
      <c r="AE196" s="195" t="b">
        <f ca="1">IF(setca[[#This Row],[2]]="",FALSE,AND((setca[[#This Row],[2]]+TODAY())&lt;$C$36,setca[[#This Row],[17]]=FALSE,setca[[#This Row],[18]]=TRUE))</f>
        <v>0</v>
      </c>
      <c r="AF196" s="195" t="b">
        <f ca="1">IF(setca[[#This Row],[2]]="",FALSE,AND((setca[[#This Row],[3]]+TODAY())&lt;$C$36,setca[[#This Row],[18]]=TRUE))</f>
        <v>0</v>
      </c>
      <c r="AG196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96" s="1"/>
      <c r="AI196" s="1"/>
    </row>
    <row r="197" spans="1:35" ht="11.1" customHeight="1" x14ac:dyDescent="0.25">
      <c r="A197" s="124" t="str">
        <f t="array" aca="1" ref="A197" ca="1">IFERROR(INDEX($F$39:$F$238,MATCH(0,IF(TRUE=setca[28],0,1)+COUNTIF($F$38:F234,$F$39:$F$238),0)),"")</f>
        <v/>
      </c>
      <c r="B197" s="109">
        <f>IFERROR(VLOOKUP(setca[[#This Row],[23]],Start!$B$87:$N$10044,3,0),0)+IF(setca[[#This Row],[18]]=TRUE,1+setca[[#This Row],[14]],0)</f>
        <v>0</v>
      </c>
      <c r="C197" s="21">
        <f>IFERROR((IFERROR(VLOOKUP(setca[[#This Row],[23]],Start!$B$87:$N$10044,12,0),0)+IF(setca[[#This Row],[18]]=TRUE,setca[[#This Row],[21]]-setca[[#This Row],[22]],0))/B197,0)</f>
        <v>0</v>
      </c>
      <c r="D197" s="1"/>
      <c r="E197" s="19">
        <f t="shared" ca="1" si="10"/>
        <v>2</v>
      </c>
      <c r="F197" s="173">
        <f t="shared" si="11"/>
        <v>160</v>
      </c>
      <c r="G197" s="99"/>
      <c r="H197" s="99"/>
      <c r="I197" s="114"/>
      <c r="J197" s="99"/>
      <c r="K197" s="100"/>
      <c r="L197" s="100"/>
      <c r="M197" s="100"/>
      <c r="N197" s="100"/>
      <c r="O197" s="100"/>
      <c r="P197" s="101"/>
      <c r="Q197" s="105"/>
      <c r="R197" s="106"/>
      <c r="S197" s="104"/>
      <c r="T197" s="100" t="s">
        <v>71</v>
      </c>
      <c r="U197" s="133" t="b">
        <v>0</v>
      </c>
      <c r="V197" s="135" t="b">
        <v>0</v>
      </c>
      <c r="W197" s="136" t="b">
        <v>0</v>
      </c>
      <c r="X197" s="185" t="str">
        <f ca="1">IF(setca[[#This Row],[18]]=TRUE,IF($N$1=TRUE,TODAY()-1,TODAY()),"")</f>
        <v/>
      </c>
      <c r="Y197" s="195" t="str">
        <f ca="1">IF(setca[[#This Row],[2]]="","",IF(setca[[#This Row],[18]]=TRUE,                                     setca[[#This Row],[2]]+(TODAY())&lt;$C$36))</f>
        <v/>
      </c>
      <c r="Z197" s="195">
        <f>IF(OR(setca[[#This Row],[5]]="WN",setca[[#This Row],[5]]="Es"),(setca[[#This Row],[12]]+setca[[#This Row],[13]])*1.12,setca[[#This Row],[12]]+setca[[#This Row],[13]])</f>
        <v>0</v>
      </c>
      <c r="AA197" s="195">
        <f>IF(OR(setca[[#This Row],[5]]="WN",setca[[#This Row],[5]]="Es"),setca[[#This Row],[4]]*1.12,setca[[#This Row],[4]])*(setca[[#This Row],[14]]+1)</f>
        <v>0</v>
      </c>
      <c r="AB197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97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97" s="195" t="b">
        <f>IF(setca[[#This Row],[16]]=FALSE,TRUE,FALSE)</f>
        <v>1</v>
      </c>
      <c r="AE197" s="195" t="b">
        <f ca="1">IF(setca[[#This Row],[2]]="",FALSE,AND((setca[[#This Row],[2]]+TODAY())&lt;$C$36,setca[[#This Row],[17]]=FALSE,setca[[#This Row],[18]]=TRUE))</f>
        <v>0</v>
      </c>
      <c r="AF197" s="195" t="b">
        <f ca="1">IF(setca[[#This Row],[2]]="",FALSE,AND((setca[[#This Row],[3]]+TODAY())&lt;$C$36,setca[[#This Row],[18]]=TRUE))</f>
        <v>0</v>
      </c>
      <c r="AG197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97" s="1"/>
      <c r="AI197" s="1"/>
    </row>
    <row r="198" spans="1:35" ht="11.1" customHeight="1" x14ac:dyDescent="0.25">
      <c r="A198" s="124" t="str">
        <f t="array" aca="1" ref="A198" ca="1">IFERROR(INDEX($F$39:$F$238,MATCH(0,IF(TRUE=setca[28],0,1)+COUNTIF($F$38:F235,$F$39:$F$238),0)),"")</f>
        <v/>
      </c>
      <c r="B198" s="109">
        <f>IFERROR(VLOOKUP(setca[[#This Row],[23]],Start!$B$87:$N$10044,3,0),0)+IF(setca[[#This Row],[18]]=TRUE,1+setca[[#This Row],[14]],0)</f>
        <v>0</v>
      </c>
      <c r="C198" s="21">
        <f>IFERROR((IFERROR(VLOOKUP(setca[[#This Row],[23]],Start!$B$87:$N$10044,12,0),0)+IF(setca[[#This Row],[18]]=TRUE,setca[[#This Row],[21]]-setca[[#This Row],[22]],0))/B198,0)</f>
        <v>0</v>
      </c>
      <c r="D198" s="1"/>
      <c r="E198" s="19">
        <f t="shared" ca="1" si="10"/>
        <v>2</v>
      </c>
      <c r="F198" s="173">
        <f t="shared" si="11"/>
        <v>161</v>
      </c>
      <c r="G198" s="99"/>
      <c r="H198" s="99"/>
      <c r="I198" s="114"/>
      <c r="J198" s="99"/>
      <c r="K198" s="100"/>
      <c r="L198" s="100"/>
      <c r="M198" s="100"/>
      <c r="N198" s="100"/>
      <c r="O198" s="100"/>
      <c r="P198" s="101"/>
      <c r="Q198" s="105"/>
      <c r="R198" s="106"/>
      <c r="S198" s="104"/>
      <c r="T198" s="100" t="s">
        <v>71</v>
      </c>
      <c r="U198" s="133" t="b">
        <v>0</v>
      </c>
      <c r="V198" s="135" t="b">
        <v>0</v>
      </c>
      <c r="W198" s="136" t="b">
        <v>0</v>
      </c>
      <c r="X198" s="185" t="str">
        <f ca="1">IF(setca[[#This Row],[18]]=TRUE,IF($N$1=TRUE,TODAY()-1,TODAY()),"")</f>
        <v/>
      </c>
      <c r="Y198" s="195" t="str">
        <f ca="1">IF(setca[[#This Row],[2]]="","",IF(setca[[#This Row],[18]]=TRUE,                                     setca[[#This Row],[2]]+(TODAY())&lt;$C$36))</f>
        <v/>
      </c>
      <c r="Z198" s="195">
        <f>IF(OR(setca[[#This Row],[5]]="WN",setca[[#This Row],[5]]="Es"),(setca[[#This Row],[12]]+setca[[#This Row],[13]])*1.12,setca[[#This Row],[12]]+setca[[#This Row],[13]])</f>
        <v>0</v>
      </c>
      <c r="AA198" s="195">
        <f>IF(OR(setca[[#This Row],[5]]="WN",setca[[#This Row],[5]]="Es"),setca[[#This Row],[4]]*1.12,setca[[#This Row],[4]])*(setca[[#This Row],[14]]+1)</f>
        <v>0</v>
      </c>
      <c r="AB198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98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98" s="195" t="b">
        <f>IF(setca[[#This Row],[16]]=FALSE,TRUE,FALSE)</f>
        <v>1</v>
      </c>
      <c r="AE198" s="195" t="b">
        <f ca="1">IF(setca[[#This Row],[2]]="",FALSE,AND((setca[[#This Row],[2]]+TODAY())&lt;$C$36,setca[[#This Row],[17]]=FALSE,setca[[#This Row],[18]]=TRUE))</f>
        <v>0</v>
      </c>
      <c r="AF198" s="195" t="b">
        <f ca="1">IF(setca[[#This Row],[2]]="",FALSE,AND((setca[[#This Row],[3]]+TODAY())&lt;$C$36,setca[[#This Row],[18]]=TRUE))</f>
        <v>0</v>
      </c>
      <c r="AG198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98" s="1"/>
      <c r="AI198" s="1"/>
    </row>
    <row r="199" spans="1:35" ht="11.1" customHeight="1" x14ac:dyDescent="0.25">
      <c r="A199" s="124" t="str">
        <f t="array" aca="1" ref="A199" ca="1">IFERROR(INDEX($F$39:$F$238,MATCH(0,IF(TRUE=setca[28],0,1)+COUNTIF($F$38:F236,$F$39:$F$238),0)),"")</f>
        <v/>
      </c>
      <c r="B199" s="109">
        <f>IFERROR(VLOOKUP(setca[[#This Row],[23]],Start!$B$87:$N$10044,3,0),0)+IF(setca[[#This Row],[18]]=TRUE,1+setca[[#This Row],[14]],0)</f>
        <v>0</v>
      </c>
      <c r="C199" s="21">
        <f>IFERROR((IFERROR(VLOOKUP(setca[[#This Row],[23]],Start!$B$87:$N$10044,12,0),0)+IF(setca[[#This Row],[18]]=TRUE,setca[[#This Row],[21]]-setca[[#This Row],[22]],0))/B199,0)</f>
        <v>0</v>
      </c>
      <c r="D199" s="1"/>
      <c r="E199" s="19">
        <f t="shared" ref="E199:E230" ca="1" si="12">IF(AND($G199=TIME(HOUR($C$36),MINUTE($C$36),0),$W199=FALSE),1,2)</f>
        <v>2</v>
      </c>
      <c r="F199" s="173">
        <f t="shared" ref="F199:F230" si="13">F198+1</f>
        <v>162</v>
      </c>
      <c r="G199" s="99"/>
      <c r="H199" s="99"/>
      <c r="I199" s="114"/>
      <c r="J199" s="100"/>
      <c r="K199" s="100"/>
      <c r="L199" s="100"/>
      <c r="M199" s="100"/>
      <c r="N199" s="100"/>
      <c r="O199" s="100"/>
      <c r="P199" s="101"/>
      <c r="Q199" s="105"/>
      <c r="R199" s="106"/>
      <c r="S199" s="104"/>
      <c r="T199" s="100" t="s">
        <v>71</v>
      </c>
      <c r="U199" s="133" t="b">
        <v>0</v>
      </c>
      <c r="V199" s="135" t="b">
        <v>0</v>
      </c>
      <c r="W199" s="136" t="b">
        <v>0</v>
      </c>
      <c r="X199" s="185" t="str">
        <f ca="1">IF(setca[[#This Row],[18]]=TRUE,IF($N$1=TRUE,TODAY()-1,TODAY()),"")</f>
        <v/>
      </c>
      <c r="Y199" s="195" t="str">
        <f ca="1">IF(setca[[#This Row],[2]]="","",IF(setca[[#This Row],[18]]=TRUE,                                     setca[[#This Row],[2]]+(TODAY())&lt;$C$36))</f>
        <v/>
      </c>
      <c r="Z199" s="195">
        <f>IF(OR(setca[[#This Row],[5]]="WN",setca[[#This Row],[5]]="Es"),(setca[[#This Row],[12]]+setca[[#This Row],[13]])*1.12,setca[[#This Row],[12]]+setca[[#This Row],[13]])</f>
        <v>0</v>
      </c>
      <c r="AA199" s="195">
        <f>IF(OR(setca[[#This Row],[5]]="WN",setca[[#This Row],[5]]="Es"),setca[[#This Row],[4]]*1.12,setca[[#This Row],[4]])*(setca[[#This Row],[14]]+1)</f>
        <v>0</v>
      </c>
      <c r="AB199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199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199" s="195" t="b">
        <f>IF(setca[[#This Row],[16]]=FALSE,TRUE,FALSE)</f>
        <v>1</v>
      </c>
      <c r="AE199" s="195" t="b">
        <f ca="1">IF(setca[[#This Row],[2]]="",FALSE,AND((setca[[#This Row],[2]]+TODAY())&lt;$C$36,setca[[#This Row],[17]]=FALSE,setca[[#This Row],[18]]=TRUE))</f>
        <v>0</v>
      </c>
      <c r="AF199" s="195" t="b">
        <f ca="1">IF(setca[[#This Row],[2]]="",FALSE,AND((setca[[#This Row],[3]]+TODAY())&lt;$C$36,setca[[#This Row],[18]]=TRUE))</f>
        <v>0</v>
      </c>
      <c r="AG199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199" s="1"/>
      <c r="AI199" s="1"/>
    </row>
    <row r="200" spans="1:35" ht="11.1" customHeight="1" x14ac:dyDescent="0.25">
      <c r="A200" s="124" t="str">
        <f t="array" aca="1" ref="A200" ca="1">IFERROR(INDEX($F$39:$F$238,MATCH(0,IF(TRUE=setca[28],0,1)+COUNTIF($F$38:F237,$F$39:$F$238),0)),"")</f>
        <v/>
      </c>
      <c r="B200" s="109">
        <f>IFERROR(VLOOKUP(setca[[#This Row],[23]],Start!$B$87:$N$10044,3,0),0)+IF(setca[[#This Row],[18]]=TRUE,1+setca[[#This Row],[14]],0)</f>
        <v>0</v>
      </c>
      <c r="C200" s="21">
        <f>IFERROR((IFERROR(VLOOKUP(setca[[#This Row],[23]],Start!$B$87:$N$10044,12,0),0)+IF(setca[[#This Row],[18]]=TRUE,setca[[#This Row],[21]]-setca[[#This Row],[22]],0))/B200,0)</f>
        <v>0</v>
      </c>
      <c r="D200" s="1"/>
      <c r="E200" s="19">
        <f t="shared" ca="1" si="12"/>
        <v>2</v>
      </c>
      <c r="F200" s="173">
        <f t="shared" si="13"/>
        <v>163</v>
      </c>
      <c r="G200" s="99"/>
      <c r="H200" s="99"/>
      <c r="I200" s="114"/>
      <c r="J200" s="100"/>
      <c r="K200" s="100"/>
      <c r="L200" s="100"/>
      <c r="M200" s="100"/>
      <c r="N200" s="100"/>
      <c r="O200" s="100"/>
      <c r="P200" s="101"/>
      <c r="Q200" s="105"/>
      <c r="R200" s="106"/>
      <c r="S200" s="104"/>
      <c r="T200" s="100" t="s">
        <v>71</v>
      </c>
      <c r="U200" s="133" t="b">
        <v>0</v>
      </c>
      <c r="V200" s="135" t="b">
        <v>0</v>
      </c>
      <c r="W200" s="136" t="b">
        <v>0</v>
      </c>
      <c r="X200" s="185" t="str">
        <f ca="1">IF(setca[[#This Row],[18]]=TRUE,IF($N$1=TRUE,TODAY()-1,TODAY()),"")</f>
        <v/>
      </c>
      <c r="Y200" s="195" t="str">
        <f ca="1">IF(setca[[#This Row],[2]]="","",IF(setca[[#This Row],[18]]=TRUE,                                     setca[[#This Row],[2]]+(TODAY())&lt;$C$36))</f>
        <v/>
      </c>
      <c r="Z200" s="195">
        <f>IF(OR(setca[[#This Row],[5]]="WN",setca[[#This Row],[5]]="Es"),(setca[[#This Row],[12]]+setca[[#This Row],[13]])*1.12,setca[[#This Row],[12]]+setca[[#This Row],[13]])</f>
        <v>0</v>
      </c>
      <c r="AA200" s="195">
        <f>IF(OR(setca[[#This Row],[5]]="WN",setca[[#This Row],[5]]="Es"),setca[[#This Row],[4]]*1.12,setca[[#This Row],[4]])*(setca[[#This Row],[14]]+1)</f>
        <v>0</v>
      </c>
      <c r="AB200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200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200" s="195" t="b">
        <f>IF(setca[[#This Row],[16]]=FALSE,TRUE,FALSE)</f>
        <v>1</v>
      </c>
      <c r="AE200" s="195" t="b">
        <f ca="1">IF(setca[[#This Row],[2]]="",FALSE,AND((setca[[#This Row],[2]]+TODAY())&lt;$C$36,setca[[#This Row],[17]]=FALSE,setca[[#This Row],[18]]=TRUE))</f>
        <v>0</v>
      </c>
      <c r="AF200" s="195" t="b">
        <f ca="1">IF(setca[[#This Row],[2]]="",FALSE,AND((setca[[#This Row],[3]]+TODAY())&lt;$C$36,setca[[#This Row],[18]]=TRUE))</f>
        <v>0</v>
      </c>
      <c r="AG200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200" s="1"/>
      <c r="AI200" s="1"/>
    </row>
    <row r="201" spans="1:35" ht="11.1" customHeight="1" x14ac:dyDescent="0.25">
      <c r="A201" s="124" t="str">
        <f t="array" aca="1" ref="A201" ca="1">IFERROR(INDEX($F$39:$F$238,MATCH(0,IF(TRUE=setca[28],0,1)+COUNTIF($F$38:F238,$F$39:$F$238),0)),"")</f>
        <v/>
      </c>
      <c r="B201" s="109">
        <f>IFERROR(VLOOKUP(setca[[#This Row],[23]],Start!$B$87:$N$10044,3,0),0)+IF(setca[[#This Row],[18]]=TRUE,1+setca[[#This Row],[14]],0)</f>
        <v>0</v>
      </c>
      <c r="C201" s="21">
        <f>IFERROR((IFERROR(VLOOKUP(setca[[#This Row],[23]],Start!$B$87:$N$10044,12,0),0)+IF(setca[[#This Row],[18]]=TRUE,setca[[#This Row],[21]]-setca[[#This Row],[22]],0))/B201,0)</f>
        <v>0</v>
      </c>
      <c r="D201" s="1"/>
      <c r="E201" s="19">
        <f t="shared" ca="1" si="12"/>
        <v>2</v>
      </c>
      <c r="F201" s="173">
        <f t="shared" si="13"/>
        <v>164</v>
      </c>
      <c r="G201" s="99"/>
      <c r="H201" s="99"/>
      <c r="I201" s="114"/>
      <c r="J201" s="100"/>
      <c r="K201" s="100"/>
      <c r="L201" s="100"/>
      <c r="M201" s="100"/>
      <c r="N201" s="100"/>
      <c r="O201" s="100"/>
      <c r="P201" s="101"/>
      <c r="Q201" s="105"/>
      <c r="R201" s="106"/>
      <c r="S201" s="104"/>
      <c r="T201" s="100" t="s">
        <v>71</v>
      </c>
      <c r="U201" s="133" t="b">
        <v>0</v>
      </c>
      <c r="V201" s="135" t="b">
        <v>0</v>
      </c>
      <c r="W201" s="136" t="b">
        <v>0</v>
      </c>
      <c r="X201" s="185" t="str">
        <f ca="1">IF(setca[[#This Row],[18]]=TRUE,IF($N$1=TRUE,TODAY()-1,TODAY()),"")</f>
        <v/>
      </c>
      <c r="Y201" s="195" t="str">
        <f ca="1">IF(setca[[#This Row],[2]]="","",IF(setca[[#This Row],[18]]=TRUE,                                     setca[[#This Row],[2]]+(TODAY())&lt;$C$36))</f>
        <v/>
      </c>
      <c r="Z201" s="195">
        <f>IF(OR(setca[[#This Row],[5]]="WN",setca[[#This Row],[5]]="Es"),(setca[[#This Row],[12]]+setca[[#This Row],[13]])*1.12,setca[[#This Row],[12]]+setca[[#This Row],[13]])</f>
        <v>0</v>
      </c>
      <c r="AA201" s="195">
        <f>IF(OR(setca[[#This Row],[5]]="WN",setca[[#This Row],[5]]="Es"),setca[[#This Row],[4]]*1.12,setca[[#This Row],[4]])*(setca[[#This Row],[14]]+1)</f>
        <v>0</v>
      </c>
      <c r="AB201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201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201" s="195" t="b">
        <f>IF(setca[[#This Row],[16]]=FALSE,TRUE,FALSE)</f>
        <v>1</v>
      </c>
      <c r="AE201" s="195" t="b">
        <f ca="1">IF(setca[[#This Row],[2]]="",FALSE,AND((setca[[#This Row],[2]]+TODAY())&lt;$C$36,setca[[#This Row],[17]]=FALSE,setca[[#This Row],[18]]=TRUE))</f>
        <v>0</v>
      </c>
      <c r="AF201" s="195" t="b">
        <f ca="1">IF(setca[[#This Row],[2]]="",FALSE,AND((setca[[#This Row],[3]]+TODAY())&lt;$C$36,setca[[#This Row],[18]]=TRUE))</f>
        <v>0</v>
      </c>
      <c r="AG201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201" s="1"/>
      <c r="AI201" s="1"/>
    </row>
    <row r="202" spans="1:35" ht="11.1" customHeight="1" x14ac:dyDescent="0.25">
      <c r="A202" s="124" t="str">
        <f t="array" aca="1" ref="A202" ca="1">IFERROR(INDEX($F$39:$F$238,MATCH(0,IF(TRUE=setca[28],0,1)+COUNTIF($F$38:F239,$F$39:$F$238),0)),"")</f>
        <v/>
      </c>
      <c r="B202" s="109">
        <f>IFERROR(VLOOKUP(setca[[#This Row],[23]],Start!$B$87:$N$10044,3,0),0)+IF(setca[[#This Row],[18]]=TRUE,1+setca[[#This Row],[14]],0)</f>
        <v>0</v>
      </c>
      <c r="C202" s="21">
        <f>IFERROR((IFERROR(VLOOKUP(setca[[#This Row],[23]],Start!$B$87:$N$10044,12,0),0)+IF(setca[[#This Row],[18]]=TRUE,setca[[#This Row],[21]]-setca[[#This Row],[22]],0))/B202,0)</f>
        <v>0</v>
      </c>
      <c r="D202" s="1"/>
      <c r="E202" s="19">
        <f t="shared" ca="1" si="12"/>
        <v>2</v>
      </c>
      <c r="F202" s="173">
        <f t="shared" si="13"/>
        <v>165</v>
      </c>
      <c r="G202" s="99"/>
      <c r="H202" s="99"/>
      <c r="I202" s="114"/>
      <c r="J202" s="100"/>
      <c r="K202" s="100"/>
      <c r="L202" s="100"/>
      <c r="M202" s="100"/>
      <c r="N202" s="100"/>
      <c r="O202" s="100"/>
      <c r="P202" s="101"/>
      <c r="Q202" s="105"/>
      <c r="R202" s="106"/>
      <c r="S202" s="104"/>
      <c r="T202" s="100" t="s">
        <v>71</v>
      </c>
      <c r="U202" s="133" t="b">
        <v>0</v>
      </c>
      <c r="V202" s="135" t="b">
        <v>0</v>
      </c>
      <c r="W202" s="136" t="b">
        <v>0</v>
      </c>
      <c r="X202" s="185" t="str">
        <f ca="1">IF(setca[[#This Row],[18]]=TRUE,IF($N$1=TRUE,TODAY()-1,TODAY()),"")</f>
        <v/>
      </c>
      <c r="Y202" s="195" t="str">
        <f ca="1">IF(setca[[#This Row],[2]]="","",IF(setca[[#This Row],[18]]=TRUE,                                     setca[[#This Row],[2]]+(TODAY())&lt;$C$36))</f>
        <v/>
      </c>
      <c r="Z202" s="195">
        <f>IF(OR(setca[[#This Row],[5]]="WN",setca[[#This Row],[5]]="Es"),(setca[[#This Row],[12]]+setca[[#This Row],[13]])*1.12,setca[[#This Row],[12]]+setca[[#This Row],[13]])</f>
        <v>0</v>
      </c>
      <c r="AA202" s="195">
        <f>IF(OR(setca[[#This Row],[5]]="WN",setca[[#This Row],[5]]="Es"),setca[[#This Row],[4]]*1.12,setca[[#This Row],[4]])*(setca[[#This Row],[14]]+1)</f>
        <v>0</v>
      </c>
      <c r="AB202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202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202" s="195" t="b">
        <f>IF(setca[[#This Row],[16]]=FALSE,TRUE,FALSE)</f>
        <v>1</v>
      </c>
      <c r="AE202" s="195" t="b">
        <f ca="1">IF(setca[[#This Row],[2]]="",FALSE,AND((setca[[#This Row],[2]]+TODAY())&lt;$C$36,setca[[#This Row],[17]]=FALSE,setca[[#This Row],[18]]=TRUE))</f>
        <v>0</v>
      </c>
      <c r="AF202" s="195" t="b">
        <f ca="1">IF(setca[[#This Row],[2]]="",FALSE,AND((setca[[#This Row],[3]]+TODAY())&lt;$C$36,setca[[#This Row],[18]]=TRUE))</f>
        <v>0</v>
      </c>
      <c r="AG202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202" s="1"/>
      <c r="AI202" s="1"/>
    </row>
    <row r="203" spans="1:35" ht="11.1" customHeight="1" x14ac:dyDescent="0.25">
      <c r="A203" s="124" t="str">
        <f t="array" aca="1" ref="A203" ca="1">IFERROR(INDEX($F$39:$F$238,MATCH(0,IF(TRUE=setca[28],0,1)+COUNTIF($F$38:F240,$F$39:$F$238),0)),"")</f>
        <v/>
      </c>
      <c r="B203" s="109">
        <f>IFERROR(VLOOKUP(setca[[#This Row],[23]],Start!$B$87:$N$10044,3,0),0)+IF(setca[[#This Row],[18]]=TRUE,1+setca[[#This Row],[14]],0)</f>
        <v>0</v>
      </c>
      <c r="C203" s="21">
        <f>IFERROR((IFERROR(VLOOKUP(setca[[#This Row],[23]],Start!$B$87:$N$10044,12,0),0)+IF(setca[[#This Row],[18]]=TRUE,setca[[#This Row],[21]]-setca[[#This Row],[22]],0))/B203,0)</f>
        <v>0</v>
      </c>
      <c r="D203" s="1"/>
      <c r="E203" s="19">
        <f t="shared" ca="1" si="12"/>
        <v>2</v>
      </c>
      <c r="F203" s="173">
        <f t="shared" si="13"/>
        <v>166</v>
      </c>
      <c r="G203" s="99"/>
      <c r="H203" s="99"/>
      <c r="I203" s="114"/>
      <c r="J203" s="100"/>
      <c r="K203" s="100"/>
      <c r="L203" s="100"/>
      <c r="M203" s="100"/>
      <c r="N203" s="100"/>
      <c r="O203" s="100"/>
      <c r="P203" s="101"/>
      <c r="Q203" s="105"/>
      <c r="R203" s="106"/>
      <c r="S203" s="104"/>
      <c r="T203" s="100" t="s">
        <v>71</v>
      </c>
      <c r="U203" s="133" t="b">
        <v>0</v>
      </c>
      <c r="V203" s="135" t="b">
        <v>0</v>
      </c>
      <c r="W203" s="136" t="b">
        <v>0</v>
      </c>
      <c r="X203" s="185" t="str">
        <f ca="1">IF(setca[[#This Row],[18]]=TRUE,IF($N$1=TRUE,TODAY()-1,TODAY()),"")</f>
        <v/>
      </c>
      <c r="Y203" s="195" t="str">
        <f ca="1">IF(setca[[#This Row],[2]]="","",IF(setca[[#This Row],[18]]=TRUE,                                     setca[[#This Row],[2]]+(TODAY())&lt;$C$36))</f>
        <v/>
      </c>
      <c r="Z203" s="195">
        <f>IF(OR(setca[[#This Row],[5]]="WN",setca[[#This Row],[5]]="Es"),(setca[[#This Row],[12]]+setca[[#This Row],[13]])*1.12,setca[[#This Row],[12]]+setca[[#This Row],[13]])</f>
        <v>0</v>
      </c>
      <c r="AA203" s="195">
        <f>IF(OR(setca[[#This Row],[5]]="WN",setca[[#This Row],[5]]="Es"),setca[[#This Row],[4]]*1.12,setca[[#This Row],[4]])*(setca[[#This Row],[14]]+1)</f>
        <v>0</v>
      </c>
      <c r="AB203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203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203" s="195" t="b">
        <f>IF(setca[[#This Row],[16]]=FALSE,TRUE,FALSE)</f>
        <v>1</v>
      </c>
      <c r="AE203" s="195" t="b">
        <f ca="1">IF(setca[[#This Row],[2]]="",FALSE,AND((setca[[#This Row],[2]]+TODAY())&lt;$C$36,setca[[#This Row],[17]]=FALSE,setca[[#This Row],[18]]=TRUE))</f>
        <v>0</v>
      </c>
      <c r="AF203" s="195" t="b">
        <f ca="1">IF(setca[[#This Row],[2]]="",FALSE,AND((setca[[#This Row],[3]]+TODAY())&lt;$C$36,setca[[#This Row],[18]]=TRUE))</f>
        <v>0</v>
      </c>
      <c r="AG203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203" s="1"/>
      <c r="AI203" s="1"/>
    </row>
    <row r="204" spans="1:35" ht="11.1" customHeight="1" x14ac:dyDescent="0.25">
      <c r="A204" s="124" t="str">
        <f t="array" aca="1" ref="A204" ca="1">IFERROR(INDEX($F$39:$F$238,MATCH(0,IF(TRUE=setca[28],0,1)+COUNTIF($F$38:F241,$F$39:$F$238),0)),"")</f>
        <v/>
      </c>
      <c r="B204" s="109">
        <f>IFERROR(VLOOKUP(setca[[#This Row],[23]],Start!$B$87:$N$10044,3,0),0)+IF(setca[[#This Row],[18]]=TRUE,1+setca[[#This Row],[14]],0)</f>
        <v>0</v>
      </c>
      <c r="C204" s="21">
        <f>IFERROR((IFERROR(VLOOKUP(setca[[#This Row],[23]],Start!$B$87:$N$10044,12,0),0)+IF(setca[[#This Row],[18]]=TRUE,setca[[#This Row],[21]]-setca[[#This Row],[22]],0))/B204,0)</f>
        <v>0</v>
      </c>
      <c r="D204" s="1"/>
      <c r="E204" s="19">
        <f t="shared" ca="1" si="12"/>
        <v>2</v>
      </c>
      <c r="F204" s="173">
        <f t="shared" si="13"/>
        <v>167</v>
      </c>
      <c r="G204" s="99"/>
      <c r="H204" s="99"/>
      <c r="I204" s="114"/>
      <c r="J204" s="100"/>
      <c r="K204" s="100"/>
      <c r="L204" s="100"/>
      <c r="M204" s="100"/>
      <c r="N204" s="100"/>
      <c r="O204" s="100"/>
      <c r="P204" s="101"/>
      <c r="Q204" s="105"/>
      <c r="R204" s="106"/>
      <c r="S204" s="104"/>
      <c r="T204" s="100" t="s">
        <v>71</v>
      </c>
      <c r="U204" s="133" t="b">
        <v>0</v>
      </c>
      <c r="V204" s="135" t="b">
        <v>0</v>
      </c>
      <c r="W204" s="136" t="b">
        <v>0</v>
      </c>
      <c r="X204" s="185" t="str">
        <f ca="1">IF(setca[[#This Row],[18]]=TRUE,IF($N$1=TRUE,TODAY()-1,TODAY()),"")</f>
        <v/>
      </c>
      <c r="Y204" s="195" t="str">
        <f ca="1">IF(setca[[#This Row],[2]]="","",IF(setca[[#This Row],[18]]=TRUE,                                     setca[[#This Row],[2]]+(TODAY())&lt;$C$36))</f>
        <v/>
      </c>
      <c r="Z204" s="195">
        <f>IF(OR(setca[[#This Row],[5]]="WN",setca[[#This Row],[5]]="Es"),(setca[[#This Row],[12]]+setca[[#This Row],[13]])*1.12,setca[[#This Row],[12]]+setca[[#This Row],[13]])</f>
        <v>0</v>
      </c>
      <c r="AA204" s="195">
        <f>IF(OR(setca[[#This Row],[5]]="WN",setca[[#This Row],[5]]="Es"),setca[[#This Row],[4]]*1.12,setca[[#This Row],[4]])*(setca[[#This Row],[14]]+1)</f>
        <v>0</v>
      </c>
      <c r="AB204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204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204" s="195" t="b">
        <f>IF(setca[[#This Row],[16]]=FALSE,TRUE,FALSE)</f>
        <v>1</v>
      </c>
      <c r="AE204" s="195" t="b">
        <f ca="1">IF(setca[[#This Row],[2]]="",FALSE,AND((setca[[#This Row],[2]]+TODAY())&lt;$C$36,setca[[#This Row],[17]]=FALSE,setca[[#This Row],[18]]=TRUE))</f>
        <v>0</v>
      </c>
      <c r="AF204" s="195" t="b">
        <f ca="1">IF(setca[[#This Row],[2]]="",FALSE,AND((setca[[#This Row],[3]]+TODAY())&lt;$C$36,setca[[#This Row],[18]]=TRUE))</f>
        <v>0</v>
      </c>
      <c r="AG204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204" s="1"/>
      <c r="AI204" s="1"/>
    </row>
    <row r="205" spans="1:35" ht="11.1" customHeight="1" x14ac:dyDescent="0.25">
      <c r="A205" s="124" t="str">
        <f t="array" aca="1" ref="A205" ca="1">IFERROR(INDEX($F$39:$F$238,MATCH(0,IF(TRUE=setca[28],0,1)+COUNTIF($F$38:F242,$F$39:$F$238),0)),"")</f>
        <v/>
      </c>
      <c r="B205" s="109">
        <f>IFERROR(VLOOKUP(setca[[#This Row],[23]],Start!$B$87:$N$10044,3,0),0)+IF(setca[[#This Row],[18]]=TRUE,1+setca[[#This Row],[14]],0)</f>
        <v>0</v>
      </c>
      <c r="C205" s="21">
        <f>IFERROR((IFERROR(VLOOKUP(setca[[#This Row],[23]],Start!$B$87:$N$10044,12,0),0)+IF(setca[[#This Row],[18]]=TRUE,setca[[#This Row],[21]]-setca[[#This Row],[22]],0))/B205,0)</f>
        <v>0</v>
      </c>
      <c r="D205" s="1"/>
      <c r="E205" s="19">
        <f t="shared" ca="1" si="12"/>
        <v>2</v>
      </c>
      <c r="F205" s="173">
        <f t="shared" si="13"/>
        <v>168</v>
      </c>
      <c r="G205" s="99"/>
      <c r="H205" s="99"/>
      <c r="I205" s="114"/>
      <c r="J205" s="100"/>
      <c r="K205" s="100"/>
      <c r="L205" s="100"/>
      <c r="M205" s="100"/>
      <c r="N205" s="100"/>
      <c r="O205" s="100"/>
      <c r="P205" s="101"/>
      <c r="Q205" s="105"/>
      <c r="R205" s="106"/>
      <c r="S205" s="104"/>
      <c r="T205" s="100" t="s">
        <v>71</v>
      </c>
      <c r="U205" s="133" t="b">
        <v>0</v>
      </c>
      <c r="V205" s="135" t="b">
        <v>0</v>
      </c>
      <c r="W205" s="136" t="b">
        <v>0</v>
      </c>
      <c r="X205" s="185" t="str">
        <f ca="1">IF(setca[[#This Row],[18]]=TRUE,IF($N$1=TRUE,TODAY()-1,TODAY()),"")</f>
        <v/>
      </c>
      <c r="Y205" s="195" t="str">
        <f ca="1">IF(setca[[#This Row],[2]]="","",IF(setca[[#This Row],[18]]=TRUE,                                     setca[[#This Row],[2]]+(TODAY())&lt;$C$36))</f>
        <v/>
      </c>
      <c r="Z205" s="195">
        <f>IF(OR(setca[[#This Row],[5]]="WN",setca[[#This Row],[5]]="Es"),(setca[[#This Row],[12]]+setca[[#This Row],[13]])*1.12,setca[[#This Row],[12]]+setca[[#This Row],[13]])</f>
        <v>0</v>
      </c>
      <c r="AA205" s="195">
        <f>IF(OR(setca[[#This Row],[5]]="WN",setca[[#This Row],[5]]="Es"),setca[[#This Row],[4]]*1.12,setca[[#This Row],[4]])*(setca[[#This Row],[14]]+1)</f>
        <v>0</v>
      </c>
      <c r="AB205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205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205" s="195" t="b">
        <f>IF(setca[[#This Row],[16]]=FALSE,TRUE,FALSE)</f>
        <v>1</v>
      </c>
      <c r="AE205" s="195" t="b">
        <f ca="1">IF(setca[[#This Row],[2]]="",FALSE,AND((setca[[#This Row],[2]]+TODAY())&lt;$C$36,setca[[#This Row],[17]]=FALSE,setca[[#This Row],[18]]=TRUE))</f>
        <v>0</v>
      </c>
      <c r="AF205" s="195" t="b">
        <f ca="1">IF(setca[[#This Row],[2]]="",FALSE,AND((setca[[#This Row],[3]]+TODAY())&lt;$C$36,setca[[#This Row],[18]]=TRUE))</f>
        <v>0</v>
      </c>
      <c r="AG205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205" s="1"/>
      <c r="AI205" s="1"/>
    </row>
    <row r="206" spans="1:35" ht="11.1" customHeight="1" x14ac:dyDescent="0.25">
      <c r="A206" s="124" t="str">
        <f t="array" aca="1" ref="A206" ca="1">IFERROR(INDEX($F$39:$F$238,MATCH(0,IF(TRUE=setca[28],0,1)+COUNTIF($F$38:F243,$F$39:$F$238),0)),"")</f>
        <v/>
      </c>
      <c r="B206" s="109">
        <f>IFERROR(VLOOKUP(setca[[#This Row],[23]],Start!$B$87:$N$10044,3,0),0)+IF(setca[[#This Row],[18]]=TRUE,1+setca[[#This Row],[14]],0)</f>
        <v>0</v>
      </c>
      <c r="C206" s="21">
        <f>IFERROR((IFERROR(VLOOKUP(setca[[#This Row],[23]],Start!$B$87:$N$10044,12,0),0)+IF(setca[[#This Row],[18]]=TRUE,setca[[#This Row],[21]]-setca[[#This Row],[22]],0))/B206,0)</f>
        <v>0</v>
      </c>
      <c r="D206" s="1"/>
      <c r="E206" s="19">
        <f t="shared" ca="1" si="12"/>
        <v>2</v>
      </c>
      <c r="F206" s="173">
        <f t="shared" si="13"/>
        <v>169</v>
      </c>
      <c r="G206" s="99"/>
      <c r="H206" s="99"/>
      <c r="I206" s="114"/>
      <c r="J206" s="100"/>
      <c r="K206" s="100"/>
      <c r="L206" s="100"/>
      <c r="M206" s="100"/>
      <c r="N206" s="100"/>
      <c r="O206" s="100"/>
      <c r="P206" s="101"/>
      <c r="Q206" s="105"/>
      <c r="R206" s="106"/>
      <c r="S206" s="104"/>
      <c r="T206" s="100" t="s">
        <v>71</v>
      </c>
      <c r="U206" s="133" t="b">
        <v>0</v>
      </c>
      <c r="V206" s="135" t="b">
        <v>0</v>
      </c>
      <c r="W206" s="136" t="b">
        <v>0</v>
      </c>
      <c r="X206" s="185" t="str">
        <f ca="1">IF(setca[[#This Row],[18]]=TRUE,IF($N$1=TRUE,TODAY()-1,TODAY()),"")</f>
        <v/>
      </c>
      <c r="Y206" s="195" t="str">
        <f ca="1">IF(setca[[#This Row],[2]]="","",IF(setca[[#This Row],[18]]=TRUE,                                     setca[[#This Row],[2]]+(TODAY())&lt;$C$36))</f>
        <v/>
      </c>
      <c r="Z206" s="195">
        <f>IF(OR(setca[[#This Row],[5]]="WN",setca[[#This Row],[5]]="Es"),(setca[[#This Row],[12]]+setca[[#This Row],[13]])*1.12,setca[[#This Row],[12]]+setca[[#This Row],[13]])</f>
        <v>0</v>
      </c>
      <c r="AA206" s="195">
        <f>IF(OR(setca[[#This Row],[5]]="WN",setca[[#This Row],[5]]="Es"),setca[[#This Row],[4]]*1.12,setca[[#This Row],[4]])*(setca[[#This Row],[14]]+1)</f>
        <v>0</v>
      </c>
      <c r="AB206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206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206" s="195" t="b">
        <f>IF(setca[[#This Row],[16]]=FALSE,TRUE,FALSE)</f>
        <v>1</v>
      </c>
      <c r="AE206" s="195" t="b">
        <f ca="1">IF(setca[[#This Row],[2]]="",FALSE,AND((setca[[#This Row],[2]]+TODAY())&lt;$C$36,setca[[#This Row],[17]]=FALSE,setca[[#This Row],[18]]=TRUE))</f>
        <v>0</v>
      </c>
      <c r="AF206" s="195" t="b">
        <f ca="1">IF(setca[[#This Row],[2]]="",FALSE,AND((setca[[#This Row],[3]]+TODAY())&lt;$C$36,setca[[#This Row],[18]]=TRUE))</f>
        <v>0</v>
      </c>
      <c r="AG206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206" s="1"/>
      <c r="AI206" s="1"/>
    </row>
    <row r="207" spans="1:35" ht="11.1" customHeight="1" x14ac:dyDescent="0.25">
      <c r="A207" s="124" t="str">
        <f t="array" aca="1" ref="A207" ca="1">IFERROR(INDEX($F$39:$F$238,MATCH(0,IF(TRUE=setca[28],0,1)+COUNTIF($F$38:F244,$F$39:$F$238),0)),"")</f>
        <v/>
      </c>
      <c r="B207" s="109">
        <f>IFERROR(VLOOKUP(setca[[#This Row],[23]],Start!$B$87:$N$10044,3,0),0)+IF(setca[[#This Row],[18]]=TRUE,1+setca[[#This Row],[14]],0)</f>
        <v>0</v>
      </c>
      <c r="C207" s="21">
        <f>IFERROR((IFERROR(VLOOKUP(setca[[#This Row],[23]],Start!$B$87:$N$10044,12,0),0)+IF(setca[[#This Row],[18]]=TRUE,setca[[#This Row],[21]]-setca[[#This Row],[22]],0))/B207,0)</f>
        <v>0</v>
      </c>
      <c r="D207" s="1"/>
      <c r="E207" s="19">
        <f t="shared" ca="1" si="12"/>
        <v>2</v>
      </c>
      <c r="F207" s="173">
        <f t="shared" si="13"/>
        <v>170</v>
      </c>
      <c r="G207" s="99"/>
      <c r="H207" s="99"/>
      <c r="I207" s="114"/>
      <c r="J207" s="100"/>
      <c r="K207" s="100"/>
      <c r="L207" s="100"/>
      <c r="M207" s="100"/>
      <c r="N207" s="100"/>
      <c r="O207" s="100"/>
      <c r="P207" s="101"/>
      <c r="Q207" s="105"/>
      <c r="R207" s="106"/>
      <c r="S207" s="104"/>
      <c r="T207" s="100" t="s">
        <v>71</v>
      </c>
      <c r="U207" s="133" t="b">
        <v>0</v>
      </c>
      <c r="V207" s="135" t="b">
        <v>0</v>
      </c>
      <c r="W207" s="136" t="b">
        <v>0</v>
      </c>
      <c r="X207" s="185" t="str">
        <f ca="1">IF(setca[[#This Row],[18]]=TRUE,IF($N$1=TRUE,TODAY()-1,TODAY()),"")</f>
        <v/>
      </c>
      <c r="Y207" s="195" t="str">
        <f ca="1">IF(setca[[#This Row],[2]]="","",IF(setca[[#This Row],[18]]=TRUE,                                     setca[[#This Row],[2]]+(TODAY())&lt;$C$36))</f>
        <v/>
      </c>
      <c r="Z207" s="195">
        <f>IF(OR(setca[[#This Row],[5]]="WN",setca[[#This Row],[5]]="Es"),(setca[[#This Row],[12]]+setca[[#This Row],[13]])*1.12,setca[[#This Row],[12]]+setca[[#This Row],[13]])</f>
        <v>0</v>
      </c>
      <c r="AA207" s="195">
        <f>IF(OR(setca[[#This Row],[5]]="WN",setca[[#This Row],[5]]="Es"),setca[[#This Row],[4]]*1.12,setca[[#This Row],[4]])*(setca[[#This Row],[14]]+1)</f>
        <v>0</v>
      </c>
      <c r="AB207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207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207" s="195" t="b">
        <f>IF(setca[[#This Row],[16]]=FALSE,TRUE,FALSE)</f>
        <v>1</v>
      </c>
      <c r="AE207" s="195" t="b">
        <f ca="1">IF(setca[[#This Row],[2]]="",FALSE,AND((setca[[#This Row],[2]]+TODAY())&lt;$C$36,setca[[#This Row],[17]]=FALSE,setca[[#This Row],[18]]=TRUE))</f>
        <v>0</v>
      </c>
      <c r="AF207" s="195" t="b">
        <f ca="1">IF(setca[[#This Row],[2]]="",FALSE,AND((setca[[#This Row],[3]]+TODAY())&lt;$C$36,setca[[#This Row],[18]]=TRUE))</f>
        <v>0</v>
      </c>
      <c r="AG207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207" s="1"/>
      <c r="AI207" s="1"/>
    </row>
    <row r="208" spans="1:35" ht="11.1" customHeight="1" x14ac:dyDescent="0.25">
      <c r="A208" s="124" t="str">
        <f t="array" aca="1" ref="A208" ca="1">IFERROR(INDEX($F$39:$F$238,MATCH(0,IF(TRUE=setca[28],0,1)+COUNTIF($F$38:F245,$F$39:$F$238),0)),"")</f>
        <v/>
      </c>
      <c r="B208" s="109">
        <f>IFERROR(VLOOKUP(setca[[#This Row],[23]],Start!$B$87:$N$10044,3,0),0)+IF(setca[[#This Row],[18]]=TRUE,1+setca[[#This Row],[14]],0)</f>
        <v>0</v>
      </c>
      <c r="C208" s="21">
        <f>IFERROR((IFERROR(VLOOKUP(setca[[#This Row],[23]],Start!$B$87:$N$10044,12,0),0)+IF(setca[[#This Row],[18]]=TRUE,setca[[#This Row],[21]]-setca[[#This Row],[22]],0))/B208,0)</f>
        <v>0</v>
      </c>
      <c r="D208" s="1"/>
      <c r="E208" s="19">
        <f t="shared" ca="1" si="12"/>
        <v>2</v>
      </c>
      <c r="F208" s="173">
        <f t="shared" si="13"/>
        <v>171</v>
      </c>
      <c r="G208" s="99"/>
      <c r="H208" s="99"/>
      <c r="I208" s="114"/>
      <c r="J208" s="100"/>
      <c r="K208" s="100"/>
      <c r="L208" s="100"/>
      <c r="M208" s="100"/>
      <c r="N208" s="100"/>
      <c r="O208" s="100"/>
      <c r="P208" s="101"/>
      <c r="Q208" s="105"/>
      <c r="R208" s="106"/>
      <c r="S208" s="104"/>
      <c r="T208" s="100" t="s">
        <v>71</v>
      </c>
      <c r="U208" s="133" t="b">
        <v>0</v>
      </c>
      <c r="V208" s="135" t="b">
        <v>0</v>
      </c>
      <c r="W208" s="136" t="b">
        <v>0</v>
      </c>
      <c r="X208" s="185" t="str">
        <f ca="1">IF(setca[[#This Row],[18]]=TRUE,IF($N$1=TRUE,TODAY()-1,TODAY()),"")</f>
        <v/>
      </c>
      <c r="Y208" s="195" t="str">
        <f ca="1">IF(setca[[#This Row],[2]]="","",IF(setca[[#This Row],[18]]=TRUE,                                     setca[[#This Row],[2]]+(TODAY())&lt;$C$36))</f>
        <v/>
      </c>
      <c r="Z208" s="195">
        <f>IF(OR(setca[[#This Row],[5]]="WN",setca[[#This Row],[5]]="Es"),(setca[[#This Row],[12]]+setca[[#This Row],[13]])*1.12,setca[[#This Row],[12]]+setca[[#This Row],[13]])</f>
        <v>0</v>
      </c>
      <c r="AA208" s="195">
        <f>IF(OR(setca[[#This Row],[5]]="WN",setca[[#This Row],[5]]="Es"),setca[[#This Row],[4]]*1.12,setca[[#This Row],[4]])*(setca[[#This Row],[14]]+1)</f>
        <v>0</v>
      </c>
      <c r="AB208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208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208" s="195" t="b">
        <f>IF(setca[[#This Row],[16]]=FALSE,TRUE,FALSE)</f>
        <v>1</v>
      </c>
      <c r="AE208" s="195" t="b">
        <f ca="1">IF(setca[[#This Row],[2]]="",FALSE,AND((setca[[#This Row],[2]]+TODAY())&lt;$C$36,setca[[#This Row],[17]]=FALSE,setca[[#This Row],[18]]=TRUE))</f>
        <v>0</v>
      </c>
      <c r="AF208" s="195" t="b">
        <f ca="1">IF(setca[[#This Row],[2]]="",FALSE,AND((setca[[#This Row],[3]]+TODAY())&lt;$C$36,setca[[#This Row],[18]]=TRUE))</f>
        <v>0</v>
      </c>
      <c r="AG208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208" s="1"/>
      <c r="AI208" s="1"/>
    </row>
    <row r="209" spans="1:35" ht="11.1" customHeight="1" x14ac:dyDescent="0.25">
      <c r="A209" s="124" t="str">
        <f t="array" aca="1" ref="A209" ca="1">IFERROR(INDEX($F$39:$F$238,MATCH(0,IF(TRUE=setca[28],0,1)+COUNTIF($F$38:F246,$F$39:$F$238),0)),"")</f>
        <v/>
      </c>
      <c r="B209" s="109">
        <f>IFERROR(VLOOKUP(setca[[#This Row],[23]],Start!$B$87:$N$10044,3,0),0)+IF(setca[[#This Row],[18]]=TRUE,1+setca[[#This Row],[14]],0)</f>
        <v>0</v>
      </c>
      <c r="C209" s="21">
        <f>IFERROR((IFERROR(VLOOKUP(setca[[#This Row],[23]],Start!$B$87:$N$10044,12,0),0)+IF(setca[[#This Row],[18]]=TRUE,setca[[#This Row],[21]]-setca[[#This Row],[22]],0))/B209,0)</f>
        <v>0</v>
      </c>
      <c r="D209" s="1"/>
      <c r="E209" s="19">
        <f t="shared" ca="1" si="12"/>
        <v>2</v>
      </c>
      <c r="F209" s="173">
        <f t="shared" si="13"/>
        <v>172</v>
      </c>
      <c r="G209" s="99"/>
      <c r="H209" s="99"/>
      <c r="I209" s="114"/>
      <c r="J209" s="100"/>
      <c r="K209" s="100"/>
      <c r="L209" s="100"/>
      <c r="M209" s="100"/>
      <c r="N209" s="100"/>
      <c r="O209" s="100"/>
      <c r="P209" s="101"/>
      <c r="Q209" s="105"/>
      <c r="R209" s="106"/>
      <c r="S209" s="104"/>
      <c r="T209" s="100" t="s">
        <v>71</v>
      </c>
      <c r="U209" s="133" t="b">
        <v>0</v>
      </c>
      <c r="V209" s="135" t="b">
        <v>0</v>
      </c>
      <c r="W209" s="136" t="b">
        <v>0</v>
      </c>
      <c r="X209" s="185" t="str">
        <f ca="1">IF(setca[[#This Row],[18]]=TRUE,IF($N$1=TRUE,TODAY()-1,TODAY()),"")</f>
        <v/>
      </c>
      <c r="Y209" s="195" t="str">
        <f ca="1">IF(setca[[#This Row],[2]]="","",IF(setca[[#This Row],[18]]=TRUE,                                     setca[[#This Row],[2]]+(TODAY())&lt;$C$36))</f>
        <v/>
      </c>
      <c r="Z209" s="195">
        <f>IF(OR(setca[[#This Row],[5]]="WN",setca[[#This Row],[5]]="Es"),(setca[[#This Row],[12]]+setca[[#This Row],[13]])*1.12,setca[[#This Row],[12]]+setca[[#This Row],[13]])</f>
        <v>0</v>
      </c>
      <c r="AA209" s="195">
        <f>IF(OR(setca[[#This Row],[5]]="WN",setca[[#This Row],[5]]="Es"),setca[[#This Row],[4]]*1.12,setca[[#This Row],[4]])*(setca[[#This Row],[14]]+1)</f>
        <v>0</v>
      </c>
      <c r="AB209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209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209" s="195" t="b">
        <f>IF(setca[[#This Row],[16]]=FALSE,TRUE,FALSE)</f>
        <v>1</v>
      </c>
      <c r="AE209" s="195" t="b">
        <f ca="1">IF(setca[[#This Row],[2]]="",FALSE,AND((setca[[#This Row],[2]]+TODAY())&lt;$C$36,setca[[#This Row],[17]]=FALSE,setca[[#This Row],[18]]=TRUE))</f>
        <v>0</v>
      </c>
      <c r="AF209" s="195" t="b">
        <f ca="1">IF(setca[[#This Row],[2]]="",FALSE,AND((setca[[#This Row],[3]]+TODAY())&lt;$C$36,setca[[#This Row],[18]]=TRUE))</f>
        <v>0</v>
      </c>
      <c r="AG209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209" s="1"/>
      <c r="AI209" s="1"/>
    </row>
    <row r="210" spans="1:35" ht="11.1" customHeight="1" x14ac:dyDescent="0.25">
      <c r="A210" s="124" t="str">
        <f t="array" aca="1" ref="A210" ca="1">IFERROR(INDEX($F$39:$F$238,MATCH(0,IF(TRUE=setca[28],0,1)+COUNTIF($F$38:F247,$F$39:$F$238),0)),"")</f>
        <v/>
      </c>
      <c r="B210" s="109">
        <f>IFERROR(VLOOKUP(setca[[#This Row],[23]],Start!$B$87:$N$10044,3,0),0)+IF(setca[[#This Row],[18]]=TRUE,1+setca[[#This Row],[14]],0)</f>
        <v>0</v>
      </c>
      <c r="C210" s="21">
        <f>IFERROR((IFERROR(VLOOKUP(setca[[#This Row],[23]],Start!$B$87:$N$10044,12,0),0)+IF(setca[[#This Row],[18]]=TRUE,setca[[#This Row],[21]]-setca[[#This Row],[22]],0))/B210,0)</f>
        <v>0</v>
      </c>
      <c r="D210" s="1"/>
      <c r="E210" s="19">
        <f t="shared" ca="1" si="12"/>
        <v>2</v>
      </c>
      <c r="F210" s="173">
        <f t="shared" si="13"/>
        <v>173</v>
      </c>
      <c r="G210" s="99"/>
      <c r="H210" s="99"/>
      <c r="I210" s="114"/>
      <c r="J210" s="100"/>
      <c r="K210" s="100"/>
      <c r="L210" s="100"/>
      <c r="M210" s="100"/>
      <c r="N210" s="100"/>
      <c r="O210" s="100"/>
      <c r="P210" s="101"/>
      <c r="Q210" s="105"/>
      <c r="R210" s="106"/>
      <c r="S210" s="104"/>
      <c r="T210" s="100" t="s">
        <v>71</v>
      </c>
      <c r="U210" s="133" t="b">
        <v>0</v>
      </c>
      <c r="V210" s="135" t="b">
        <v>0</v>
      </c>
      <c r="W210" s="136" t="b">
        <v>0</v>
      </c>
      <c r="X210" s="185" t="str">
        <f ca="1">IF(setca[[#This Row],[18]]=TRUE,IF($N$1=TRUE,TODAY()-1,TODAY()),"")</f>
        <v/>
      </c>
      <c r="Y210" s="195" t="str">
        <f ca="1">IF(setca[[#This Row],[2]]="","",IF(setca[[#This Row],[18]]=TRUE,                                     setca[[#This Row],[2]]+(TODAY())&lt;$C$36))</f>
        <v/>
      </c>
      <c r="Z210" s="195">
        <f>IF(OR(setca[[#This Row],[5]]="WN",setca[[#This Row],[5]]="Es"),(setca[[#This Row],[12]]+setca[[#This Row],[13]])*1.12,setca[[#This Row],[12]]+setca[[#This Row],[13]])</f>
        <v>0</v>
      </c>
      <c r="AA210" s="195">
        <f>IF(OR(setca[[#This Row],[5]]="WN",setca[[#This Row],[5]]="Es"),setca[[#This Row],[4]]*1.12,setca[[#This Row],[4]])*(setca[[#This Row],[14]]+1)</f>
        <v>0</v>
      </c>
      <c r="AB210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210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210" s="195" t="b">
        <f>IF(setca[[#This Row],[16]]=FALSE,TRUE,FALSE)</f>
        <v>1</v>
      </c>
      <c r="AE210" s="195" t="b">
        <f ca="1">IF(setca[[#This Row],[2]]="",FALSE,AND((setca[[#This Row],[2]]+TODAY())&lt;$C$36,setca[[#This Row],[17]]=FALSE,setca[[#This Row],[18]]=TRUE))</f>
        <v>0</v>
      </c>
      <c r="AF210" s="195" t="b">
        <f ca="1">IF(setca[[#This Row],[2]]="",FALSE,AND((setca[[#This Row],[3]]+TODAY())&lt;$C$36,setca[[#This Row],[18]]=TRUE))</f>
        <v>0</v>
      </c>
      <c r="AG210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210" s="1"/>
      <c r="AI210" s="1"/>
    </row>
    <row r="211" spans="1:35" ht="11.1" customHeight="1" x14ac:dyDescent="0.25">
      <c r="A211" s="124" t="str">
        <f t="array" aca="1" ref="A211" ca="1">IFERROR(INDEX($F$39:$F$238,MATCH(0,IF(TRUE=setca[28],0,1)+COUNTIF($F$38:F248,$F$39:$F$238),0)),"")</f>
        <v/>
      </c>
      <c r="B211" s="109">
        <f>IFERROR(VLOOKUP(setca[[#This Row],[23]],Start!$B$87:$N$10044,3,0),0)+IF(setca[[#This Row],[18]]=TRUE,1+setca[[#This Row],[14]],0)</f>
        <v>0</v>
      </c>
      <c r="C211" s="21">
        <f>IFERROR((IFERROR(VLOOKUP(setca[[#This Row],[23]],Start!$B$87:$N$10044,12,0),0)+IF(setca[[#This Row],[18]]=TRUE,setca[[#This Row],[21]]-setca[[#This Row],[22]],0))/B211,0)</f>
        <v>0</v>
      </c>
      <c r="D211" s="1"/>
      <c r="E211" s="19">
        <f t="shared" ca="1" si="12"/>
        <v>2</v>
      </c>
      <c r="F211" s="173">
        <f t="shared" si="13"/>
        <v>174</v>
      </c>
      <c r="G211" s="99"/>
      <c r="H211" s="99"/>
      <c r="I211" s="114"/>
      <c r="J211" s="100"/>
      <c r="K211" s="100"/>
      <c r="L211" s="100"/>
      <c r="M211" s="100"/>
      <c r="N211" s="100"/>
      <c r="O211" s="100"/>
      <c r="P211" s="101"/>
      <c r="Q211" s="105"/>
      <c r="R211" s="106"/>
      <c r="S211" s="104"/>
      <c r="T211" s="100" t="s">
        <v>71</v>
      </c>
      <c r="U211" s="133" t="b">
        <v>0</v>
      </c>
      <c r="V211" s="135" t="b">
        <v>0</v>
      </c>
      <c r="W211" s="136" t="b">
        <v>0</v>
      </c>
      <c r="X211" s="185" t="str">
        <f ca="1">IF(setca[[#This Row],[18]]=TRUE,IF($N$1=TRUE,TODAY()-1,TODAY()),"")</f>
        <v/>
      </c>
      <c r="Y211" s="195" t="str">
        <f ca="1">IF(setca[[#This Row],[2]]="","",IF(setca[[#This Row],[18]]=TRUE,                                     setca[[#This Row],[2]]+(TODAY())&lt;$C$36))</f>
        <v/>
      </c>
      <c r="Z211" s="195">
        <f>IF(OR(setca[[#This Row],[5]]="WN",setca[[#This Row],[5]]="Es"),(setca[[#This Row],[12]]+setca[[#This Row],[13]])*1.12,setca[[#This Row],[12]]+setca[[#This Row],[13]])</f>
        <v>0</v>
      </c>
      <c r="AA211" s="195">
        <f>IF(OR(setca[[#This Row],[5]]="WN",setca[[#This Row],[5]]="Es"),setca[[#This Row],[4]]*1.12,setca[[#This Row],[4]])*(setca[[#This Row],[14]]+1)</f>
        <v>0</v>
      </c>
      <c r="AB211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211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211" s="195" t="b">
        <f>IF(setca[[#This Row],[16]]=FALSE,TRUE,FALSE)</f>
        <v>1</v>
      </c>
      <c r="AE211" s="195" t="b">
        <f ca="1">IF(setca[[#This Row],[2]]="",FALSE,AND((setca[[#This Row],[2]]+TODAY())&lt;$C$36,setca[[#This Row],[17]]=FALSE,setca[[#This Row],[18]]=TRUE))</f>
        <v>0</v>
      </c>
      <c r="AF211" s="195" t="b">
        <f ca="1">IF(setca[[#This Row],[2]]="",FALSE,AND((setca[[#This Row],[3]]+TODAY())&lt;$C$36,setca[[#This Row],[18]]=TRUE))</f>
        <v>0</v>
      </c>
      <c r="AG211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211" s="1"/>
      <c r="AI211" s="1"/>
    </row>
    <row r="212" spans="1:35" ht="11.1" customHeight="1" x14ac:dyDescent="0.25">
      <c r="A212" s="124" t="str">
        <f t="array" aca="1" ref="A212" ca="1">IFERROR(INDEX($F$39:$F$238,MATCH(0,IF(TRUE=setca[28],0,1)+COUNTIF($F$38:F249,$F$39:$F$238),0)),"")</f>
        <v/>
      </c>
      <c r="B212" s="109">
        <f>IFERROR(VLOOKUP(setca[[#This Row],[23]],Start!$B$87:$N$10044,3,0),0)+IF(setca[[#This Row],[18]]=TRUE,1+setca[[#This Row],[14]],0)</f>
        <v>0</v>
      </c>
      <c r="C212" s="21">
        <f>IFERROR((IFERROR(VLOOKUP(setca[[#This Row],[23]],Start!$B$87:$N$10044,12,0),0)+IF(setca[[#This Row],[18]]=TRUE,setca[[#This Row],[21]]-setca[[#This Row],[22]],0))/B212,0)</f>
        <v>0</v>
      </c>
      <c r="D212" s="1"/>
      <c r="E212" s="19">
        <f t="shared" ca="1" si="12"/>
        <v>2</v>
      </c>
      <c r="F212" s="173">
        <f t="shared" si="13"/>
        <v>175</v>
      </c>
      <c r="G212" s="99"/>
      <c r="H212" s="99"/>
      <c r="I212" s="114"/>
      <c r="J212" s="100"/>
      <c r="K212" s="100"/>
      <c r="L212" s="100"/>
      <c r="M212" s="100"/>
      <c r="N212" s="100"/>
      <c r="O212" s="100"/>
      <c r="P212" s="101"/>
      <c r="Q212" s="105"/>
      <c r="R212" s="106"/>
      <c r="S212" s="104"/>
      <c r="T212" s="100" t="s">
        <v>71</v>
      </c>
      <c r="U212" s="133" t="b">
        <v>0</v>
      </c>
      <c r="V212" s="135" t="b">
        <v>0</v>
      </c>
      <c r="W212" s="136" t="b">
        <v>0</v>
      </c>
      <c r="X212" s="185" t="str">
        <f ca="1">IF(setca[[#This Row],[18]]=TRUE,IF($N$1=TRUE,TODAY()-1,TODAY()),"")</f>
        <v/>
      </c>
      <c r="Y212" s="195" t="str">
        <f ca="1">IF(setca[[#This Row],[2]]="","",IF(setca[[#This Row],[18]]=TRUE,                                     setca[[#This Row],[2]]+(TODAY())&lt;$C$36))</f>
        <v/>
      </c>
      <c r="Z212" s="195">
        <f>IF(OR(setca[[#This Row],[5]]="WN",setca[[#This Row],[5]]="Es"),(setca[[#This Row],[12]]+setca[[#This Row],[13]])*1.12,setca[[#This Row],[12]]+setca[[#This Row],[13]])</f>
        <v>0</v>
      </c>
      <c r="AA212" s="195">
        <f>IF(OR(setca[[#This Row],[5]]="WN",setca[[#This Row],[5]]="Es"),setca[[#This Row],[4]]*1.12,setca[[#This Row],[4]])*(setca[[#This Row],[14]]+1)</f>
        <v>0</v>
      </c>
      <c r="AB212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212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212" s="195" t="b">
        <f>IF(setca[[#This Row],[16]]=FALSE,TRUE,FALSE)</f>
        <v>1</v>
      </c>
      <c r="AE212" s="195" t="b">
        <f ca="1">IF(setca[[#This Row],[2]]="",FALSE,AND((setca[[#This Row],[2]]+TODAY())&lt;$C$36,setca[[#This Row],[17]]=FALSE,setca[[#This Row],[18]]=TRUE))</f>
        <v>0</v>
      </c>
      <c r="AF212" s="195" t="b">
        <f ca="1">IF(setca[[#This Row],[2]]="",FALSE,AND((setca[[#This Row],[3]]+TODAY())&lt;$C$36,setca[[#This Row],[18]]=TRUE))</f>
        <v>0</v>
      </c>
      <c r="AG212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212" s="1"/>
      <c r="AI212" s="1"/>
    </row>
    <row r="213" spans="1:35" ht="11.1" customHeight="1" x14ac:dyDescent="0.25">
      <c r="A213" s="124" t="str">
        <f t="array" aca="1" ref="A213" ca="1">IFERROR(INDEX($F$39:$F$238,MATCH(0,IF(TRUE=setca[28],0,1)+COUNTIF($F$38:F250,$F$39:$F$238),0)),"")</f>
        <v/>
      </c>
      <c r="B213" s="109">
        <f>IFERROR(VLOOKUP(setca[[#This Row],[23]],Start!$B$87:$N$10044,3,0),0)+IF(setca[[#This Row],[18]]=TRUE,1+setca[[#This Row],[14]],0)</f>
        <v>0</v>
      </c>
      <c r="C213" s="21">
        <f>IFERROR((IFERROR(VLOOKUP(setca[[#This Row],[23]],Start!$B$87:$N$10044,12,0),0)+IF(setca[[#This Row],[18]]=TRUE,setca[[#This Row],[21]]-setca[[#This Row],[22]],0))/B213,0)</f>
        <v>0</v>
      </c>
      <c r="D213" s="1"/>
      <c r="E213" s="19">
        <f t="shared" ca="1" si="12"/>
        <v>2</v>
      </c>
      <c r="F213" s="173">
        <f t="shared" si="13"/>
        <v>176</v>
      </c>
      <c r="G213" s="99"/>
      <c r="H213" s="99"/>
      <c r="I213" s="114"/>
      <c r="J213" s="100"/>
      <c r="K213" s="100"/>
      <c r="L213" s="100"/>
      <c r="M213" s="100"/>
      <c r="N213" s="100"/>
      <c r="O213" s="100"/>
      <c r="P213" s="101"/>
      <c r="Q213" s="105"/>
      <c r="R213" s="106"/>
      <c r="S213" s="104"/>
      <c r="T213" s="100" t="s">
        <v>71</v>
      </c>
      <c r="U213" s="133" t="b">
        <v>0</v>
      </c>
      <c r="V213" s="135" t="b">
        <v>0</v>
      </c>
      <c r="W213" s="136" t="b">
        <v>0</v>
      </c>
      <c r="X213" s="185" t="str">
        <f ca="1">IF(setca[[#This Row],[18]]=TRUE,IF($N$1=TRUE,TODAY()-1,TODAY()),"")</f>
        <v/>
      </c>
      <c r="Y213" s="195" t="str">
        <f ca="1">IF(setca[[#This Row],[2]]="","",IF(setca[[#This Row],[18]]=TRUE,                                     setca[[#This Row],[2]]+(TODAY())&lt;$C$36))</f>
        <v/>
      </c>
      <c r="Z213" s="195">
        <f>IF(OR(setca[[#This Row],[5]]="WN",setca[[#This Row],[5]]="Es"),(setca[[#This Row],[12]]+setca[[#This Row],[13]])*1.12,setca[[#This Row],[12]]+setca[[#This Row],[13]])</f>
        <v>0</v>
      </c>
      <c r="AA213" s="195">
        <f>IF(OR(setca[[#This Row],[5]]="WN",setca[[#This Row],[5]]="Es"),setca[[#This Row],[4]]*1.12,setca[[#This Row],[4]])*(setca[[#This Row],[14]]+1)</f>
        <v>0</v>
      </c>
      <c r="AB213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213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213" s="195" t="b">
        <f>IF(setca[[#This Row],[16]]=FALSE,TRUE,FALSE)</f>
        <v>1</v>
      </c>
      <c r="AE213" s="195" t="b">
        <f ca="1">IF(setca[[#This Row],[2]]="",FALSE,AND((setca[[#This Row],[2]]+TODAY())&lt;$C$36,setca[[#This Row],[17]]=FALSE,setca[[#This Row],[18]]=TRUE))</f>
        <v>0</v>
      </c>
      <c r="AF213" s="195" t="b">
        <f ca="1">IF(setca[[#This Row],[2]]="",FALSE,AND((setca[[#This Row],[3]]+TODAY())&lt;$C$36,setca[[#This Row],[18]]=TRUE))</f>
        <v>0</v>
      </c>
      <c r="AG213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213" s="1"/>
      <c r="AI213" s="1"/>
    </row>
    <row r="214" spans="1:35" ht="11.1" customHeight="1" x14ac:dyDescent="0.25">
      <c r="A214" s="124" t="str">
        <f t="array" aca="1" ref="A214" ca="1">IFERROR(INDEX($F$39:$F$238,MATCH(0,IF(TRUE=setca[28],0,1)+COUNTIF($F$38:F251,$F$39:$F$238),0)),"")</f>
        <v/>
      </c>
      <c r="B214" s="109">
        <f>IFERROR(VLOOKUP(setca[[#This Row],[23]],Start!$B$87:$N$10044,3,0),0)+IF(setca[[#This Row],[18]]=TRUE,1+setca[[#This Row],[14]],0)</f>
        <v>0</v>
      </c>
      <c r="C214" s="21">
        <f>IFERROR((IFERROR(VLOOKUP(setca[[#This Row],[23]],Start!$B$87:$N$10044,12,0),0)+IF(setca[[#This Row],[18]]=TRUE,setca[[#This Row],[21]]-setca[[#This Row],[22]],0))/B214,0)</f>
        <v>0</v>
      </c>
      <c r="D214" s="1"/>
      <c r="E214" s="19">
        <f t="shared" ca="1" si="12"/>
        <v>2</v>
      </c>
      <c r="F214" s="173">
        <f t="shared" si="13"/>
        <v>177</v>
      </c>
      <c r="G214" s="99"/>
      <c r="H214" s="99"/>
      <c r="I214" s="114"/>
      <c r="J214" s="100"/>
      <c r="K214" s="100"/>
      <c r="L214" s="100"/>
      <c r="M214" s="100"/>
      <c r="N214" s="100"/>
      <c r="O214" s="100"/>
      <c r="P214" s="101"/>
      <c r="Q214" s="105"/>
      <c r="R214" s="106"/>
      <c r="S214" s="104"/>
      <c r="T214" s="100" t="s">
        <v>71</v>
      </c>
      <c r="U214" s="133" t="b">
        <v>0</v>
      </c>
      <c r="V214" s="135" t="b">
        <v>0</v>
      </c>
      <c r="W214" s="136" t="b">
        <v>0</v>
      </c>
      <c r="X214" s="185" t="str">
        <f ca="1">IF(setca[[#This Row],[18]]=TRUE,IF($N$1=TRUE,TODAY()-1,TODAY()),"")</f>
        <v/>
      </c>
      <c r="Y214" s="195" t="str">
        <f ca="1">IF(setca[[#This Row],[2]]="","",IF(setca[[#This Row],[18]]=TRUE,                                     setca[[#This Row],[2]]+(TODAY())&lt;$C$36))</f>
        <v/>
      </c>
      <c r="Z214" s="195">
        <f>IF(OR(setca[[#This Row],[5]]="WN",setca[[#This Row],[5]]="Es"),(setca[[#This Row],[12]]+setca[[#This Row],[13]])*1.12,setca[[#This Row],[12]]+setca[[#This Row],[13]])</f>
        <v>0</v>
      </c>
      <c r="AA214" s="195">
        <f>IF(OR(setca[[#This Row],[5]]="WN",setca[[#This Row],[5]]="Es"),setca[[#This Row],[4]]*1.12,setca[[#This Row],[4]])*(setca[[#This Row],[14]]+1)</f>
        <v>0</v>
      </c>
      <c r="AB214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214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214" s="195" t="b">
        <f>IF(setca[[#This Row],[16]]=FALSE,TRUE,FALSE)</f>
        <v>1</v>
      </c>
      <c r="AE214" s="195" t="b">
        <f ca="1">IF(setca[[#This Row],[2]]="",FALSE,AND((setca[[#This Row],[2]]+TODAY())&lt;$C$36,setca[[#This Row],[17]]=FALSE,setca[[#This Row],[18]]=TRUE))</f>
        <v>0</v>
      </c>
      <c r="AF214" s="195" t="b">
        <f ca="1">IF(setca[[#This Row],[2]]="",FALSE,AND((setca[[#This Row],[3]]+TODAY())&lt;$C$36,setca[[#This Row],[18]]=TRUE))</f>
        <v>0</v>
      </c>
      <c r="AG214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214" s="1"/>
      <c r="AI214" s="1"/>
    </row>
    <row r="215" spans="1:35" ht="11.1" customHeight="1" x14ac:dyDescent="0.25">
      <c r="A215" s="124" t="str">
        <f t="array" aca="1" ref="A215" ca="1">IFERROR(INDEX($F$39:$F$238,MATCH(0,IF(TRUE=setca[28],0,1)+COUNTIF($F$38:F252,$F$39:$F$238),0)),"")</f>
        <v/>
      </c>
      <c r="B215" s="109">
        <f>IFERROR(VLOOKUP(setca[[#This Row],[23]],Start!$B$87:$N$10044,3,0),0)+IF(setca[[#This Row],[18]]=TRUE,1+setca[[#This Row],[14]],0)</f>
        <v>0</v>
      </c>
      <c r="C215" s="21">
        <f>IFERROR((IFERROR(VLOOKUP(setca[[#This Row],[23]],Start!$B$87:$N$10044,12,0),0)+IF(setca[[#This Row],[18]]=TRUE,setca[[#This Row],[21]]-setca[[#This Row],[22]],0))/B215,0)</f>
        <v>0</v>
      </c>
      <c r="D215" s="1"/>
      <c r="E215" s="19">
        <f t="shared" ca="1" si="12"/>
        <v>2</v>
      </c>
      <c r="F215" s="173">
        <f t="shared" si="13"/>
        <v>178</v>
      </c>
      <c r="G215" s="99"/>
      <c r="H215" s="99"/>
      <c r="I215" s="114"/>
      <c r="J215" s="100"/>
      <c r="K215" s="100"/>
      <c r="L215" s="100"/>
      <c r="M215" s="100"/>
      <c r="N215" s="100"/>
      <c r="O215" s="100"/>
      <c r="P215" s="101"/>
      <c r="Q215" s="105"/>
      <c r="R215" s="106"/>
      <c r="S215" s="104"/>
      <c r="T215" s="100" t="s">
        <v>71</v>
      </c>
      <c r="U215" s="133" t="b">
        <v>0</v>
      </c>
      <c r="V215" s="135" t="b">
        <v>0</v>
      </c>
      <c r="W215" s="136" t="b">
        <v>0</v>
      </c>
      <c r="X215" s="185" t="str">
        <f ca="1">IF(setca[[#This Row],[18]]=TRUE,IF($N$1=TRUE,TODAY()-1,TODAY()),"")</f>
        <v/>
      </c>
      <c r="Y215" s="195" t="str">
        <f ca="1">IF(setca[[#This Row],[2]]="","",IF(setca[[#This Row],[18]]=TRUE,                                     setca[[#This Row],[2]]+(TODAY())&lt;$C$36))</f>
        <v/>
      </c>
      <c r="Z215" s="195">
        <f>IF(OR(setca[[#This Row],[5]]="WN",setca[[#This Row],[5]]="Es"),(setca[[#This Row],[12]]+setca[[#This Row],[13]])*1.12,setca[[#This Row],[12]]+setca[[#This Row],[13]])</f>
        <v>0</v>
      </c>
      <c r="AA215" s="195">
        <f>IF(OR(setca[[#This Row],[5]]="WN",setca[[#This Row],[5]]="Es"),setca[[#This Row],[4]]*1.12,setca[[#This Row],[4]])*(setca[[#This Row],[14]]+1)</f>
        <v>0</v>
      </c>
      <c r="AB215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215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215" s="195" t="b">
        <f>IF(setca[[#This Row],[16]]=FALSE,TRUE,FALSE)</f>
        <v>1</v>
      </c>
      <c r="AE215" s="195" t="b">
        <f ca="1">IF(setca[[#This Row],[2]]="",FALSE,AND((setca[[#This Row],[2]]+TODAY())&lt;$C$36,setca[[#This Row],[17]]=FALSE,setca[[#This Row],[18]]=TRUE))</f>
        <v>0</v>
      </c>
      <c r="AF215" s="195" t="b">
        <f ca="1">IF(setca[[#This Row],[2]]="",FALSE,AND((setca[[#This Row],[3]]+TODAY())&lt;$C$36,setca[[#This Row],[18]]=TRUE))</f>
        <v>0</v>
      </c>
      <c r="AG215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215" s="1"/>
      <c r="AI215" s="1"/>
    </row>
    <row r="216" spans="1:35" ht="11.1" customHeight="1" x14ac:dyDescent="0.25">
      <c r="A216" s="124" t="str">
        <f t="array" aca="1" ref="A216" ca="1">IFERROR(INDEX($F$39:$F$238,MATCH(0,IF(TRUE=setca[28],0,1)+COUNTIF($F$38:F253,$F$39:$F$238),0)),"")</f>
        <v/>
      </c>
      <c r="B216" s="109">
        <f>IFERROR(VLOOKUP(setca[[#This Row],[23]],Start!$B$87:$N$10044,3,0),0)+IF(setca[[#This Row],[18]]=TRUE,1+setca[[#This Row],[14]],0)</f>
        <v>0</v>
      </c>
      <c r="C216" s="21">
        <f>IFERROR((IFERROR(VLOOKUP(setca[[#This Row],[23]],Start!$B$87:$N$10044,12,0),0)+IF(setca[[#This Row],[18]]=TRUE,setca[[#This Row],[21]]-setca[[#This Row],[22]],0))/B216,0)</f>
        <v>0</v>
      </c>
      <c r="D216" s="1"/>
      <c r="E216" s="19">
        <f t="shared" ca="1" si="12"/>
        <v>2</v>
      </c>
      <c r="F216" s="173">
        <f t="shared" si="13"/>
        <v>179</v>
      </c>
      <c r="G216" s="99"/>
      <c r="H216" s="99"/>
      <c r="I216" s="114"/>
      <c r="J216" s="100"/>
      <c r="K216" s="100"/>
      <c r="L216" s="100"/>
      <c r="M216" s="100"/>
      <c r="N216" s="100"/>
      <c r="O216" s="100"/>
      <c r="P216" s="101"/>
      <c r="Q216" s="105"/>
      <c r="R216" s="106"/>
      <c r="S216" s="104"/>
      <c r="T216" s="100" t="s">
        <v>71</v>
      </c>
      <c r="U216" s="133" t="b">
        <v>0</v>
      </c>
      <c r="V216" s="135" t="b">
        <v>0</v>
      </c>
      <c r="W216" s="136" t="b">
        <v>0</v>
      </c>
      <c r="X216" s="185" t="str">
        <f ca="1">IF(setca[[#This Row],[18]]=TRUE,IF($N$1=TRUE,TODAY()-1,TODAY()),"")</f>
        <v/>
      </c>
      <c r="Y216" s="195" t="str">
        <f ca="1">IF(setca[[#This Row],[2]]="","",IF(setca[[#This Row],[18]]=TRUE,                                     setca[[#This Row],[2]]+(TODAY())&lt;$C$36))</f>
        <v/>
      </c>
      <c r="Z216" s="195">
        <f>IF(OR(setca[[#This Row],[5]]="WN",setca[[#This Row],[5]]="Es"),(setca[[#This Row],[12]]+setca[[#This Row],[13]])*1.12,setca[[#This Row],[12]]+setca[[#This Row],[13]])</f>
        <v>0</v>
      </c>
      <c r="AA216" s="195">
        <f>IF(OR(setca[[#This Row],[5]]="WN",setca[[#This Row],[5]]="Es"),setca[[#This Row],[4]]*1.12,setca[[#This Row],[4]])*(setca[[#This Row],[14]]+1)</f>
        <v>0</v>
      </c>
      <c r="AB216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216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216" s="195" t="b">
        <f>IF(setca[[#This Row],[16]]=FALSE,TRUE,FALSE)</f>
        <v>1</v>
      </c>
      <c r="AE216" s="195" t="b">
        <f ca="1">IF(setca[[#This Row],[2]]="",FALSE,AND((setca[[#This Row],[2]]+TODAY())&lt;$C$36,setca[[#This Row],[17]]=FALSE,setca[[#This Row],[18]]=TRUE))</f>
        <v>0</v>
      </c>
      <c r="AF216" s="195" t="b">
        <f ca="1">IF(setca[[#This Row],[2]]="",FALSE,AND((setca[[#This Row],[3]]+TODAY())&lt;$C$36,setca[[#This Row],[18]]=TRUE))</f>
        <v>0</v>
      </c>
      <c r="AG216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216" s="1"/>
      <c r="AI216" s="1"/>
    </row>
    <row r="217" spans="1:35" ht="11.1" customHeight="1" x14ac:dyDescent="0.25">
      <c r="A217" s="124" t="str">
        <f t="array" aca="1" ref="A217" ca="1">IFERROR(INDEX($F$39:$F$238,MATCH(0,IF(TRUE=setca[28],0,1)+COUNTIF($F$38:F254,$F$39:$F$238),0)),"")</f>
        <v/>
      </c>
      <c r="B217" s="109">
        <f>IFERROR(VLOOKUP(setca[[#This Row],[23]],Start!$B$87:$N$10044,3,0),0)+IF(setca[[#This Row],[18]]=TRUE,1+setca[[#This Row],[14]],0)</f>
        <v>0</v>
      </c>
      <c r="C217" s="21">
        <f>IFERROR((IFERROR(VLOOKUP(setca[[#This Row],[23]],Start!$B$87:$N$10044,12,0),0)+IF(setca[[#This Row],[18]]=TRUE,setca[[#This Row],[21]]-setca[[#This Row],[22]],0))/B217,0)</f>
        <v>0</v>
      </c>
      <c r="D217" s="1"/>
      <c r="E217" s="19">
        <f t="shared" ca="1" si="12"/>
        <v>2</v>
      </c>
      <c r="F217" s="173">
        <f t="shared" si="13"/>
        <v>180</v>
      </c>
      <c r="G217" s="99"/>
      <c r="H217" s="99"/>
      <c r="I217" s="114"/>
      <c r="J217" s="100"/>
      <c r="K217" s="100"/>
      <c r="L217" s="100"/>
      <c r="M217" s="100"/>
      <c r="N217" s="100"/>
      <c r="O217" s="100"/>
      <c r="P217" s="101"/>
      <c r="Q217" s="105"/>
      <c r="R217" s="106"/>
      <c r="S217" s="104"/>
      <c r="T217" s="100" t="s">
        <v>71</v>
      </c>
      <c r="U217" s="133" t="b">
        <v>0</v>
      </c>
      <c r="V217" s="135" t="b">
        <v>0</v>
      </c>
      <c r="W217" s="136" t="b">
        <v>0</v>
      </c>
      <c r="X217" s="185" t="str">
        <f ca="1">IF(setca[[#This Row],[18]]=TRUE,IF($N$1=TRUE,TODAY()-1,TODAY()),"")</f>
        <v/>
      </c>
      <c r="Y217" s="195" t="str">
        <f ca="1">IF(setca[[#This Row],[2]]="","",IF(setca[[#This Row],[18]]=TRUE,                                     setca[[#This Row],[2]]+(TODAY())&lt;$C$36))</f>
        <v/>
      </c>
      <c r="Z217" s="195">
        <f>IF(OR(setca[[#This Row],[5]]="WN",setca[[#This Row],[5]]="Es"),(setca[[#This Row],[12]]+setca[[#This Row],[13]])*1.12,setca[[#This Row],[12]]+setca[[#This Row],[13]])</f>
        <v>0</v>
      </c>
      <c r="AA217" s="195">
        <f>IF(OR(setca[[#This Row],[5]]="WN",setca[[#This Row],[5]]="Es"),setca[[#This Row],[4]]*1.12,setca[[#This Row],[4]])*(setca[[#This Row],[14]]+1)</f>
        <v>0</v>
      </c>
      <c r="AB217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217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217" s="195" t="b">
        <f>IF(setca[[#This Row],[16]]=FALSE,TRUE,FALSE)</f>
        <v>1</v>
      </c>
      <c r="AE217" s="195" t="b">
        <f ca="1">IF(setca[[#This Row],[2]]="",FALSE,AND((setca[[#This Row],[2]]+TODAY())&lt;$C$36,setca[[#This Row],[17]]=FALSE,setca[[#This Row],[18]]=TRUE))</f>
        <v>0</v>
      </c>
      <c r="AF217" s="195" t="b">
        <f ca="1">IF(setca[[#This Row],[2]]="",FALSE,AND((setca[[#This Row],[3]]+TODAY())&lt;$C$36,setca[[#This Row],[18]]=TRUE))</f>
        <v>0</v>
      </c>
      <c r="AG217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217" s="1"/>
      <c r="AI217" s="1"/>
    </row>
    <row r="218" spans="1:35" ht="11.1" customHeight="1" x14ac:dyDescent="0.25">
      <c r="A218" s="124" t="str">
        <f t="array" aca="1" ref="A218" ca="1">IFERROR(INDEX($F$39:$F$238,MATCH(0,IF(TRUE=setca[28],0,1)+COUNTIF($F$38:F255,$F$39:$F$238),0)),"")</f>
        <v/>
      </c>
      <c r="B218" s="109">
        <f>IFERROR(VLOOKUP(setca[[#This Row],[23]],Start!$B$87:$N$10044,3,0),0)+IF(setca[[#This Row],[18]]=TRUE,1+setca[[#This Row],[14]],0)</f>
        <v>0</v>
      </c>
      <c r="C218" s="21">
        <f>IFERROR((IFERROR(VLOOKUP(setca[[#This Row],[23]],Start!$B$87:$N$10044,12,0),0)+IF(setca[[#This Row],[18]]=TRUE,setca[[#This Row],[21]]-setca[[#This Row],[22]],0))/B218,0)</f>
        <v>0</v>
      </c>
      <c r="D218" s="1"/>
      <c r="E218" s="19">
        <f t="shared" ca="1" si="12"/>
        <v>2</v>
      </c>
      <c r="F218" s="173">
        <f t="shared" si="13"/>
        <v>181</v>
      </c>
      <c r="G218" s="99"/>
      <c r="H218" s="99"/>
      <c r="I218" s="114"/>
      <c r="J218" s="100"/>
      <c r="K218" s="100"/>
      <c r="L218" s="100"/>
      <c r="M218" s="100"/>
      <c r="N218" s="100"/>
      <c r="O218" s="100"/>
      <c r="P218" s="101"/>
      <c r="Q218" s="105"/>
      <c r="R218" s="106"/>
      <c r="S218" s="104"/>
      <c r="T218" s="100" t="s">
        <v>71</v>
      </c>
      <c r="U218" s="133" t="b">
        <v>0</v>
      </c>
      <c r="V218" s="135" t="b">
        <v>0</v>
      </c>
      <c r="W218" s="136" t="b">
        <v>0</v>
      </c>
      <c r="X218" s="185" t="str">
        <f ca="1">IF(setca[[#This Row],[18]]=TRUE,IF($N$1=TRUE,TODAY()-1,TODAY()),"")</f>
        <v/>
      </c>
      <c r="Y218" s="195" t="str">
        <f ca="1">IF(setca[[#This Row],[2]]="","",IF(setca[[#This Row],[18]]=TRUE,                                     setca[[#This Row],[2]]+(TODAY())&lt;$C$36))</f>
        <v/>
      </c>
      <c r="Z218" s="195">
        <f>IF(OR(setca[[#This Row],[5]]="WN",setca[[#This Row],[5]]="Es"),(setca[[#This Row],[12]]+setca[[#This Row],[13]])*1.12,setca[[#This Row],[12]]+setca[[#This Row],[13]])</f>
        <v>0</v>
      </c>
      <c r="AA218" s="195">
        <f>IF(OR(setca[[#This Row],[5]]="WN",setca[[#This Row],[5]]="Es"),setca[[#This Row],[4]]*1.12,setca[[#This Row],[4]])*(setca[[#This Row],[14]]+1)</f>
        <v>0</v>
      </c>
      <c r="AB218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218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218" s="195" t="b">
        <f>IF(setca[[#This Row],[16]]=FALSE,TRUE,FALSE)</f>
        <v>1</v>
      </c>
      <c r="AE218" s="195" t="b">
        <f ca="1">IF(setca[[#This Row],[2]]="",FALSE,AND((setca[[#This Row],[2]]+TODAY())&lt;$C$36,setca[[#This Row],[17]]=FALSE,setca[[#This Row],[18]]=TRUE))</f>
        <v>0</v>
      </c>
      <c r="AF218" s="195" t="b">
        <f ca="1">IF(setca[[#This Row],[2]]="",FALSE,AND((setca[[#This Row],[3]]+TODAY())&lt;$C$36,setca[[#This Row],[18]]=TRUE))</f>
        <v>0</v>
      </c>
      <c r="AG218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218" s="1"/>
      <c r="AI218" s="1"/>
    </row>
    <row r="219" spans="1:35" ht="11.1" customHeight="1" x14ac:dyDescent="0.25">
      <c r="A219" s="124" t="str">
        <f t="array" aca="1" ref="A219" ca="1">IFERROR(INDEX($F$39:$F$238,MATCH(0,IF(TRUE=setca[28],0,1)+COUNTIF($F$38:F256,$F$39:$F$238),0)),"")</f>
        <v/>
      </c>
      <c r="B219" s="109">
        <f>IFERROR(VLOOKUP(setca[[#This Row],[23]],Start!$B$87:$N$10044,3,0),0)+IF(setca[[#This Row],[18]]=TRUE,1+setca[[#This Row],[14]],0)</f>
        <v>0</v>
      </c>
      <c r="C219" s="21">
        <f>IFERROR((IFERROR(VLOOKUP(setca[[#This Row],[23]],Start!$B$87:$N$10044,12,0),0)+IF(setca[[#This Row],[18]]=TRUE,setca[[#This Row],[21]]-setca[[#This Row],[22]],0))/B219,0)</f>
        <v>0</v>
      </c>
      <c r="D219" s="1"/>
      <c r="E219" s="19">
        <f t="shared" ca="1" si="12"/>
        <v>2</v>
      </c>
      <c r="F219" s="173">
        <f t="shared" si="13"/>
        <v>182</v>
      </c>
      <c r="G219" s="99"/>
      <c r="H219" s="99"/>
      <c r="I219" s="114"/>
      <c r="J219" s="100"/>
      <c r="K219" s="100"/>
      <c r="L219" s="100"/>
      <c r="M219" s="100"/>
      <c r="N219" s="100"/>
      <c r="O219" s="100"/>
      <c r="P219" s="101"/>
      <c r="Q219" s="105"/>
      <c r="R219" s="106"/>
      <c r="S219" s="104"/>
      <c r="T219" s="100" t="s">
        <v>71</v>
      </c>
      <c r="U219" s="133" t="b">
        <v>0</v>
      </c>
      <c r="V219" s="135" t="b">
        <v>0</v>
      </c>
      <c r="W219" s="136" t="b">
        <v>0</v>
      </c>
      <c r="X219" s="185" t="str">
        <f ca="1">IF(setca[[#This Row],[18]]=TRUE,IF($N$1=TRUE,TODAY()-1,TODAY()),"")</f>
        <v/>
      </c>
      <c r="Y219" s="195" t="str">
        <f ca="1">IF(setca[[#This Row],[2]]="","",IF(setca[[#This Row],[18]]=TRUE,                                     setca[[#This Row],[2]]+(TODAY())&lt;$C$36))</f>
        <v/>
      </c>
      <c r="Z219" s="195">
        <f>IF(OR(setca[[#This Row],[5]]="WN",setca[[#This Row],[5]]="Es"),(setca[[#This Row],[12]]+setca[[#This Row],[13]])*1.12,setca[[#This Row],[12]]+setca[[#This Row],[13]])</f>
        <v>0</v>
      </c>
      <c r="AA219" s="195">
        <f>IF(OR(setca[[#This Row],[5]]="WN",setca[[#This Row],[5]]="Es"),setca[[#This Row],[4]]*1.12,setca[[#This Row],[4]])*(setca[[#This Row],[14]]+1)</f>
        <v>0</v>
      </c>
      <c r="AB219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219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219" s="195" t="b">
        <f>IF(setca[[#This Row],[16]]=FALSE,TRUE,FALSE)</f>
        <v>1</v>
      </c>
      <c r="AE219" s="195" t="b">
        <f ca="1">IF(setca[[#This Row],[2]]="",FALSE,AND((setca[[#This Row],[2]]+TODAY())&lt;$C$36,setca[[#This Row],[17]]=FALSE,setca[[#This Row],[18]]=TRUE))</f>
        <v>0</v>
      </c>
      <c r="AF219" s="195" t="b">
        <f ca="1">IF(setca[[#This Row],[2]]="",FALSE,AND((setca[[#This Row],[3]]+TODAY())&lt;$C$36,setca[[#This Row],[18]]=TRUE))</f>
        <v>0</v>
      </c>
      <c r="AG219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219" s="1"/>
      <c r="AI219" s="1"/>
    </row>
    <row r="220" spans="1:35" ht="11.1" customHeight="1" x14ac:dyDescent="0.25">
      <c r="A220" s="124" t="str">
        <f t="array" aca="1" ref="A220" ca="1">IFERROR(INDEX($F$39:$F$238,MATCH(0,IF(TRUE=setca[28],0,1)+COUNTIF($F$38:F257,$F$39:$F$238),0)),"")</f>
        <v/>
      </c>
      <c r="B220" s="109">
        <f>IFERROR(VLOOKUP(setca[[#This Row],[23]],Start!$B$87:$N$10044,3,0),0)+IF(setca[[#This Row],[18]]=TRUE,1+setca[[#This Row],[14]],0)</f>
        <v>0</v>
      </c>
      <c r="C220" s="21">
        <f>IFERROR((IFERROR(VLOOKUP(setca[[#This Row],[23]],Start!$B$87:$N$10044,12,0),0)+IF(setca[[#This Row],[18]]=TRUE,setca[[#This Row],[21]]-setca[[#This Row],[22]],0))/B220,0)</f>
        <v>0</v>
      </c>
      <c r="D220" s="1"/>
      <c r="E220" s="19">
        <f t="shared" ca="1" si="12"/>
        <v>2</v>
      </c>
      <c r="F220" s="173">
        <f t="shared" si="13"/>
        <v>183</v>
      </c>
      <c r="G220" s="99"/>
      <c r="H220" s="99"/>
      <c r="I220" s="114"/>
      <c r="J220" s="100"/>
      <c r="K220" s="100"/>
      <c r="L220" s="100"/>
      <c r="M220" s="100"/>
      <c r="N220" s="100"/>
      <c r="O220" s="100"/>
      <c r="P220" s="101"/>
      <c r="Q220" s="105"/>
      <c r="R220" s="106"/>
      <c r="S220" s="104"/>
      <c r="T220" s="100" t="s">
        <v>71</v>
      </c>
      <c r="U220" s="133" t="b">
        <v>0</v>
      </c>
      <c r="V220" s="135" t="b">
        <v>0</v>
      </c>
      <c r="W220" s="136" t="b">
        <v>0</v>
      </c>
      <c r="X220" s="185" t="str">
        <f ca="1">IF(setca[[#This Row],[18]]=TRUE,IF($N$1=TRUE,TODAY()-1,TODAY()),"")</f>
        <v/>
      </c>
      <c r="Y220" s="195" t="str">
        <f ca="1">IF(setca[[#This Row],[2]]="","",IF(setca[[#This Row],[18]]=TRUE,                                     setca[[#This Row],[2]]+(TODAY())&lt;$C$36))</f>
        <v/>
      </c>
      <c r="Z220" s="195">
        <f>IF(OR(setca[[#This Row],[5]]="WN",setca[[#This Row],[5]]="Es"),(setca[[#This Row],[12]]+setca[[#This Row],[13]])*1.12,setca[[#This Row],[12]]+setca[[#This Row],[13]])</f>
        <v>0</v>
      </c>
      <c r="AA220" s="195">
        <f>IF(OR(setca[[#This Row],[5]]="WN",setca[[#This Row],[5]]="Es"),setca[[#This Row],[4]]*1.12,setca[[#This Row],[4]])*(setca[[#This Row],[14]]+1)</f>
        <v>0</v>
      </c>
      <c r="AB220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220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220" s="195" t="b">
        <f>IF(setca[[#This Row],[16]]=FALSE,TRUE,FALSE)</f>
        <v>1</v>
      </c>
      <c r="AE220" s="195" t="b">
        <f ca="1">IF(setca[[#This Row],[2]]="",FALSE,AND((setca[[#This Row],[2]]+TODAY())&lt;$C$36,setca[[#This Row],[17]]=FALSE,setca[[#This Row],[18]]=TRUE))</f>
        <v>0</v>
      </c>
      <c r="AF220" s="195" t="b">
        <f ca="1">IF(setca[[#This Row],[2]]="",FALSE,AND((setca[[#This Row],[3]]+TODAY())&lt;$C$36,setca[[#This Row],[18]]=TRUE))</f>
        <v>0</v>
      </c>
      <c r="AG220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220" s="1"/>
      <c r="AI220" s="1"/>
    </row>
    <row r="221" spans="1:35" ht="11.1" customHeight="1" x14ac:dyDescent="0.25">
      <c r="A221" s="124" t="str">
        <f t="array" aca="1" ref="A221" ca="1">IFERROR(INDEX($F$39:$F$238,MATCH(0,IF(TRUE=setca[28],0,1)+COUNTIF($F$38:F258,$F$39:$F$238),0)),"")</f>
        <v/>
      </c>
      <c r="B221" s="109">
        <f>IFERROR(VLOOKUP(setca[[#This Row],[23]],Start!$B$87:$N$10044,3,0),0)+IF(setca[[#This Row],[18]]=TRUE,1+setca[[#This Row],[14]],0)</f>
        <v>0</v>
      </c>
      <c r="C221" s="21">
        <f>IFERROR((IFERROR(VLOOKUP(setca[[#This Row],[23]],Start!$B$87:$N$10044,12,0),0)+IF(setca[[#This Row],[18]]=TRUE,setca[[#This Row],[21]]-setca[[#This Row],[22]],0))/B221,0)</f>
        <v>0</v>
      </c>
      <c r="D221" s="1"/>
      <c r="E221" s="19">
        <f t="shared" ca="1" si="12"/>
        <v>2</v>
      </c>
      <c r="F221" s="173">
        <f t="shared" si="13"/>
        <v>184</v>
      </c>
      <c r="G221" s="99"/>
      <c r="H221" s="99"/>
      <c r="I221" s="114"/>
      <c r="J221" s="100"/>
      <c r="K221" s="100"/>
      <c r="L221" s="100"/>
      <c r="M221" s="100"/>
      <c r="N221" s="100"/>
      <c r="O221" s="100"/>
      <c r="P221" s="101"/>
      <c r="Q221" s="105"/>
      <c r="R221" s="106"/>
      <c r="S221" s="104"/>
      <c r="T221" s="100" t="s">
        <v>71</v>
      </c>
      <c r="U221" s="133" t="b">
        <v>0</v>
      </c>
      <c r="V221" s="135" t="b">
        <v>0</v>
      </c>
      <c r="W221" s="136" t="b">
        <v>0</v>
      </c>
      <c r="X221" s="185" t="str">
        <f ca="1">IF(setca[[#This Row],[18]]=TRUE,IF($N$1=TRUE,TODAY()-1,TODAY()),"")</f>
        <v/>
      </c>
      <c r="Y221" s="195" t="str">
        <f ca="1">IF(setca[[#This Row],[2]]="","",IF(setca[[#This Row],[18]]=TRUE,                                     setca[[#This Row],[2]]+(TODAY())&lt;$C$36))</f>
        <v/>
      </c>
      <c r="Z221" s="195">
        <f>IF(OR(setca[[#This Row],[5]]="WN",setca[[#This Row],[5]]="Es"),(setca[[#This Row],[12]]+setca[[#This Row],[13]])*1.12,setca[[#This Row],[12]]+setca[[#This Row],[13]])</f>
        <v>0</v>
      </c>
      <c r="AA221" s="195">
        <f>IF(OR(setca[[#This Row],[5]]="WN",setca[[#This Row],[5]]="Es"),setca[[#This Row],[4]]*1.12,setca[[#This Row],[4]])*(setca[[#This Row],[14]]+1)</f>
        <v>0</v>
      </c>
      <c r="AB221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221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221" s="195" t="b">
        <f>IF(setca[[#This Row],[16]]=FALSE,TRUE,FALSE)</f>
        <v>1</v>
      </c>
      <c r="AE221" s="195" t="b">
        <f ca="1">IF(setca[[#This Row],[2]]="",FALSE,AND((setca[[#This Row],[2]]+TODAY())&lt;$C$36,setca[[#This Row],[17]]=FALSE,setca[[#This Row],[18]]=TRUE))</f>
        <v>0</v>
      </c>
      <c r="AF221" s="195" t="b">
        <f ca="1">IF(setca[[#This Row],[2]]="",FALSE,AND((setca[[#This Row],[3]]+TODAY())&lt;$C$36,setca[[#This Row],[18]]=TRUE))</f>
        <v>0</v>
      </c>
      <c r="AG221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221" s="1"/>
      <c r="AI221" s="1"/>
    </row>
    <row r="222" spans="1:35" ht="11.1" customHeight="1" x14ac:dyDescent="0.25">
      <c r="A222" s="124" t="str">
        <f t="array" aca="1" ref="A222" ca="1">IFERROR(INDEX($F$39:$F$238,MATCH(0,IF(TRUE=setca[28],0,1)+COUNTIF($F$38:F259,$F$39:$F$238),0)),"")</f>
        <v/>
      </c>
      <c r="B222" s="109">
        <f>IFERROR(VLOOKUP(setca[[#This Row],[23]],Start!$B$87:$N$10044,3,0),0)+IF(setca[[#This Row],[18]]=TRUE,1+setca[[#This Row],[14]],0)</f>
        <v>0</v>
      </c>
      <c r="C222" s="21">
        <f>IFERROR((IFERROR(VLOOKUP(setca[[#This Row],[23]],Start!$B$87:$N$10044,12,0),0)+IF(setca[[#This Row],[18]]=TRUE,setca[[#This Row],[21]]-setca[[#This Row],[22]],0))/B222,0)</f>
        <v>0</v>
      </c>
      <c r="D222" s="1"/>
      <c r="E222" s="19">
        <f t="shared" ca="1" si="12"/>
        <v>2</v>
      </c>
      <c r="F222" s="173">
        <f t="shared" si="13"/>
        <v>185</v>
      </c>
      <c r="G222" s="99"/>
      <c r="H222" s="99"/>
      <c r="I222" s="114"/>
      <c r="J222" s="100"/>
      <c r="K222" s="100"/>
      <c r="L222" s="100"/>
      <c r="M222" s="100"/>
      <c r="N222" s="100"/>
      <c r="O222" s="100"/>
      <c r="P222" s="101"/>
      <c r="Q222" s="105"/>
      <c r="R222" s="106"/>
      <c r="S222" s="104"/>
      <c r="T222" s="100" t="s">
        <v>71</v>
      </c>
      <c r="U222" s="133" t="b">
        <v>0</v>
      </c>
      <c r="V222" s="135" t="b">
        <v>0</v>
      </c>
      <c r="W222" s="136" t="b">
        <v>0</v>
      </c>
      <c r="X222" s="185" t="str">
        <f ca="1">IF(setca[[#This Row],[18]]=TRUE,IF($N$1=TRUE,TODAY()-1,TODAY()),"")</f>
        <v/>
      </c>
      <c r="Y222" s="195" t="str">
        <f ca="1">IF(setca[[#This Row],[2]]="","",IF(setca[[#This Row],[18]]=TRUE,                                     setca[[#This Row],[2]]+(TODAY())&lt;$C$36))</f>
        <v/>
      </c>
      <c r="Z222" s="195">
        <f>IF(OR(setca[[#This Row],[5]]="WN",setca[[#This Row],[5]]="Es"),(setca[[#This Row],[12]]+setca[[#This Row],[13]])*1.12,setca[[#This Row],[12]]+setca[[#This Row],[13]])</f>
        <v>0</v>
      </c>
      <c r="AA222" s="195">
        <f>IF(OR(setca[[#This Row],[5]]="WN",setca[[#This Row],[5]]="Es"),setca[[#This Row],[4]]*1.12,setca[[#This Row],[4]])*(setca[[#This Row],[14]]+1)</f>
        <v>0</v>
      </c>
      <c r="AB222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222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222" s="195" t="b">
        <f>IF(setca[[#This Row],[16]]=FALSE,TRUE,FALSE)</f>
        <v>1</v>
      </c>
      <c r="AE222" s="195" t="b">
        <f ca="1">IF(setca[[#This Row],[2]]="",FALSE,AND((setca[[#This Row],[2]]+TODAY())&lt;$C$36,setca[[#This Row],[17]]=FALSE,setca[[#This Row],[18]]=TRUE))</f>
        <v>0</v>
      </c>
      <c r="AF222" s="195" t="b">
        <f ca="1">IF(setca[[#This Row],[2]]="",FALSE,AND((setca[[#This Row],[3]]+TODAY())&lt;$C$36,setca[[#This Row],[18]]=TRUE))</f>
        <v>0</v>
      </c>
      <c r="AG222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222" s="1"/>
      <c r="AI222" s="1"/>
    </row>
    <row r="223" spans="1:35" ht="11.1" customHeight="1" x14ac:dyDescent="0.25">
      <c r="A223" s="124" t="str">
        <f t="array" aca="1" ref="A223" ca="1">IFERROR(INDEX($F$39:$F$238,MATCH(0,IF(TRUE=setca[28],0,1)+COUNTIF($F$38:F260,$F$39:$F$238),0)),"")</f>
        <v/>
      </c>
      <c r="B223" s="109">
        <f>IFERROR(VLOOKUP(setca[[#This Row],[23]],Start!$B$87:$N$10044,3,0),0)+IF(setca[[#This Row],[18]]=TRUE,1+setca[[#This Row],[14]],0)</f>
        <v>0</v>
      </c>
      <c r="C223" s="21">
        <f>IFERROR((IFERROR(VLOOKUP(setca[[#This Row],[23]],Start!$B$87:$N$10044,12,0),0)+IF(setca[[#This Row],[18]]=TRUE,setca[[#This Row],[21]]-setca[[#This Row],[22]],0))/B223,0)</f>
        <v>0</v>
      </c>
      <c r="D223" s="1"/>
      <c r="E223" s="19">
        <f t="shared" ca="1" si="12"/>
        <v>2</v>
      </c>
      <c r="F223" s="173">
        <f t="shared" si="13"/>
        <v>186</v>
      </c>
      <c r="G223" s="99"/>
      <c r="H223" s="99"/>
      <c r="I223" s="114"/>
      <c r="J223" s="100"/>
      <c r="K223" s="100"/>
      <c r="L223" s="100"/>
      <c r="M223" s="100"/>
      <c r="N223" s="100"/>
      <c r="O223" s="100"/>
      <c r="P223" s="101"/>
      <c r="Q223" s="105"/>
      <c r="R223" s="106"/>
      <c r="S223" s="104"/>
      <c r="T223" s="100" t="s">
        <v>71</v>
      </c>
      <c r="U223" s="133" t="b">
        <v>0</v>
      </c>
      <c r="V223" s="135" t="b">
        <v>0</v>
      </c>
      <c r="W223" s="136" t="b">
        <v>0</v>
      </c>
      <c r="X223" s="185" t="str">
        <f ca="1">IF(setca[[#This Row],[18]]=TRUE,IF($N$1=TRUE,TODAY()-1,TODAY()),"")</f>
        <v/>
      </c>
      <c r="Y223" s="195" t="str">
        <f ca="1">IF(setca[[#This Row],[2]]="","",IF(setca[[#This Row],[18]]=TRUE,                                     setca[[#This Row],[2]]+(TODAY())&lt;$C$36))</f>
        <v/>
      </c>
      <c r="Z223" s="195">
        <f>IF(OR(setca[[#This Row],[5]]="WN",setca[[#This Row],[5]]="Es"),(setca[[#This Row],[12]]+setca[[#This Row],[13]])*1.12,setca[[#This Row],[12]]+setca[[#This Row],[13]])</f>
        <v>0</v>
      </c>
      <c r="AA223" s="195">
        <f>IF(OR(setca[[#This Row],[5]]="WN",setca[[#This Row],[5]]="Es"),setca[[#This Row],[4]]*1.12,setca[[#This Row],[4]])*(setca[[#This Row],[14]]+1)</f>
        <v>0</v>
      </c>
      <c r="AB223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223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223" s="195" t="b">
        <f>IF(setca[[#This Row],[16]]=FALSE,TRUE,FALSE)</f>
        <v>1</v>
      </c>
      <c r="AE223" s="195" t="b">
        <f ca="1">IF(setca[[#This Row],[2]]="",FALSE,AND((setca[[#This Row],[2]]+TODAY())&lt;$C$36,setca[[#This Row],[17]]=FALSE,setca[[#This Row],[18]]=TRUE))</f>
        <v>0</v>
      </c>
      <c r="AF223" s="195" t="b">
        <f ca="1">IF(setca[[#This Row],[2]]="",FALSE,AND((setca[[#This Row],[3]]+TODAY())&lt;$C$36,setca[[#This Row],[18]]=TRUE))</f>
        <v>0</v>
      </c>
      <c r="AG223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223" s="1"/>
      <c r="AI223" s="1"/>
    </row>
    <row r="224" spans="1:35" ht="11.1" customHeight="1" x14ac:dyDescent="0.25">
      <c r="A224" s="124" t="str">
        <f t="array" aca="1" ref="A224" ca="1">IFERROR(INDEX($F$39:$F$238,MATCH(0,IF(TRUE=setca[28],0,1)+COUNTIF($F$38:F261,$F$39:$F$238),0)),"")</f>
        <v/>
      </c>
      <c r="B224" s="109">
        <f>IFERROR(VLOOKUP(setca[[#This Row],[23]],Start!$B$87:$N$10044,3,0),0)+IF(setca[[#This Row],[18]]=TRUE,1+setca[[#This Row],[14]],0)</f>
        <v>0</v>
      </c>
      <c r="C224" s="21">
        <f>IFERROR((IFERROR(VLOOKUP(setca[[#This Row],[23]],Start!$B$87:$N$10044,12,0),0)+IF(setca[[#This Row],[18]]=TRUE,setca[[#This Row],[21]]-setca[[#This Row],[22]],0))/B224,0)</f>
        <v>0</v>
      </c>
      <c r="D224" s="1"/>
      <c r="E224" s="19">
        <f t="shared" ca="1" si="12"/>
        <v>2</v>
      </c>
      <c r="F224" s="173">
        <f t="shared" si="13"/>
        <v>187</v>
      </c>
      <c r="G224" s="99"/>
      <c r="H224" s="99"/>
      <c r="I224" s="114"/>
      <c r="J224" s="100"/>
      <c r="K224" s="100"/>
      <c r="L224" s="100"/>
      <c r="M224" s="100"/>
      <c r="N224" s="100"/>
      <c r="O224" s="100"/>
      <c r="P224" s="101"/>
      <c r="Q224" s="105"/>
      <c r="R224" s="106"/>
      <c r="S224" s="104"/>
      <c r="T224" s="100" t="s">
        <v>71</v>
      </c>
      <c r="U224" s="133" t="b">
        <v>0</v>
      </c>
      <c r="V224" s="135" t="b">
        <v>0</v>
      </c>
      <c r="W224" s="136" t="b">
        <v>0</v>
      </c>
      <c r="X224" s="185" t="str">
        <f ca="1">IF(setca[[#This Row],[18]]=TRUE,IF($N$1=TRUE,TODAY()-1,TODAY()),"")</f>
        <v/>
      </c>
      <c r="Y224" s="195" t="str">
        <f ca="1">IF(setca[[#This Row],[2]]="","",IF(setca[[#This Row],[18]]=TRUE,                                     setca[[#This Row],[2]]+(TODAY())&lt;$C$36))</f>
        <v/>
      </c>
      <c r="Z224" s="195">
        <f>IF(OR(setca[[#This Row],[5]]="WN",setca[[#This Row],[5]]="Es"),(setca[[#This Row],[12]]+setca[[#This Row],[13]])*1.12,setca[[#This Row],[12]]+setca[[#This Row],[13]])</f>
        <v>0</v>
      </c>
      <c r="AA224" s="195">
        <f>IF(OR(setca[[#This Row],[5]]="WN",setca[[#This Row],[5]]="Es"),setca[[#This Row],[4]]*1.12,setca[[#This Row],[4]])*(setca[[#This Row],[14]]+1)</f>
        <v>0</v>
      </c>
      <c r="AB224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224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224" s="195" t="b">
        <f>IF(setca[[#This Row],[16]]=FALSE,TRUE,FALSE)</f>
        <v>1</v>
      </c>
      <c r="AE224" s="195" t="b">
        <f ca="1">IF(setca[[#This Row],[2]]="",FALSE,AND((setca[[#This Row],[2]]+TODAY())&lt;$C$36,setca[[#This Row],[17]]=FALSE,setca[[#This Row],[18]]=TRUE))</f>
        <v>0</v>
      </c>
      <c r="AF224" s="195" t="b">
        <f ca="1">IF(setca[[#This Row],[2]]="",FALSE,AND((setca[[#This Row],[3]]+TODAY())&lt;$C$36,setca[[#This Row],[18]]=TRUE))</f>
        <v>0</v>
      </c>
      <c r="AG224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224" s="1"/>
      <c r="AI224" s="1"/>
    </row>
    <row r="225" spans="1:35" ht="11.1" customHeight="1" x14ac:dyDescent="0.25">
      <c r="A225" s="124" t="str">
        <f t="array" aca="1" ref="A225" ca="1">IFERROR(INDEX($F$39:$F$238,MATCH(0,IF(TRUE=setca[28],0,1)+COUNTIF($F$38:F262,$F$39:$F$238),0)),"")</f>
        <v/>
      </c>
      <c r="B225" s="109">
        <f>IFERROR(VLOOKUP(setca[[#This Row],[23]],Start!$B$87:$N$10044,3,0),0)+IF(setca[[#This Row],[18]]=TRUE,1+setca[[#This Row],[14]],0)</f>
        <v>0</v>
      </c>
      <c r="C225" s="21">
        <f>IFERROR((IFERROR(VLOOKUP(setca[[#This Row],[23]],Start!$B$87:$N$10044,12,0),0)+IF(setca[[#This Row],[18]]=TRUE,setca[[#This Row],[21]]-setca[[#This Row],[22]],0))/B225,0)</f>
        <v>0</v>
      </c>
      <c r="D225" s="1"/>
      <c r="E225" s="19">
        <f t="shared" ca="1" si="12"/>
        <v>2</v>
      </c>
      <c r="F225" s="173">
        <f t="shared" si="13"/>
        <v>188</v>
      </c>
      <c r="G225" s="99"/>
      <c r="H225" s="99"/>
      <c r="I225" s="114"/>
      <c r="J225" s="100"/>
      <c r="K225" s="100"/>
      <c r="L225" s="100"/>
      <c r="M225" s="100"/>
      <c r="N225" s="100"/>
      <c r="O225" s="100"/>
      <c r="P225" s="101"/>
      <c r="Q225" s="105"/>
      <c r="R225" s="106"/>
      <c r="S225" s="104"/>
      <c r="T225" s="100" t="s">
        <v>71</v>
      </c>
      <c r="U225" s="133" t="b">
        <v>0</v>
      </c>
      <c r="V225" s="135" t="b">
        <v>0</v>
      </c>
      <c r="W225" s="136" t="b">
        <v>0</v>
      </c>
      <c r="X225" s="185" t="str">
        <f ca="1">IF(setca[[#This Row],[18]]=TRUE,IF($N$1=TRUE,TODAY()-1,TODAY()),"")</f>
        <v/>
      </c>
      <c r="Y225" s="195" t="str">
        <f ca="1">IF(setca[[#This Row],[2]]="","",IF(setca[[#This Row],[18]]=TRUE,                                     setca[[#This Row],[2]]+(TODAY())&lt;$C$36))</f>
        <v/>
      </c>
      <c r="Z225" s="195">
        <f>IF(OR(setca[[#This Row],[5]]="WN",setca[[#This Row],[5]]="Es"),(setca[[#This Row],[12]]+setca[[#This Row],[13]])*1.12,setca[[#This Row],[12]]+setca[[#This Row],[13]])</f>
        <v>0</v>
      </c>
      <c r="AA225" s="195">
        <f>IF(OR(setca[[#This Row],[5]]="WN",setca[[#This Row],[5]]="Es"),setca[[#This Row],[4]]*1.12,setca[[#This Row],[4]])*(setca[[#This Row],[14]]+1)</f>
        <v>0</v>
      </c>
      <c r="AB225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225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225" s="195" t="b">
        <f>IF(setca[[#This Row],[16]]=FALSE,TRUE,FALSE)</f>
        <v>1</v>
      </c>
      <c r="AE225" s="195" t="b">
        <f ca="1">IF(setca[[#This Row],[2]]="",FALSE,AND((setca[[#This Row],[2]]+TODAY())&lt;$C$36,setca[[#This Row],[17]]=FALSE,setca[[#This Row],[18]]=TRUE))</f>
        <v>0</v>
      </c>
      <c r="AF225" s="195" t="b">
        <f ca="1">IF(setca[[#This Row],[2]]="",FALSE,AND((setca[[#This Row],[3]]+TODAY())&lt;$C$36,setca[[#This Row],[18]]=TRUE))</f>
        <v>0</v>
      </c>
      <c r="AG225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225" s="1"/>
      <c r="AI225" s="1"/>
    </row>
    <row r="226" spans="1:35" ht="11.1" customHeight="1" x14ac:dyDescent="0.25">
      <c r="A226" s="124" t="str">
        <f t="array" aca="1" ref="A226" ca="1">IFERROR(INDEX($F$39:$F$238,MATCH(0,IF(TRUE=setca[28],0,1)+COUNTIF($F$38:F263,$F$39:$F$238),0)),"")</f>
        <v/>
      </c>
      <c r="B226" s="109">
        <f>IFERROR(VLOOKUP(setca[[#This Row],[23]],Start!$B$87:$N$10044,3,0),0)+IF(setca[[#This Row],[18]]=TRUE,1+setca[[#This Row],[14]],0)</f>
        <v>0</v>
      </c>
      <c r="C226" s="21">
        <f>IFERROR((IFERROR(VLOOKUP(setca[[#This Row],[23]],Start!$B$87:$N$10044,12,0),0)+IF(setca[[#This Row],[18]]=TRUE,setca[[#This Row],[21]]-setca[[#This Row],[22]],0))/B226,0)</f>
        <v>0</v>
      </c>
      <c r="D226" s="1"/>
      <c r="E226" s="19">
        <f t="shared" ca="1" si="12"/>
        <v>2</v>
      </c>
      <c r="F226" s="173">
        <f t="shared" si="13"/>
        <v>189</v>
      </c>
      <c r="G226" s="99"/>
      <c r="H226" s="99"/>
      <c r="I226" s="114"/>
      <c r="J226" s="100"/>
      <c r="K226" s="100"/>
      <c r="L226" s="100"/>
      <c r="M226" s="100"/>
      <c r="N226" s="100"/>
      <c r="O226" s="100"/>
      <c r="P226" s="101"/>
      <c r="Q226" s="105"/>
      <c r="R226" s="106"/>
      <c r="S226" s="104"/>
      <c r="T226" s="100" t="s">
        <v>71</v>
      </c>
      <c r="U226" s="133" t="b">
        <v>0</v>
      </c>
      <c r="V226" s="135" t="b">
        <v>0</v>
      </c>
      <c r="W226" s="136" t="b">
        <v>0</v>
      </c>
      <c r="X226" s="185" t="str">
        <f ca="1">IF(setca[[#This Row],[18]]=TRUE,IF($N$1=TRUE,TODAY()-1,TODAY()),"")</f>
        <v/>
      </c>
      <c r="Y226" s="195" t="str">
        <f ca="1">IF(setca[[#This Row],[2]]="","",IF(setca[[#This Row],[18]]=TRUE,                                     setca[[#This Row],[2]]+(TODAY())&lt;$C$36))</f>
        <v/>
      </c>
      <c r="Z226" s="195">
        <f>IF(OR(setca[[#This Row],[5]]="WN",setca[[#This Row],[5]]="Es"),(setca[[#This Row],[12]]+setca[[#This Row],[13]])*1.12,setca[[#This Row],[12]]+setca[[#This Row],[13]])</f>
        <v>0</v>
      </c>
      <c r="AA226" s="195">
        <f>IF(OR(setca[[#This Row],[5]]="WN",setca[[#This Row],[5]]="Es"),setca[[#This Row],[4]]*1.12,setca[[#This Row],[4]])*(setca[[#This Row],[14]]+1)</f>
        <v>0</v>
      </c>
      <c r="AB226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226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226" s="195" t="b">
        <f>IF(setca[[#This Row],[16]]=FALSE,TRUE,FALSE)</f>
        <v>1</v>
      </c>
      <c r="AE226" s="195" t="b">
        <f ca="1">IF(setca[[#This Row],[2]]="",FALSE,AND((setca[[#This Row],[2]]+TODAY())&lt;$C$36,setca[[#This Row],[17]]=FALSE,setca[[#This Row],[18]]=TRUE))</f>
        <v>0</v>
      </c>
      <c r="AF226" s="195" t="b">
        <f ca="1">IF(setca[[#This Row],[2]]="",FALSE,AND((setca[[#This Row],[3]]+TODAY())&lt;$C$36,setca[[#This Row],[18]]=TRUE))</f>
        <v>0</v>
      </c>
      <c r="AG226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226" s="1"/>
      <c r="AI226" s="1"/>
    </row>
    <row r="227" spans="1:35" ht="11.1" customHeight="1" x14ac:dyDescent="0.25">
      <c r="A227" s="124" t="str">
        <f t="array" aca="1" ref="A227" ca="1">IFERROR(INDEX($F$39:$F$238,MATCH(0,IF(TRUE=setca[28],0,1)+COUNTIF($F$38:F264,$F$39:$F$238),0)),"")</f>
        <v/>
      </c>
      <c r="B227" s="109">
        <f>IFERROR(VLOOKUP(setca[[#This Row],[23]],Start!$B$87:$N$10044,3,0),0)+IF(setca[[#This Row],[18]]=TRUE,1+setca[[#This Row],[14]],0)</f>
        <v>0</v>
      </c>
      <c r="C227" s="21">
        <f>IFERROR((IFERROR(VLOOKUP(setca[[#This Row],[23]],Start!$B$87:$N$10044,12,0),0)+IF(setca[[#This Row],[18]]=TRUE,setca[[#This Row],[21]]-setca[[#This Row],[22]],0))/B227,0)</f>
        <v>0</v>
      </c>
      <c r="D227" s="1"/>
      <c r="E227" s="19">
        <f t="shared" ca="1" si="12"/>
        <v>2</v>
      </c>
      <c r="F227" s="173">
        <f t="shared" si="13"/>
        <v>190</v>
      </c>
      <c r="G227" s="99"/>
      <c r="H227" s="99"/>
      <c r="I227" s="114"/>
      <c r="J227" s="100"/>
      <c r="K227" s="100"/>
      <c r="L227" s="100"/>
      <c r="M227" s="100"/>
      <c r="N227" s="100"/>
      <c r="O227" s="100"/>
      <c r="P227" s="101"/>
      <c r="Q227" s="105"/>
      <c r="R227" s="106"/>
      <c r="S227" s="104"/>
      <c r="T227" s="100" t="s">
        <v>71</v>
      </c>
      <c r="U227" s="133" t="b">
        <v>0</v>
      </c>
      <c r="V227" s="135" t="b">
        <v>0</v>
      </c>
      <c r="W227" s="136" t="b">
        <v>0</v>
      </c>
      <c r="X227" s="185" t="str">
        <f ca="1">IF(setca[[#This Row],[18]]=TRUE,IF($N$1=TRUE,TODAY()-1,TODAY()),"")</f>
        <v/>
      </c>
      <c r="Y227" s="195" t="str">
        <f ca="1">IF(setca[[#This Row],[2]]="","",IF(setca[[#This Row],[18]]=TRUE,                                     setca[[#This Row],[2]]+(TODAY())&lt;$C$36))</f>
        <v/>
      </c>
      <c r="Z227" s="195">
        <f>IF(OR(setca[[#This Row],[5]]="WN",setca[[#This Row],[5]]="Es"),(setca[[#This Row],[12]]+setca[[#This Row],[13]])*1.12,setca[[#This Row],[12]]+setca[[#This Row],[13]])</f>
        <v>0</v>
      </c>
      <c r="AA227" s="195">
        <f>IF(OR(setca[[#This Row],[5]]="WN",setca[[#This Row],[5]]="Es"),setca[[#This Row],[4]]*1.12,setca[[#This Row],[4]])*(setca[[#This Row],[14]]+1)</f>
        <v>0</v>
      </c>
      <c r="AB227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227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227" s="195" t="b">
        <f>IF(setca[[#This Row],[16]]=FALSE,TRUE,FALSE)</f>
        <v>1</v>
      </c>
      <c r="AE227" s="195" t="b">
        <f ca="1">IF(setca[[#This Row],[2]]="",FALSE,AND((setca[[#This Row],[2]]+TODAY())&lt;$C$36,setca[[#This Row],[17]]=FALSE,setca[[#This Row],[18]]=TRUE))</f>
        <v>0</v>
      </c>
      <c r="AF227" s="195" t="b">
        <f ca="1">IF(setca[[#This Row],[2]]="",FALSE,AND((setca[[#This Row],[3]]+TODAY())&lt;$C$36,setca[[#This Row],[18]]=TRUE))</f>
        <v>0</v>
      </c>
      <c r="AG227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227" s="1"/>
      <c r="AI227" s="1"/>
    </row>
    <row r="228" spans="1:35" ht="11.1" customHeight="1" x14ac:dyDescent="0.25">
      <c r="A228" s="124" t="str">
        <f t="array" aca="1" ref="A228" ca="1">IFERROR(INDEX($F$39:$F$238,MATCH(0,IF(TRUE=setca[28],0,1)+COUNTIF($F$38:F265,$F$39:$F$238),0)),"")</f>
        <v/>
      </c>
      <c r="B228" s="109">
        <f>IFERROR(VLOOKUP(setca[[#This Row],[23]],Start!$B$87:$N$10044,3,0),0)+IF(setca[[#This Row],[18]]=TRUE,1+setca[[#This Row],[14]],0)</f>
        <v>0</v>
      </c>
      <c r="C228" s="21">
        <f>IFERROR((IFERROR(VLOOKUP(setca[[#This Row],[23]],Start!$B$87:$N$10044,12,0),0)+IF(setca[[#This Row],[18]]=TRUE,setca[[#This Row],[21]]-setca[[#This Row],[22]],0))/B228,0)</f>
        <v>0</v>
      </c>
      <c r="D228" s="1"/>
      <c r="E228" s="19">
        <f t="shared" ca="1" si="12"/>
        <v>2</v>
      </c>
      <c r="F228" s="173">
        <f t="shared" si="13"/>
        <v>191</v>
      </c>
      <c r="G228" s="99"/>
      <c r="H228" s="99"/>
      <c r="I228" s="114"/>
      <c r="J228" s="100"/>
      <c r="K228" s="100"/>
      <c r="L228" s="100"/>
      <c r="M228" s="100"/>
      <c r="N228" s="100"/>
      <c r="O228" s="100"/>
      <c r="P228" s="101"/>
      <c r="Q228" s="105"/>
      <c r="R228" s="106"/>
      <c r="S228" s="104"/>
      <c r="T228" s="100" t="s">
        <v>71</v>
      </c>
      <c r="U228" s="133" t="b">
        <v>0</v>
      </c>
      <c r="V228" s="135" t="b">
        <v>0</v>
      </c>
      <c r="W228" s="136" t="b">
        <v>0</v>
      </c>
      <c r="X228" s="185" t="str">
        <f ca="1">IF(setca[[#This Row],[18]]=TRUE,IF($N$1=TRUE,TODAY()-1,TODAY()),"")</f>
        <v/>
      </c>
      <c r="Y228" s="195" t="str">
        <f ca="1">IF(setca[[#This Row],[2]]="","",IF(setca[[#This Row],[18]]=TRUE,                                     setca[[#This Row],[2]]+(TODAY())&lt;$C$36))</f>
        <v/>
      </c>
      <c r="Z228" s="195">
        <f>IF(OR(setca[[#This Row],[5]]="WN",setca[[#This Row],[5]]="Es"),(setca[[#This Row],[12]]+setca[[#This Row],[13]])*1.12,setca[[#This Row],[12]]+setca[[#This Row],[13]])</f>
        <v>0</v>
      </c>
      <c r="AA228" s="195">
        <f>IF(OR(setca[[#This Row],[5]]="WN",setca[[#This Row],[5]]="Es"),setca[[#This Row],[4]]*1.12,setca[[#This Row],[4]])*(setca[[#This Row],[14]]+1)</f>
        <v>0</v>
      </c>
      <c r="AB228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228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228" s="195" t="b">
        <f>IF(setca[[#This Row],[16]]=FALSE,TRUE,FALSE)</f>
        <v>1</v>
      </c>
      <c r="AE228" s="195" t="b">
        <f ca="1">IF(setca[[#This Row],[2]]="",FALSE,AND((setca[[#This Row],[2]]+TODAY())&lt;$C$36,setca[[#This Row],[17]]=FALSE,setca[[#This Row],[18]]=TRUE))</f>
        <v>0</v>
      </c>
      <c r="AF228" s="195" t="b">
        <f ca="1">IF(setca[[#This Row],[2]]="",FALSE,AND((setca[[#This Row],[3]]+TODAY())&lt;$C$36,setca[[#This Row],[18]]=TRUE))</f>
        <v>0</v>
      </c>
      <c r="AG228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228" s="1"/>
      <c r="AI228" s="1"/>
    </row>
    <row r="229" spans="1:35" ht="11.1" customHeight="1" x14ac:dyDescent="0.25">
      <c r="A229" s="124" t="str">
        <f t="array" aca="1" ref="A229" ca="1">IFERROR(INDEX($F$39:$F$238,MATCH(0,IF(TRUE=setca[28],0,1)+COUNTIF($F$38:F266,$F$39:$F$238),0)),"")</f>
        <v/>
      </c>
      <c r="B229" s="109">
        <f>IFERROR(VLOOKUP(setca[[#This Row],[23]],Start!$B$87:$N$10044,3,0),0)+IF(setca[[#This Row],[18]]=TRUE,1+setca[[#This Row],[14]],0)</f>
        <v>0</v>
      </c>
      <c r="C229" s="21">
        <f>IFERROR((IFERROR(VLOOKUP(setca[[#This Row],[23]],Start!$B$87:$N$10044,12,0),0)+IF(setca[[#This Row],[18]]=TRUE,setca[[#This Row],[21]]-setca[[#This Row],[22]],0))/B229,0)</f>
        <v>0</v>
      </c>
      <c r="D229" s="1"/>
      <c r="E229" s="19">
        <f t="shared" ca="1" si="12"/>
        <v>2</v>
      </c>
      <c r="F229" s="173">
        <f t="shared" si="13"/>
        <v>192</v>
      </c>
      <c r="G229" s="99"/>
      <c r="H229" s="99"/>
      <c r="I229" s="114"/>
      <c r="J229" s="100"/>
      <c r="K229" s="100"/>
      <c r="L229" s="100"/>
      <c r="M229" s="100"/>
      <c r="N229" s="100"/>
      <c r="O229" s="100"/>
      <c r="P229" s="101"/>
      <c r="Q229" s="105"/>
      <c r="R229" s="106"/>
      <c r="S229" s="104"/>
      <c r="T229" s="100" t="s">
        <v>71</v>
      </c>
      <c r="U229" s="133" t="b">
        <v>0</v>
      </c>
      <c r="V229" s="135" t="b">
        <v>0</v>
      </c>
      <c r="W229" s="136" t="b">
        <v>0</v>
      </c>
      <c r="X229" s="185" t="str">
        <f ca="1">IF(setca[[#This Row],[18]]=TRUE,IF($N$1=TRUE,TODAY()-1,TODAY()),"")</f>
        <v/>
      </c>
      <c r="Y229" s="195" t="str">
        <f ca="1">IF(setca[[#This Row],[2]]="","",IF(setca[[#This Row],[18]]=TRUE,                                     setca[[#This Row],[2]]+(TODAY())&lt;$C$36))</f>
        <v/>
      </c>
      <c r="Z229" s="195">
        <f>IF(OR(setca[[#This Row],[5]]="WN",setca[[#This Row],[5]]="Es"),(setca[[#This Row],[12]]+setca[[#This Row],[13]])*1.12,setca[[#This Row],[12]]+setca[[#This Row],[13]])</f>
        <v>0</v>
      </c>
      <c r="AA229" s="195">
        <f>IF(OR(setca[[#This Row],[5]]="WN",setca[[#This Row],[5]]="Es"),setca[[#This Row],[4]]*1.12,setca[[#This Row],[4]])*(setca[[#This Row],[14]]+1)</f>
        <v>0</v>
      </c>
      <c r="AB229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229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229" s="195" t="b">
        <f>IF(setca[[#This Row],[16]]=FALSE,TRUE,FALSE)</f>
        <v>1</v>
      </c>
      <c r="AE229" s="195" t="b">
        <f ca="1">IF(setca[[#This Row],[2]]="",FALSE,AND((setca[[#This Row],[2]]+TODAY())&lt;$C$36,setca[[#This Row],[17]]=FALSE,setca[[#This Row],[18]]=TRUE))</f>
        <v>0</v>
      </c>
      <c r="AF229" s="195" t="b">
        <f ca="1">IF(setca[[#This Row],[2]]="",FALSE,AND((setca[[#This Row],[3]]+TODAY())&lt;$C$36,setca[[#This Row],[18]]=TRUE))</f>
        <v>0</v>
      </c>
      <c r="AG229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229" s="1"/>
      <c r="AI229" s="1"/>
    </row>
    <row r="230" spans="1:35" ht="11.1" customHeight="1" x14ac:dyDescent="0.25">
      <c r="A230" s="124" t="str">
        <f t="array" aca="1" ref="A230" ca="1">IFERROR(INDEX($F$39:$F$238,MATCH(0,IF(TRUE=setca[28],0,1)+COUNTIF($F$38:F267,$F$39:$F$238),0)),"")</f>
        <v/>
      </c>
      <c r="B230" s="109">
        <f>IFERROR(VLOOKUP(setca[[#This Row],[23]],Start!$B$87:$N$10044,3,0),0)+IF(setca[[#This Row],[18]]=TRUE,1+setca[[#This Row],[14]],0)</f>
        <v>0</v>
      </c>
      <c r="C230" s="21">
        <f>IFERROR((IFERROR(VLOOKUP(setca[[#This Row],[23]],Start!$B$87:$N$10044,12,0),0)+IF(setca[[#This Row],[18]]=TRUE,setca[[#This Row],[21]]-setca[[#This Row],[22]],0))/B230,0)</f>
        <v>0</v>
      </c>
      <c r="D230" s="1"/>
      <c r="E230" s="19">
        <f t="shared" ca="1" si="12"/>
        <v>2</v>
      </c>
      <c r="F230" s="173">
        <f t="shared" si="13"/>
        <v>193</v>
      </c>
      <c r="G230" s="99"/>
      <c r="H230" s="99"/>
      <c r="I230" s="114"/>
      <c r="J230" s="100"/>
      <c r="K230" s="100"/>
      <c r="L230" s="100"/>
      <c r="M230" s="100"/>
      <c r="N230" s="100"/>
      <c r="O230" s="100"/>
      <c r="P230" s="101"/>
      <c r="Q230" s="105"/>
      <c r="R230" s="106"/>
      <c r="S230" s="104"/>
      <c r="T230" s="100" t="s">
        <v>71</v>
      </c>
      <c r="U230" s="133" t="b">
        <v>0</v>
      </c>
      <c r="V230" s="135" t="b">
        <v>0</v>
      </c>
      <c r="W230" s="136" t="b">
        <v>0</v>
      </c>
      <c r="X230" s="185" t="str">
        <f ca="1">IF(setca[[#This Row],[18]]=TRUE,IF($N$1=TRUE,TODAY()-1,TODAY()),"")</f>
        <v/>
      </c>
      <c r="Y230" s="195" t="str">
        <f ca="1">IF(setca[[#This Row],[2]]="","",IF(setca[[#This Row],[18]]=TRUE,                                     setca[[#This Row],[2]]+(TODAY())&lt;$C$36))</f>
        <v/>
      </c>
      <c r="Z230" s="195">
        <f>IF(OR(setca[[#This Row],[5]]="WN",setca[[#This Row],[5]]="Es"),(setca[[#This Row],[12]]+setca[[#This Row],[13]])*1.12,setca[[#This Row],[12]]+setca[[#This Row],[13]])</f>
        <v>0</v>
      </c>
      <c r="AA230" s="195">
        <f>IF(OR(setca[[#This Row],[5]]="WN",setca[[#This Row],[5]]="Es"),setca[[#This Row],[4]]*1.12,setca[[#This Row],[4]])*(setca[[#This Row],[14]]+1)</f>
        <v>0</v>
      </c>
      <c r="AB230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230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230" s="195" t="b">
        <f>IF(setca[[#This Row],[16]]=FALSE,TRUE,FALSE)</f>
        <v>1</v>
      </c>
      <c r="AE230" s="195" t="b">
        <f ca="1">IF(setca[[#This Row],[2]]="",FALSE,AND((setca[[#This Row],[2]]+TODAY())&lt;$C$36,setca[[#This Row],[17]]=FALSE,setca[[#This Row],[18]]=TRUE))</f>
        <v>0</v>
      </c>
      <c r="AF230" s="195" t="b">
        <f ca="1">IF(setca[[#This Row],[2]]="",FALSE,AND((setca[[#This Row],[3]]+TODAY())&lt;$C$36,setca[[#This Row],[18]]=TRUE))</f>
        <v>0</v>
      </c>
      <c r="AG230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230" s="1"/>
      <c r="AI230" s="1"/>
    </row>
    <row r="231" spans="1:35" ht="11.1" customHeight="1" x14ac:dyDescent="0.25">
      <c r="A231" s="124" t="str">
        <f t="array" aca="1" ref="A231" ca="1">IFERROR(INDEX($F$39:$F$238,MATCH(0,IF(TRUE=setca[28],0,1)+COUNTIF($F$38:F268,$F$39:$F$238),0)),"")</f>
        <v/>
      </c>
      <c r="B231" s="109">
        <f>IFERROR(VLOOKUP(setca[[#This Row],[23]],Start!$B$87:$N$10044,3,0),0)+IF(setca[[#This Row],[18]]=TRUE,1+setca[[#This Row],[14]],0)</f>
        <v>0</v>
      </c>
      <c r="C231" s="21">
        <f>IFERROR((IFERROR(VLOOKUP(setca[[#This Row],[23]],Start!$B$87:$N$10044,12,0),0)+IF(setca[[#This Row],[18]]=TRUE,setca[[#This Row],[21]]-setca[[#This Row],[22]],0))/B231,0)</f>
        <v>0</v>
      </c>
      <c r="D231" s="1"/>
      <c r="E231" s="19">
        <f t="shared" ref="E231:E238" ca="1" si="14">IF(AND($G231=TIME(HOUR($C$36),MINUTE($C$36),0),$W231=FALSE),1,2)</f>
        <v>2</v>
      </c>
      <c r="F231" s="173">
        <f t="shared" ref="F231:F238" si="15">F230+1</f>
        <v>194</v>
      </c>
      <c r="G231" s="99"/>
      <c r="H231" s="99"/>
      <c r="I231" s="114"/>
      <c r="J231" s="100"/>
      <c r="K231" s="100"/>
      <c r="L231" s="100"/>
      <c r="M231" s="100"/>
      <c r="N231" s="100"/>
      <c r="O231" s="100"/>
      <c r="P231" s="101"/>
      <c r="Q231" s="105"/>
      <c r="R231" s="106"/>
      <c r="S231" s="104"/>
      <c r="T231" s="100" t="s">
        <v>71</v>
      </c>
      <c r="U231" s="133" t="b">
        <v>0</v>
      </c>
      <c r="V231" s="135" t="b">
        <v>0</v>
      </c>
      <c r="W231" s="136" t="b">
        <v>0</v>
      </c>
      <c r="X231" s="185" t="str">
        <f ca="1">IF(setca[[#This Row],[18]]=TRUE,IF($N$1=TRUE,TODAY()-1,TODAY()),"")</f>
        <v/>
      </c>
      <c r="Y231" s="195" t="str">
        <f ca="1">IF(setca[[#This Row],[2]]="","",IF(setca[[#This Row],[18]]=TRUE,                                     setca[[#This Row],[2]]+(TODAY())&lt;$C$36))</f>
        <v/>
      </c>
      <c r="Z231" s="195">
        <f>IF(OR(setca[[#This Row],[5]]="WN",setca[[#This Row],[5]]="Es"),(setca[[#This Row],[12]]+setca[[#This Row],[13]])*1.12,setca[[#This Row],[12]]+setca[[#This Row],[13]])</f>
        <v>0</v>
      </c>
      <c r="AA231" s="195">
        <f>IF(OR(setca[[#This Row],[5]]="WN",setca[[#This Row],[5]]="Es"),setca[[#This Row],[4]]*1.12,setca[[#This Row],[4]])*(setca[[#This Row],[14]]+1)</f>
        <v>0</v>
      </c>
      <c r="AB231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231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231" s="195" t="b">
        <f>IF(setca[[#This Row],[16]]=FALSE,TRUE,FALSE)</f>
        <v>1</v>
      </c>
      <c r="AE231" s="195" t="b">
        <f ca="1">IF(setca[[#This Row],[2]]="",FALSE,AND((setca[[#This Row],[2]]+TODAY())&lt;$C$36,setca[[#This Row],[17]]=FALSE,setca[[#This Row],[18]]=TRUE))</f>
        <v>0</v>
      </c>
      <c r="AF231" s="195" t="b">
        <f ca="1">IF(setca[[#This Row],[2]]="",FALSE,AND((setca[[#This Row],[3]]+TODAY())&lt;$C$36,setca[[#This Row],[18]]=TRUE))</f>
        <v>0</v>
      </c>
      <c r="AG231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231" s="1"/>
      <c r="AI231" s="1"/>
    </row>
    <row r="232" spans="1:35" ht="11.1" customHeight="1" x14ac:dyDescent="0.25">
      <c r="A232" s="124" t="str">
        <f t="array" aca="1" ref="A232" ca="1">IFERROR(INDEX($F$39:$F$238,MATCH(0,IF(TRUE=setca[28],0,1)+COUNTIF($F$38:F269,$F$39:$F$238),0)),"")</f>
        <v/>
      </c>
      <c r="B232" s="109">
        <f>IFERROR(VLOOKUP(setca[[#This Row],[23]],Start!$B$87:$N$10044,3,0),0)+IF(setca[[#This Row],[18]]=TRUE,1+setca[[#This Row],[14]],0)</f>
        <v>0</v>
      </c>
      <c r="C232" s="21">
        <f>IFERROR((IFERROR(VLOOKUP(setca[[#This Row],[23]],Start!$B$87:$N$10044,12,0),0)+IF(setca[[#This Row],[18]]=TRUE,setca[[#This Row],[21]]-setca[[#This Row],[22]],0))/B232,0)</f>
        <v>0</v>
      </c>
      <c r="D232" s="1"/>
      <c r="E232" s="19">
        <f t="shared" ca="1" si="14"/>
        <v>2</v>
      </c>
      <c r="F232" s="173">
        <f t="shared" si="15"/>
        <v>195</v>
      </c>
      <c r="G232" s="99"/>
      <c r="H232" s="99"/>
      <c r="I232" s="114"/>
      <c r="J232" s="100"/>
      <c r="K232" s="100"/>
      <c r="L232" s="100"/>
      <c r="M232" s="100"/>
      <c r="N232" s="100"/>
      <c r="O232" s="100"/>
      <c r="P232" s="101"/>
      <c r="Q232" s="105"/>
      <c r="R232" s="106"/>
      <c r="S232" s="104"/>
      <c r="T232" s="100" t="s">
        <v>71</v>
      </c>
      <c r="U232" s="133" t="b">
        <v>0</v>
      </c>
      <c r="V232" s="135" t="b">
        <v>0</v>
      </c>
      <c r="W232" s="136" t="b">
        <v>0</v>
      </c>
      <c r="X232" s="185" t="str">
        <f ca="1">IF(setca[[#This Row],[18]]=TRUE,IF($N$1=TRUE,TODAY()-1,TODAY()),"")</f>
        <v/>
      </c>
      <c r="Y232" s="195" t="str">
        <f ca="1">IF(setca[[#This Row],[2]]="","",IF(setca[[#This Row],[18]]=TRUE,                                     setca[[#This Row],[2]]+(TODAY())&lt;$C$36))</f>
        <v/>
      </c>
      <c r="Z232" s="195">
        <f>IF(OR(setca[[#This Row],[5]]="WN",setca[[#This Row],[5]]="Es"),(setca[[#This Row],[12]]+setca[[#This Row],[13]])*1.12,setca[[#This Row],[12]]+setca[[#This Row],[13]])</f>
        <v>0</v>
      </c>
      <c r="AA232" s="195">
        <f>IF(OR(setca[[#This Row],[5]]="WN",setca[[#This Row],[5]]="Es"),setca[[#This Row],[4]]*1.12,setca[[#This Row],[4]])*(setca[[#This Row],[14]]+1)</f>
        <v>0</v>
      </c>
      <c r="AB232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232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232" s="195" t="b">
        <f>IF(setca[[#This Row],[16]]=FALSE,TRUE,FALSE)</f>
        <v>1</v>
      </c>
      <c r="AE232" s="195" t="b">
        <f ca="1">IF(setca[[#This Row],[2]]="",FALSE,AND((setca[[#This Row],[2]]+TODAY())&lt;$C$36,setca[[#This Row],[17]]=FALSE,setca[[#This Row],[18]]=TRUE))</f>
        <v>0</v>
      </c>
      <c r="AF232" s="195" t="b">
        <f ca="1">IF(setca[[#This Row],[2]]="",FALSE,AND((setca[[#This Row],[3]]+TODAY())&lt;$C$36,setca[[#This Row],[18]]=TRUE))</f>
        <v>0</v>
      </c>
      <c r="AG232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232" s="1"/>
      <c r="AI232" s="1"/>
    </row>
    <row r="233" spans="1:35" ht="11.1" customHeight="1" x14ac:dyDescent="0.25">
      <c r="A233" s="124" t="str">
        <f t="array" aca="1" ref="A233" ca="1">IFERROR(INDEX($F$39:$F$238,MATCH(0,IF(TRUE=setca[28],0,1)+COUNTIF($F$38:F270,$F$39:$F$238),0)),"")</f>
        <v/>
      </c>
      <c r="B233" s="109">
        <f>IFERROR(VLOOKUP(setca[[#This Row],[23]],Start!$B$87:$N$10044,3,0),0)+IF(setca[[#This Row],[18]]=TRUE,1+setca[[#This Row],[14]],0)</f>
        <v>0</v>
      </c>
      <c r="C233" s="21">
        <f>IFERROR((IFERROR(VLOOKUP(setca[[#This Row],[23]],Start!$B$87:$N$10044,12,0),0)+IF(setca[[#This Row],[18]]=TRUE,setca[[#This Row],[21]]-setca[[#This Row],[22]],0))/B233,0)</f>
        <v>0</v>
      </c>
      <c r="D233" s="1"/>
      <c r="E233" s="19">
        <f t="shared" ca="1" si="14"/>
        <v>2</v>
      </c>
      <c r="F233" s="173">
        <f t="shared" si="15"/>
        <v>196</v>
      </c>
      <c r="G233" s="99"/>
      <c r="H233" s="99"/>
      <c r="I233" s="114"/>
      <c r="J233" s="100"/>
      <c r="K233" s="100"/>
      <c r="L233" s="100"/>
      <c r="M233" s="100"/>
      <c r="N233" s="100"/>
      <c r="O233" s="100"/>
      <c r="P233" s="101"/>
      <c r="Q233" s="105"/>
      <c r="R233" s="106"/>
      <c r="S233" s="104"/>
      <c r="T233" s="100" t="s">
        <v>71</v>
      </c>
      <c r="U233" s="133" t="b">
        <v>0</v>
      </c>
      <c r="V233" s="135" t="b">
        <v>0</v>
      </c>
      <c r="W233" s="136" t="b">
        <v>0</v>
      </c>
      <c r="X233" s="185" t="str">
        <f ca="1">IF(setca[[#This Row],[18]]=TRUE,IF($N$1=TRUE,TODAY()-1,TODAY()),"")</f>
        <v/>
      </c>
      <c r="Y233" s="195" t="str">
        <f ca="1">IF(setca[[#This Row],[2]]="","",IF(setca[[#This Row],[18]]=TRUE,                                     setca[[#This Row],[2]]+(TODAY())&lt;$C$36))</f>
        <v/>
      </c>
      <c r="Z233" s="195">
        <f>IF(OR(setca[[#This Row],[5]]="WN",setca[[#This Row],[5]]="Es"),(setca[[#This Row],[12]]+setca[[#This Row],[13]])*1.12,setca[[#This Row],[12]]+setca[[#This Row],[13]])</f>
        <v>0</v>
      </c>
      <c r="AA233" s="195">
        <f>IF(OR(setca[[#This Row],[5]]="WN",setca[[#This Row],[5]]="Es"),setca[[#This Row],[4]]*1.12,setca[[#This Row],[4]])*(setca[[#This Row],[14]]+1)</f>
        <v>0</v>
      </c>
      <c r="AB233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233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233" s="195" t="b">
        <f>IF(setca[[#This Row],[16]]=FALSE,TRUE,FALSE)</f>
        <v>1</v>
      </c>
      <c r="AE233" s="195" t="b">
        <f ca="1">IF(setca[[#This Row],[2]]="",FALSE,AND((setca[[#This Row],[2]]+TODAY())&lt;$C$36,setca[[#This Row],[17]]=FALSE,setca[[#This Row],[18]]=TRUE))</f>
        <v>0</v>
      </c>
      <c r="AF233" s="195" t="b">
        <f ca="1">IF(setca[[#This Row],[2]]="",FALSE,AND((setca[[#This Row],[3]]+TODAY())&lt;$C$36,setca[[#This Row],[18]]=TRUE))</f>
        <v>0</v>
      </c>
      <c r="AG233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233" s="1"/>
      <c r="AI233" s="1"/>
    </row>
    <row r="234" spans="1:35" ht="11.1" customHeight="1" x14ac:dyDescent="0.25">
      <c r="A234" s="124" t="str">
        <f t="array" aca="1" ref="A234" ca="1">IFERROR(INDEX($F$39:$F$238,MATCH(0,IF(TRUE=setca[28],0,1)+COUNTIF($F$38:F271,$F$39:$F$238),0)),"")</f>
        <v/>
      </c>
      <c r="B234" s="109">
        <f>IFERROR(VLOOKUP(setca[[#This Row],[23]],Start!$B$87:$N$10044,3,0),0)+IF(setca[[#This Row],[18]]=TRUE,1+setca[[#This Row],[14]],0)</f>
        <v>0</v>
      </c>
      <c r="C234" s="21">
        <f>IFERROR((IFERROR(VLOOKUP(setca[[#This Row],[23]],Start!$B$87:$N$10044,12,0),0)+IF(setca[[#This Row],[18]]=TRUE,setca[[#This Row],[21]]-setca[[#This Row],[22]],0))/B234,0)</f>
        <v>0</v>
      </c>
      <c r="D234" s="1"/>
      <c r="E234" s="19">
        <f t="shared" ca="1" si="14"/>
        <v>2</v>
      </c>
      <c r="F234" s="173">
        <f t="shared" si="15"/>
        <v>197</v>
      </c>
      <c r="G234" s="99"/>
      <c r="H234" s="99"/>
      <c r="I234" s="114"/>
      <c r="J234" s="100"/>
      <c r="K234" s="100"/>
      <c r="L234" s="100"/>
      <c r="M234" s="100"/>
      <c r="N234" s="100"/>
      <c r="O234" s="100"/>
      <c r="P234" s="101"/>
      <c r="Q234" s="105"/>
      <c r="R234" s="106"/>
      <c r="S234" s="104"/>
      <c r="T234" s="100" t="s">
        <v>71</v>
      </c>
      <c r="U234" s="133" t="b">
        <v>0</v>
      </c>
      <c r="V234" s="135" t="b">
        <v>0</v>
      </c>
      <c r="W234" s="136" t="b">
        <v>0</v>
      </c>
      <c r="X234" s="185" t="str">
        <f ca="1">IF(setca[[#This Row],[18]]=TRUE,IF($N$1=TRUE,TODAY()-1,TODAY()),"")</f>
        <v/>
      </c>
      <c r="Y234" s="195" t="str">
        <f ca="1">IF(setca[[#This Row],[2]]="","",IF(setca[[#This Row],[18]]=TRUE,                                     setca[[#This Row],[2]]+(TODAY())&lt;$C$36))</f>
        <v/>
      </c>
      <c r="Z234" s="195">
        <f>IF(OR(setca[[#This Row],[5]]="WN",setca[[#This Row],[5]]="Es"),(setca[[#This Row],[12]]+setca[[#This Row],[13]])*1.12,setca[[#This Row],[12]]+setca[[#This Row],[13]])</f>
        <v>0</v>
      </c>
      <c r="AA234" s="195">
        <f>IF(OR(setca[[#This Row],[5]]="WN",setca[[#This Row],[5]]="Es"),setca[[#This Row],[4]]*1.12,setca[[#This Row],[4]])*(setca[[#This Row],[14]]+1)</f>
        <v>0</v>
      </c>
      <c r="AB234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234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234" s="195" t="b">
        <f>IF(setca[[#This Row],[16]]=FALSE,TRUE,FALSE)</f>
        <v>1</v>
      </c>
      <c r="AE234" s="195" t="b">
        <f ca="1">IF(setca[[#This Row],[2]]="",FALSE,AND((setca[[#This Row],[2]]+TODAY())&lt;$C$36,setca[[#This Row],[17]]=FALSE,setca[[#This Row],[18]]=TRUE))</f>
        <v>0</v>
      </c>
      <c r="AF234" s="195" t="b">
        <f ca="1">IF(setca[[#This Row],[2]]="",FALSE,AND((setca[[#This Row],[3]]+TODAY())&lt;$C$36,setca[[#This Row],[18]]=TRUE))</f>
        <v>0</v>
      </c>
      <c r="AG234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234" s="1"/>
      <c r="AI234" s="1"/>
    </row>
    <row r="235" spans="1:35" ht="11.1" customHeight="1" x14ac:dyDescent="0.25">
      <c r="A235" s="124" t="str">
        <f t="array" aca="1" ref="A235" ca="1">IFERROR(INDEX($F$39:$F$238,MATCH(0,IF(TRUE=setca[28],0,1)+COUNTIF($F$38:F272,$F$39:$F$238),0)),"")</f>
        <v/>
      </c>
      <c r="B235" s="109">
        <f>IFERROR(VLOOKUP(setca[[#This Row],[23]],Start!$B$87:$N$10044,3,0),0)+IF(setca[[#This Row],[18]]=TRUE,1+setca[[#This Row],[14]],0)</f>
        <v>0</v>
      </c>
      <c r="C235" s="21">
        <f>IFERROR((IFERROR(VLOOKUP(setca[[#This Row],[23]],Start!$B$87:$N$10044,12,0),0)+IF(setca[[#This Row],[18]]=TRUE,setca[[#This Row],[21]]-setca[[#This Row],[22]],0))/B235,0)</f>
        <v>0</v>
      </c>
      <c r="D235" s="1"/>
      <c r="E235" s="19">
        <f t="shared" ca="1" si="14"/>
        <v>2</v>
      </c>
      <c r="F235" s="173">
        <f t="shared" si="15"/>
        <v>198</v>
      </c>
      <c r="G235" s="99"/>
      <c r="H235" s="99"/>
      <c r="I235" s="114"/>
      <c r="J235" s="100"/>
      <c r="K235" s="100"/>
      <c r="L235" s="100"/>
      <c r="M235" s="100"/>
      <c r="N235" s="100"/>
      <c r="O235" s="100"/>
      <c r="P235" s="101"/>
      <c r="Q235" s="105"/>
      <c r="R235" s="106"/>
      <c r="S235" s="104"/>
      <c r="T235" s="100" t="s">
        <v>71</v>
      </c>
      <c r="U235" s="133" t="b">
        <v>0</v>
      </c>
      <c r="V235" s="135" t="b">
        <v>0</v>
      </c>
      <c r="W235" s="136" t="b">
        <v>0</v>
      </c>
      <c r="X235" s="185" t="str">
        <f ca="1">IF(setca[[#This Row],[18]]=TRUE,IF($N$1=TRUE,TODAY()-1,TODAY()),"")</f>
        <v/>
      </c>
      <c r="Y235" s="195" t="str">
        <f ca="1">IF(setca[[#This Row],[2]]="","",IF(setca[[#This Row],[18]]=TRUE,                                     setca[[#This Row],[2]]+(TODAY())&lt;$C$36))</f>
        <v/>
      </c>
      <c r="Z235" s="195">
        <f>IF(OR(setca[[#This Row],[5]]="WN",setca[[#This Row],[5]]="Es"),(setca[[#This Row],[12]]+setca[[#This Row],[13]])*1.12,setca[[#This Row],[12]]+setca[[#This Row],[13]])</f>
        <v>0</v>
      </c>
      <c r="AA235" s="195">
        <f>IF(OR(setca[[#This Row],[5]]="WN",setca[[#This Row],[5]]="Es"),setca[[#This Row],[4]]*1.12,setca[[#This Row],[4]])*(setca[[#This Row],[14]]+1)</f>
        <v>0</v>
      </c>
      <c r="AB235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235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235" s="195" t="b">
        <f>IF(setca[[#This Row],[16]]=FALSE,TRUE,FALSE)</f>
        <v>1</v>
      </c>
      <c r="AE235" s="195" t="b">
        <f ca="1">IF(setca[[#This Row],[2]]="",FALSE,AND((setca[[#This Row],[2]]+TODAY())&lt;$C$36,setca[[#This Row],[17]]=FALSE,setca[[#This Row],[18]]=TRUE))</f>
        <v>0</v>
      </c>
      <c r="AF235" s="195" t="b">
        <f ca="1">IF(setca[[#This Row],[2]]="",FALSE,AND((setca[[#This Row],[3]]+TODAY())&lt;$C$36,setca[[#This Row],[18]]=TRUE))</f>
        <v>0</v>
      </c>
      <c r="AG235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235" s="1"/>
      <c r="AI235" s="1"/>
    </row>
    <row r="236" spans="1:35" ht="11.1" customHeight="1" x14ac:dyDescent="0.25">
      <c r="A236" s="124" t="str">
        <f t="array" aca="1" ref="A236" ca="1">IFERROR(INDEX($F$39:$F$238,MATCH(0,IF(TRUE=setca[28],0,1)+COUNTIF($F$38:F273,$F$39:$F$238),0)),"")</f>
        <v/>
      </c>
      <c r="B236" s="109">
        <f>IFERROR(VLOOKUP(setca[[#This Row],[23]],Start!$B$87:$N$10044,3,0),0)+IF(setca[[#This Row],[18]]=TRUE,1+setca[[#This Row],[14]],0)</f>
        <v>0</v>
      </c>
      <c r="C236" s="21">
        <f>IFERROR((IFERROR(VLOOKUP(setca[[#This Row],[23]],Start!$B$87:$N$10044,12,0),0)+IF(setca[[#This Row],[18]]=TRUE,setca[[#This Row],[21]]-setca[[#This Row],[22]],0))/B236,0)</f>
        <v>0</v>
      </c>
      <c r="D236" s="1"/>
      <c r="E236" s="19">
        <f t="shared" ca="1" si="14"/>
        <v>2</v>
      </c>
      <c r="F236" s="173">
        <f t="shared" si="15"/>
        <v>199</v>
      </c>
      <c r="G236" s="99"/>
      <c r="H236" s="99"/>
      <c r="I236" s="114"/>
      <c r="J236" s="100"/>
      <c r="K236" s="100"/>
      <c r="L236" s="100"/>
      <c r="M236" s="100"/>
      <c r="N236" s="100"/>
      <c r="O236" s="100"/>
      <c r="P236" s="101"/>
      <c r="Q236" s="105"/>
      <c r="R236" s="106"/>
      <c r="S236" s="104"/>
      <c r="T236" s="100" t="s">
        <v>71</v>
      </c>
      <c r="U236" s="133" t="b">
        <v>0</v>
      </c>
      <c r="V236" s="135" t="b">
        <v>0</v>
      </c>
      <c r="W236" s="136" t="b">
        <v>0</v>
      </c>
      <c r="X236" s="185" t="str">
        <f ca="1">IF(setca[[#This Row],[18]]=TRUE,IF($N$1=TRUE,TODAY()-1,TODAY()),"")</f>
        <v/>
      </c>
      <c r="Y236" s="195" t="str">
        <f ca="1">IF(setca[[#This Row],[2]]="","",IF(setca[[#This Row],[18]]=TRUE,                                     setca[[#This Row],[2]]+(TODAY())&lt;$C$36))</f>
        <v/>
      </c>
      <c r="Z236" s="195">
        <f>IF(OR(setca[[#This Row],[5]]="WN",setca[[#This Row],[5]]="Es"),(setca[[#This Row],[12]]+setca[[#This Row],[13]])*1.12,setca[[#This Row],[12]]+setca[[#This Row],[13]])</f>
        <v>0</v>
      </c>
      <c r="AA236" s="195">
        <f>IF(OR(setca[[#This Row],[5]]="WN",setca[[#This Row],[5]]="Es"),setca[[#This Row],[4]]*1.12,setca[[#This Row],[4]])*(setca[[#This Row],[14]]+1)</f>
        <v>0</v>
      </c>
      <c r="AB236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236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236" s="195" t="b">
        <f>IF(setca[[#This Row],[16]]=FALSE,TRUE,FALSE)</f>
        <v>1</v>
      </c>
      <c r="AE236" s="195" t="b">
        <f ca="1">IF(setca[[#This Row],[2]]="",FALSE,AND((setca[[#This Row],[2]]+TODAY())&lt;$C$36,setca[[#This Row],[17]]=FALSE,setca[[#This Row],[18]]=TRUE))</f>
        <v>0</v>
      </c>
      <c r="AF236" s="195" t="b">
        <f ca="1">IF(setca[[#This Row],[2]]="",FALSE,AND((setca[[#This Row],[3]]+TODAY())&lt;$C$36,setca[[#This Row],[18]]=TRUE))</f>
        <v>0</v>
      </c>
      <c r="AG236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236" s="1"/>
      <c r="AI236" s="1"/>
    </row>
    <row r="237" spans="1:35" ht="11.1" customHeight="1" x14ac:dyDescent="0.25">
      <c r="A237" s="124" t="str">
        <f t="array" aca="1" ref="A237" ca="1">IFERROR(INDEX($F$39:$F$238,MATCH(0,IF(TRUE=setca[28],0,1)+COUNTIF($F$38:F274,$F$39:$F$238),0)),"")</f>
        <v/>
      </c>
      <c r="B237" s="109">
        <f>IFERROR(VLOOKUP(setca[[#This Row],[23]],Start!$B$87:$N$10044,3,0),0)+IF(setca[[#This Row],[18]]=TRUE,1+setca[[#This Row],[14]],0)</f>
        <v>0</v>
      </c>
      <c r="C237" s="21">
        <f>IFERROR((IFERROR(VLOOKUP(setca[[#This Row],[23]],Start!$B$87:$N$10044,12,0),0)+IF(setca[[#This Row],[18]]=TRUE,setca[[#This Row],[21]]-setca[[#This Row],[22]],0))/B237,0)</f>
        <v>0</v>
      </c>
      <c r="D237" s="1"/>
      <c r="E237" s="19">
        <f t="shared" ca="1" si="14"/>
        <v>2</v>
      </c>
      <c r="F237" s="173">
        <f t="shared" si="15"/>
        <v>200</v>
      </c>
      <c r="G237" s="99"/>
      <c r="H237" s="99"/>
      <c r="I237" s="114"/>
      <c r="J237" s="100"/>
      <c r="K237" s="100"/>
      <c r="L237" s="100"/>
      <c r="M237" s="100"/>
      <c r="N237" s="100"/>
      <c r="O237" s="100"/>
      <c r="P237" s="101"/>
      <c r="Q237" s="105"/>
      <c r="R237" s="106"/>
      <c r="S237" s="104"/>
      <c r="T237" s="100" t="s">
        <v>71</v>
      </c>
      <c r="U237" s="133" t="b">
        <v>0</v>
      </c>
      <c r="V237" s="135" t="b">
        <v>0</v>
      </c>
      <c r="W237" s="136" t="b">
        <v>0</v>
      </c>
      <c r="X237" s="185" t="str">
        <f ca="1">IF(setca[[#This Row],[18]]=TRUE,IF($N$1=TRUE,TODAY()-1,TODAY()),"")</f>
        <v/>
      </c>
      <c r="Y237" s="195" t="str">
        <f ca="1">IF(setca[[#This Row],[2]]="","",IF(setca[[#This Row],[18]]=TRUE,                                     setca[[#This Row],[2]]+(TODAY())&lt;$C$36))</f>
        <v/>
      </c>
      <c r="Z237" s="195">
        <f>IF(OR(setca[[#This Row],[5]]="WN",setca[[#This Row],[5]]="Es"),(setca[[#This Row],[12]]+setca[[#This Row],[13]])*1.12,setca[[#This Row],[12]]+setca[[#This Row],[13]])</f>
        <v>0</v>
      </c>
      <c r="AA237" s="195">
        <f>IF(OR(setca[[#This Row],[5]]="WN",setca[[#This Row],[5]]="Es"),setca[[#This Row],[4]]*1.12,setca[[#This Row],[4]])*(setca[[#This Row],[14]]+1)</f>
        <v>0</v>
      </c>
      <c r="AB237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237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237" s="195" t="b">
        <f>IF(setca[[#This Row],[16]]=FALSE,TRUE,FALSE)</f>
        <v>1</v>
      </c>
      <c r="AE237" s="195" t="b">
        <f ca="1">IF(setca[[#This Row],[2]]="",FALSE,AND((setca[[#This Row],[2]]+TODAY())&lt;$C$36,setca[[#This Row],[17]]=FALSE,setca[[#This Row],[18]]=TRUE))</f>
        <v>0</v>
      </c>
      <c r="AF237" s="195" t="b">
        <f ca="1">IF(setca[[#This Row],[2]]="",FALSE,AND((setca[[#This Row],[3]]+TODAY())&lt;$C$36,setca[[#This Row],[18]]=TRUE))</f>
        <v>0</v>
      </c>
      <c r="AG237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237" s="1"/>
      <c r="AI237" s="1"/>
    </row>
    <row r="238" spans="1:35" ht="11.1" customHeight="1" x14ac:dyDescent="0.25">
      <c r="A238" s="124" t="str">
        <f t="array" aca="1" ref="A238" ca="1">IFERROR(INDEX($F$39:$F$238,MATCH(0,IF(TRUE=setca[28],0,1)+COUNTIF($F$38:F275,$F$39:$F$238),0)),"")</f>
        <v/>
      </c>
      <c r="B238" s="109">
        <f>IFERROR(VLOOKUP(setca[[#This Row],[23]],Start!$B$87:$N$10044,3,0),0)+IF(setca[[#This Row],[18]]=TRUE,1+setca[[#This Row],[14]],0)</f>
        <v>0</v>
      </c>
      <c r="C238" s="21">
        <f>IFERROR((IFERROR(VLOOKUP(setca[[#This Row],[23]],Start!$B$87:$N$10044,12,0),0)+IF(setca[[#This Row],[18]]=TRUE,setca[[#This Row],[21]]-setca[[#This Row],[22]],0))/B238,0)</f>
        <v>0</v>
      </c>
      <c r="D238" s="1"/>
      <c r="E238" s="19">
        <f t="shared" ca="1" si="14"/>
        <v>2</v>
      </c>
      <c r="F238" s="174">
        <f t="shared" si="15"/>
        <v>201</v>
      </c>
      <c r="G238" s="146"/>
      <c r="H238" s="146"/>
      <c r="I238" s="147"/>
      <c r="J238" s="148"/>
      <c r="K238" s="148"/>
      <c r="L238" s="148"/>
      <c r="M238" s="148"/>
      <c r="N238" s="148"/>
      <c r="O238" s="148"/>
      <c r="P238" s="149"/>
      <c r="Q238" s="150"/>
      <c r="R238" s="151"/>
      <c r="S238" s="152"/>
      <c r="T238" s="148" t="s">
        <v>71</v>
      </c>
      <c r="U238" s="133" t="b">
        <v>0</v>
      </c>
      <c r="V238" s="135" t="b">
        <v>0</v>
      </c>
      <c r="W238" s="136" t="b">
        <v>0</v>
      </c>
      <c r="X238" s="185" t="str">
        <f ca="1">IF(setca[[#This Row],[18]]=TRUE,IF($N$1=TRUE,TODAY()-1,TODAY()),"")</f>
        <v/>
      </c>
      <c r="Y238" s="195" t="str">
        <f ca="1">IF(setca[[#This Row],[2]]="","",IF(setca[[#This Row],[18]]=TRUE,                                     setca[[#This Row],[2]]+(TODAY())&lt;$C$36))</f>
        <v/>
      </c>
      <c r="Z238" s="195">
        <f>IF(OR(setca[[#This Row],[5]]="WN",setca[[#This Row],[5]]="Es"),(setca[[#This Row],[12]]+setca[[#This Row],[13]])*1.12,setca[[#This Row],[12]]+setca[[#This Row],[13]])</f>
        <v>0</v>
      </c>
      <c r="AA238" s="195">
        <f>IF(OR(setca[[#This Row],[5]]="WN",setca[[#This Row],[5]]="Es"),setca[[#This Row],[4]]*1.12,setca[[#This Row],[4]])*(setca[[#This Row],[14]]+1)</f>
        <v>0</v>
      </c>
      <c r="AB238" s="195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  <c r="AC238" s="172" t="str">
        <f>IF(setca[[#This Row],[2]]="","",IF(setca[[#This Row],[14]]&gt;0,"["&amp;setca[[#This Row],[14]]+1&amp;"] "&amp;                        IF(OR(setca[[#This Row],[5]]="WN",setca[[#This Row],[5]]="ES"),"€","$")&amp;setca[[#This Row],[4]]&amp;" ["&amp;setca[[#This Row],[5]]&amp;"] "&amp; setca[[#This Row],[6]]&amp;                    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M")))),                                                                                                                               "   "&amp;IF(OR(setca[[#This Row],[5]]="WN",setca[[#This Row],[5]]="ES"),"€","$")&amp;setca[[#This Row],[4]]&amp;" ["&amp;setca[[#This Row],[5]]&amp;"] "&amp;setca[[#This Row],[6]]&amp;IF(setca[[#This Row],[8]]="T"," [Turbo]",IF(setca[[#This Row],[8]]="H"," [Hyper]",""))&amp;IF(OR(setca[[#This Row],[5]]="WN",setca[[#This Row],[5]]="ES"),", €",", $")&amp;IF(setca[[#This Row],[11]]&lt;1000,setca[[#This Row],[11]],IF(setca[[#This Row],[11]]&lt;1000000,IF(setca[[#This Row],[11]]/1000=INT(setca[[#This Row],[11]]/1000),TEXT(setca[[#This Row],[11]],"#0 K"),TEXT(setca[[#This Row],[11]],"#0,0 K")), IF(setca[[#This Row],[11]]/1000000=INT(setca[[#This Row],[11]]/1000000),TEXT(setca[[#This Row],[11]],"# ###  M"),TEXT(setca[[#This Row],[11]],"# ###,0  M"))))))</f>
        <v/>
      </c>
      <c r="AD238" s="195" t="b">
        <f>IF(setca[[#This Row],[16]]=FALSE,TRUE,FALSE)</f>
        <v>1</v>
      </c>
      <c r="AE238" s="195" t="b">
        <f ca="1">IF(setca[[#This Row],[2]]="",FALSE,AND((setca[[#This Row],[2]]+TODAY())&lt;$C$36,setca[[#This Row],[17]]=FALSE,setca[[#This Row],[18]]=TRUE))</f>
        <v>0</v>
      </c>
      <c r="AF238" s="195" t="b">
        <f ca="1">IF(setca[[#This Row],[2]]="",FALSE,AND((setca[[#This Row],[3]]+TODAY())&lt;$C$36,setca[[#This Row],[18]]=TRUE))</f>
        <v>0</v>
      </c>
      <c r="AG238" s="195" t="b">
        <f ca="1" xml:space="preserve">   IF( AND(HOUR(setca[[#This Row],[3]])&lt;=HOUR($C$36)+1, setca[[#This Row],[2]]&lt;&gt;"",setca[[#This Row],[16]]=FALSE,$Q$29=TRUE),TRUE,                        IF( AND($Q$30=TRUE,setca[[#This Row],[2]]&lt;&gt;"",setca[[#This Row],[16]]=FALSE),TRUE,                              IF($Q$31=TRUE,                              AND(setca[[#This Row],[18]]= TRUE,setca[[#This Row],[16]]=FALSE),                     IF(setca[[#This Row],[3]]+(TODAY())&lt;$C$36,                 AND(setca[[#This Row],[2]]&lt;&gt;"", setca[[#This Row],[16]]=FALSE),                            AND(HOUR(setca[[#This Row],[3]])&lt;=HOUR($C$36)+1,setca[[#This Row],[16]]=FALSE,setca[[#This Row],[2]]&lt;&gt;"",$Q$32=FALSE)))))</f>
        <v>0</v>
      </c>
      <c r="AH238" s="1"/>
      <c r="AI238" s="1"/>
    </row>
  </sheetData>
  <mergeCells count="51">
    <mergeCell ref="AH9:AI9"/>
    <mergeCell ref="AH8:AI8"/>
    <mergeCell ref="AH3:AI3"/>
    <mergeCell ref="AH4:AI4"/>
    <mergeCell ref="AH5:AI5"/>
    <mergeCell ref="AH6:AI6"/>
    <mergeCell ref="AH7:AI7"/>
    <mergeCell ref="S8:T8"/>
    <mergeCell ref="S9:T9"/>
    <mergeCell ref="Q3:R3"/>
    <mergeCell ref="Q4:R4"/>
    <mergeCell ref="Q32:R32"/>
    <mergeCell ref="Q31:R31"/>
    <mergeCell ref="Q6:R6"/>
    <mergeCell ref="Q7:R7"/>
    <mergeCell ref="Q8:R8"/>
    <mergeCell ref="S3:T3"/>
    <mergeCell ref="S4:T4"/>
    <mergeCell ref="S5:T5"/>
    <mergeCell ref="S6:T6"/>
    <mergeCell ref="Q5:R5"/>
    <mergeCell ref="Q30:R30"/>
    <mergeCell ref="Q29:R29"/>
    <mergeCell ref="C34:G34"/>
    <mergeCell ref="H34:J34"/>
    <mergeCell ref="L34:M34"/>
    <mergeCell ref="T1:AI1"/>
    <mergeCell ref="S7:T7"/>
    <mergeCell ref="N34:O34"/>
    <mergeCell ref="P34:Q34"/>
    <mergeCell ref="Q9:R9"/>
    <mergeCell ref="O3:P3"/>
    <mergeCell ref="O4:P4"/>
    <mergeCell ref="O5:P5"/>
    <mergeCell ref="O6:P6"/>
    <mergeCell ref="O7:P7"/>
    <mergeCell ref="O8:P8"/>
    <mergeCell ref="O9:P9"/>
    <mergeCell ref="R34:S34"/>
    <mergeCell ref="R36:S36"/>
    <mergeCell ref="C35:G35"/>
    <mergeCell ref="H35:J35"/>
    <mergeCell ref="L35:M35"/>
    <mergeCell ref="N35:O35"/>
    <mergeCell ref="P35:Q35"/>
    <mergeCell ref="R35:S35"/>
    <mergeCell ref="C36:G36"/>
    <mergeCell ref="H36:J36"/>
    <mergeCell ref="L36:M36"/>
    <mergeCell ref="N36:O36"/>
    <mergeCell ref="P36:Q36"/>
  </mergeCells>
  <phoneticPr fontId="5" type="noConversion"/>
  <conditionalFormatting sqref="C39:C238">
    <cfRule type="expression" dxfId="43" priority="69">
      <formula>$C39&gt;0</formula>
    </cfRule>
    <cfRule type="expression" dxfId="42" priority="70">
      <formula>$C39&lt;0</formula>
    </cfRule>
  </conditionalFormatting>
  <conditionalFormatting sqref="B39:C238">
    <cfRule type="expression" dxfId="41" priority="68">
      <formula>$C39=0</formula>
    </cfRule>
  </conditionalFormatting>
  <conditionalFormatting sqref="J3:N32">
    <cfRule type="expression" dxfId="40" priority="19">
      <formula>$K3="                                            THE END"</formula>
    </cfRule>
    <cfRule type="expression" dxfId="39" priority="22">
      <formula>$H$1=$I$1</formula>
    </cfRule>
    <cfRule type="expression" dxfId="38" priority="41">
      <formula>AND($H3=TRUE,$C3=TRUE,$F3=TRUE)</formula>
    </cfRule>
    <cfRule type="expression" dxfId="37" priority="46">
      <formula>AND($N3&lt;&gt;"-",$N3&lt;&gt;"SE         ")</formula>
    </cfRule>
    <cfRule type="expression" dxfId="36" priority="61">
      <formula>AND($D3=TRUE,$N3&lt;&gt;"SE         ")</formula>
    </cfRule>
    <cfRule type="expression" dxfId="35" priority="62">
      <formula>$C3=FALSE</formula>
    </cfRule>
    <cfRule type="expression" dxfId="34" priority="66">
      <formula>$E3=TRUE</formula>
    </cfRule>
    <cfRule type="expression" dxfId="33" priority="67">
      <formula>AND($C3=TRUE,$E3=FALSE,$H3=FALSE)</formula>
    </cfRule>
  </conditionalFormatting>
  <conditionalFormatting sqref="G39:W39 G40:AB238 AG39:AI39 AD40:AI238">
    <cfRule type="expression" dxfId="32" priority="301">
      <formula>$V39=TRUE</formula>
    </cfRule>
  </conditionalFormatting>
  <conditionalFormatting sqref="H39:H238">
    <cfRule type="expression" dxfId="31" priority="302">
      <formula>AND($H39&gt;0,$W39=TRUE)</formula>
    </cfRule>
    <cfRule type="expression" dxfId="30" priority="303">
      <formula>AND($H39&gt;0,$W39=FALSE)</formula>
    </cfRule>
  </conditionalFormatting>
  <conditionalFormatting sqref="V39:V238 F39:T238">
    <cfRule type="expression" dxfId="29" priority="304">
      <formula>AND($G39+TIME(0,1,0)=TIME(HOUR($C$36),MINUTE($C$36),0),$W39=FALSE,$Q$32=FALSE,MOD(SECOND($C$36),2)=0,SECOND($C$36)&lt;20)</formula>
    </cfRule>
    <cfRule type="expression" priority="305" stopIfTrue="1">
      <formula>$G39=""</formula>
    </cfRule>
    <cfRule type="expression" dxfId="28" priority="306">
      <formula>AND($G39=TIME(HOUR($C$36),MINUTE($C$36),0),$W39=FALSE,$Q$32=FALSE)</formula>
    </cfRule>
    <cfRule type="expression" dxfId="27" priority="307">
      <formula>AND(MOD(HOUR($G39),2)=0,$W39=TRUE)</formula>
    </cfRule>
    <cfRule type="expression" dxfId="26" priority="308">
      <formula>AND(MOD(HOUR($G39),2)=1,$W39=TRUE)</formula>
    </cfRule>
    <cfRule type="expression" dxfId="25" priority="309">
      <formula>MOD(HOUR($G39),2)=1</formula>
    </cfRule>
  </conditionalFormatting>
  <conditionalFormatting sqref="O3:O8">
    <cfRule type="expression" dxfId="24" priority="45">
      <formula>$O$8=0</formula>
    </cfRule>
    <cfRule type="expression" dxfId="23" priority="50">
      <formula>$O$8&gt;0</formula>
    </cfRule>
    <cfRule type="expression" dxfId="22" priority="54">
      <formula>$O$8&lt;0</formula>
    </cfRule>
  </conditionalFormatting>
  <conditionalFormatting sqref="AH3:AH8">
    <cfRule type="expression" dxfId="21" priority="52">
      <formula>AH$8&lt;0</formula>
    </cfRule>
  </conditionalFormatting>
  <conditionalFormatting sqref="Q3:Q8">
    <cfRule type="expression" dxfId="20" priority="44">
      <formula>$Q$8=0</formula>
    </cfRule>
    <cfRule type="expression" dxfId="19" priority="49">
      <formula>$Q$8&gt;0</formula>
    </cfRule>
    <cfRule type="expression" dxfId="18" priority="53">
      <formula>Q$8&lt;0</formula>
    </cfRule>
  </conditionalFormatting>
  <conditionalFormatting sqref="S3:T8">
    <cfRule type="expression" dxfId="17" priority="43">
      <formula>$S$8=0</formula>
    </cfRule>
    <cfRule type="expression" dxfId="16" priority="48">
      <formula>$S$8&gt;=0</formula>
    </cfRule>
    <cfRule type="expression" dxfId="15" priority="51">
      <formula>$S$8&lt;0</formula>
    </cfRule>
  </conditionalFormatting>
  <conditionalFormatting sqref="AH3:AI8">
    <cfRule type="expression" dxfId="14" priority="42">
      <formula>$AH$8=0</formula>
    </cfRule>
    <cfRule type="expression" dxfId="13" priority="47">
      <formula>$AH$8&gt;0</formula>
    </cfRule>
  </conditionalFormatting>
  <conditionalFormatting sqref="J2:N32">
    <cfRule type="expression" dxfId="12" priority="20">
      <formula>$AJ2=2</formula>
    </cfRule>
    <cfRule type="expression" dxfId="11" priority="21">
      <formula>$AJ2=1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9059" r:id="rId3" name="Check Box 211">
              <controlPr defaultSize="0" autoFill="0" autoLine="0" autoPict="0">
                <anchor moveWithCells="1">
                  <from>
                    <xdr:col>3</xdr:col>
                    <xdr:colOff>0</xdr:colOff>
                    <xdr:row>37</xdr:row>
                    <xdr:rowOff>85725</xdr:rowOff>
                  </from>
                  <to>
                    <xdr:col>6</xdr:col>
                    <xdr:colOff>123825</xdr:colOff>
                    <xdr:row>39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60" r:id="rId4" name="Check Box 212">
              <controlPr defaultSize="0" autoFill="0" autoLine="0" autoPict="0">
                <anchor moveWithCells="1">
                  <from>
                    <xdr:col>3</xdr:col>
                    <xdr:colOff>0</xdr:colOff>
                    <xdr:row>38</xdr:row>
                    <xdr:rowOff>85725</xdr:rowOff>
                  </from>
                  <to>
                    <xdr:col>6</xdr:col>
                    <xdr:colOff>123825</xdr:colOff>
                    <xdr:row>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61" r:id="rId5" name="Check Box 213">
              <controlPr defaultSize="0" autoFill="0" autoLine="0" autoPict="0">
                <anchor moveWithCells="1">
                  <from>
                    <xdr:col>3</xdr:col>
                    <xdr:colOff>0</xdr:colOff>
                    <xdr:row>39</xdr:row>
                    <xdr:rowOff>85725</xdr:rowOff>
                  </from>
                  <to>
                    <xdr:col>6</xdr:col>
                    <xdr:colOff>123825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62" r:id="rId6" name="Check Box 214">
              <controlPr defaultSize="0" autoFill="0" autoLine="0" autoPict="0">
                <anchor moveWithCells="1">
                  <from>
                    <xdr:col>3</xdr:col>
                    <xdr:colOff>0</xdr:colOff>
                    <xdr:row>40</xdr:row>
                    <xdr:rowOff>85725</xdr:rowOff>
                  </from>
                  <to>
                    <xdr:col>6</xdr:col>
                    <xdr:colOff>123825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63" r:id="rId7" name="Check Box 215">
              <controlPr defaultSize="0" autoFill="0" autoLine="0" autoPict="0">
                <anchor moveWithCells="1">
                  <from>
                    <xdr:col>3</xdr:col>
                    <xdr:colOff>0</xdr:colOff>
                    <xdr:row>41</xdr:row>
                    <xdr:rowOff>85725</xdr:rowOff>
                  </from>
                  <to>
                    <xdr:col>6</xdr:col>
                    <xdr:colOff>123825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64" r:id="rId8" name="Check Box 216">
              <controlPr defaultSize="0" autoFill="0" autoLine="0" autoPict="0">
                <anchor moveWithCells="1">
                  <from>
                    <xdr:col>3</xdr:col>
                    <xdr:colOff>0</xdr:colOff>
                    <xdr:row>42</xdr:row>
                    <xdr:rowOff>85725</xdr:rowOff>
                  </from>
                  <to>
                    <xdr:col>6</xdr:col>
                    <xdr:colOff>123825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65" r:id="rId9" name="Check Box 217">
              <controlPr defaultSize="0" autoFill="0" autoLine="0" autoPict="0">
                <anchor moveWithCells="1">
                  <from>
                    <xdr:col>3</xdr:col>
                    <xdr:colOff>0</xdr:colOff>
                    <xdr:row>43</xdr:row>
                    <xdr:rowOff>85725</xdr:rowOff>
                  </from>
                  <to>
                    <xdr:col>6</xdr:col>
                    <xdr:colOff>123825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66" r:id="rId10" name="Check Box 218">
              <controlPr defaultSize="0" autoFill="0" autoLine="0" autoPict="0">
                <anchor moveWithCells="1">
                  <from>
                    <xdr:col>3</xdr:col>
                    <xdr:colOff>0</xdr:colOff>
                    <xdr:row>44</xdr:row>
                    <xdr:rowOff>85725</xdr:rowOff>
                  </from>
                  <to>
                    <xdr:col>6</xdr:col>
                    <xdr:colOff>123825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67" r:id="rId11" name="Check Box 219">
              <controlPr defaultSize="0" autoFill="0" autoLine="0" autoPict="0">
                <anchor moveWithCells="1">
                  <from>
                    <xdr:col>3</xdr:col>
                    <xdr:colOff>0</xdr:colOff>
                    <xdr:row>45</xdr:row>
                    <xdr:rowOff>85725</xdr:rowOff>
                  </from>
                  <to>
                    <xdr:col>6</xdr:col>
                    <xdr:colOff>123825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68" r:id="rId12" name="Check Box 220">
              <controlPr defaultSize="0" autoFill="0" autoLine="0" autoPict="0">
                <anchor moveWithCells="1">
                  <from>
                    <xdr:col>3</xdr:col>
                    <xdr:colOff>0</xdr:colOff>
                    <xdr:row>46</xdr:row>
                    <xdr:rowOff>85725</xdr:rowOff>
                  </from>
                  <to>
                    <xdr:col>6</xdr:col>
                    <xdr:colOff>123825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69" r:id="rId13" name="Check Box 221">
              <controlPr defaultSize="0" autoFill="0" autoLine="0" autoPict="0">
                <anchor moveWithCells="1">
                  <from>
                    <xdr:col>3</xdr:col>
                    <xdr:colOff>0</xdr:colOff>
                    <xdr:row>47</xdr:row>
                    <xdr:rowOff>85725</xdr:rowOff>
                  </from>
                  <to>
                    <xdr:col>6</xdr:col>
                    <xdr:colOff>123825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70" r:id="rId14" name="Check Box 222">
              <controlPr defaultSize="0" autoFill="0" autoLine="0" autoPict="0">
                <anchor moveWithCells="1">
                  <from>
                    <xdr:col>3</xdr:col>
                    <xdr:colOff>0</xdr:colOff>
                    <xdr:row>50</xdr:row>
                    <xdr:rowOff>85725</xdr:rowOff>
                  </from>
                  <to>
                    <xdr:col>6</xdr:col>
                    <xdr:colOff>123825</xdr:colOff>
                    <xdr:row>52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71" r:id="rId15" name="Check Box 223">
              <controlPr defaultSize="0" autoFill="0" autoLine="0" autoPict="0">
                <anchor moveWithCells="1">
                  <from>
                    <xdr:col>3</xdr:col>
                    <xdr:colOff>0</xdr:colOff>
                    <xdr:row>51</xdr:row>
                    <xdr:rowOff>85725</xdr:rowOff>
                  </from>
                  <to>
                    <xdr:col>6</xdr:col>
                    <xdr:colOff>123825</xdr:colOff>
                    <xdr:row>53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72" r:id="rId16" name="Check Box 224">
              <controlPr defaultSize="0" autoFill="0" autoLine="0" autoPict="0">
                <anchor moveWithCells="1">
                  <from>
                    <xdr:col>3</xdr:col>
                    <xdr:colOff>0</xdr:colOff>
                    <xdr:row>52</xdr:row>
                    <xdr:rowOff>85725</xdr:rowOff>
                  </from>
                  <to>
                    <xdr:col>6</xdr:col>
                    <xdr:colOff>123825</xdr:colOff>
                    <xdr:row>54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73" r:id="rId17" name="Check Box 225">
              <controlPr defaultSize="0" autoFill="0" autoLine="0" autoPict="0">
                <anchor moveWithCells="1">
                  <from>
                    <xdr:col>3</xdr:col>
                    <xdr:colOff>0</xdr:colOff>
                    <xdr:row>53</xdr:row>
                    <xdr:rowOff>85725</xdr:rowOff>
                  </from>
                  <to>
                    <xdr:col>6</xdr:col>
                    <xdr:colOff>123825</xdr:colOff>
                    <xdr:row>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74" r:id="rId18" name="Check Box 226">
              <controlPr defaultSize="0" autoFill="0" autoLine="0" autoPict="0">
                <anchor moveWithCells="1">
                  <from>
                    <xdr:col>3</xdr:col>
                    <xdr:colOff>0</xdr:colOff>
                    <xdr:row>54</xdr:row>
                    <xdr:rowOff>85725</xdr:rowOff>
                  </from>
                  <to>
                    <xdr:col>6</xdr:col>
                    <xdr:colOff>123825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75" r:id="rId19" name="Check Box 227">
              <controlPr defaultSize="0" autoFill="0" autoLine="0" autoPict="0">
                <anchor moveWithCells="1">
                  <from>
                    <xdr:col>3</xdr:col>
                    <xdr:colOff>0</xdr:colOff>
                    <xdr:row>55</xdr:row>
                    <xdr:rowOff>85725</xdr:rowOff>
                  </from>
                  <to>
                    <xdr:col>6</xdr:col>
                    <xdr:colOff>123825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76" r:id="rId20" name="Check Box 228">
              <controlPr defaultSize="0" autoFill="0" autoLine="0" autoPict="0">
                <anchor moveWithCells="1">
                  <from>
                    <xdr:col>3</xdr:col>
                    <xdr:colOff>0</xdr:colOff>
                    <xdr:row>56</xdr:row>
                    <xdr:rowOff>85725</xdr:rowOff>
                  </from>
                  <to>
                    <xdr:col>6</xdr:col>
                    <xdr:colOff>123825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77" r:id="rId21" name="Check Box 229">
              <controlPr defaultSize="0" autoFill="0" autoLine="0" autoPict="0">
                <anchor moveWithCells="1">
                  <from>
                    <xdr:col>3</xdr:col>
                    <xdr:colOff>0</xdr:colOff>
                    <xdr:row>57</xdr:row>
                    <xdr:rowOff>85725</xdr:rowOff>
                  </from>
                  <to>
                    <xdr:col>6</xdr:col>
                    <xdr:colOff>123825</xdr:colOff>
                    <xdr:row>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78" r:id="rId22" name="Check Box 230">
              <controlPr defaultSize="0" autoFill="0" autoLine="0" autoPict="0">
                <anchor moveWithCells="1">
                  <from>
                    <xdr:col>3</xdr:col>
                    <xdr:colOff>0</xdr:colOff>
                    <xdr:row>58</xdr:row>
                    <xdr:rowOff>85725</xdr:rowOff>
                  </from>
                  <to>
                    <xdr:col>6</xdr:col>
                    <xdr:colOff>123825</xdr:colOff>
                    <xdr:row>60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79" r:id="rId23" name="Check Box 231">
              <controlPr defaultSize="0" autoFill="0" autoLine="0" autoPict="0">
                <anchor moveWithCells="1">
                  <from>
                    <xdr:col>3</xdr:col>
                    <xdr:colOff>0</xdr:colOff>
                    <xdr:row>59</xdr:row>
                    <xdr:rowOff>85725</xdr:rowOff>
                  </from>
                  <to>
                    <xdr:col>6</xdr:col>
                    <xdr:colOff>123825</xdr:colOff>
                    <xdr:row>61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80" r:id="rId24" name="Check Box 232">
              <controlPr defaultSize="0" autoFill="0" autoLine="0" autoPict="0">
                <anchor moveWithCells="1">
                  <from>
                    <xdr:col>3</xdr:col>
                    <xdr:colOff>0</xdr:colOff>
                    <xdr:row>60</xdr:row>
                    <xdr:rowOff>85725</xdr:rowOff>
                  </from>
                  <to>
                    <xdr:col>6</xdr:col>
                    <xdr:colOff>123825</xdr:colOff>
                    <xdr:row>62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81" r:id="rId25" name="Check Box 233">
              <controlPr defaultSize="0" autoFill="0" autoLine="0" autoPict="0">
                <anchor moveWithCells="1">
                  <from>
                    <xdr:col>3</xdr:col>
                    <xdr:colOff>0</xdr:colOff>
                    <xdr:row>61</xdr:row>
                    <xdr:rowOff>85725</xdr:rowOff>
                  </from>
                  <to>
                    <xdr:col>6</xdr:col>
                    <xdr:colOff>123825</xdr:colOff>
                    <xdr:row>63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82" r:id="rId26" name="Check Box 234">
              <controlPr defaultSize="0" autoFill="0" autoLine="0" autoPict="0">
                <anchor moveWithCells="1">
                  <from>
                    <xdr:col>3</xdr:col>
                    <xdr:colOff>0</xdr:colOff>
                    <xdr:row>62</xdr:row>
                    <xdr:rowOff>85725</xdr:rowOff>
                  </from>
                  <to>
                    <xdr:col>6</xdr:col>
                    <xdr:colOff>123825</xdr:colOff>
                    <xdr:row>64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83" r:id="rId27" name="Check Box 235">
              <controlPr defaultSize="0" autoFill="0" autoLine="0" autoPict="0">
                <anchor moveWithCells="1">
                  <from>
                    <xdr:col>3</xdr:col>
                    <xdr:colOff>0</xdr:colOff>
                    <xdr:row>63</xdr:row>
                    <xdr:rowOff>85725</xdr:rowOff>
                  </from>
                  <to>
                    <xdr:col>6</xdr:col>
                    <xdr:colOff>123825</xdr:colOff>
                    <xdr:row>65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84" r:id="rId28" name="Check Box 236">
              <controlPr defaultSize="0" autoFill="0" autoLine="0" autoPict="0">
                <anchor moveWithCells="1">
                  <from>
                    <xdr:col>3</xdr:col>
                    <xdr:colOff>0</xdr:colOff>
                    <xdr:row>64</xdr:row>
                    <xdr:rowOff>85725</xdr:rowOff>
                  </from>
                  <to>
                    <xdr:col>6</xdr:col>
                    <xdr:colOff>123825</xdr:colOff>
                    <xdr:row>66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85" r:id="rId29" name="Check Box 237">
              <controlPr defaultSize="0" autoFill="0" autoLine="0" autoPict="0">
                <anchor moveWithCells="1">
                  <from>
                    <xdr:col>3</xdr:col>
                    <xdr:colOff>0</xdr:colOff>
                    <xdr:row>65</xdr:row>
                    <xdr:rowOff>85725</xdr:rowOff>
                  </from>
                  <to>
                    <xdr:col>6</xdr:col>
                    <xdr:colOff>123825</xdr:colOff>
                    <xdr:row>67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86" r:id="rId30" name="Check Box 238">
              <controlPr defaultSize="0" autoFill="0" autoLine="0" autoPict="0">
                <anchor moveWithCells="1">
                  <from>
                    <xdr:col>3</xdr:col>
                    <xdr:colOff>0</xdr:colOff>
                    <xdr:row>66</xdr:row>
                    <xdr:rowOff>85725</xdr:rowOff>
                  </from>
                  <to>
                    <xdr:col>6</xdr:col>
                    <xdr:colOff>123825</xdr:colOff>
                    <xdr:row>68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87" r:id="rId31" name="Check Box 239">
              <controlPr defaultSize="0" autoFill="0" autoLine="0" autoPict="0">
                <anchor moveWithCells="1">
                  <from>
                    <xdr:col>3</xdr:col>
                    <xdr:colOff>0</xdr:colOff>
                    <xdr:row>67</xdr:row>
                    <xdr:rowOff>85725</xdr:rowOff>
                  </from>
                  <to>
                    <xdr:col>6</xdr:col>
                    <xdr:colOff>123825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88" r:id="rId32" name="Check Box 240">
              <controlPr defaultSize="0" autoFill="0" autoLine="0" autoPict="0">
                <anchor moveWithCells="1">
                  <from>
                    <xdr:col>3</xdr:col>
                    <xdr:colOff>0</xdr:colOff>
                    <xdr:row>68</xdr:row>
                    <xdr:rowOff>85725</xdr:rowOff>
                  </from>
                  <to>
                    <xdr:col>6</xdr:col>
                    <xdr:colOff>123825</xdr:colOff>
                    <xdr:row>70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89" r:id="rId33" name="Check Box 241">
              <controlPr defaultSize="0" autoFill="0" autoLine="0" autoPict="0">
                <anchor moveWithCells="1">
                  <from>
                    <xdr:col>3</xdr:col>
                    <xdr:colOff>0</xdr:colOff>
                    <xdr:row>69</xdr:row>
                    <xdr:rowOff>85725</xdr:rowOff>
                  </from>
                  <to>
                    <xdr:col>6</xdr:col>
                    <xdr:colOff>123825</xdr:colOff>
                    <xdr:row>71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90" r:id="rId34" name="Check Box 242">
              <controlPr defaultSize="0" autoFill="0" autoLine="0" autoPict="0">
                <anchor moveWithCells="1">
                  <from>
                    <xdr:col>3</xdr:col>
                    <xdr:colOff>0</xdr:colOff>
                    <xdr:row>70</xdr:row>
                    <xdr:rowOff>85725</xdr:rowOff>
                  </from>
                  <to>
                    <xdr:col>6</xdr:col>
                    <xdr:colOff>123825</xdr:colOff>
                    <xdr:row>72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91" r:id="rId35" name="Check Box 243">
              <controlPr defaultSize="0" autoFill="0" autoLine="0" autoPict="0">
                <anchor moveWithCells="1">
                  <from>
                    <xdr:col>3</xdr:col>
                    <xdr:colOff>0</xdr:colOff>
                    <xdr:row>71</xdr:row>
                    <xdr:rowOff>85725</xdr:rowOff>
                  </from>
                  <to>
                    <xdr:col>6</xdr:col>
                    <xdr:colOff>123825</xdr:colOff>
                    <xdr:row>73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92" r:id="rId36" name="Check Box 244">
              <controlPr defaultSize="0" autoFill="0" autoLine="0" autoPict="0">
                <anchor moveWithCells="1">
                  <from>
                    <xdr:col>3</xdr:col>
                    <xdr:colOff>0</xdr:colOff>
                    <xdr:row>72</xdr:row>
                    <xdr:rowOff>85725</xdr:rowOff>
                  </from>
                  <to>
                    <xdr:col>6</xdr:col>
                    <xdr:colOff>123825</xdr:colOff>
                    <xdr:row>74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93" r:id="rId37" name="Check Box 245">
              <controlPr defaultSize="0" autoFill="0" autoLine="0" autoPict="0">
                <anchor moveWithCells="1">
                  <from>
                    <xdr:col>3</xdr:col>
                    <xdr:colOff>0</xdr:colOff>
                    <xdr:row>73</xdr:row>
                    <xdr:rowOff>85725</xdr:rowOff>
                  </from>
                  <to>
                    <xdr:col>6</xdr:col>
                    <xdr:colOff>123825</xdr:colOff>
                    <xdr:row>75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94" r:id="rId38" name="Check Box 246">
              <controlPr defaultSize="0" autoFill="0" autoLine="0" autoPict="0">
                <anchor moveWithCells="1">
                  <from>
                    <xdr:col>3</xdr:col>
                    <xdr:colOff>0</xdr:colOff>
                    <xdr:row>74</xdr:row>
                    <xdr:rowOff>85725</xdr:rowOff>
                  </from>
                  <to>
                    <xdr:col>6</xdr:col>
                    <xdr:colOff>123825</xdr:colOff>
                    <xdr:row>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95" r:id="rId39" name="Check Box 247">
              <controlPr defaultSize="0" autoFill="0" autoLine="0" autoPict="0">
                <anchor moveWithCells="1">
                  <from>
                    <xdr:col>3</xdr:col>
                    <xdr:colOff>0</xdr:colOff>
                    <xdr:row>75</xdr:row>
                    <xdr:rowOff>85725</xdr:rowOff>
                  </from>
                  <to>
                    <xdr:col>6</xdr:col>
                    <xdr:colOff>123825</xdr:colOff>
                    <xdr:row>77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96" r:id="rId40" name="Check Box 248">
              <controlPr defaultSize="0" autoFill="0" autoLine="0" autoPict="0">
                <anchor moveWithCells="1">
                  <from>
                    <xdr:col>3</xdr:col>
                    <xdr:colOff>0</xdr:colOff>
                    <xdr:row>76</xdr:row>
                    <xdr:rowOff>85725</xdr:rowOff>
                  </from>
                  <to>
                    <xdr:col>6</xdr:col>
                    <xdr:colOff>123825</xdr:colOff>
                    <xdr:row>78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97" r:id="rId41" name="Check Box 249">
              <controlPr defaultSize="0" autoFill="0" autoLine="0" autoPict="0">
                <anchor moveWithCells="1">
                  <from>
                    <xdr:col>3</xdr:col>
                    <xdr:colOff>0</xdr:colOff>
                    <xdr:row>77</xdr:row>
                    <xdr:rowOff>85725</xdr:rowOff>
                  </from>
                  <to>
                    <xdr:col>6</xdr:col>
                    <xdr:colOff>123825</xdr:colOff>
                    <xdr:row>79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98" r:id="rId42" name="Check Box 250">
              <controlPr defaultSize="0" autoFill="0" autoLine="0" autoPict="0">
                <anchor moveWithCells="1">
                  <from>
                    <xdr:col>3</xdr:col>
                    <xdr:colOff>0</xdr:colOff>
                    <xdr:row>78</xdr:row>
                    <xdr:rowOff>85725</xdr:rowOff>
                  </from>
                  <to>
                    <xdr:col>6</xdr:col>
                    <xdr:colOff>123825</xdr:colOff>
                    <xdr:row>80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99" r:id="rId43" name="Check Box 251">
              <controlPr defaultSize="0" autoFill="0" autoLine="0" autoPict="0">
                <anchor moveWithCells="1">
                  <from>
                    <xdr:col>3</xdr:col>
                    <xdr:colOff>0</xdr:colOff>
                    <xdr:row>79</xdr:row>
                    <xdr:rowOff>85725</xdr:rowOff>
                  </from>
                  <to>
                    <xdr:col>6</xdr:col>
                    <xdr:colOff>123825</xdr:colOff>
                    <xdr:row>81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00" r:id="rId44" name="Check Box 252">
              <controlPr defaultSize="0" autoFill="0" autoLine="0" autoPict="0">
                <anchor moveWithCells="1">
                  <from>
                    <xdr:col>3</xdr:col>
                    <xdr:colOff>0</xdr:colOff>
                    <xdr:row>80</xdr:row>
                    <xdr:rowOff>85725</xdr:rowOff>
                  </from>
                  <to>
                    <xdr:col>6</xdr:col>
                    <xdr:colOff>123825</xdr:colOff>
                    <xdr:row>82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01" r:id="rId45" name="Check Box 253">
              <controlPr defaultSize="0" autoFill="0" autoLine="0" autoPict="0">
                <anchor moveWithCells="1">
                  <from>
                    <xdr:col>3</xdr:col>
                    <xdr:colOff>0</xdr:colOff>
                    <xdr:row>81</xdr:row>
                    <xdr:rowOff>85725</xdr:rowOff>
                  </from>
                  <to>
                    <xdr:col>6</xdr:col>
                    <xdr:colOff>123825</xdr:colOff>
                    <xdr:row>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02" r:id="rId46" name="Check Box 254">
              <controlPr defaultSize="0" autoFill="0" autoLine="0" autoPict="0">
                <anchor moveWithCells="1">
                  <from>
                    <xdr:col>3</xdr:col>
                    <xdr:colOff>0</xdr:colOff>
                    <xdr:row>82</xdr:row>
                    <xdr:rowOff>85725</xdr:rowOff>
                  </from>
                  <to>
                    <xdr:col>6</xdr:col>
                    <xdr:colOff>123825</xdr:colOff>
                    <xdr:row>84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03" r:id="rId47" name="Check Box 255">
              <controlPr defaultSize="0" autoFill="0" autoLine="0" autoPict="0">
                <anchor moveWithCells="1">
                  <from>
                    <xdr:col>3</xdr:col>
                    <xdr:colOff>0</xdr:colOff>
                    <xdr:row>83</xdr:row>
                    <xdr:rowOff>85725</xdr:rowOff>
                  </from>
                  <to>
                    <xdr:col>6</xdr:col>
                    <xdr:colOff>123825</xdr:colOff>
                    <xdr:row>85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04" r:id="rId48" name="Check Box 256">
              <controlPr defaultSize="0" autoFill="0" autoLine="0" autoPict="0">
                <anchor moveWithCells="1">
                  <from>
                    <xdr:col>3</xdr:col>
                    <xdr:colOff>0</xdr:colOff>
                    <xdr:row>84</xdr:row>
                    <xdr:rowOff>85725</xdr:rowOff>
                  </from>
                  <to>
                    <xdr:col>6</xdr:col>
                    <xdr:colOff>123825</xdr:colOff>
                    <xdr:row>86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05" r:id="rId49" name="Check Box 257">
              <controlPr defaultSize="0" autoFill="0" autoLine="0" autoPict="0">
                <anchor moveWithCells="1">
                  <from>
                    <xdr:col>3</xdr:col>
                    <xdr:colOff>0</xdr:colOff>
                    <xdr:row>85</xdr:row>
                    <xdr:rowOff>85725</xdr:rowOff>
                  </from>
                  <to>
                    <xdr:col>6</xdr:col>
                    <xdr:colOff>123825</xdr:colOff>
                    <xdr:row>87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06" r:id="rId50" name="Check Box 258">
              <controlPr defaultSize="0" autoFill="0" autoLine="0" autoPict="0">
                <anchor moveWithCells="1">
                  <from>
                    <xdr:col>3</xdr:col>
                    <xdr:colOff>0</xdr:colOff>
                    <xdr:row>86</xdr:row>
                    <xdr:rowOff>85725</xdr:rowOff>
                  </from>
                  <to>
                    <xdr:col>6</xdr:col>
                    <xdr:colOff>123825</xdr:colOff>
                    <xdr:row>88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07" r:id="rId51" name="Check Box 259">
              <controlPr defaultSize="0" autoFill="0" autoLine="0" autoPict="0">
                <anchor moveWithCells="1">
                  <from>
                    <xdr:col>3</xdr:col>
                    <xdr:colOff>0</xdr:colOff>
                    <xdr:row>48</xdr:row>
                    <xdr:rowOff>85725</xdr:rowOff>
                  </from>
                  <to>
                    <xdr:col>6</xdr:col>
                    <xdr:colOff>123825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08" r:id="rId52" name="Check Box 260">
              <controlPr defaultSize="0" autoFill="0" autoLine="0" autoPict="0">
                <anchor moveWithCells="1">
                  <from>
                    <xdr:col>3</xdr:col>
                    <xdr:colOff>0</xdr:colOff>
                    <xdr:row>49</xdr:row>
                    <xdr:rowOff>85725</xdr:rowOff>
                  </from>
                  <to>
                    <xdr:col>6</xdr:col>
                    <xdr:colOff>123825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09" r:id="rId53" name="Check Box 261">
              <controlPr defaultSize="0" autoFill="0" autoLine="0" autoPict="0">
                <anchor moveWithCells="1">
                  <from>
                    <xdr:col>3</xdr:col>
                    <xdr:colOff>0</xdr:colOff>
                    <xdr:row>87</xdr:row>
                    <xdr:rowOff>85725</xdr:rowOff>
                  </from>
                  <to>
                    <xdr:col>6</xdr:col>
                    <xdr:colOff>123825</xdr:colOff>
                    <xdr:row>89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10" r:id="rId54" name="Check Box 262">
              <controlPr defaultSize="0" autoFill="0" autoLine="0" autoPict="0">
                <anchor moveWithCells="1">
                  <from>
                    <xdr:col>3</xdr:col>
                    <xdr:colOff>0</xdr:colOff>
                    <xdr:row>88</xdr:row>
                    <xdr:rowOff>85725</xdr:rowOff>
                  </from>
                  <to>
                    <xdr:col>6</xdr:col>
                    <xdr:colOff>123825</xdr:colOff>
                    <xdr:row>90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11" r:id="rId55" name="Check Box 263">
              <controlPr defaultSize="0" autoFill="0" autoLine="0" autoPict="0">
                <anchor moveWithCells="1">
                  <from>
                    <xdr:col>3</xdr:col>
                    <xdr:colOff>0</xdr:colOff>
                    <xdr:row>89</xdr:row>
                    <xdr:rowOff>85725</xdr:rowOff>
                  </from>
                  <to>
                    <xdr:col>6</xdr:col>
                    <xdr:colOff>123825</xdr:colOff>
                    <xdr:row>91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12" r:id="rId56" name="Check Box 264">
              <controlPr defaultSize="0" autoFill="0" autoLine="0" autoPict="0">
                <anchor moveWithCells="1">
                  <from>
                    <xdr:col>3</xdr:col>
                    <xdr:colOff>0</xdr:colOff>
                    <xdr:row>90</xdr:row>
                    <xdr:rowOff>85725</xdr:rowOff>
                  </from>
                  <to>
                    <xdr:col>6</xdr:col>
                    <xdr:colOff>123825</xdr:colOff>
                    <xdr:row>92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13" r:id="rId57" name="Check Box 265">
              <controlPr defaultSize="0" autoFill="0" autoLine="0" autoPict="0">
                <anchor moveWithCells="1">
                  <from>
                    <xdr:col>3</xdr:col>
                    <xdr:colOff>0</xdr:colOff>
                    <xdr:row>91</xdr:row>
                    <xdr:rowOff>85725</xdr:rowOff>
                  </from>
                  <to>
                    <xdr:col>6</xdr:col>
                    <xdr:colOff>123825</xdr:colOff>
                    <xdr:row>93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14" r:id="rId58" name="Check Box 266">
              <controlPr defaultSize="0" autoFill="0" autoLine="0" autoPict="0">
                <anchor moveWithCells="1">
                  <from>
                    <xdr:col>3</xdr:col>
                    <xdr:colOff>0</xdr:colOff>
                    <xdr:row>92</xdr:row>
                    <xdr:rowOff>85725</xdr:rowOff>
                  </from>
                  <to>
                    <xdr:col>6</xdr:col>
                    <xdr:colOff>123825</xdr:colOff>
                    <xdr:row>94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15" r:id="rId59" name="Check Box 267">
              <controlPr defaultSize="0" autoFill="0" autoLine="0" autoPict="0">
                <anchor moveWithCells="1">
                  <from>
                    <xdr:col>3</xdr:col>
                    <xdr:colOff>0</xdr:colOff>
                    <xdr:row>93</xdr:row>
                    <xdr:rowOff>85725</xdr:rowOff>
                  </from>
                  <to>
                    <xdr:col>6</xdr:col>
                    <xdr:colOff>123825</xdr:colOff>
                    <xdr:row>95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16" r:id="rId60" name="Check Box 268">
              <controlPr defaultSize="0" autoFill="0" autoLine="0" autoPict="0">
                <anchor moveWithCells="1">
                  <from>
                    <xdr:col>3</xdr:col>
                    <xdr:colOff>0</xdr:colOff>
                    <xdr:row>94</xdr:row>
                    <xdr:rowOff>85725</xdr:rowOff>
                  </from>
                  <to>
                    <xdr:col>6</xdr:col>
                    <xdr:colOff>123825</xdr:colOff>
                    <xdr:row>96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17" r:id="rId61" name="Check Box 269">
              <controlPr defaultSize="0" autoFill="0" autoLine="0" autoPict="0">
                <anchor moveWithCells="1">
                  <from>
                    <xdr:col>3</xdr:col>
                    <xdr:colOff>0</xdr:colOff>
                    <xdr:row>95</xdr:row>
                    <xdr:rowOff>85725</xdr:rowOff>
                  </from>
                  <to>
                    <xdr:col>6</xdr:col>
                    <xdr:colOff>123825</xdr:colOff>
                    <xdr:row>97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18" r:id="rId62" name="Check Box 270">
              <controlPr defaultSize="0" autoFill="0" autoLine="0" autoPict="0">
                <anchor moveWithCells="1">
                  <from>
                    <xdr:col>3</xdr:col>
                    <xdr:colOff>0</xdr:colOff>
                    <xdr:row>96</xdr:row>
                    <xdr:rowOff>85725</xdr:rowOff>
                  </from>
                  <to>
                    <xdr:col>6</xdr:col>
                    <xdr:colOff>123825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19" r:id="rId63" name="Check Box 271">
              <controlPr defaultSize="0" autoFill="0" autoLine="0" autoPict="0">
                <anchor moveWithCells="1">
                  <from>
                    <xdr:col>3</xdr:col>
                    <xdr:colOff>0</xdr:colOff>
                    <xdr:row>97</xdr:row>
                    <xdr:rowOff>85725</xdr:rowOff>
                  </from>
                  <to>
                    <xdr:col>6</xdr:col>
                    <xdr:colOff>123825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20" r:id="rId64" name="Check Box 272">
              <controlPr defaultSize="0" autoFill="0" autoLine="0" autoPict="0">
                <anchor moveWithCells="1">
                  <from>
                    <xdr:col>3</xdr:col>
                    <xdr:colOff>0</xdr:colOff>
                    <xdr:row>100</xdr:row>
                    <xdr:rowOff>85725</xdr:rowOff>
                  </from>
                  <to>
                    <xdr:col>6</xdr:col>
                    <xdr:colOff>123825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21" r:id="rId65" name="Check Box 273">
              <controlPr defaultSize="0" autoFill="0" autoLine="0" autoPict="0">
                <anchor moveWithCells="1">
                  <from>
                    <xdr:col>3</xdr:col>
                    <xdr:colOff>0</xdr:colOff>
                    <xdr:row>101</xdr:row>
                    <xdr:rowOff>85725</xdr:rowOff>
                  </from>
                  <to>
                    <xdr:col>6</xdr:col>
                    <xdr:colOff>123825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22" r:id="rId66" name="Check Box 274">
              <controlPr defaultSize="0" autoFill="0" autoLine="0" autoPict="0">
                <anchor moveWithCells="1">
                  <from>
                    <xdr:col>3</xdr:col>
                    <xdr:colOff>0</xdr:colOff>
                    <xdr:row>102</xdr:row>
                    <xdr:rowOff>85725</xdr:rowOff>
                  </from>
                  <to>
                    <xdr:col>6</xdr:col>
                    <xdr:colOff>123825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23" r:id="rId67" name="Check Box 275">
              <controlPr defaultSize="0" autoFill="0" autoLine="0" autoPict="0">
                <anchor moveWithCells="1">
                  <from>
                    <xdr:col>3</xdr:col>
                    <xdr:colOff>0</xdr:colOff>
                    <xdr:row>103</xdr:row>
                    <xdr:rowOff>85725</xdr:rowOff>
                  </from>
                  <to>
                    <xdr:col>6</xdr:col>
                    <xdr:colOff>123825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24" r:id="rId68" name="Check Box 276">
              <controlPr defaultSize="0" autoFill="0" autoLine="0" autoPict="0">
                <anchor moveWithCells="1">
                  <from>
                    <xdr:col>3</xdr:col>
                    <xdr:colOff>0</xdr:colOff>
                    <xdr:row>104</xdr:row>
                    <xdr:rowOff>85725</xdr:rowOff>
                  </from>
                  <to>
                    <xdr:col>6</xdr:col>
                    <xdr:colOff>123825</xdr:colOff>
                    <xdr:row>106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25" r:id="rId69" name="Check Box 277">
              <controlPr defaultSize="0" autoFill="0" autoLine="0" autoPict="0">
                <anchor moveWithCells="1">
                  <from>
                    <xdr:col>3</xdr:col>
                    <xdr:colOff>0</xdr:colOff>
                    <xdr:row>105</xdr:row>
                    <xdr:rowOff>85725</xdr:rowOff>
                  </from>
                  <to>
                    <xdr:col>6</xdr:col>
                    <xdr:colOff>123825</xdr:colOff>
                    <xdr:row>107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26" r:id="rId70" name="Check Box 278">
              <controlPr defaultSize="0" autoFill="0" autoLine="0" autoPict="0">
                <anchor moveWithCells="1">
                  <from>
                    <xdr:col>3</xdr:col>
                    <xdr:colOff>0</xdr:colOff>
                    <xdr:row>106</xdr:row>
                    <xdr:rowOff>85725</xdr:rowOff>
                  </from>
                  <to>
                    <xdr:col>6</xdr:col>
                    <xdr:colOff>123825</xdr:colOff>
                    <xdr:row>108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27" r:id="rId71" name="Check Box 279">
              <controlPr defaultSize="0" autoFill="0" autoLine="0" autoPict="0">
                <anchor moveWithCells="1">
                  <from>
                    <xdr:col>3</xdr:col>
                    <xdr:colOff>0</xdr:colOff>
                    <xdr:row>107</xdr:row>
                    <xdr:rowOff>85725</xdr:rowOff>
                  </from>
                  <to>
                    <xdr:col>6</xdr:col>
                    <xdr:colOff>123825</xdr:colOff>
                    <xdr:row>109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28" r:id="rId72" name="Check Box 280">
              <controlPr defaultSize="0" autoFill="0" autoLine="0" autoPict="0">
                <anchor moveWithCells="1">
                  <from>
                    <xdr:col>3</xdr:col>
                    <xdr:colOff>0</xdr:colOff>
                    <xdr:row>108</xdr:row>
                    <xdr:rowOff>85725</xdr:rowOff>
                  </from>
                  <to>
                    <xdr:col>6</xdr:col>
                    <xdr:colOff>123825</xdr:colOff>
                    <xdr:row>110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29" r:id="rId73" name="Check Box 281">
              <controlPr defaultSize="0" autoFill="0" autoLine="0" autoPict="0">
                <anchor moveWithCells="1">
                  <from>
                    <xdr:col>3</xdr:col>
                    <xdr:colOff>0</xdr:colOff>
                    <xdr:row>109</xdr:row>
                    <xdr:rowOff>85725</xdr:rowOff>
                  </from>
                  <to>
                    <xdr:col>6</xdr:col>
                    <xdr:colOff>123825</xdr:colOff>
                    <xdr:row>111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30" r:id="rId74" name="Check Box 282">
              <controlPr defaultSize="0" autoFill="0" autoLine="0" autoPict="0">
                <anchor moveWithCells="1">
                  <from>
                    <xdr:col>3</xdr:col>
                    <xdr:colOff>0</xdr:colOff>
                    <xdr:row>110</xdr:row>
                    <xdr:rowOff>85725</xdr:rowOff>
                  </from>
                  <to>
                    <xdr:col>6</xdr:col>
                    <xdr:colOff>123825</xdr:colOff>
                    <xdr:row>112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31" r:id="rId75" name="Check Box 283">
              <controlPr defaultSize="0" autoFill="0" autoLine="0" autoPict="0">
                <anchor moveWithCells="1">
                  <from>
                    <xdr:col>3</xdr:col>
                    <xdr:colOff>0</xdr:colOff>
                    <xdr:row>111</xdr:row>
                    <xdr:rowOff>85725</xdr:rowOff>
                  </from>
                  <to>
                    <xdr:col>6</xdr:col>
                    <xdr:colOff>123825</xdr:colOff>
                    <xdr:row>113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32" r:id="rId76" name="Check Box 284">
              <controlPr defaultSize="0" autoFill="0" autoLine="0" autoPict="0">
                <anchor moveWithCells="1">
                  <from>
                    <xdr:col>3</xdr:col>
                    <xdr:colOff>0</xdr:colOff>
                    <xdr:row>112</xdr:row>
                    <xdr:rowOff>85725</xdr:rowOff>
                  </from>
                  <to>
                    <xdr:col>6</xdr:col>
                    <xdr:colOff>123825</xdr:colOff>
                    <xdr:row>114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33" r:id="rId77" name="Check Box 285">
              <controlPr defaultSize="0" autoFill="0" autoLine="0" autoPict="0">
                <anchor moveWithCells="1">
                  <from>
                    <xdr:col>3</xdr:col>
                    <xdr:colOff>0</xdr:colOff>
                    <xdr:row>113</xdr:row>
                    <xdr:rowOff>85725</xdr:rowOff>
                  </from>
                  <to>
                    <xdr:col>6</xdr:col>
                    <xdr:colOff>123825</xdr:colOff>
                    <xdr:row>115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34" r:id="rId78" name="Check Box 286">
              <controlPr defaultSize="0" autoFill="0" autoLine="0" autoPict="0">
                <anchor moveWithCells="1">
                  <from>
                    <xdr:col>3</xdr:col>
                    <xdr:colOff>0</xdr:colOff>
                    <xdr:row>114</xdr:row>
                    <xdr:rowOff>85725</xdr:rowOff>
                  </from>
                  <to>
                    <xdr:col>6</xdr:col>
                    <xdr:colOff>123825</xdr:colOff>
                    <xdr:row>116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35" r:id="rId79" name="Check Box 287">
              <controlPr defaultSize="0" autoFill="0" autoLine="0" autoPict="0">
                <anchor moveWithCells="1">
                  <from>
                    <xdr:col>3</xdr:col>
                    <xdr:colOff>0</xdr:colOff>
                    <xdr:row>115</xdr:row>
                    <xdr:rowOff>85725</xdr:rowOff>
                  </from>
                  <to>
                    <xdr:col>6</xdr:col>
                    <xdr:colOff>123825</xdr:colOff>
                    <xdr:row>117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36" r:id="rId80" name="Check Box 288">
              <controlPr defaultSize="0" autoFill="0" autoLine="0" autoPict="0">
                <anchor moveWithCells="1">
                  <from>
                    <xdr:col>3</xdr:col>
                    <xdr:colOff>0</xdr:colOff>
                    <xdr:row>116</xdr:row>
                    <xdr:rowOff>85725</xdr:rowOff>
                  </from>
                  <to>
                    <xdr:col>6</xdr:col>
                    <xdr:colOff>123825</xdr:colOff>
                    <xdr:row>118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37" r:id="rId81" name="Check Box 289">
              <controlPr defaultSize="0" autoFill="0" autoLine="0" autoPict="0">
                <anchor moveWithCells="1">
                  <from>
                    <xdr:col>3</xdr:col>
                    <xdr:colOff>0</xdr:colOff>
                    <xdr:row>117</xdr:row>
                    <xdr:rowOff>85725</xdr:rowOff>
                  </from>
                  <to>
                    <xdr:col>6</xdr:col>
                    <xdr:colOff>123825</xdr:colOff>
                    <xdr:row>119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38" r:id="rId82" name="Check Box 290">
              <controlPr defaultSize="0" autoFill="0" autoLine="0" autoPict="0">
                <anchor moveWithCells="1">
                  <from>
                    <xdr:col>3</xdr:col>
                    <xdr:colOff>0</xdr:colOff>
                    <xdr:row>118</xdr:row>
                    <xdr:rowOff>85725</xdr:rowOff>
                  </from>
                  <to>
                    <xdr:col>6</xdr:col>
                    <xdr:colOff>123825</xdr:colOff>
                    <xdr:row>120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39" r:id="rId83" name="Check Box 291">
              <controlPr defaultSize="0" autoFill="0" autoLine="0" autoPict="0">
                <anchor moveWithCells="1">
                  <from>
                    <xdr:col>3</xdr:col>
                    <xdr:colOff>0</xdr:colOff>
                    <xdr:row>119</xdr:row>
                    <xdr:rowOff>85725</xdr:rowOff>
                  </from>
                  <to>
                    <xdr:col>6</xdr:col>
                    <xdr:colOff>123825</xdr:colOff>
                    <xdr:row>121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40" r:id="rId84" name="Check Box 292">
              <controlPr defaultSize="0" autoFill="0" autoLine="0" autoPict="0">
                <anchor moveWithCells="1">
                  <from>
                    <xdr:col>3</xdr:col>
                    <xdr:colOff>0</xdr:colOff>
                    <xdr:row>120</xdr:row>
                    <xdr:rowOff>85725</xdr:rowOff>
                  </from>
                  <to>
                    <xdr:col>6</xdr:col>
                    <xdr:colOff>123825</xdr:colOff>
                    <xdr:row>122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41" r:id="rId85" name="Check Box 293">
              <controlPr defaultSize="0" autoFill="0" autoLine="0" autoPict="0">
                <anchor moveWithCells="1">
                  <from>
                    <xdr:col>3</xdr:col>
                    <xdr:colOff>0</xdr:colOff>
                    <xdr:row>121</xdr:row>
                    <xdr:rowOff>85725</xdr:rowOff>
                  </from>
                  <to>
                    <xdr:col>6</xdr:col>
                    <xdr:colOff>123825</xdr:colOff>
                    <xdr:row>123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42" r:id="rId86" name="Check Box 294">
              <controlPr defaultSize="0" autoFill="0" autoLine="0" autoPict="0">
                <anchor moveWithCells="1">
                  <from>
                    <xdr:col>3</xdr:col>
                    <xdr:colOff>0</xdr:colOff>
                    <xdr:row>122</xdr:row>
                    <xdr:rowOff>85725</xdr:rowOff>
                  </from>
                  <to>
                    <xdr:col>6</xdr:col>
                    <xdr:colOff>123825</xdr:colOff>
                    <xdr:row>124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43" r:id="rId87" name="Check Box 295">
              <controlPr defaultSize="0" autoFill="0" autoLine="0" autoPict="0">
                <anchor moveWithCells="1">
                  <from>
                    <xdr:col>3</xdr:col>
                    <xdr:colOff>0</xdr:colOff>
                    <xdr:row>123</xdr:row>
                    <xdr:rowOff>85725</xdr:rowOff>
                  </from>
                  <to>
                    <xdr:col>6</xdr:col>
                    <xdr:colOff>123825</xdr:colOff>
                    <xdr:row>125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44" r:id="rId88" name="Check Box 296">
              <controlPr defaultSize="0" autoFill="0" autoLine="0" autoPict="0">
                <anchor moveWithCells="1">
                  <from>
                    <xdr:col>3</xdr:col>
                    <xdr:colOff>0</xdr:colOff>
                    <xdr:row>124</xdr:row>
                    <xdr:rowOff>85725</xdr:rowOff>
                  </from>
                  <to>
                    <xdr:col>6</xdr:col>
                    <xdr:colOff>123825</xdr:colOff>
                    <xdr:row>126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45" r:id="rId89" name="Check Box 297">
              <controlPr defaultSize="0" autoFill="0" autoLine="0" autoPict="0">
                <anchor moveWithCells="1">
                  <from>
                    <xdr:col>3</xdr:col>
                    <xdr:colOff>0</xdr:colOff>
                    <xdr:row>125</xdr:row>
                    <xdr:rowOff>85725</xdr:rowOff>
                  </from>
                  <to>
                    <xdr:col>6</xdr:col>
                    <xdr:colOff>123825</xdr:colOff>
                    <xdr:row>127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46" r:id="rId90" name="Check Box 298">
              <controlPr defaultSize="0" autoFill="0" autoLine="0" autoPict="0">
                <anchor moveWithCells="1">
                  <from>
                    <xdr:col>3</xdr:col>
                    <xdr:colOff>0</xdr:colOff>
                    <xdr:row>126</xdr:row>
                    <xdr:rowOff>85725</xdr:rowOff>
                  </from>
                  <to>
                    <xdr:col>6</xdr:col>
                    <xdr:colOff>123825</xdr:colOff>
                    <xdr:row>128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47" r:id="rId91" name="Check Box 299">
              <controlPr defaultSize="0" autoFill="0" autoLine="0" autoPict="0">
                <anchor moveWithCells="1">
                  <from>
                    <xdr:col>3</xdr:col>
                    <xdr:colOff>0</xdr:colOff>
                    <xdr:row>127</xdr:row>
                    <xdr:rowOff>85725</xdr:rowOff>
                  </from>
                  <to>
                    <xdr:col>6</xdr:col>
                    <xdr:colOff>123825</xdr:colOff>
                    <xdr:row>129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48" r:id="rId92" name="Check Box 300">
              <controlPr defaultSize="0" autoFill="0" autoLine="0" autoPict="0">
                <anchor moveWithCells="1">
                  <from>
                    <xdr:col>3</xdr:col>
                    <xdr:colOff>0</xdr:colOff>
                    <xdr:row>128</xdr:row>
                    <xdr:rowOff>85725</xdr:rowOff>
                  </from>
                  <to>
                    <xdr:col>6</xdr:col>
                    <xdr:colOff>123825</xdr:colOff>
                    <xdr:row>130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49" r:id="rId93" name="Check Box 301">
              <controlPr defaultSize="0" autoFill="0" autoLine="0" autoPict="0">
                <anchor moveWithCells="1">
                  <from>
                    <xdr:col>3</xdr:col>
                    <xdr:colOff>0</xdr:colOff>
                    <xdr:row>129</xdr:row>
                    <xdr:rowOff>85725</xdr:rowOff>
                  </from>
                  <to>
                    <xdr:col>6</xdr:col>
                    <xdr:colOff>123825</xdr:colOff>
                    <xdr:row>131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50" r:id="rId94" name="Check Box 302">
              <controlPr defaultSize="0" autoFill="0" autoLine="0" autoPict="0">
                <anchor moveWithCells="1">
                  <from>
                    <xdr:col>3</xdr:col>
                    <xdr:colOff>0</xdr:colOff>
                    <xdr:row>130</xdr:row>
                    <xdr:rowOff>85725</xdr:rowOff>
                  </from>
                  <to>
                    <xdr:col>6</xdr:col>
                    <xdr:colOff>123825</xdr:colOff>
                    <xdr:row>132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51" r:id="rId95" name="Check Box 303">
              <controlPr defaultSize="0" autoFill="0" autoLine="0" autoPict="0">
                <anchor moveWithCells="1">
                  <from>
                    <xdr:col>3</xdr:col>
                    <xdr:colOff>0</xdr:colOff>
                    <xdr:row>131</xdr:row>
                    <xdr:rowOff>85725</xdr:rowOff>
                  </from>
                  <to>
                    <xdr:col>6</xdr:col>
                    <xdr:colOff>123825</xdr:colOff>
                    <xdr:row>133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52" r:id="rId96" name="Check Box 304">
              <controlPr defaultSize="0" autoFill="0" autoLine="0" autoPict="0">
                <anchor moveWithCells="1">
                  <from>
                    <xdr:col>3</xdr:col>
                    <xdr:colOff>0</xdr:colOff>
                    <xdr:row>132</xdr:row>
                    <xdr:rowOff>85725</xdr:rowOff>
                  </from>
                  <to>
                    <xdr:col>6</xdr:col>
                    <xdr:colOff>123825</xdr:colOff>
                    <xdr:row>134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53" r:id="rId97" name="Check Box 305">
              <controlPr defaultSize="0" autoFill="0" autoLine="0" autoPict="0">
                <anchor moveWithCells="1">
                  <from>
                    <xdr:col>3</xdr:col>
                    <xdr:colOff>0</xdr:colOff>
                    <xdr:row>133</xdr:row>
                    <xdr:rowOff>85725</xdr:rowOff>
                  </from>
                  <to>
                    <xdr:col>6</xdr:col>
                    <xdr:colOff>123825</xdr:colOff>
                    <xdr:row>135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54" r:id="rId98" name="Check Box 306">
              <controlPr defaultSize="0" autoFill="0" autoLine="0" autoPict="0">
                <anchor moveWithCells="1">
                  <from>
                    <xdr:col>3</xdr:col>
                    <xdr:colOff>0</xdr:colOff>
                    <xdr:row>134</xdr:row>
                    <xdr:rowOff>85725</xdr:rowOff>
                  </from>
                  <to>
                    <xdr:col>6</xdr:col>
                    <xdr:colOff>123825</xdr:colOff>
                    <xdr:row>136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55" r:id="rId99" name="Check Box 307">
              <controlPr defaultSize="0" autoFill="0" autoLine="0" autoPict="0">
                <anchor moveWithCells="1">
                  <from>
                    <xdr:col>3</xdr:col>
                    <xdr:colOff>0</xdr:colOff>
                    <xdr:row>135</xdr:row>
                    <xdr:rowOff>85725</xdr:rowOff>
                  </from>
                  <to>
                    <xdr:col>6</xdr:col>
                    <xdr:colOff>123825</xdr:colOff>
                    <xdr:row>137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56" r:id="rId100" name="Check Box 308">
              <controlPr defaultSize="0" autoFill="0" autoLine="0" autoPict="0">
                <anchor moveWithCells="1">
                  <from>
                    <xdr:col>3</xdr:col>
                    <xdr:colOff>0</xdr:colOff>
                    <xdr:row>136</xdr:row>
                    <xdr:rowOff>85725</xdr:rowOff>
                  </from>
                  <to>
                    <xdr:col>6</xdr:col>
                    <xdr:colOff>123825</xdr:colOff>
                    <xdr:row>138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57" r:id="rId101" name="Check Box 309">
              <controlPr defaultSize="0" autoFill="0" autoLine="0" autoPict="0">
                <anchor moveWithCells="1">
                  <from>
                    <xdr:col>3</xdr:col>
                    <xdr:colOff>0</xdr:colOff>
                    <xdr:row>98</xdr:row>
                    <xdr:rowOff>85725</xdr:rowOff>
                  </from>
                  <to>
                    <xdr:col>6</xdr:col>
                    <xdr:colOff>123825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58" r:id="rId102" name="Check Box 310">
              <controlPr defaultSize="0" autoFill="0" autoLine="0" autoPict="0">
                <anchor moveWithCells="1">
                  <from>
                    <xdr:col>3</xdr:col>
                    <xdr:colOff>0</xdr:colOff>
                    <xdr:row>99</xdr:row>
                    <xdr:rowOff>85725</xdr:rowOff>
                  </from>
                  <to>
                    <xdr:col>6</xdr:col>
                    <xdr:colOff>123825</xdr:colOff>
                    <xdr:row>101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59" r:id="rId103" name="Check Box 311">
              <controlPr defaultSize="0" autoFill="0" autoLine="0" autoPict="0">
                <anchor moveWithCells="1">
                  <from>
                    <xdr:col>3</xdr:col>
                    <xdr:colOff>0</xdr:colOff>
                    <xdr:row>137</xdr:row>
                    <xdr:rowOff>85725</xdr:rowOff>
                  </from>
                  <to>
                    <xdr:col>6</xdr:col>
                    <xdr:colOff>123825</xdr:colOff>
                    <xdr:row>139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60" r:id="rId104" name="Check Box 312">
              <controlPr defaultSize="0" autoFill="0" autoLine="0" autoPict="0">
                <anchor moveWithCells="1">
                  <from>
                    <xdr:col>3</xdr:col>
                    <xdr:colOff>0</xdr:colOff>
                    <xdr:row>138</xdr:row>
                    <xdr:rowOff>85725</xdr:rowOff>
                  </from>
                  <to>
                    <xdr:col>6</xdr:col>
                    <xdr:colOff>123825</xdr:colOff>
                    <xdr:row>140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61" r:id="rId105" name="Check Box 313">
              <controlPr defaultSize="0" autoFill="0" autoLine="0" autoPict="0">
                <anchor moveWithCells="1">
                  <from>
                    <xdr:col>3</xdr:col>
                    <xdr:colOff>0</xdr:colOff>
                    <xdr:row>139</xdr:row>
                    <xdr:rowOff>85725</xdr:rowOff>
                  </from>
                  <to>
                    <xdr:col>6</xdr:col>
                    <xdr:colOff>123825</xdr:colOff>
                    <xdr:row>141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62" r:id="rId106" name="Check Box 314">
              <controlPr defaultSize="0" autoFill="0" autoLine="0" autoPict="0">
                <anchor moveWithCells="1">
                  <from>
                    <xdr:col>3</xdr:col>
                    <xdr:colOff>0</xdr:colOff>
                    <xdr:row>140</xdr:row>
                    <xdr:rowOff>85725</xdr:rowOff>
                  </from>
                  <to>
                    <xdr:col>6</xdr:col>
                    <xdr:colOff>123825</xdr:colOff>
                    <xdr:row>142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63" r:id="rId107" name="Check Box 315">
              <controlPr defaultSize="0" autoFill="0" autoLine="0" autoPict="0">
                <anchor moveWithCells="1">
                  <from>
                    <xdr:col>3</xdr:col>
                    <xdr:colOff>0</xdr:colOff>
                    <xdr:row>141</xdr:row>
                    <xdr:rowOff>85725</xdr:rowOff>
                  </from>
                  <to>
                    <xdr:col>6</xdr:col>
                    <xdr:colOff>123825</xdr:colOff>
                    <xdr:row>143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64" r:id="rId108" name="Check Box 316">
              <controlPr defaultSize="0" autoFill="0" autoLine="0" autoPict="0">
                <anchor moveWithCells="1">
                  <from>
                    <xdr:col>3</xdr:col>
                    <xdr:colOff>0</xdr:colOff>
                    <xdr:row>142</xdr:row>
                    <xdr:rowOff>85725</xdr:rowOff>
                  </from>
                  <to>
                    <xdr:col>6</xdr:col>
                    <xdr:colOff>123825</xdr:colOff>
                    <xdr:row>144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65" r:id="rId109" name="Check Box 317">
              <controlPr defaultSize="0" autoFill="0" autoLine="0" autoPict="0">
                <anchor moveWithCells="1">
                  <from>
                    <xdr:col>3</xdr:col>
                    <xdr:colOff>0</xdr:colOff>
                    <xdr:row>143</xdr:row>
                    <xdr:rowOff>85725</xdr:rowOff>
                  </from>
                  <to>
                    <xdr:col>6</xdr:col>
                    <xdr:colOff>123825</xdr:colOff>
                    <xdr:row>145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66" r:id="rId110" name="Check Box 318">
              <controlPr defaultSize="0" autoFill="0" autoLine="0" autoPict="0">
                <anchor moveWithCells="1">
                  <from>
                    <xdr:col>3</xdr:col>
                    <xdr:colOff>0</xdr:colOff>
                    <xdr:row>144</xdr:row>
                    <xdr:rowOff>85725</xdr:rowOff>
                  </from>
                  <to>
                    <xdr:col>6</xdr:col>
                    <xdr:colOff>123825</xdr:colOff>
                    <xdr:row>146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67" r:id="rId111" name="Check Box 319">
              <controlPr defaultSize="0" autoFill="0" autoLine="0" autoPict="0">
                <anchor moveWithCells="1">
                  <from>
                    <xdr:col>3</xdr:col>
                    <xdr:colOff>0</xdr:colOff>
                    <xdr:row>145</xdr:row>
                    <xdr:rowOff>85725</xdr:rowOff>
                  </from>
                  <to>
                    <xdr:col>6</xdr:col>
                    <xdr:colOff>123825</xdr:colOff>
                    <xdr:row>147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68" r:id="rId112" name="Check Box 320">
              <controlPr defaultSize="0" autoFill="0" autoLine="0" autoPict="0">
                <anchor moveWithCells="1">
                  <from>
                    <xdr:col>3</xdr:col>
                    <xdr:colOff>0</xdr:colOff>
                    <xdr:row>146</xdr:row>
                    <xdr:rowOff>85725</xdr:rowOff>
                  </from>
                  <to>
                    <xdr:col>6</xdr:col>
                    <xdr:colOff>123825</xdr:colOff>
                    <xdr:row>148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69" r:id="rId113" name="Check Box 321">
              <controlPr defaultSize="0" autoFill="0" autoLine="0" autoPict="0">
                <anchor moveWithCells="1">
                  <from>
                    <xdr:col>3</xdr:col>
                    <xdr:colOff>0</xdr:colOff>
                    <xdr:row>147</xdr:row>
                    <xdr:rowOff>85725</xdr:rowOff>
                  </from>
                  <to>
                    <xdr:col>6</xdr:col>
                    <xdr:colOff>123825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70" r:id="rId114" name="Check Box 322">
              <controlPr defaultSize="0" autoFill="0" autoLine="0" autoPict="0">
                <anchor moveWithCells="1">
                  <from>
                    <xdr:col>3</xdr:col>
                    <xdr:colOff>0</xdr:colOff>
                    <xdr:row>150</xdr:row>
                    <xdr:rowOff>85725</xdr:rowOff>
                  </from>
                  <to>
                    <xdr:col>6</xdr:col>
                    <xdr:colOff>123825</xdr:colOff>
                    <xdr:row>152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71" r:id="rId115" name="Check Box 323">
              <controlPr defaultSize="0" autoFill="0" autoLine="0" autoPict="0">
                <anchor moveWithCells="1">
                  <from>
                    <xdr:col>3</xdr:col>
                    <xdr:colOff>0</xdr:colOff>
                    <xdr:row>151</xdr:row>
                    <xdr:rowOff>85725</xdr:rowOff>
                  </from>
                  <to>
                    <xdr:col>6</xdr:col>
                    <xdr:colOff>123825</xdr:colOff>
                    <xdr:row>153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72" r:id="rId116" name="Check Box 324">
              <controlPr defaultSize="0" autoFill="0" autoLine="0" autoPict="0">
                <anchor moveWithCells="1">
                  <from>
                    <xdr:col>3</xdr:col>
                    <xdr:colOff>0</xdr:colOff>
                    <xdr:row>152</xdr:row>
                    <xdr:rowOff>85725</xdr:rowOff>
                  </from>
                  <to>
                    <xdr:col>6</xdr:col>
                    <xdr:colOff>123825</xdr:colOff>
                    <xdr:row>154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73" r:id="rId117" name="Check Box 325">
              <controlPr defaultSize="0" autoFill="0" autoLine="0" autoPict="0">
                <anchor moveWithCells="1">
                  <from>
                    <xdr:col>3</xdr:col>
                    <xdr:colOff>0</xdr:colOff>
                    <xdr:row>153</xdr:row>
                    <xdr:rowOff>85725</xdr:rowOff>
                  </from>
                  <to>
                    <xdr:col>6</xdr:col>
                    <xdr:colOff>123825</xdr:colOff>
                    <xdr:row>155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74" r:id="rId118" name="Check Box 326">
              <controlPr defaultSize="0" autoFill="0" autoLine="0" autoPict="0">
                <anchor moveWithCells="1">
                  <from>
                    <xdr:col>3</xdr:col>
                    <xdr:colOff>0</xdr:colOff>
                    <xdr:row>154</xdr:row>
                    <xdr:rowOff>85725</xdr:rowOff>
                  </from>
                  <to>
                    <xdr:col>6</xdr:col>
                    <xdr:colOff>123825</xdr:colOff>
                    <xdr:row>156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75" r:id="rId119" name="Check Box 327">
              <controlPr defaultSize="0" autoFill="0" autoLine="0" autoPict="0">
                <anchor moveWithCells="1">
                  <from>
                    <xdr:col>3</xdr:col>
                    <xdr:colOff>0</xdr:colOff>
                    <xdr:row>155</xdr:row>
                    <xdr:rowOff>85725</xdr:rowOff>
                  </from>
                  <to>
                    <xdr:col>6</xdr:col>
                    <xdr:colOff>123825</xdr:colOff>
                    <xdr:row>157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76" r:id="rId120" name="Check Box 328">
              <controlPr defaultSize="0" autoFill="0" autoLine="0" autoPict="0">
                <anchor moveWithCells="1">
                  <from>
                    <xdr:col>3</xdr:col>
                    <xdr:colOff>0</xdr:colOff>
                    <xdr:row>156</xdr:row>
                    <xdr:rowOff>85725</xdr:rowOff>
                  </from>
                  <to>
                    <xdr:col>6</xdr:col>
                    <xdr:colOff>123825</xdr:colOff>
                    <xdr:row>158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77" r:id="rId121" name="Check Box 329">
              <controlPr defaultSize="0" autoFill="0" autoLine="0" autoPict="0">
                <anchor moveWithCells="1">
                  <from>
                    <xdr:col>3</xdr:col>
                    <xdr:colOff>0</xdr:colOff>
                    <xdr:row>157</xdr:row>
                    <xdr:rowOff>85725</xdr:rowOff>
                  </from>
                  <to>
                    <xdr:col>6</xdr:col>
                    <xdr:colOff>123825</xdr:colOff>
                    <xdr:row>159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78" r:id="rId122" name="Check Box 330">
              <controlPr defaultSize="0" autoFill="0" autoLine="0" autoPict="0">
                <anchor moveWithCells="1">
                  <from>
                    <xdr:col>3</xdr:col>
                    <xdr:colOff>0</xdr:colOff>
                    <xdr:row>158</xdr:row>
                    <xdr:rowOff>85725</xdr:rowOff>
                  </from>
                  <to>
                    <xdr:col>6</xdr:col>
                    <xdr:colOff>123825</xdr:colOff>
                    <xdr:row>160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79" r:id="rId123" name="Check Box 331">
              <controlPr defaultSize="0" autoFill="0" autoLine="0" autoPict="0">
                <anchor moveWithCells="1">
                  <from>
                    <xdr:col>3</xdr:col>
                    <xdr:colOff>0</xdr:colOff>
                    <xdr:row>159</xdr:row>
                    <xdr:rowOff>85725</xdr:rowOff>
                  </from>
                  <to>
                    <xdr:col>6</xdr:col>
                    <xdr:colOff>123825</xdr:colOff>
                    <xdr:row>161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80" r:id="rId124" name="Check Box 332">
              <controlPr defaultSize="0" autoFill="0" autoLine="0" autoPict="0">
                <anchor moveWithCells="1">
                  <from>
                    <xdr:col>3</xdr:col>
                    <xdr:colOff>0</xdr:colOff>
                    <xdr:row>160</xdr:row>
                    <xdr:rowOff>85725</xdr:rowOff>
                  </from>
                  <to>
                    <xdr:col>6</xdr:col>
                    <xdr:colOff>123825</xdr:colOff>
                    <xdr:row>162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81" r:id="rId125" name="Check Box 333">
              <controlPr defaultSize="0" autoFill="0" autoLine="0" autoPict="0">
                <anchor moveWithCells="1">
                  <from>
                    <xdr:col>3</xdr:col>
                    <xdr:colOff>0</xdr:colOff>
                    <xdr:row>161</xdr:row>
                    <xdr:rowOff>85725</xdr:rowOff>
                  </from>
                  <to>
                    <xdr:col>6</xdr:col>
                    <xdr:colOff>123825</xdr:colOff>
                    <xdr:row>163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82" r:id="rId126" name="Check Box 334">
              <controlPr defaultSize="0" autoFill="0" autoLine="0" autoPict="0">
                <anchor moveWithCells="1">
                  <from>
                    <xdr:col>3</xdr:col>
                    <xdr:colOff>0</xdr:colOff>
                    <xdr:row>162</xdr:row>
                    <xdr:rowOff>85725</xdr:rowOff>
                  </from>
                  <to>
                    <xdr:col>6</xdr:col>
                    <xdr:colOff>123825</xdr:colOff>
                    <xdr:row>164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83" r:id="rId127" name="Check Box 335">
              <controlPr defaultSize="0" autoFill="0" autoLine="0" autoPict="0">
                <anchor moveWithCells="1">
                  <from>
                    <xdr:col>3</xdr:col>
                    <xdr:colOff>0</xdr:colOff>
                    <xdr:row>163</xdr:row>
                    <xdr:rowOff>85725</xdr:rowOff>
                  </from>
                  <to>
                    <xdr:col>6</xdr:col>
                    <xdr:colOff>123825</xdr:colOff>
                    <xdr:row>165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84" r:id="rId128" name="Check Box 336">
              <controlPr defaultSize="0" autoFill="0" autoLine="0" autoPict="0">
                <anchor moveWithCells="1">
                  <from>
                    <xdr:col>3</xdr:col>
                    <xdr:colOff>0</xdr:colOff>
                    <xdr:row>164</xdr:row>
                    <xdr:rowOff>85725</xdr:rowOff>
                  </from>
                  <to>
                    <xdr:col>6</xdr:col>
                    <xdr:colOff>123825</xdr:colOff>
                    <xdr:row>166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85" r:id="rId129" name="Check Box 337">
              <controlPr defaultSize="0" autoFill="0" autoLine="0" autoPict="0">
                <anchor moveWithCells="1">
                  <from>
                    <xdr:col>3</xdr:col>
                    <xdr:colOff>0</xdr:colOff>
                    <xdr:row>165</xdr:row>
                    <xdr:rowOff>85725</xdr:rowOff>
                  </from>
                  <to>
                    <xdr:col>6</xdr:col>
                    <xdr:colOff>123825</xdr:colOff>
                    <xdr:row>167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86" r:id="rId130" name="Check Box 338">
              <controlPr defaultSize="0" autoFill="0" autoLine="0" autoPict="0">
                <anchor moveWithCells="1">
                  <from>
                    <xdr:col>3</xdr:col>
                    <xdr:colOff>0</xdr:colOff>
                    <xdr:row>166</xdr:row>
                    <xdr:rowOff>85725</xdr:rowOff>
                  </from>
                  <to>
                    <xdr:col>6</xdr:col>
                    <xdr:colOff>123825</xdr:colOff>
                    <xdr:row>168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87" r:id="rId131" name="Check Box 339">
              <controlPr defaultSize="0" autoFill="0" autoLine="0" autoPict="0">
                <anchor moveWithCells="1">
                  <from>
                    <xdr:col>3</xdr:col>
                    <xdr:colOff>0</xdr:colOff>
                    <xdr:row>167</xdr:row>
                    <xdr:rowOff>85725</xdr:rowOff>
                  </from>
                  <to>
                    <xdr:col>6</xdr:col>
                    <xdr:colOff>123825</xdr:colOff>
                    <xdr:row>169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88" r:id="rId132" name="Check Box 340">
              <controlPr defaultSize="0" autoFill="0" autoLine="0" autoPict="0">
                <anchor moveWithCells="1">
                  <from>
                    <xdr:col>3</xdr:col>
                    <xdr:colOff>0</xdr:colOff>
                    <xdr:row>168</xdr:row>
                    <xdr:rowOff>85725</xdr:rowOff>
                  </from>
                  <to>
                    <xdr:col>6</xdr:col>
                    <xdr:colOff>123825</xdr:colOff>
                    <xdr:row>170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89" r:id="rId133" name="Check Box 341">
              <controlPr defaultSize="0" autoFill="0" autoLine="0" autoPict="0">
                <anchor moveWithCells="1">
                  <from>
                    <xdr:col>3</xdr:col>
                    <xdr:colOff>0</xdr:colOff>
                    <xdr:row>169</xdr:row>
                    <xdr:rowOff>85725</xdr:rowOff>
                  </from>
                  <to>
                    <xdr:col>6</xdr:col>
                    <xdr:colOff>123825</xdr:colOff>
                    <xdr:row>171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90" r:id="rId134" name="Check Box 342">
              <controlPr defaultSize="0" autoFill="0" autoLine="0" autoPict="0">
                <anchor moveWithCells="1">
                  <from>
                    <xdr:col>3</xdr:col>
                    <xdr:colOff>0</xdr:colOff>
                    <xdr:row>170</xdr:row>
                    <xdr:rowOff>85725</xdr:rowOff>
                  </from>
                  <to>
                    <xdr:col>6</xdr:col>
                    <xdr:colOff>123825</xdr:colOff>
                    <xdr:row>172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91" r:id="rId135" name="Check Box 343">
              <controlPr defaultSize="0" autoFill="0" autoLine="0" autoPict="0">
                <anchor moveWithCells="1">
                  <from>
                    <xdr:col>3</xdr:col>
                    <xdr:colOff>0</xdr:colOff>
                    <xdr:row>171</xdr:row>
                    <xdr:rowOff>85725</xdr:rowOff>
                  </from>
                  <to>
                    <xdr:col>6</xdr:col>
                    <xdr:colOff>123825</xdr:colOff>
                    <xdr:row>173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92" r:id="rId136" name="Check Box 344">
              <controlPr defaultSize="0" autoFill="0" autoLine="0" autoPict="0">
                <anchor moveWithCells="1">
                  <from>
                    <xdr:col>3</xdr:col>
                    <xdr:colOff>0</xdr:colOff>
                    <xdr:row>172</xdr:row>
                    <xdr:rowOff>85725</xdr:rowOff>
                  </from>
                  <to>
                    <xdr:col>6</xdr:col>
                    <xdr:colOff>123825</xdr:colOff>
                    <xdr:row>174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93" r:id="rId137" name="Check Box 345">
              <controlPr defaultSize="0" autoFill="0" autoLine="0" autoPict="0">
                <anchor moveWithCells="1">
                  <from>
                    <xdr:col>3</xdr:col>
                    <xdr:colOff>0</xdr:colOff>
                    <xdr:row>173</xdr:row>
                    <xdr:rowOff>85725</xdr:rowOff>
                  </from>
                  <to>
                    <xdr:col>6</xdr:col>
                    <xdr:colOff>123825</xdr:colOff>
                    <xdr:row>175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94" r:id="rId138" name="Check Box 346">
              <controlPr defaultSize="0" autoFill="0" autoLine="0" autoPict="0">
                <anchor moveWithCells="1">
                  <from>
                    <xdr:col>3</xdr:col>
                    <xdr:colOff>0</xdr:colOff>
                    <xdr:row>174</xdr:row>
                    <xdr:rowOff>85725</xdr:rowOff>
                  </from>
                  <to>
                    <xdr:col>6</xdr:col>
                    <xdr:colOff>123825</xdr:colOff>
                    <xdr:row>176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95" r:id="rId139" name="Check Box 347">
              <controlPr defaultSize="0" autoFill="0" autoLine="0" autoPict="0">
                <anchor moveWithCells="1">
                  <from>
                    <xdr:col>3</xdr:col>
                    <xdr:colOff>0</xdr:colOff>
                    <xdr:row>175</xdr:row>
                    <xdr:rowOff>85725</xdr:rowOff>
                  </from>
                  <to>
                    <xdr:col>6</xdr:col>
                    <xdr:colOff>123825</xdr:colOff>
                    <xdr:row>177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96" r:id="rId140" name="Check Box 348">
              <controlPr defaultSize="0" autoFill="0" autoLine="0" autoPict="0">
                <anchor moveWithCells="1">
                  <from>
                    <xdr:col>3</xdr:col>
                    <xdr:colOff>0</xdr:colOff>
                    <xdr:row>176</xdr:row>
                    <xdr:rowOff>85725</xdr:rowOff>
                  </from>
                  <to>
                    <xdr:col>6</xdr:col>
                    <xdr:colOff>123825</xdr:colOff>
                    <xdr:row>178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97" r:id="rId141" name="Check Box 349">
              <controlPr defaultSize="0" autoFill="0" autoLine="0" autoPict="0">
                <anchor moveWithCells="1">
                  <from>
                    <xdr:col>3</xdr:col>
                    <xdr:colOff>0</xdr:colOff>
                    <xdr:row>177</xdr:row>
                    <xdr:rowOff>85725</xdr:rowOff>
                  </from>
                  <to>
                    <xdr:col>6</xdr:col>
                    <xdr:colOff>123825</xdr:colOff>
                    <xdr:row>179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98" r:id="rId142" name="Check Box 350">
              <controlPr defaultSize="0" autoFill="0" autoLine="0" autoPict="0">
                <anchor moveWithCells="1">
                  <from>
                    <xdr:col>3</xdr:col>
                    <xdr:colOff>0</xdr:colOff>
                    <xdr:row>178</xdr:row>
                    <xdr:rowOff>85725</xdr:rowOff>
                  </from>
                  <to>
                    <xdr:col>6</xdr:col>
                    <xdr:colOff>123825</xdr:colOff>
                    <xdr:row>180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99" r:id="rId143" name="Check Box 351">
              <controlPr defaultSize="0" autoFill="0" autoLine="0" autoPict="0">
                <anchor moveWithCells="1">
                  <from>
                    <xdr:col>3</xdr:col>
                    <xdr:colOff>0</xdr:colOff>
                    <xdr:row>179</xdr:row>
                    <xdr:rowOff>85725</xdr:rowOff>
                  </from>
                  <to>
                    <xdr:col>6</xdr:col>
                    <xdr:colOff>123825</xdr:colOff>
                    <xdr:row>181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00" r:id="rId144" name="Check Box 352">
              <controlPr defaultSize="0" autoFill="0" autoLine="0" autoPict="0">
                <anchor moveWithCells="1">
                  <from>
                    <xdr:col>3</xdr:col>
                    <xdr:colOff>0</xdr:colOff>
                    <xdr:row>180</xdr:row>
                    <xdr:rowOff>85725</xdr:rowOff>
                  </from>
                  <to>
                    <xdr:col>6</xdr:col>
                    <xdr:colOff>123825</xdr:colOff>
                    <xdr:row>182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01" r:id="rId145" name="Check Box 353">
              <controlPr defaultSize="0" autoFill="0" autoLine="0" autoPict="0">
                <anchor moveWithCells="1">
                  <from>
                    <xdr:col>3</xdr:col>
                    <xdr:colOff>0</xdr:colOff>
                    <xdr:row>181</xdr:row>
                    <xdr:rowOff>85725</xdr:rowOff>
                  </from>
                  <to>
                    <xdr:col>6</xdr:col>
                    <xdr:colOff>123825</xdr:colOff>
                    <xdr:row>183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02" r:id="rId146" name="Check Box 354">
              <controlPr defaultSize="0" autoFill="0" autoLine="0" autoPict="0">
                <anchor moveWithCells="1">
                  <from>
                    <xdr:col>3</xdr:col>
                    <xdr:colOff>0</xdr:colOff>
                    <xdr:row>182</xdr:row>
                    <xdr:rowOff>85725</xdr:rowOff>
                  </from>
                  <to>
                    <xdr:col>6</xdr:col>
                    <xdr:colOff>123825</xdr:colOff>
                    <xdr:row>184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03" r:id="rId147" name="Check Box 355">
              <controlPr defaultSize="0" autoFill="0" autoLine="0" autoPict="0">
                <anchor moveWithCells="1">
                  <from>
                    <xdr:col>3</xdr:col>
                    <xdr:colOff>0</xdr:colOff>
                    <xdr:row>183</xdr:row>
                    <xdr:rowOff>85725</xdr:rowOff>
                  </from>
                  <to>
                    <xdr:col>6</xdr:col>
                    <xdr:colOff>123825</xdr:colOff>
                    <xdr:row>185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04" r:id="rId148" name="Check Box 356">
              <controlPr defaultSize="0" autoFill="0" autoLine="0" autoPict="0">
                <anchor moveWithCells="1">
                  <from>
                    <xdr:col>3</xdr:col>
                    <xdr:colOff>0</xdr:colOff>
                    <xdr:row>184</xdr:row>
                    <xdr:rowOff>85725</xdr:rowOff>
                  </from>
                  <to>
                    <xdr:col>6</xdr:col>
                    <xdr:colOff>123825</xdr:colOff>
                    <xdr:row>186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05" r:id="rId149" name="Check Box 357">
              <controlPr defaultSize="0" autoFill="0" autoLine="0" autoPict="0">
                <anchor moveWithCells="1">
                  <from>
                    <xdr:col>3</xdr:col>
                    <xdr:colOff>0</xdr:colOff>
                    <xdr:row>185</xdr:row>
                    <xdr:rowOff>85725</xdr:rowOff>
                  </from>
                  <to>
                    <xdr:col>6</xdr:col>
                    <xdr:colOff>123825</xdr:colOff>
                    <xdr:row>187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06" r:id="rId150" name="Check Box 358">
              <controlPr defaultSize="0" autoFill="0" autoLine="0" autoPict="0">
                <anchor moveWithCells="1">
                  <from>
                    <xdr:col>3</xdr:col>
                    <xdr:colOff>0</xdr:colOff>
                    <xdr:row>186</xdr:row>
                    <xdr:rowOff>85725</xdr:rowOff>
                  </from>
                  <to>
                    <xdr:col>6</xdr:col>
                    <xdr:colOff>123825</xdr:colOff>
                    <xdr:row>188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07" r:id="rId151" name="Check Box 359">
              <controlPr defaultSize="0" autoFill="0" autoLine="0" autoPict="0">
                <anchor moveWithCells="1">
                  <from>
                    <xdr:col>3</xdr:col>
                    <xdr:colOff>0</xdr:colOff>
                    <xdr:row>148</xdr:row>
                    <xdr:rowOff>85725</xdr:rowOff>
                  </from>
                  <to>
                    <xdr:col>6</xdr:col>
                    <xdr:colOff>123825</xdr:colOff>
                    <xdr:row>150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08" r:id="rId152" name="Check Box 360">
              <controlPr defaultSize="0" autoFill="0" autoLine="0" autoPict="0">
                <anchor moveWithCells="1">
                  <from>
                    <xdr:col>3</xdr:col>
                    <xdr:colOff>0</xdr:colOff>
                    <xdr:row>149</xdr:row>
                    <xdr:rowOff>85725</xdr:rowOff>
                  </from>
                  <to>
                    <xdr:col>6</xdr:col>
                    <xdr:colOff>123825</xdr:colOff>
                    <xdr:row>151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09" r:id="rId153" name="Check Box 361">
              <controlPr defaultSize="0" autoFill="0" autoLine="0" autoPict="0">
                <anchor moveWithCells="1">
                  <from>
                    <xdr:col>3</xdr:col>
                    <xdr:colOff>0</xdr:colOff>
                    <xdr:row>187</xdr:row>
                    <xdr:rowOff>85725</xdr:rowOff>
                  </from>
                  <to>
                    <xdr:col>6</xdr:col>
                    <xdr:colOff>123825</xdr:colOff>
                    <xdr:row>189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10" r:id="rId154" name="Check Box 362">
              <controlPr defaultSize="0" autoFill="0" autoLine="0" autoPict="0">
                <anchor moveWithCells="1">
                  <from>
                    <xdr:col>3</xdr:col>
                    <xdr:colOff>0</xdr:colOff>
                    <xdr:row>188</xdr:row>
                    <xdr:rowOff>85725</xdr:rowOff>
                  </from>
                  <to>
                    <xdr:col>6</xdr:col>
                    <xdr:colOff>123825</xdr:colOff>
                    <xdr:row>190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11" r:id="rId155" name="Check Box 363">
              <controlPr defaultSize="0" autoFill="0" autoLine="0" autoPict="0">
                <anchor moveWithCells="1">
                  <from>
                    <xdr:col>3</xdr:col>
                    <xdr:colOff>0</xdr:colOff>
                    <xdr:row>189</xdr:row>
                    <xdr:rowOff>85725</xdr:rowOff>
                  </from>
                  <to>
                    <xdr:col>6</xdr:col>
                    <xdr:colOff>123825</xdr:colOff>
                    <xdr:row>191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12" r:id="rId156" name="Check Box 364">
              <controlPr defaultSize="0" autoFill="0" autoLine="0" autoPict="0">
                <anchor moveWithCells="1">
                  <from>
                    <xdr:col>3</xdr:col>
                    <xdr:colOff>0</xdr:colOff>
                    <xdr:row>190</xdr:row>
                    <xdr:rowOff>85725</xdr:rowOff>
                  </from>
                  <to>
                    <xdr:col>6</xdr:col>
                    <xdr:colOff>123825</xdr:colOff>
                    <xdr:row>192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13" r:id="rId157" name="Check Box 365">
              <controlPr defaultSize="0" autoFill="0" autoLine="0" autoPict="0">
                <anchor moveWithCells="1">
                  <from>
                    <xdr:col>3</xdr:col>
                    <xdr:colOff>0</xdr:colOff>
                    <xdr:row>191</xdr:row>
                    <xdr:rowOff>85725</xdr:rowOff>
                  </from>
                  <to>
                    <xdr:col>6</xdr:col>
                    <xdr:colOff>123825</xdr:colOff>
                    <xdr:row>193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14" r:id="rId158" name="Check Box 366">
              <controlPr defaultSize="0" autoFill="0" autoLine="0" autoPict="0">
                <anchor moveWithCells="1">
                  <from>
                    <xdr:col>3</xdr:col>
                    <xdr:colOff>0</xdr:colOff>
                    <xdr:row>192</xdr:row>
                    <xdr:rowOff>85725</xdr:rowOff>
                  </from>
                  <to>
                    <xdr:col>6</xdr:col>
                    <xdr:colOff>123825</xdr:colOff>
                    <xdr:row>194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15" r:id="rId159" name="Check Box 367">
              <controlPr defaultSize="0" autoFill="0" autoLine="0" autoPict="0">
                <anchor moveWithCells="1">
                  <from>
                    <xdr:col>3</xdr:col>
                    <xdr:colOff>0</xdr:colOff>
                    <xdr:row>193</xdr:row>
                    <xdr:rowOff>85725</xdr:rowOff>
                  </from>
                  <to>
                    <xdr:col>6</xdr:col>
                    <xdr:colOff>123825</xdr:colOff>
                    <xdr:row>195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16" r:id="rId160" name="Check Box 368">
              <controlPr defaultSize="0" autoFill="0" autoLine="0" autoPict="0">
                <anchor moveWithCells="1">
                  <from>
                    <xdr:col>3</xdr:col>
                    <xdr:colOff>0</xdr:colOff>
                    <xdr:row>194</xdr:row>
                    <xdr:rowOff>85725</xdr:rowOff>
                  </from>
                  <to>
                    <xdr:col>6</xdr:col>
                    <xdr:colOff>123825</xdr:colOff>
                    <xdr:row>196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17" r:id="rId161" name="Check Box 369">
              <controlPr defaultSize="0" autoFill="0" autoLine="0" autoPict="0">
                <anchor moveWithCells="1">
                  <from>
                    <xdr:col>3</xdr:col>
                    <xdr:colOff>0</xdr:colOff>
                    <xdr:row>195</xdr:row>
                    <xdr:rowOff>85725</xdr:rowOff>
                  </from>
                  <to>
                    <xdr:col>6</xdr:col>
                    <xdr:colOff>123825</xdr:colOff>
                    <xdr:row>197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18" r:id="rId162" name="Check Box 370">
              <controlPr defaultSize="0" autoFill="0" autoLine="0" autoPict="0">
                <anchor moveWithCells="1">
                  <from>
                    <xdr:col>3</xdr:col>
                    <xdr:colOff>0</xdr:colOff>
                    <xdr:row>196</xdr:row>
                    <xdr:rowOff>85725</xdr:rowOff>
                  </from>
                  <to>
                    <xdr:col>6</xdr:col>
                    <xdr:colOff>123825</xdr:colOff>
                    <xdr:row>198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19" r:id="rId163" name="Check Box 371">
              <controlPr defaultSize="0" autoFill="0" autoLine="0" autoPict="0">
                <anchor moveWithCells="1">
                  <from>
                    <xdr:col>3</xdr:col>
                    <xdr:colOff>0</xdr:colOff>
                    <xdr:row>197</xdr:row>
                    <xdr:rowOff>85725</xdr:rowOff>
                  </from>
                  <to>
                    <xdr:col>6</xdr:col>
                    <xdr:colOff>123825</xdr:colOff>
                    <xdr:row>199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20" r:id="rId164" name="Check Box 372">
              <controlPr defaultSize="0" autoFill="0" autoLine="0" autoPict="0">
                <anchor moveWithCells="1">
                  <from>
                    <xdr:col>3</xdr:col>
                    <xdr:colOff>0</xdr:colOff>
                    <xdr:row>200</xdr:row>
                    <xdr:rowOff>85725</xdr:rowOff>
                  </from>
                  <to>
                    <xdr:col>6</xdr:col>
                    <xdr:colOff>123825</xdr:colOff>
                    <xdr:row>202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21" r:id="rId165" name="Check Box 373">
              <controlPr defaultSize="0" autoFill="0" autoLine="0" autoPict="0">
                <anchor moveWithCells="1">
                  <from>
                    <xdr:col>3</xdr:col>
                    <xdr:colOff>0</xdr:colOff>
                    <xdr:row>201</xdr:row>
                    <xdr:rowOff>85725</xdr:rowOff>
                  </from>
                  <to>
                    <xdr:col>6</xdr:col>
                    <xdr:colOff>123825</xdr:colOff>
                    <xdr:row>203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22" r:id="rId166" name="Check Box 374">
              <controlPr defaultSize="0" autoFill="0" autoLine="0" autoPict="0">
                <anchor moveWithCells="1">
                  <from>
                    <xdr:col>3</xdr:col>
                    <xdr:colOff>0</xdr:colOff>
                    <xdr:row>202</xdr:row>
                    <xdr:rowOff>85725</xdr:rowOff>
                  </from>
                  <to>
                    <xdr:col>6</xdr:col>
                    <xdr:colOff>123825</xdr:colOff>
                    <xdr:row>204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23" r:id="rId167" name="Check Box 375">
              <controlPr defaultSize="0" autoFill="0" autoLine="0" autoPict="0">
                <anchor moveWithCells="1">
                  <from>
                    <xdr:col>3</xdr:col>
                    <xdr:colOff>0</xdr:colOff>
                    <xdr:row>203</xdr:row>
                    <xdr:rowOff>85725</xdr:rowOff>
                  </from>
                  <to>
                    <xdr:col>6</xdr:col>
                    <xdr:colOff>123825</xdr:colOff>
                    <xdr:row>205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24" r:id="rId168" name="Check Box 376">
              <controlPr defaultSize="0" autoFill="0" autoLine="0" autoPict="0">
                <anchor moveWithCells="1">
                  <from>
                    <xdr:col>3</xdr:col>
                    <xdr:colOff>0</xdr:colOff>
                    <xdr:row>204</xdr:row>
                    <xdr:rowOff>85725</xdr:rowOff>
                  </from>
                  <to>
                    <xdr:col>6</xdr:col>
                    <xdr:colOff>123825</xdr:colOff>
                    <xdr:row>206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25" r:id="rId169" name="Check Box 377">
              <controlPr defaultSize="0" autoFill="0" autoLine="0" autoPict="0">
                <anchor moveWithCells="1">
                  <from>
                    <xdr:col>3</xdr:col>
                    <xdr:colOff>0</xdr:colOff>
                    <xdr:row>205</xdr:row>
                    <xdr:rowOff>85725</xdr:rowOff>
                  </from>
                  <to>
                    <xdr:col>6</xdr:col>
                    <xdr:colOff>123825</xdr:colOff>
                    <xdr:row>207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26" r:id="rId170" name="Check Box 378">
              <controlPr defaultSize="0" autoFill="0" autoLine="0" autoPict="0">
                <anchor moveWithCells="1">
                  <from>
                    <xdr:col>3</xdr:col>
                    <xdr:colOff>0</xdr:colOff>
                    <xdr:row>206</xdr:row>
                    <xdr:rowOff>85725</xdr:rowOff>
                  </from>
                  <to>
                    <xdr:col>6</xdr:col>
                    <xdr:colOff>123825</xdr:colOff>
                    <xdr:row>208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27" r:id="rId171" name="Check Box 379">
              <controlPr defaultSize="0" autoFill="0" autoLine="0" autoPict="0">
                <anchor moveWithCells="1">
                  <from>
                    <xdr:col>3</xdr:col>
                    <xdr:colOff>0</xdr:colOff>
                    <xdr:row>207</xdr:row>
                    <xdr:rowOff>85725</xdr:rowOff>
                  </from>
                  <to>
                    <xdr:col>6</xdr:col>
                    <xdr:colOff>123825</xdr:colOff>
                    <xdr:row>209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28" r:id="rId172" name="Check Box 380">
              <controlPr defaultSize="0" autoFill="0" autoLine="0" autoPict="0">
                <anchor moveWithCells="1">
                  <from>
                    <xdr:col>3</xdr:col>
                    <xdr:colOff>0</xdr:colOff>
                    <xdr:row>208</xdr:row>
                    <xdr:rowOff>85725</xdr:rowOff>
                  </from>
                  <to>
                    <xdr:col>6</xdr:col>
                    <xdr:colOff>123825</xdr:colOff>
                    <xdr:row>210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29" r:id="rId173" name="Check Box 381">
              <controlPr defaultSize="0" autoFill="0" autoLine="0" autoPict="0">
                <anchor moveWithCells="1">
                  <from>
                    <xdr:col>3</xdr:col>
                    <xdr:colOff>0</xdr:colOff>
                    <xdr:row>209</xdr:row>
                    <xdr:rowOff>85725</xdr:rowOff>
                  </from>
                  <to>
                    <xdr:col>6</xdr:col>
                    <xdr:colOff>123825</xdr:colOff>
                    <xdr:row>211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30" r:id="rId174" name="Check Box 382">
              <controlPr defaultSize="0" autoFill="0" autoLine="0" autoPict="0">
                <anchor moveWithCells="1">
                  <from>
                    <xdr:col>3</xdr:col>
                    <xdr:colOff>0</xdr:colOff>
                    <xdr:row>210</xdr:row>
                    <xdr:rowOff>85725</xdr:rowOff>
                  </from>
                  <to>
                    <xdr:col>6</xdr:col>
                    <xdr:colOff>123825</xdr:colOff>
                    <xdr:row>212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31" r:id="rId175" name="Check Box 383">
              <controlPr defaultSize="0" autoFill="0" autoLine="0" autoPict="0">
                <anchor moveWithCells="1">
                  <from>
                    <xdr:col>3</xdr:col>
                    <xdr:colOff>0</xdr:colOff>
                    <xdr:row>211</xdr:row>
                    <xdr:rowOff>85725</xdr:rowOff>
                  </from>
                  <to>
                    <xdr:col>6</xdr:col>
                    <xdr:colOff>123825</xdr:colOff>
                    <xdr:row>213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32" r:id="rId176" name="Check Box 384">
              <controlPr defaultSize="0" autoFill="0" autoLine="0" autoPict="0">
                <anchor moveWithCells="1">
                  <from>
                    <xdr:col>3</xdr:col>
                    <xdr:colOff>0</xdr:colOff>
                    <xdr:row>212</xdr:row>
                    <xdr:rowOff>85725</xdr:rowOff>
                  </from>
                  <to>
                    <xdr:col>6</xdr:col>
                    <xdr:colOff>123825</xdr:colOff>
                    <xdr:row>214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33" r:id="rId177" name="Check Box 385">
              <controlPr defaultSize="0" autoFill="0" autoLine="0" autoPict="0">
                <anchor moveWithCells="1">
                  <from>
                    <xdr:col>3</xdr:col>
                    <xdr:colOff>0</xdr:colOff>
                    <xdr:row>213</xdr:row>
                    <xdr:rowOff>85725</xdr:rowOff>
                  </from>
                  <to>
                    <xdr:col>6</xdr:col>
                    <xdr:colOff>123825</xdr:colOff>
                    <xdr:row>215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34" r:id="rId178" name="Check Box 386">
              <controlPr defaultSize="0" autoFill="0" autoLine="0" autoPict="0">
                <anchor moveWithCells="1">
                  <from>
                    <xdr:col>3</xdr:col>
                    <xdr:colOff>0</xdr:colOff>
                    <xdr:row>214</xdr:row>
                    <xdr:rowOff>85725</xdr:rowOff>
                  </from>
                  <to>
                    <xdr:col>6</xdr:col>
                    <xdr:colOff>123825</xdr:colOff>
                    <xdr:row>216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35" r:id="rId179" name="Check Box 387">
              <controlPr defaultSize="0" autoFill="0" autoLine="0" autoPict="0">
                <anchor moveWithCells="1">
                  <from>
                    <xdr:col>3</xdr:col>
                    <xdr:colOff>0</xdr:colOff>
                    <xdr:row>215</xdr:row>
                    <xdr:rowOff>85725</xdr:rowOff>
                  </from>
                  <to>
                    <xdr:col>6</xdr:col>
                    <xdr:colOff>123825</xdr:colOff>
                    <xdr:row>217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36" r:id="rId180" name="Check Box 388">
              <controlPr defaultSize="0" autoFill="0" autoLine="0" autoPict="0">
                <anchor moveWithCells="1">
                  <from>
                    <xdr:col>3</xdr:col>
                    <xdr:colOff>0</xdr:colOff>
                    <xdr:row>216</xdr:row>
                    <xdr:rowOff>85725</xdr:rowOff>
                  </from>
                  <to>
                    <xdr:col>6</xdr:col>
                    <xdr:colOff>123825</xdr:colOff>
                    <xdr:row>218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37" r:id="rId181" name="Check Box 389">
              <controlPr defaultSize="0" autoFill="0" autoLine="0" autoPict="0">
                <anchor moveWithCells="1">
                  <from>
                    <xdr:col>3</xdr:col>
                    <xdr:colOff>0</xdr:colOff>
                    <xdr:row>217</xdr:row>
                    <xdr:rowOff>85725</xdr:rowOff>
                  </from>
                  <to>
                    <xdr:col>6</xdr:col>
                    <xdr:colOff>123825</xdr:colOff>
                    <xdr:row>219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38" r:id="rId182" name="Check Box 390">
              <controlPr defaultSize="0" autoFill="0" autoLine="0" autoPict="0">
                <anchor moveWithCells="1">
                  <from>
                    <xdr:col>3</xdr:col>
                    <xdr:colOff>0</xdr:colOff>
                    <xdr:row>218</xdr:row>
                    <xdr:rowOff>85725</xdr:rowOff>
                  </from>
                  <to>
                    <xdr:col>6</xdr:col>
                    <xdr:colOff>123825</xdr:colOff>
                    <xdr:row>220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39" r:id="rId183" name="Check Box 391">
              <controlPr defaultSize="0" autoFill="0" autoLine="0" autoPict="0">
                <anchor moveWithCells="1">
                  <from>
                    <xdr:col>3</xdr:col>
                    <xdr:colOff>0</xdr:colOff>
                    <xdr:row>219</xdr:row>
                    <xdr:rowOff>85725</xdr:rowOff>
                  </from>
                  <to>
                    <xdr:col>6</xdr:col>
                    <xdr:colOff>123825</xdr:colOff>
                    <xdr:row>221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40" r:id="rId184" name="Check Box 392">
              <controlPr defaultSize="0" autoFill="0" autoLine="0" autoPict="0">
                <anchor moveWithCells="1">
                  <from>
                    <xdr:col>3</xdr:col>
                    <xdr:colOff>0</xdr:colOff>
                    <xdr:row>220</xdr:row>
                    <xdr:rowOff>85725</xdr:rowOff>
                  </from>
                  <to>
                    <xdr:col>6</xdr:col>
                    <xdr:colOff>123825</xdr:colOff>
                    <xdr:row>222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41" r:id="rId185" name="Check Box 393">
              <controlPr defaultSize="0" autoFill="0" autoLine="0" autoPict="0">
                <anchor moveWithCells="1">
                  <from>
                    <xdr:col>3</xdr:col>
                    <xdr:colOff>0</xdr:colOff>
                    <xdr:row>221</xdr:row>
                    <xdr:rowOff>85725</xdr:rowOff>
                  </from>
                  <to>
                    <xdr:col>6</xdr:col>
                    <xdr:colOff>123825</xdr:colOff>
                    <xdr:row>223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42" r:id="rId186" name="Check Box 394">
              <controlPr defaultSize="0" autoFill="0" autoLine="0" autoPict="0">
                <anchor moveWithCells="1">
                  <from>
                    <xdr:col>3</xdr:col>
                    <xdr:colOff>0</xdr:colOff>
                    <xdr:row>222</xdr:row>
                    <xdr:rowOff>85725</xdr:rowOff>
                  </from>
                  <to>
                    <xdr:col>6</xdr:col>
                    <xdr:colOff>123825</xdr:colOff>
                    <xdr:row>224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43" r:id="rId187" name="Check Box 395">
              <controlPr defaultSize="0" autoFill="0" autoLine="0" autoPict="0">
                <anchor moveWithCells="1">
                  <from>
                    <xdr:col>3</xdr:col>
                    <xdr:colOff>0</xdr:colOff>
                    <xdr:row>223</xdr:row>
                    <xdr:rowOff>85725</xdr:rowOff>
                  </from>
                  <to>
                    <xdr:col>6</xdr:col>
                    <xdr:colOff>123825</xdr:colOff>
                    <xdr:row>225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44" r:id="rId188" name="Check Box 396">
              <controlPr defaultSize="0" autoFill="0" autoLine="0" autoPict="0">
                <anchor moveWithCells="1">
                  <from>
                    <xdr:col>3</xdr:col>
                    <xdr:colOff>0</xdr:colOff>
                    <xdr:row>224</xdr:row>
                    <xdr:rowOff>85725</xdr:rowOff>
                  </from>
                  <to>
                    <xdr:col>6</xdr:col>
                    <xdr:colOff>123825</xdr:colOff>
                    <xdr:row>226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45" r:id="rId189" name="Check Box 397">
              <controlPr defaultSize="0" autoFill="0" autoLine="0" autoPict="0">
                <anchor moveWithCells="1">
                  <from>
                    <xdr:col>3</xdr:col>
                    <xdr:colOff>0</xdr:colOff>
                    <xdr:row>225</xdr:row>
                    <xdr:rowOff>85725</xdr:rowOff>
                  </from>
                  <to>
                    <xdr:col>6</xdr:col>
                    <xdr:colOff>123825</xdr:colOff>
                    <xdr:row>227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46" r:id="rId190" name="Check Box 398">
              <controlPr defaultSize="0" autoFill="0" autoLine="0" autoPict="0">
                <anchor moveWithCells="1">
                  <from>
                    <xdr:col>3</xdr:col>
                    <xdr:colOff>0</xdr:colOff>
                    <xdr:row>226</xdr:row>
                    <xdr:rowOff>85725</xdr:rowOff>
                  </from>
                  <to>
                    <xdr:col>6</xdr:col>
                    <xdr:colOff>123825</xdr:colOff>
                    <xdr:row>228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47" r:id="rId191" name="Check Box 399">
              <controlPr defaultSize="0" autoFill="0" autoLine="0" autoPict="0">
                <anchor moveWithCells="1">
                  <from>
                    <xdr:col>3</xdr:col>
                    <xdr:colOff>0</xdr:colOff>
                    <xdr:row>227</xdr:row>
                    <xdr:rowOff>85725</xdr:rowOff>
                  </from>
                  <to>
                    <xdr:col>6</xdr:col>
                    <xdr:colOff>123825</xdr:colOff>
                    <xdr:row>229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48" r:id="rId192" name="Check Box 400">
              <controlPr defaultSize="0" autoFill="0" autoLine="0" autoPict="0">
                <anchor moveWithCells="1">
                  <from>
                    <xdr:col>3</xdr:col>
                    <xdr:colOff>0</xdr:colOff>
                    <xdr:row>228</xdr:row>
                    <xdr:rowOff>85725</xdr:rowOff>
                  </from>
                  <to>
                    <xdr:col>6</xdr:col>
                    <xdr:colOff>123825</xdr:colOff>
                    <xdr:row>230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49" r:id="rId193" name="Check Box 401">
              <controlPr defaultSize="0" autoFill="0" autoLine="0" autoPict="0">
                <anchor moveWithCells="1">
                  <from>
                    <xdr:col>3</xdr:col>
                    <xdr:colOff>0</xdr:colOff>
                    <xdr:row>229</xdr:row>
                    <xdr:rowOff>85725</xdr:rowOff>
                  </from>
                  <to>
                    <xdr:col>6</xdr:col>
                    <xdr:colOff>123825</xdr:colOff>
                    <xdr:row>231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50" r:id="rId194" name="Check Box 402">
              <controlPr defaultSize="0" autoFill="0" autoLine="0" autoPict="0">
                <anchor moveWithCells="1">
                  <from>
                    <xdr:col>3</xdr:col>
                    <xdr:colOff>0</xdr:colOff>
                    <xdr:row>230</xdr:row>
                    <xdr:rowOff>85725</xdr:rowOff>
                  </from>
                  <to>
                    <xdr:col>6</xdr:col>
                    <xdr:colOff>123825</xdr:colOff>
                    <xdr:row>232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51" r:id="rId195" name="Check Box 403">
              <controlPr defaultSize="0" autoFill="0" autoLine="0" autoPict="0">
                <anchor moveWithCells="1">
                  <from>
                    <xdr:col>3</xdr:col>
                    <xdr:colOff>0</xdr:colOff>
                    <xdr:row>231</xdr:row>
                    <xdr:rowOff>85725</xdr:rowOff>
                  </from>
                  <to>
                    <xdr:col>6</xdr:col>
                    <xdr:colOff>123825</xdr:colOff>
                    <xdr:row>233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52" r:id="rId196" name="Check Box 404">
              <controlPr defaultSize="0" autoFill="0" autoLine="0" autoPict="0">
                <anchor moveWithCells="1">
                  <from>
                    <xdr:col>3</xdr:col>
                    <xdr:colOff>0</xdr:colOff>
                    <xdr:row>232</xdr:row>
                    <xdr:rowOff>85725</xdr:rowOff>
                  </from>
                  <to>
                    <xdr:col>6</xdr:col>
                    <xdr:colOff>123825</xdr:colOff>
                    <xdr:row>234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53" r:id="rId197" name="Check Box 405">
              <controlPr defaultSize="0" autoFill="0" autoLine="0" autoPict="0">
                <anchor moveWithCells="1">
                  <from>
                    <xdr:col>3</xdr:col>
                    <xdr:colOff>0</xdr:colOff>
                    <xdr:row>233</xdr:row>
                    <xdr:rowOff>85725</xdr:rowOff>
                  </from>
                  <to>
                    <xdr:col>6</xdr:col>
                    <xdr:colOff>123825</xdr:colOff>
                    <xdr:row>235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54" r:id="rId198" name="Check Box 406">
              <controlPr defaultSize="0" autoFill="0" autoLine="0" autoPict="0">
                <anchor moveWithCells="1">
                  <from>
                    <xdr:col>3</xdr:col>
                    <xdr:colOff>0</xdr:colOff>
                    <xdr:row>234</xdr:row>
                    <xdr:rowOff>85725</xdr:rowOff>
                  </from>
                  <to>
                    <xdr:col>6</xdr:col>
                    <xdr:colOff>123825</xdr:colOff>
                    <xdr:row>236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55" r:id="rId199" name="Check Box 407">
              <controlPr defaultSize="0" autoFill="0" autoLine="0" autoPict="0">
                <anchor moveWithCells="1">
                  <from>
                    <xdr:col>3</xdr:col>
                    <xdr:colOff>0</xdr:colOff>
                    <xdr:row>235</xdr:row>
                    <xdr:rowOff>85725</xdr:rowOff>
                  </from>
                  <to>
                    <xdr:col>6</xdr:col>
                    <xdr:colOff>123825</xdr:colOff>
                    <xdr:row>237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56" r:id="rId200" name="Check Box 408">
              <controlPr defaultSize="0" autoFill="0" autoLine="0" autoPict="0">
                <anchor moveWithCells="1">
                  <from>
                    <xdr:col>3</xdr:col>
                    <xdr:colOff>0</xdr:colOff>
                    <xdr:row>236</xdr:row>
                    <xdr:rowOff>85725</xdr:rowOff>
                  </from>
                  <to>
                    <xdr:col>6</xdr:col>
                    <xdr:colOff>123825</xdr:colOff>
                    <xdr:row>238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57" r:id="rId201" name="Check Box 409">
              <controlPr defaultSize="0" autoFill="0" autoLine="0" autoPict="0">
                <anchor moveWithCells="1">
                  <from>
                    <xdr:col>3</xdr:col>
                    <xdr:colOff>0</xdr:colOff>
                    <xdr:row>198</xdr:row>
                    <xdr:rowOff>85725</xdr:rowOff>
                  </from>
                  <to>
                    <xdr:col>6</xdr:col>
                    <xdr:colOff>123825</xdr:colOff>
                    <xdr:row>200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58" r:id="rId202" name="Check Box 410">
              <controlPr defaultSize="0" autoFill="0" autoLine="0" autoPict="0">
                <anchor moveWithCells="1">
                  <from>
                    <xdr:col>3</xdr:col>
                    <xdr:colOff>0</xdr:colOff>
                    <xdr:row>199</xdr:row>
                    <xdr:rowOff>85725</xdr:rowOff>
                  </from>
                  <to>
                    <xdr:col>6</xdr:col>
                    <xdr:colOff>123825</xdr:colOff>
                    <xdr:row>201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59" r:id="rId203" name="Check Box 411">
              <controlPr defaultSize="0" autoFill="0" autoLine="0" autoPict="0">
                <anchor moveWithCells="1">
                  <from>
                    <xdr:col>3</xdr:col>
                    <xdr:colOff>0</xdr:colOff>
                    <xdr:row>236</xdr:row>
                    <xdr:rowOff>85725</xdr:rowOff>
                  </from>
                  <to>
                    <xdr:col>6</xdr:col>
                    <xdr:colOff>123825</xdr:colOff>
                    <xdr:row>238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60" r:id="rId204" name="Button 412">
              <controlPr defaultSize="0" print="0" autoFill="0" autoPict="0" macro="[0]!Start">
                <anchor moveWithCells="1" sizeWithCells="1">
                  <from>
                    <xdr:col>10</xdr:col>
                    <xdr:colOff>38100</xdr:colOff>
                    <xdr:row>33</xdr:row>
                    <xdr:rowOff>28575</xdr:rowOff>
                  </from>
                  <to>
                    <xdr:col>10</xdr:col>
                    <xdr:colOff>1038225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61" r:id="rId205" name="Button 413">
              <controlPr defaultSize="0" print="0" autoFill="0" autoPict="0" macro="[0]!Finish">
                <anchor moveWithCells="1" sizeWithCells="1">
                  <from>
                    <xdr:col>10</xdr:col>
                    <xdr:colOff>38100</xdr:colOff>
                    <xdr:row>34</xdr:row>
                    <xdr:rowOff>28575</xdr:rowOff>
                  </from>
                  <to>
                    <xdr:col>10</xdr:col>
                    <xdr:colOff>1038225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62" r:id="rId206" name="Button 414">
              <controlPr defaultSize="0" print="0" autoFill="0" autoPict="0" macro="[0]!Start">
                <anchor moveWithCells="1" sizeWithCells="1">
                  <from>
                    <xdr:col>10</xdr:col>
                    <xdr:colOff>38100</xdr:colOff>
                    <xdr:row>35</xdr:row>
                    <xdr:rowOff>28575</xdr:rowOff>
                  </from>
                  <to>
                    <xdr:col>10</xdr:col>
                    <xdr:colOff>1038225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63" r:id="rId207" name="Button 415">
              <controlPr defaultSize="0" print="0" autoFill="0" autoPict="0" macro="[0]!Copi">
                <anchor moveWithCells="1" sizeWithCells="1">
                  <from>
                    <xdr:col>10</xdr:col>
                    <xdr:colOff>1085850</xdr:colOff>
                    <xdr:row>33</xdr:row>
                    <xdr:rowOff>28575</xdr:rowOff>
                  </from>
                  <to>
                    <xdr:col>10</xdr:col>
                    <xdr:colOff>2085975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64" r:id="rId208" name="Button 416">
              <controlPr defaultSize="0" print="0" autoFill="0" autoPict="0" macro="[0]!stereti">
                <anchor moveWithCells="1" sizeWithCells="1">
                  <from>
                    <xdr:col>10</xdr:col>
                    <xdr:colOff>1085850</xdr:colOff>
                    <xdr:row>34</xdr:row>
                    <xdr:rowOff>28575</xdr:rowOff>
                  </from>
                  <to>
                    <xdr:col>10</xdr:col>
                    <xdr:colOff>2085975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65" r:id="rId209" name="Button 417">
              <controlPr defaultSize="0" print="0" autoFill="0" autoPict="0" macro="[0]!Start">
                <anchor moveWithCells="1" sizeWithCells="1">
                  <from>
                    <xdr:col>10</xdr:col>
                    <xdr:colOff>1085850</xdr:colOff>
                    <xdr:row>35</xdr:row>
                    <xdr:rowOff>28575</xdr:rowOff>
                  </from>
                  <to>
                    <xdr:col>10</xdr:col>
                    <xdr:colOff>2085975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66" r:id="rId210" name="Button 418">
              <controlPr defaultSize="0" print="0" autoFill="0" autoPict="0" macro="[0]!_xludf.Hide">
                <anchor moveWithCells="1" sizeWithCells="1">
                  <from>
                    <xdr:col>10</xdr:col>
                    <xdr:colOff>2133600</xdr:colOff>
                    <xdr:row>33</xdr:row>
                    <xdr:rowOff>28575</xdr:rowOff>
                  </from>
                  <to>
                    <xdr:col>10</xdr:col>
                    <xdr:colOff>3133725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67" r:id="rId211" name="Button 419">
              <controlPr defaultSize="0" print="0" autoFill="0" autoPict="0" macro="[0]!open_">
                <anchor moveWithCells="1" sizeWithCells="1">
                  <from>
                    <xdr:col>10</xdr:col>
                    <xdr:colOff>2133600</xdr:colOff>
                    <xdr:row>34</xdr:row>
                    <xdr:rowOff>28575</xdr:rowOff>
                  </from>
                  <to>
                    <xdr:col>10</xdr:col>
                    <xdr:colOff>3133725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68" r:id="rId212" name="Button 420">
              <controlPr defaultSize="0" print="0" autoFill="0" autoPict="0" macro="[0]!Start">
                <anchor moveWithCells="1" sizeWithCells="1">
                  <from>
                    <xdr:col>10</xdr:col>
                    <xdr:colOff>2133600</xdr:colOff>
                    <xdr:row>35</xdr:row>
                    <xdr:rowOff>28575</xdr:rowOff>
                  </from>
                  <to>
                    <xdr:col>10</xdr:col>
                    <xdr:colOff>3133725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69" r:id="rId213" name="Check Box 421">
              <controlPr defaultSize="0" autoFill="0" autoLine="0" autoPict="0">
                <anchor moveWithCells="1">
                  <from>
                    <xdr:col>34</xdr:col>
                    <xdr:colOff>0</xdr:colOff>
                    <xdr:row>37</xdr:row>
                    <xdr:rowOff>85725</xdr:rowOff>
                  </from>
                  <to>
                    <xdr:col>34</xdr:col>
                    <xdr:colOff>304800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70" r:id="rId214" name="Check Box 422">
              <controlPr defaultSize="0" autoFill="0" autoLine="0" autoPict="0">
                <anchor moveWithCells="1">
                  <from>
                    <xdr:col>34</xdr:col>
                    <xdr:colOff>0</xdr:colOff>
                    <xdr:row>38</xdr:row>
                    <xdr:rowOff>85725</xdr:rowOff>
                  </from>
                  <to>
                    <xdr:col>34</xdr:col>
                    <xdr:colOff>304800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71" r:id="rId215" name="Check Box 423">
              <controlPr defaultSize="0" autoFill="0" autoLine="0" autoPict="0">
                <anchor moveWithCells="1">
                  <from>
                    <xdr:col>34</xdr:col>
                    <xdr:colOff>0</xdr:colOff>
                    <xdr:row>39</xdr:row>
                    <xdr:rowOff>85725</xdr:rowOff>
                  </from>
                  <to>
                    <xdr:col>34</xdr:col>
                    <xdr:colOff>304800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72" r:id="rId216" name="Check Box 424">
              <controlPr defaultSize="0" autoFill="0" autoLine="0" autoPict="0">
                <anchor moveWithCells="1">
                  <from>
                    <xdr:col>34</xdr:col>
                    <xdr:colOff>0</xdr:colOff>
                    <xdr:row>40</xdr:row>
                    <xdr:rowOff>85725</xdr:rowOff>
                  </from>
                  <to>
                    <xdr:col>34</xdr:col>
                    <xdr:colOff>304800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73" r:id="rId217" name="Check Box 425">
              <controlPr defaultSize="0" autoFill="0" autoLine="0" autoPict="0">
                <anchor moveWithCells="1">
                  <from>
                    <xdr:col>34</xdr:col>
                    <xdr:colOff>0</xdr:colOff>
                    <xdr:row>41</xdr:row>
                    <xdr:rowOff>85725</xdr:rowOff>
                  </from>
                  <to>
                    <xdr:col>34</xdr:col>
                    <xdr:colOff>304800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74" r:id="rId218" name="Check Box 426">
              <controlPr defaultSize="0" autoFill="0" autoLine="0" autoPict="0">
                <anchor moveWithCells="1">
                  <from>
                    <xdr:col>34</xdr:col>
                    <xdr:colOff>0</xdr:colOff>
                    <xdr:row>42</xdr:row>
                    <xdr:rowOff>85725</xdr:rowOff>
                  </from>
                  <to>
                    <xdr:col>34</xdr:col>
                    <xdr:colOff>304800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75" r:id="rId219" name="Check Box 427">
              <controlPr defaultSize="0" autoFill="0" autoLine="0" autoPict="0">
                <anchor moveWithCells="1">
                  <from>
                    <xdr:col>34</xdr:col>
                    <xdr:colOff>0</xdr:colOff>
                    <xdr:row>43</xdr:row>
                    <xdr:rowOff>85725</xdr:rowOff>
                  </from>
                  <to>
                    <xdr:col>34</xdr:col>
                    <xdr:colOff>304800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76" r:id="rId220" name="Check Box 428">
              <controlPr defaultSize="0" autoFill="0" autoLine="0" autoPict="0">
                <anchor moveWithCells="1">
                  <from>
                    <xdr:col>34</xdr:col>
                    <xdr:colOff>0</xdr:colOff>
                    <xdr:row>44</xdr:row>
                    <xdr:rowOff>85725</xdr:rowOff>
                  </from>
                  <to>
                    <xdr:col>34</xdr:col>
                    <xdr:colOff>304800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77" r:id="rId221" name="Check Box 429">
              <controlPr defaultSize="0" autoFill="0" autoLine="0" autoPict="0">
                <anchor moveWithCells="1">
                  <from>
                    <xdr:col>34</xdr:col>
                    <xdr:colOff>0</xdr:colOff>
                    <xdr:row>45</xdr:row>
                    <xdr:rowOff>85725</xdr:rowOff>
                  </from>
                  <to>
                    <xdr:col>34</xdr:col>
                    <xdr:colOff>304800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78" r:id="rId222" name="Check Box 430">
              <controlPr defaultSize="0" autoFill="0" autoLine="0" autoPict="0">
                <anchor moveWithCells="1">
                  <from>
                    <xdr:col>34</xdr:col>
                    <xdr:colOff>0</xdr:colOff>
                    <xdr:row>46</xdr:row>
                    <xdr:rowOff>85725</xdr:rowOff>
                  </from>
                  <to>
                    <xdr:col>34</xdr:col>
                    <xdr:colOff>304800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79" r:id="rId223" name="Check Box 431">
              <controlPr defaultSize="0" autoFill="0" autoLine="0" autoPict="0">
                <anchor moveWithCells="1">
                  <from>
                    <xdr:col>34</xdr:col>
                    <xdr:colOff>0</xdr:colOff>
                    <xdr:row>47</xdr:row>
                    <xdr:rowOff>85725</xdr:rowOff>
                  </from>
                  <to>
                    <xdr:col>34</xdr:col>
                    <xdr:colOff>304800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80" r:id="rId224" name="Check Box 432">
              <controlPr defaultSize="0" autoFill="0" autoLine="0" autoPict="0">
                <anchor moveWithCells="1">
                  <from>
                    <xdr:col>34</xdr:col>
                    <xdr:colOff>0</xdr:colOff>
                    <xdr:row>50</xdr:row>
                    <xdr:rowOff>85725</xdr:rowOff>
                  </from>
                  <to>
                    <xdr:col>34</xdr:col>
                    <xdr:colOff>304800</xdr:colOff>
                    <xdr:row>52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81" r:id="rId225" name="Check Box 433">
              <controlPr defaultSize="0" autoFill="0" autoLine="0" autoPict="0">
                <anchor moveWithCells="1">
                  <from>
                    <xdr:col>34</xdr:col>
                    <xdr:colOff>0</xdr:colOff>
                    <xdr:row>51</xdr:row>
                    <xdr:rowOff>85725</xdr:rowOff>
                  </from>
                  <to>
                    <xdr:col>34</xdr:col>
                    <xdr:colOff>304800</xdr:colOff>
                    <xdr:row>53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82" r:id="rId226" name="Check Box 434">
              <controlPr defaultSize="0" autoFill="0" autoLine="0" autoPict="0">
                <anchor moveWithCells="1">
                  <from>
                    <xdr:col>34</xdr:col>
                    <xdr:colOff>0</xdr:colOff>
                    <xdr:row>52</xdr:row>
                    <xdr:rowOff>85725</xdr:rowOff>
                  </from>
                  <to>
                    <xdr:col>34</xdr:col>
                    <xdr:colOff>304800</xdr:colOff>
                    <xdr:row>54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83" r:id="rId227" name="Check Box 435">
              <controlPr defaultSize="0" autoFill="0" autoLine="0" autoPict="0">
                <anchor moveWithCells="1">
                  <from>
                    <xdr:col>34</xdr:col>
                    <xdr:colOff>0</xdr:colOff>
                    <xdr:row>53</xdr:row>
                    <xdr:rowOff>85725</xdr:rowOff>
                  </from>
                  <to>
                    <xdr:col>34</xdr:col>
                    <xdr:colOff>304800</xdr:colOff>
                    <xdr:row>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84" r:id="rId228" name="Check Box 436">
              <controlPr defaultSize="0" autoFill="0" autoLine="0" autoPict="0">
                <anchor moveWithCells="1">
                  <from>
                    <xdr:col>34</xdr:col>
                    <xdr:colOff>0</xdr:colOff>
                    <xdr:row>54</xdr:row>
                    <xdr:rowOff>85725</xdr:rowOff>
                  </from>
                  <to>
                    <xdr:col>34</xdr:col>
                    <xdr:colOff>304800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85" r:id="rId229" name="Check Box 437">
              <controlPr defaultSize="0" autoFill="0" autoLine="0" autoPict="0">
                <anchor moveWithCells="1">
                  <from>
                    <xdr:col>34</xdr:col>
                    <xdr:colOff>0</xdr:colOff>
                    <xdr:row>55</xdr:row>
                    <xdr:rowOff>85725</xdr:rowOff>
                  </from>
                  <to>
                    <xdr:col>34</xdr:col>
                    <xdr:colOff>304800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86" r:id="rId230" name="Check Box 438">
              <controlPr defaultSize="0" autoFill="0" autoLine="0" autoPict="0">
                <anchor moveWithCells="1">
                  <from>
                    <xdr:col>34</xdr:col>
                    <xdr:colOff>0</xdr:colOff>
                    <xdr:row>56</xdr:row>
                    <xdr:rowOff>85725</xdr:rowOff>
                  </from>
                  <to>
                    <xdr:col>34</xdr:col>
                    <xdr:colOff>304800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87" r:id="rId231" name="Check Box 439">
              <controlPr defaultSize="0" autoFill="0" autoLine="0" autoPict="0">
                <anchor moveWithCells="1">
                  <from>
                    <xdr:col>34</xdr:col>
                    <xdr:colOff>0</xdr:colOff>
                    <xdr:row>57</xdr:row>
                    <xdr:rowOff>85725</xdr:rowOff>
                  </from>
                  <to>
                    <xdr:col>34</xdr:col>
                    <xdr:colOff>304800</xdr:colOff>
                    <xdr:row>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88" r:id="rId232" name="Check Box 440">
              <controlPr defaultSize="0" autoFill="0" autoLine="0" autoPict="0">
                <anchor moveWithCells="1">
                  <from>
                    <xdr:col>34</xdr:col>
                    <xdr:colOff>0</xdr:colOff>
                    <xdr:row>58</xdr:row>
                    <xdr:rowOff>85725</xdr:rowOff>
                  </from>
                  <to>
                    <xdr:col>34</xdr:col>
                    <xdr:colOff>304800</xdr:colOff>
                    <xdr:row>60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89" r:id="rId233" name="Check Box 441">
              <controlPr defaultSize="0" autoFill="0" autoLine="0" autoPict="0">
                <anchor moveWithCells="1">
                  <from>
                    <xdr:col>34</xdr:col>
                    <xdr:colOff>0</xdr:colOff>
                    <xdr:row>59</xdr:row>
                    <xdr:rowOff>85725</xdr:rowOff>
                  </from>
                  <to>
                    <xdr:col>34</xdr:col>
                    <xdr:colOff>304800</xdr:colOff>
                    <xdr:row>61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90" r:id="rId234" name="Check Box 442">
              <controlPr defaultSize="0" autoFill="0" autoLine="0" autoPict="0">
                <anchor moveWithCells="1">
                  <from>
                    <xdr:col>34</xdr:col>
                    <xdr:colOff>0</xdr:colOff>
                    <xdr:row>60</xdr:row>
                    <xdr:rowOff>85725</xdr:rowOff>
                  </from>
                  <to>
                    <xdr:col>34</xdr:col>
                    <xdr:colOff>304800</xdr:colOff>
                    <xdr:row>62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91" r:id="rId235" name="Check Box 443">
              <controlPr defaultSize="0" autoFill="0" autoLine="0" autoPict="0">
                <anchor moveWithCells="1">
                  <from>
                    <xdr:col>34</xdr:col>
                    <xdr:colOff>0</xdr:colOff>
                    <xdr:row>61</xdr:row>
                    <xdr:rowOff>85725</xdr:rowOff>
                  </from>
                  <to>
                    <xdr:col>34</xdr:col>
                    <xdr:colOff>304800</xdr:colOff>
                    <xdr:row>63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92" r:id="rId236" name="Check Box 444">
              <controlPr defaultSize="0" autoFill="0" autoLine="0" autoPict="0">
                <anchor moveWithCells="1">
                  <from>
                    <xdr:col>34</xdr:col>
                    <xdr:colOff>0</xdr:colOff>
                    <xdr:row>62</xdr:row>
                    <xdr:rowOff>85725</xdr:rowOff>
                  </from>
                  <to>
                    <xdr:col>34</xdr:col>
                    <xdr:colOff>304800</xdr:colOff>
                    <xdr:row>64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93" r:id="rId237" name="Check Box 445">
              <controlPr defaultSize="0" autoFill="0" autoLine="0" autoPict="0">
                <anchor moveWithCells="1">
                  <from>
                    <xdr:col>34</xdr:col>
                    <xdr:colOff>0</xdr:colOff>
                    <xdr:row>63</xdr:row>
                    <xdr:rowOff>85725</xdr:rowOff>
                  </from>
                  <to>
                    <xdr:col>34</xdr:col>
                    <xdr:colOff>304800</xdr:colOff>
                    <xdr:row>65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94" r:id="rId238" name="Check Box 446">
              <controlPr defaultSize="0" autoFill="0" autoLine="0" autoPict="0">
                <anchor moveWithCells="1">
                  <from>
                    <xdr:col>34</xdr:col>
                    <xdr:colOff>0</xdr:colOff>
                    <xdr:row>64</xdr:row>
                    <xdr:rowOff>85725</xdr:rowOff>
                  </from>
                  <to>
                    <xdr:col>34</xdr:col>
                    <xdr:colOff>304800</xdr:colOff>
                    <xdr:row>66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95" r:id="rId239" name="Check Box 447">
              <controlPr defaultSize="0" autoFill="0" autoLine="0" autoPict="0">
                <anchor moveWithCells="1">
                  <from>
                    <xdr:col>34</xdr:col>
                    <xdr:colOff>0</xdr:colOff>
                    <xdr:row>65</xdr:row>
                    <xdr:rowOff>85725</xdr:rowOff>
                  </from>
                  <to>
                    <xdr:col>34</xdr:col>
                    <xdr:colOff>304800</xdr:colOff>
                    <xdr:row>67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96" r:id="rId240" name="Check Box 448">
              <controlPr defaultSize="0" autoFill="0" autoLine="0" autoPict="0">
                <anchor moveWithCells="1">
                  <from>
                    <xdr:col>34</xdr:col>
                    <xdr:colOff>0</xdr:colOff>
                    <xdr:row>66</xdr:row>
                    <xdr:rowOff>85725</xdr:rowOff>
                  </from>
                  <to>
                    <xdr:col>34</xdr:col>
                    <xdr:colOff>304800</xdr:colOff>
                    <xdr:row>68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97" r:id="rId241" name="Check Box 449">
              <controlPr defaultSize="0" autoFill="0" autoLine="0" autoPict="0">
                <anchor moveWithCells="1">
                  <from>
                    <xdr:col>34</xdr:col>
                    <xdr:colOff>0</xdr:colOff>
                    <xdr:row>67</xdr:row>
                    <xdr:rowOff>85725</xdr:rowOff>
                  </from>
                  <to>
                    <xdr:col>34</xdr:col>
                    <xdr:colOff>304800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98" r:id="rId242" name="Check Box 450">
              <controlPr defaultSize="0" autoFill="0" autoLine="0" autoPict="0">
                <anchor moveWithCells="1">
                  <from>
                    <xdr:col>34</xdr:col>
                    <xdr:colOff>0</xdr:colOff>
                    <xdr:row>68</xdr:row>
                    <xdr:rowOff>85725</xdr:rowOff>
                  </from>
                  <to>
                    <xdr:col>34</xdr:col>
                    <xdr:colOff>304800</xdr:colOff>
                    <xdr:row>70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99" r:id="rId243" name="Check Box 451">
              <controlPr defaultSize="0" autoFill="0" autoLine="0" autoPict="0">
                <anchor moveWithCells="1">
                  <from>
                    <xdr:col>34</xdr:col>
                    <xdr:colOff>0</xdr:colOff>
                    <xdr:row>69</xdr:row>
                    <xdr:rowOff>85725</xdr:rowOff>
                  </from>
                  <to>
                    <xdr:col>34</xdr:col>
                    <xdr:colOff>304800</xdr:colOff>
                    <xdr:row>71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00" r:id="rId244" name="Check Box 452">
              <controlPr defaultSize="0" autoFill="0" autoLine="0" autoPict="0">
                <anchor moveWithCells="1">
                  <from>
                    <xdr:col>34</xdr:col>
                    <xdr:colOff>0</xdr:colOff>
                    <xdr:row>70</xdr:row>
                    <xdr:rowOff>85725</xdr:rowOff>
                  </from>
                  <to>
                    <xdr:col>34</xdr:col>
                    <xdr:colOff>304800</xdr:colOff>
                    <xdr:row>72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01" r:id="rId245" name="Check Box 453">
              <controlPr defaultSize="0" autoFill="0" autoLine="0" autoPict="0">
                <anchor moveWithCells="1">
                  <from>
                    <xdr:col>34</xdr:col>
                    <xdr:colOff>0</xdr:colOff>
                    <xdr:row>71</xdr:row>
                    <xdr:rowOff>85725</xdr:rowOff>
                  </from>
                  <to>
                    <xdr:col>34</xdr:col>
                    <xdr:colOff>304800</xdr:colOff>
                    <xdr:row>73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02" r:id="rId246" name="Check Box 454">
              <controlPr defaultSize="0" autoFill="0" autoLine="0" autoPict="0">
                <anchor moveWithCells="1">
                  <from>
                    <xdr:col>34</xdr:col>
                    <xdr:colOff>0</xdr:colOff>
                    <xdr:row>72</xdr:row>
                    <xdr:rowOff>85725</xdr:rowOff>
                  </from>
                  <to>
                    <xdr:col>34</xdr:col>
                    <xdr:colOff>304800</xdr:colOff>
                    <xdr:row>74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03" r:id="rId247" name="Check Box 455">
              <controlPr defaultSize="0" autoFill="0" autoLine="0" autoPict="0">
                <anchor moveWithCells="1">
                  <from>
                    <xdr:col>34</xdr:col>
                    <xdr:colOff>0</xdr:colOff>
                    <xdr:row>73</xdr:row>
                    <xdr:rowOff>85725</xdr:rowOff>
                  </from>
                  <to>
                    <xdr:col>34</xdr:col>
                    <xdr:colOff>304800</xdr:colOff>
                    <xdr:row>75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04" r:id="rId248" name="Check Box 456">
              <controlPr defaultSize="0" autoFill="0" autoLine="0" autoPict="0">
                <anchor moveWithCells="1">
                  <from>
                    <xdr:col>34</xdr:col>
                    <xdr:colOff>0</xdr:colOff>
                    <xdr:row>74</xdr:row>
                    <xdr:rowOff>85725</xdr:rowOff>
                  </from>
                  <to>
                    <xdr:col>34</xdr:col>
                    <xdr:colOff>304800</xdr:colOff>
                    <xdr:row>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05" r:id="rId249" name="Check Box 457">
              <controlPr defaultSize="0" autoFill="0" autoLine="0" autoPict="0">
                <anchor moveWithCells="1">
                  <from>
                    <xdr:col>34</xdr:col>
                    <xdr:colOff>0</xdr:colOff>
                    <xdr:row>75</xdr:row>
                    <xdr:rowOff>85725</xdr:rowOff>
                  </from>
                  <to>
                    <xdr:col>34</xdr:col>
                    <xdr:colOff>304800</xdr:colOff>
                    <xdr:row>77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06" r:id="rId250" name="Check Box 458">
              <controlPr defaultSize="0" autoFill="0" autoLine="0" autoPict="0">
                <anchor moveWithCells="1">
                  <from>
                    <xdr:col>34</xdr:col>
                    <xdr:colOff>0</xdr:colOff>
                    <xdr:row>76</xdr:row>
                    <xdr:rowOff>85725</xdr:rowOff>
                  </from>
                  <to>
                    <xdr:col>34</xdr:col>
                    <xdr:colOff>304800</xdr:colOff>
                    <xdr:row>78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07" r:id="rId251" name="Check Box 459">
              <controlPr defaultSize="0" autoFill="0" autoLine="0" autoPict="0">
                <anchor moveWithCells="1">
                  <from>
                    <xdr:col>34</xdr:col>
                    <xdr:colOff>0</xdr:colOff>
                    <xdr:row>77</xdr:row>
                    <xdr:rowOff>85725</xdr:rowOff>
                  </from>
                  <to>
                    <xdr:col>34</xdr:col>
                    <xdr:colOff>304800</xdr:colOff>
                    <xdr:row>79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08" r:id="rId252" name="Check Box 460">
              <controlPr defaultSize="0" autoFill="0" autoLine="0" autoPict="0">
                <anchor moveWithCells="1">
                  <from>
                    <xdr:col>34</xdr:col>
                    <xdr:colOff>0</xdr:colOff>
                    <xdr:row>78</xdr:row>
                    <xdr:rowOff>85725</xdr:rowOff>
                  </from>
                  <to>
                    <xdr:col>34</xdr:col>
                    <xdr:colOff>304800</xdr:colOff>
                    <xdr:row>80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09" r:id="rId253" name="Check Box 461">
              <controlPr defaultSize="0" autoFill="0" autoLine="0" autoPict="0">
                <anchor moveWithCells="1">
                  <from>
                    <xdr:col>34</xdr:col>
                    <xdr:colOff>0</xdr:colOff>
                    <xdr:row>79</xdr:row>
                    <xdr:rowOff>85725</xdr:rowOff>
                  </from>
                  <to>
                    <xdr:col>34</xdr:col>
                    <xdr:colOff>304800</xdr:colOff>
                    <xdr:row>81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10" r:id="rId254" name="Check Box 462">
              <controlPr defaultSize="0" autoFill="0" autoLine="0" autoPict="0">
                <anchor moveWithCells="1">
                  <from>
                    <xdr:col>34</xdr:col>
                    <xdr:colOff>0</xdr:colOff>
                    <xdr:row>80</xdr:row>
                    <xdr:rowOff>85725</xdr:rowOff>
                  </from>
                  <to>
                    <xdr:col>34</xdr:col>
                    <xdr:colOff>304800</xdr:colOff>
                    <xdr:row>82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11" r:id="rId255" name="Check Box 463">
              <controlPr defaultSize="0" autoFill="0" autoLine="0" autoPict="0">
                <anchor moveWithCells="1">
                  <from>
                    <xdr:col>34</xdr:col>
                    <xdr:colOff>0</xdr:colOff>
                    <xdr:row>81</xdr:row>
                    <xdr:rowOff>85725</xdr:rowOff>
                  </from>
                  <to>
                    <xdr:col>34</xdr:col>
                    <xdr:colOff>304800</xdr:colOff>
                    <xdr:row>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12" r:id="rId256" name="Check Box 464">
              <controlPr defaultSize="0" autoFill="0" autoLine="0" autoPict="0">
                <anchor moveWithCells="1">
                  <from>
                    <xdr:col>34</xdr:col>
                    <xdr:colOff>0</xdr:colOff>
                    <xdr:row>82</xdr:row>
                    <xdr:rowOff>85725</xdr:rowOff>
                  </from>
                  <to>
                    <xdr:col>34</xdr:col>
                    <xdr:colOff>304800</xdr:colOff>
                    <xdr:row>84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13" r:id="rId257" name="Check Box 465">
              <controlPr defaultSize="0" autoFill="0" autoLine="0" autoPict="0">
                <anchor moveWithCells="1">
                  <from>
                    <xdr:col>34</xdr:col>
                    <xdr:colOff>0</xdr:colOff>
                    <xdr:row>83</xdr:row>
                    <xdr:rowOff>85725</xdr:rowOff>
                  </from>
                  <to>
                    <xdr:col>34</xdr:col>
                    <xdr:colOff>304800</xdr:colOff>
                    <xdr:row>85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14" r:id="rId258" name="Check Box 466">
              <controlPr defaultSize="0" autoFill="0" autoLine="0" autoPict="0">
                <anchor moveWithCells="1">
                  <from>
                    <xdr:col>34</xdr:col>
                    <xdr:colOff>0</xdr:colOff>
                    <xdr:row>84</xdr:row>
                    <xdr:rowOff>85725</xdr:rowOff>
                  </from>
                  <to>
                    <xdr:col>34</xdr:col>
                    <xdr:colOff>304800</xdr:colOff>
                    <xdr:row>86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15" r:id="rId259" name="Check Box 467">
              <controlPr defaultSize="0" autoFill="0" autoLine="0" autoPict="0">
                <anchor moveWithCells="1">
                  <from>
                    <xdr:col>34</xdr:col>
                    <xdr:colOff>0</xdr:colOff>
                    <xdr:row>85</xdr:row>
                    <xdr:rowOff>85725</xdr:rowOff>
                  </from>
                  <to>
                    <xdr:col>34</xdr:col>
                    <xdr:colOff>304800</xdr:colOff>
                    <xdr:row>87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16" r:id="rId260" name="Check Box 468">
              <controlPr defaultSize="0" autoFill="0" autoLine="0" autoPict="0">
                <anchor moveWithCells="1">
                  <from>
                    <xdr:col>34</xdr:col>
                    <xdr:colOff>0</xdr:colOff>
                    <xdr:row>86</xdr:row>
                    <xdr:rowOff>85725</xdr:rowOff>
                  </from>
                  <to>
                    <xdr:col>34</xdr:col>
                    <xdr:colOff>304800</xdr:colOff>
                    <xdr:row>88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17" r:id="rId261" name="Check Box 469">
              <controlPr defaultSize="0" autoFill="0" autoLine="0" autoPict="0">
                <anchor moveWithCells="1">
                  <from>
                    <xdr:col>34</xdr:col>
                    <xdr:colOff>0</xdr:colOff>
                    <xdr:row>48</xdr:row>
                    <xdr:rowOff>85725</xdr:rowOff>
                  </from>
                  <to>
                    <xdr:col>34</xdr:col>
                    <xdr:colOff>304800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18" r:id="rId262" name="Check Box 470">
              <controlPr defaultSize="0" autoFill="0" autoLine="0" autoPict="0">
                <anchor moveWithCells="1">
                  <from>
                    <xdr:col>34</xdr:col>
                    <xdr:colOff>0</xdr:colOff>
                    <xdr:row>49</xdr:row>
                    <xdr:rowOff>85725</xdr:rowOff>
                  </from>
                  <to>
                    <xdr:col>34</xdr:col>
                    <xdr:colOff>304800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19" r:id="rId263" name="Check Box 471">
              <controlPr defaultSize="0" autoFill="0" autoLine="0" autoPict="0">
                <anchor moveWithCells="1">
                  <from>
                    <xdr:col>34</xdr:col>
                    <xdr:colOff>0</xdr:colOff>
                    <xdr:row>87</xdr:row>
                    <xdr:rowOff>85725</xdr:rowOff>
                  </from>
                  <to>
                    <xdr:col>34</xdr:col>
                    <xdr:colOff>304800</xdr:colOff>
                    <xdr:row>89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20" r:id="rId264" name="Check Box 472">
              <controlPr defaultSize="0" autoFill="0" autoLine="0" autoPict="0">
                <anchor moveWithCells="1">
                  <from>
                    <xdr:col>34</xdr:col>
                    <xdr:colOff>0</xdr:colOff>
                    <xdr:row>88</xdr:row>
                    <xdr:rowOff>85725</xdr:rowOff>
                  </from>
                  <to>
                    <xdr:col>34</xdr:col>
                    <xdr:colOff>304800</xdr:colOff>
                    <xdr:row>90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21" r:id="rId265" name="Check Box 473">
              <controlPr defaultSize="0" autoFill="0" autoLine="0" autoPict="0">
                <anchor moveWithCells="1">
                  <from>
                    <xdr:col>34</xdr:col>
                    <xdr:colOff>0</xdr:colOff>
                    <xdr:row>89</xdr:row>
                    <xdr:rowOff>85725</xdr:rowOff>
                  </from>
                  <to>
                    <xdr:col>34</xdr:col>
                    <xdr:colOff>304800</xdr:colOff>
                    <xdr:row>91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22" r:id="rId266" name="Check Box 474">
              <controlPr defaultSize="0" autoFill="0" autoLine="0" autoPict="0">
                <anchor moveWithCells="1">
                  <from>
                    <xdr:col>34</xdr:col>
                    <xdr:colOff>0</xdr:colOff>
                    <xdr:row>90</xdr:row>
                    <xdr:rowOff>85725</xdr:rowOff>
                  </from>
                  <to>
                    <xdr:col>34</xdr:col>
                    <xdr:colOff>304800</xdr:colOff>
                    <xdr:row>92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23" r:id="rId267" name="Check Box 475">
              <controlPr defaultSize="0" autoFill="0" autoLine="0" autoPict="0">
                <anchor moveWithCells="1">
                  <from>
                    <xdr:col>34</xdr:col>
                    <xdr:colOff>0</xdr:colOff>
                    <xdr:row>91</xdr:row>
                    <xdr:rowOff>85725</xdr:rowOff>
                  </from>
                  <to>
                    <xdr:col>34</xdr:col>
                    <xdr:colOff>304800</xdr:colOff>
                    <xdr:row>93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24" r:id="rId268" name="Check Box 476">
              <controlPr defaultSize="0" autoFill="0" autoLine="0" autoPict="0">
                <anchor moveWithCells="1">
                  <from>
                    <xdr:col>34</xdr:col>
                    <xdr:colOff>0</xdr:colOff>
                    <xdr:row>92</xdr:row>
                    <xdr:rowOff>85725</xdr:rowOff>
                  </from>
                  <to>
                    <xdr:col>34</xdr:col>
                    <xdr:colOff>304800</xdr:colOff>
                    <xdr:row>94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25" r:id="rId269" name="Check Box 477">
              <controlPr defaultSize="0" autoFill="0" autoLine="0" autoPict="0">
                <anchor moveWithCells="1">
                  <from>
                    <xdr:col>34</xdr:col>
                    <xdr:colOff>0</xdr:colOff>
                    <xdr:row>93</xdr:row>
                    <xdr:rowOff>85725</xdr:rowOff>
                  </from>
                  <to>
                    <xdr:col>34</xdr:col>
                    <xdr:colOff>304800</xdr:colOff>
                    <xdr:row>95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26" r:id="rId270" name="Check Box 478">
              <controlPr defaultSize="0" autoFill="0" autoLine="0" autoPict="0">
                <anchor moveWithCells="1">
                  <from>
                    <xdr:col>34</xdr:col>
                    <xdr:colOff>0</xdr:colOff>
                    <xdr:row>94</xdr:row>
                    <xdr:rowOff>85725</xdr:rowOff>
                  </from>
                  <to>
                    <xdr:col>34</xdr:col>
                    <xdr:colOff>304800</xdr:colOff>
                    <xdr:row>96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27" r:id="rId271" name="Check Box 479">
              <controlPr defaultSize="0" autoFill="0" autoLine="0" autoPict="0">
                <anchor moveWithCells="1">
                  <from>
                    <xdr:col>34</xdr:col>
                    <xdr:colOff>0</xdr:colOff>
                    <xdr:row>95</xdr:row>
                    <xdr:rowOff>85725</xdr:rowOff>
                  </from>
                  <to>
                    <xdr:col>34</xdr:col>
                    <xdr:colOff>304800</xdr:colOff>
                    <xdr:row>97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28" r:id="rId272" name="Check Box 480">
              <controlPr defaultSize="0" autoFill="0" autoLine="0" autoPict="0">
                <anchor moveWithCells="1">
                  <from>
                    <xdr:col>34</xdr:col>
                    <xdr:colOff>0</xdr:colOff>
                    <xdr:row>96</xdr:row>
                    <xdr:rowOff>85725</xdr:rowOff>
                  </from>
                  <to>
                    <xdr:col>34</xdr:col>
                    <xdr:colOff>304800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29" r:id="rId273" name="Check Box 481">
              <controlPr defaultSize="0" autoFill="0" autoLine="0" autoPict="0">
                <anchor moveWithCells="1">
                  <from>
                    <xdr:col>34</xdr:col>
                    <xdr:colOff>0</xdr:colOff>
                    <xdr:row>97</xdr:row>
                    <xdr:rowOff>85725</xdr:rowOff>
                  </from>
                  <to>
                    <xdr:col>34</xdr:col>
                    <xdr:colOff>304800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30" r:id="rId274" name="Check Box 482">
              <controlPr defaultSize="0" autoFill="0" autoLine="0" autoPict="0">
                <anchor moveWithCells="1">
                  <from>
                    <xdr:col>34</xdr:col>
                    <xdr:colOff>0</xdr:colOff>
                    <xdr:row>100</xdr:row>
                    <xdr:rowOff>85725</xdr:rowOff>
                  </from>
                  <to>
                    <xdr:col>34</xdr:col>
                    <xdr:colOff>304800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31" r:id="rId275" name="Check Box 483">
              <controlPr defaultSize="0" autoFill="0" autoLine="0" autoPict="0">
                <anchor moveWithCells="1">
                  <from>
                    <xdr:col>34</xdr:col>
                    <xdr:colOff>0</xdr:colOff>
                    <xdr:row>101</xdr:row>
                    <xdr:rowOff>85725</xdr:rowOff>
                  </from>
                  <to>
                    <xdr:col>34</xdr:col>
                    <xdr:colOff>304800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32" r:id="rId276" name="Check Box 484">
              <controlPr defaultSize="0" autoFill="0" autoLine="0" autoPict="0">
                <anchor moveWithCells="1">
                  <from>
                    <xdr:col>34</xdr:col>
                    <xdr:colOff>0</xdr:colOff>
                    <xdr:row>102</xdr:row>
                    <xdr:rowOff>85725</xdr:rowOff>
                  </from>
                  <to>
                    <xdr:col>34</xdr:col>
                    <xdr:colOff>304800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33" r:id="rId277" name="Check Box 485">
              <controlPr defaultSize="0" autoFill="0" autoLine="0" autoPict="0">
                <anchor moveWithCells="1">
                  <from>
                    <xdr:col>34</xdr:col>
                    <xdr:colOff>0</xdr:colOff>
                    <xdr:row>103</xdr:row>
                    <xdr:rowOff>85725</xdr:rowOff>
                  </from>
                  <to>
                    <xdr:col>34</xdr:col>
                    <xdr:colOff>304800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34" r:id="rId278" name="Check Box 486">
              <controlPr defaultSize="0" autoFill="0" autoLine="0" autoPict="0">
                <anchor moveWithCells="1">
                  <from>
                    <xdr:col>34</xdr:col>
                    <xdr:colOff>0</xdr:colOff>
                    <xdr:row>104</xdr:row>
                    <xdr:rowOff>85725</xdr:rowOff>
                  </from>
                  <to>
                    <xdr:col>34</xdr:col>
                    <xdr:colOff>304800</xdr:colOff>
                    <xdr:row>106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35" r:id="rId279" name="Check Box 487">
              <controlPr defaultSize="0" autoFill="0" autoLine="0" autoPict="0">
                <anchor moveWithCells="1">
                  <from>
                    <xdr:col>34</xdr:col>
                    <xdr:colOff>0</xdr:colOff>
                    <xdr:row>105</xdr:row>
                    <xdr:rowOff>85725</xdr:rowOff>
                  </from>
                  <to>
                    <xdr:col>34</xdr:col>
                    <xdr:colOff>304800</xdr:colOff>
                    <xdr:row>107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36" r:id="rId280" name="Check Box 488">
              <controlPr defaultSize="0" autoFill="0" autoLine="0" autoPict="0">
                <anchor moveWithCells="1">
                  <from>
                    <xdr:col>34</xdr:col>
                    <xdr:colOff>0</xdr:colOff>
                    <xdr:row>106</xdr:row>
                    <xdr:rowOff>85725</xdr:rowOff>
                  </from>
                  <to>
                    <xdr:col>34</xdr:col>
                    <xdr:colOff>304800</xdr:colOff>
                    <xdr:row>108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37" r:id="rId281" name="Check Box 489">
              <controlPr defaultSize="0" autoFill="0" autoLine="0" autoPict="0">
                <anchor moveWithCells="1">
                  <from>
                    <xdr:col>34</xdr:col>
                    <xdr:colOff>0</xdr:colOff>
                    <xdr:row>107</xdr:row>
                    <xdr:rowOff>85725</xdr:rowOff>
                  </from>
                  <to>
                    <xdr:col>34</xdr:col>
                    <xdr:colOff>304800</xdr:colOff>
                    <xdr:row>109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38" r:id="rId282" name="Check Box 490">
              <controlPr defaultSize="0" autoFill="0" autoLine="0" autoPict="0">
                <anchor moveWithCells="1">
                  <from>
                    <xdr:col>34</xdr:col>
                    <xdr:colOff>0</xdr:colOff>
                    <xdr:row>108</xdr:row>
                    <xdr:rowOff>85725</xdr:rowOff>
                  </from>
                  <to>
                    <xdr:col>34</xdr:col>
                    <xdr:colOff>304800</xdr:colOff>
                    <xdr:row>110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39" r:id="rId283" name="Check Box 491">
              <controlPr defaultSize="0" autoFill="0" autoLine="0" autoPict="0">
                <anchor moveWithCells="1">
                  <from>
                    <xdr:col>34</xdr:col>
                    <xdr:colOff>0</xdr:colOff>
                    <xdr:row>109</xdr:row>
                    <xdr:rowOff>85725</xdr:rowOff>
                  </from>
                  <to>
                    <xdr:col>34</xdr:col>
                    <xdr:colOff>304800</xdr:colOff>
                    <xdr:row>111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40" r:id="rId284" name="Check Box 492">
              <controlPr defaultSize="0" autoFill="0" autoLine="0" autoPict="0">
                <anchor moveWithCells="1">
                  <from>
                    <xdr:col>34</xdr:col>
                    <xdr:colOff>0</xdr:colOff>
                    <xdr:row>110</xdr:row>
                    <xdr:rowOff>85725</xdr:rowOff>
                  </from>
                  <to>
                    <xdr:col>34</xdr:col>
                    <xdr:colOff>304800</xdr:colOff>
                    <xdr:row>112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41" r:id="rId285" name="Check Box 493">
              <controlPr defaultSize="0" autoFill="0" autoLine="0" autoPict="0">
                <anchor moveWithCells="1">
                  <from>
                    <xdr:col>34</xdr:col>
                    <xdr:colOff>0</xdr:colOff>
                    <xdr:row>111</xdr:row>
                    <xdr:rowOff>85725</xdr:rowOff>
                  </from>
                  <to>
                    <xdr:col>34</xdr:col>
                    <xdr:colOff>304800</xdr:colOff>
                    <xdr:row>113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42" r:id="rId286" name="Check Box 494">
              <controlPr defaultSize="0" autoFill="0" autoLine="0" autoPict="0">
                <anchor moveWithCells="1">
                  <from>
                    <xdr:col>34</xdr:col>
                    <xdr:colOff>0</xdr:colOff>
                    <xdr:row>112</xdr:row>
                    <xdr:rowOff>85725</xdr:rowOff>
                  </from>
                  <to>
                    <xdr:col>34</xdr:col>
                    <xdr:colOff>304800</xdr:colOff>
                    <xdr:row>114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43" r:id="rId287" name="Check Box 495">
              <controlPr defaultSize="0" autoFill="0" autoLine="0" autoPict="0">
                <anchor moveWithCells="1">
                  <from>
                    <xdr:col>34</xdr:col>
                    <xdr:colOff>0</xdr:colOff>
                    <xdr:row>113</xdr:row>
                    <xdr:rowOff>85725</xdr:rowOff>
                  </from>
                  <to>
                    <xdr:col>34</xdr:col>
                    <xdr:colOff>304800</xdr:colOff>
                    <xdr:row>115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44" r:id="rId288" name="Check Box 496">
              <controlPr defaultSize="0" autoFill="0" autoLine="0" autoPict="0">
                <anchor moveWithCells="1">
                  <from>
                    <xdr:col>34</xdr:col>
                    <xdr:colOff>0</xdr:colOff>
                    <xdr:row>114</xdr:row>
                    <xdr:rowOff>85725</xdr:rowOff>
                  </from>
                  <to>
                    <xdr:col>34</xdr:col>
                    <xdr:colOff>304800</xdr:colOff>
                    <xdr:row>116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45" r:id="rId289" name="Check Box 497">
              <controlPr defaultSize="0" autoFill="0" autoLine="0" autoPict="0">
                <anchor moveWithCells="1">
                  <from>
                    <xdr:col>34</xdr:col>
                    <xdr:colOff>0</xdr:colOff>
                    <xdr:row>115</xdr:row>
                    <xdr:rowOff>85725</xdr:rowOff>
                  </from>
                  <to>
                    <xdr:col>34</xdr:col>
                    <xdr:colOff>304800</xdr:colOff>
                    <xdr:row>117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46" r:id="rId290" name="Check Box 498">
              <controlPr defaultSize="0" autoFill="0" autoLine="0" autoPict="0">
                <anchor moveWithCells="1">
                  <from>
                    <xdr:col>34</xdr:col>
                    <xdr:colOff>0</xdr:colOff>
                    <xdr:row>116</xdr:row>
                    <xdr:rowOff>85725</xdr:rowOff>
                  </from>
                  <to>
                    <xdr:col>34</xdr:col>
                    <xdr:colOff>304800</xdr:colOff>
                    <xdr:row>118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47" r:id="rId291" name="Check Box 499">
              <controlPr defaultSize="0" autoFill="0" autoLine="0" autoPict="0">
                <anchor moveWithCells="1">
                  <from>
                    <xdr:col>34</xdr:col>
                    <xdr:colOff>0</xdr:colOff>
                    <xdr:row>117</xdr:row>
                    <xdr:rowOff>85725</xdr:rowOff>
                  </from>
                  <to>
                    <xdr:col>34</xdr:col>
                    <xdr:colOff>304800</xdr:colOff>
                    <xdr:row>119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48" r:id="rId292" name="Check Box 500">
              <controlPr defaultSize="0" autoFill="0" autoLine="0" autoPict="0">
                <anchor moveWithCells="1">
                  <from>
                    <xdr:col>34</xdr:col>
                    <xdr:colOff>0</xdr:colOff>
                    <xdr:row>118</xdr:row>
                    <xdr:rowOff>85725</xdr:rowOff>
                  </from>
                  <to>
                    <xdr:col>34</xdr:col>
                    <xdr:colOff>304800</xdr:colOff>
                    <xdr:row>120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49" r:id="rId293" name="Check Box 501">
              <controlPr defaultSize="0" autoFill="0" autoLine="0" autoPict="0">
                <anchor moveWithCells="1">
                  <from>
                    <xdr:col>34</xdr:col>
                    <xdr:colOff>0</xdr:colOff>
                    <xdr:row>119</xdr:row>
                    <xdr:rowOff>85725</xdr:rowOff>
                  </from>
                  <to>
                    <xdr:col>34</xdr:col>
                    <xdr:colOff>304800</xdr:colOff>
                    <xdr:row>121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50" r:id="rId294" name="Check Box 502">
              <controlPr defaultSize="0" autoFill="0" autoLine="0" autoPict="0">
                <anchor moveWithCells="1">
                  <from>
                    <xdr:col>34</xdr:col>
                    <xdr:colOff>0</xdr:colOff>
                    <xdr:row>120</xdr:row>
                    <xdr:rowOff>85725</xdr:rowOff>
                  </from>
                  <to>
                    <xdr:col>34</xdr:col>
                    <xdr:colOff>304800</xdr:colOff>
                    <xdr:row>122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51" r:id="rId295" name="Check Box 503">
              <controlPr defaultSize="0" autoFill="0" autoLine="0" autoPict="0">
                <anchor moveWithCells="1">
                  <from>
                    <xdr:col>34</xdr:col>
                    <xdr:colOff>0</xdr:colOff>
                    <xdr:row>121</xdr:row>
                    <xdr:rowOff>85725</xdr:rowOff>
                  </from>
                  <to>
                    <xdr:col>34</xdr:col>
                    <xdr:colOff>304800</xdr:colOff>
                    <xdr:row>123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52" r:id="rId296" name="Check Box 504">
              <controlPr defaultSize="0" autoFill="0" autoLine="0" autoPict="0">
                <anchor moveWithCells="1">
                  <from>
                    <xdr:col>34</xdr:col>
                    <xdr:colOff>0</xdr:colOff>
                    <xdr:row>122</xdr:row>
                    <xdr:rowOff>85725</xdr:rowOff>
                  </from>
                  <to>
                    <xdr:col>34</xdr:col>
                    <xdr:colOff>304800</xdr:colOff>
                    <xdr:row>124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53" r:id="rId297" name="Check Box 505">
              <controlPr defaultSize="0" autoFill="0" autoLine="0" autoPict="0">
                <anchor moveWithCells="1">
                  <from>
                    <xdr:col>34</xdr:col>
                    <xdr:colOff>0</xdr:colOff>
                    <xdr:row>123</xdr:row>
                    <xdr:rowOff>85725</xdr:rowOff>
                  </from>
                  <to>
                    <xdr:col>34</xdr:col>
                    <xdr:colOff>304800</xdr:colOff>
                    <xdr:row>125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54" r:id="rId298" name="Check Box 506">
              <controlPr defaultSize="0" autoFill="0" autoLine="0" autoPict="0">
                <anchor moveWithCells="1">
                  <from>
                    <xdr:col>34</xdr:col>
                    <xdr:colOff>0</xdr:colOff>
                    <xdr:row>124</xdr:row>
                    <xdr:rowOff>85725</xdr:rowOff>
                  </from>
                  <to>
                    <xdr:col>34</xdr:col>
                    <xdr:colOff>304800</xdr:colOff>
                    <xdr:row>126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55" r:id="rId299" name="Check Box 507">
              <controlPr defaultSize="0" autoFill="0" autoLine="0" autoPict="0">
                <anchor moveWithCells="1">
                  <from>
                    <xdr:col>34</xdr:col>
                    <xdr:colOff>0</xdr:colOff>
                    <xdr:row>125</xdr:row>
                    <xdr:rowOff>85725</xdr:rowOff>
                  </from>
                  <to>
                    <xdr:col>34</xdr:col>
                    <xdr:colOff>304800</xdr:colOff>
                    <xdr:row>127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56" r:id="rId300" name="Check Box 508">
              <controlPr defaultSize="0" autoFill="0" autoLine="0" autoPict="0">
                <anchor moveWithCells="1">
                  <from>
                    <xdr:col>34</xdr:col>
                    <xdr:colOff>0</xdr:colOff>
                    <xdr:row>126</xdr:row>
                    <xdr:rowOff>85725</xdr:rowOff>
                  </from>
                  <to>
                    <xdr:col>34</xdr:col>
                    <xdr:colOff>304800</xdr:colOff>
                    <xdr:row>128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57" r:id="rId301" name="Check Box 509">
              <controlPr defaultSize="0" autoFill="0" autoLine="0" autoPict="0">
                <anchor moveWithCells="1">
                  <from>
                    <xdr:col>34</xdr:col>
                    <xdr:colOff>0</xdr:colOff>
                    <xdr:row>127</xdr:row>
                    <xdr:rowOff>85725</xdr:rowOff>
                  </from>
                  <to>
                    <xdr:col>34</xdr:col>
                    <xdr:colOff>304800</xdr:colOff>
                    <xdr:row>129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58" r:id="rId302" name="Check Box 510">
              <controlPr defaultSize="0" autoFill="0" autoLine="0" autoPict="0">
                <anchor moveWithCells="1">
                  <from>
                    <xdr:col>34</xdr:col>
                    <xdr:colOff>0</xdr:colOff>
                    <xdr:row>128</xdr:row>
                    <xdr:rowOff>85725</xdr:rowOff>
                  </from>
                  <to>
                    <xdr:col>34</xdr:col>
                    <xdr:colOff>304800</xdr:colOff>
                    <xdr:row>130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59" r:id="rId303" name="Check Box 511">
              <controlPr defaultSize="0" autoFill="0" autoLine="0" autoPict="0">
                <anchor moveWithCells="1">
                  <from>
                    <xdr:col>34</xdr:col>
                    <xdr:colOff>0</xdr:colOff>
                    <xdr:row>129</xdr:row>
                    <xdr:rowOff>85725</xdr:rowOff>
                  </from>
                  <to>
                    <xdr:col>34</xdr:col>
                    <xdr:colOff>304800</xdr:colOff>
                    <xdr:row>131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60" r:id="rId304" name="Check Box 512">
              <controlPr defaultSize="0" autoFill="0" autoLine="0" autoPict="0">
                <anchor moveWithCells="1">
                  <from>
                    <xdr:col>34</xdr:col>
                    <xdr:colOff>0</xdr:colOff>
                    <xdr:row>130</xdr:row>
                    <xdr:rowOff>85725</xdr:rowOff>
                  </from>
                  <to>
                    <xdr:col>34</xdr:col>
                    <xdr:colOff>304800</xdr:colOff>
                    <xdr:row>132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61" r:id="rId305" name="Check Box 513">
              <controlPr defaultSize="0" autoFill="0" autoLine="0" autoPict="0">
                <anchor moveWithCells="1">
                  <from>
                    <xdr:col>34</xdr:col>
                    <xdr:colOff>0</xdr:colOff>
                    <xdr:row>131</xdr:row>
                    <xdr:rowOff>85725</xdr:rowOff>
                  </from>
                  <to>
                    <xdr:col>34</xdr:col>
                    <xdr:colOff>304800</xdr:colOff>
                    <xdr:row>133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62" r:id="rId306" name="Check Box 514">
              <controlPr defaultSize="0" autoFill="0" autoLine="0" autoPict="0">
                <anchor moveWithCells="1">
                  <from>
                    <xdr:col>34</xdr:col>
                    <xdr:colOff>0</xdr:colOff>
                    <xdr:row>132</xdr:row>
                    <xdr:rowOff>85725</xdr:rowOff>
                  </from>
                  <to>
                    <xdr:col>34</xdr:col>
                    <xdr:colOff>304800</xdr:colOff>
                    <xdr:row>134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63" r:id="rId307" name="Check Box 515">
              <controlPr defaultSize="0" autoFill="0" autoLine="0" autoPict="0">
                <anchor moveWithCells="1">
                  <from>
                    <xdr:col>34</xdr:col>
                    <xdr:colOff>0</xdr:colOff>
                    <xdr:row>133</xdr:row>
                    <xdr:rowOff>85725</xdr:rowOff>
                  </from>
                  <to>
                    <xdr:col>34</xdr:col>
                    <xdr:colOff>304800</xdr:colOff>
                    <xdr:row>135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64" r:id="rId308" name="Check Box 516">
              <controlPr defaultSize="0" autoFill="0" autoLine="0" autoPict="0">
                <anchor moveWithCells="1">
                  <from>
                    <xdr:col>34</xdr:col>
                    <xdr:colOff>0</xdr:colOff>
                    <xdr:row>134</xdr:row>
                    <xdr:rowOff>85725</xdr:rowOff>
                  </from>
                  <to>
                    <xdr:col>34</xdr:col>
                    <xdr:colOff>304800</xdr:colOff>
                    <xdr:row>136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65" r:id="rId309" name="Check Box 517">
              <controlPr defaultSize="0" autoFill="0" autoLine="0" autoPict="0">
                <anchor moveWithCells="1">
                  <from>
                    <xdr:col>34</xdr:col>
                    <xdr:colOff>0</xdr:colOff>
                    <xdr:row>135</xdr:row>
                    <xdr:rowOff>85725</xdr:rowOff>
                  </from>
                  <to>
                    <xdr:col>34</xdr:col>
                    <xdr:colOff>304800</xdr:colOff>
                    <xdr:row>137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66" r:id="rId310" name="Check Box 518">
              <controlPr defaultSize="0" autoFill="0" autoLine="0" autoPict="0">
                <anchor moveWithCells="1">
                  <from>
                    <xdr:col>34</xdr:col>
                    <xdr:colOff>0</xdr:colOff>
                    <xdr:row>136</xdr:row>
                    <xdr:rowOff>85725</xdr:rowOff>
                  </from>
                  <to>
                    <xdr:col>34</xdr:col>
                    <xdr:colOff>304800</xdr:colOff>
                    <xdr:row>138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67" r:id="rId311" name="Check Box 519">
              <controlPr defaultSize="0" autoFill="0" autoLine="0" autoPict="0">
                <anchor moveWithCells="1">
                  <from>
                    <xdr:col>34</xdr:col>
                    <xdr:colOff>0</xdr:colOff>
                    <xdr:row>98</xdr:row>
                    <xdr:rowOff>85725</xdr:rowOff>
                  </from>
                  <to>
                    <xdr:col>34</xdr:col>
                    <xdr:colOff>304800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68" r:id="rId312" name="Check Box 520">
              <controlPr defaultSize="0" autoFill="0" autoLine="0" autoPict="0">
                <anchor moveWithCells="1">
                  <from>
                    <xdr:col>34</xdr:col>
                    <xdr:colOff>0</xdr:colOff>
                    <xdr:row>99</xdr:row>
                    <xdr:rowOff>85725</xdr:rowOff>
                  </from>
                  <to>
                    <xdr:col>34</xdr:col>
                    <xdr:colOff>304800</xdr:colOff>
                    <xdr:row>101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69" r:id="rId313" name="Check Box 521">
              <controlPr defaultSize="0" autoFill="0" autoLine="0" autoPict="0">
                <anchor moveWithCells="1">
                  <from>
                    <xdr:col>34</xdr:col>
                    <xdr:colOff>0</xdr:colOff>
                    <xdr:row>137</xdr:row>
                    <xdr:rowOff>85725</xdr:rowOff>
                  </from>
                  <to>
                    <xdr:col>34</xdr:col>
                    <xdr:colOff>304800</xdr:colOff>
                    <xdr:row>139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70" r:id="rId314" name="Check Box 522">
              <controlPr defaultSize="0" autoFill="0" autoLine="0" autoPict="0">
                <anchor moveWithCells="1">
                  <from>
                    <xdr:col>34</xdr:col>
                    <xdr:colOff>0</xdr:colOff>
                    <xdr:row>138</xdr:row>
                    <xdr:rowOff>85725</xdr:rowOff>
                  </from>
                  <to>
                    <xdr:col>34</xdr:col>
                    <xdr:colOff>304800</xdr:colOff>
                    <xdr:row>140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71" r:id="rId315" name="Check Box 523">
              <controlPr defaultSize="0" autoFill="0" autoLine="0" autoPict="0">
                <anchor moveWithCells="1">
                  <from>
                    <xdr:col>34</xdr:col>
                    <xdr:colOff>0</xdr:colOff>
                    <xdr:row>139</xdr:row>
                    <xdr:rowOff>85725</xdr:rowOff>
                  </from>
                  <to>
                    <xdr:col>34</xdr:col>
                    <xdr:colOff>304800</xdr:colOff>
                    <xdr:row>141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72" r:id="rId316" name="Check Box 524">
              <controlPr defaultSize="0" autoFill="0" autoLine="0" autoPict="0">
                <anchor moveWithCells="1">
                  <from>
                    <xdr:col>34</xdr:col>
                    <xdr:colOff>0</xdr:colOff>
                    <xdr:row>140</xdr:row>
                    <xdr:rowOff>85725</xdr:rowOff>
                  </from>
                  <to>
                    <xdr:col>34</xdr:col>
                    <xdr:colOff>304800</xdr:colOff>
                    <xdr:row>142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73" r:id="rId317" name="Check Box 525">
              <controlPr defaultSize="0" autoFill="0" autoLine="0" autoPict="0">
                <anchor moveWithCells="1">
                  <from>
                    <xdr:col>34</xdr:col>
                    <xdr:colOff>0</xdr:colOff>
                    <xdr:row>141</xdr:row>
                    <xdr:rowOff>85725</xdr:rowOff>
                  </from>
                  <to>
                    <xdr:col>34</xdr:col>
                    <xdr:colOff>304800</xdr:colOff>
                    <xdr:row>143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74" r:id="rId318" name="Check Box 526">
              <controlPr defaultSize="0" autoFill="0" autoLine="0" autoPict="0">
                <anchor moveWithCells="1">
                  <from>
                    <xdr:col>34</xdr:col>
                    <xdr:colOff>0</xdr:colOff>
                    <xdr:row>142</xdr:row>
                    <xdr:rowOff>85725</xdr:rowOff>
                  </from>
                  <to>
                    <xdr:col>34</xdr:col>
                    <xdr:colOff>304800</xdr:colOff>
                    <xdr:row>144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75" r:id="rId319" name="Check Box 527">
              <controlPr defaultSize="0" autoFill="0" autoLine="0" autoPict="0">
                <anchor moveWithCells="1">
                  <from>
                    <xdr:col>34</xdr:col>
                    <xdr:colOff>0</xdr:colOff>
                    <xdr:row>143</xdr:row>
                    <xdr:rowOff>85725</xdr:rowOff>
                  </from>
                  <to>
                    <xdr:col>34</xdr:col>
                    <xdr:colOff>304800</xdr:colOff>
                    <xdr:row>145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76" r:id="rId320" name="Check Box 528">
              <controlPr defaultSize="0" autoFill="0" autoLine="0" autoPict="0">
                <anchor moveWithCells="1">
                  <from>
                    <xdr:col>34</xdr:col>
                    <xdr:colOff>0</xdr:colOff>
                    <xdr:row>144</xdr:row>
                    <xdr:rowOff>85725</xdr:rowOff>
                  </from>
                  <to>
                    <xdr:col>34</xdr:col>
                    <xdr:colOff>304800</xdr:colOff>
                    <xdr:row>146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77" r:id="rId321" name="Check Box 529">
              <controlPr defaultSize="0" autoFill="0" autoLine="0" autoPict="0">
                <anchor moveWithCells="1">
                  <from>
                    <xdr:col>34</xdr:col>
                    <xdr:colOff>0</xdr:colOff>
                    <xdr:row>145</xdr:row>
                    <xdr:rowOff>85725</xdr:rowOff>
                  </from>
                  <to>
                    <xdr:col>34</xdr:col>
                    <xdr:colOff>304800</xdr:colOff>
                    <xdr:row>147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78" r:id="rId322" name="Check Box 530">
              <controlPr defaultSize="0" autoFill="0" autoLine="0" autoPict="0">
                <anchor moveWithCells="1">
                  <from>
                    <xdr:col>34</xdr:col>
                    <xdr:colOff>0</xdr:colOff>
                    <xdr:row>146</xdr:row>
                    <xdr:rowOff>85725</xdr:rowOff>
                  </from>
                  <to>
                    <xdr:col>34</xdr:col>
                    <xdr:colOff>304800</xdr:colOff>
                    <xdr:row>148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79" r:id="rId323" name="Check Box 531">
              <controlPr defaultSize="0" autoFill="0" autoLine="0" autoPict="0">
                <anchor moveWithCells="1">
                  <from>
                    <xdr:col>34</xdr:col>
                    <xdr:colOff>0</xdr:colOff>
                    <xdr:row>147</xdr:row>
                    <xdr:rowOff>85725</xdr:rowOff>
                  </from>
                  <to>
                    <xdr:col>34</xdr:col>
                    <xdr:colOff>304800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80" r:id="rId324" name="Check Box 532">
              <controlPr defaultSize="0" autoFill="0" autoLine="0" autoPict="0">
                <anchor moveWithCells="1">
                  <from>
                    <xdr:col>34</xdr:col>
                    <xdr:colOff>0</xdr:colOff>
                    <xdr:row>150</xdr:row>
                    <xdr:rowOff>85725</xdr:rowOff>
                  </from>
                  <to>
                    <xdr:col>34</xdr:col>
                    <xdr:colOff>304800</xdr:colOff>
                    <xdr:row>152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81" r:id="rId325" name="Check Box 533">
              <controlPr defaultSize="0" autoFill="0" autoLine="0" autoPict="0">
                <anchor moveWithCells="1">
                  <from>
                    <xdr:col>34</xdr:col>
                    <xdr:colOff>0</xdr:colOff>
                    <xdr:row>151</xdr:row>
                    <xdr:rowOff>85725</xdr:rowOff>
                  </from>
                  <to>
                    <xdr:col>34</xdr:col>
                    <xdr:colOff>304800</xdr:colOff>
                    <xdr:row>153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82" r:id="rId326" name="Check Box 534">
              <controlPr defaultSize="0" autoFill="0" autoLine="0" autoPict="0">
                <anchor moveWithCells="1">
                  <from>
                    <xdr:col>34</xdr:col>
                    <xdr:colOff>0</xdr:colOff>
                    <xdr:row>152</xdr:row>
                    <xdr:rowOff>85725</xdr:rowOff>
                  </from>
                  <to>
                    <xdr:col>34</xdr:col>
                    <xdr:colOff>304800</xdr:colOff>
                    <xdr:row>154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83" r:id="rId327" name="Check Box 535">
              <controlPr defaultSize="0" autoFill="0" autoLine="0" autoPict="0">
                <anchor moveWithCells="1">
                  <from>
                    <xdr:col>34</xdr:col>
                    <xdr:colOff>0</xdr:colOff>
                    <xdr:row>153</xdr:row>
                    <xdr:rowOff>85725</xdr:rowOff>
                  </from>
                  <to>
                    <xdr:col>34</xdr:col>
                    <xdr:colOff>304800</xdr:colOff>
                    <xdr:row>155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84" r:id="rId328" name="Check Box 536">
              <controlPr defaultSize="0" autoFill="0" autoLine="0" autoPict="0">
                <anchor moveWithCells="1">
                  <from>
                    <xdr:col>34</xdr:col>
                    <xdr:colOff>0</xdr:colOff>
                    <xdr:row>154</xdr:row>
                    <xdr:rowOff>85725</xdr:rowOff>
                  </from>
                  <to>
                    <xdr:col>34</xdr:col>
                    <xdr:colOff>304800</xdr:colOff>
                    <xdr:row>156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85" r:id="rId329" name="Check Box 537">
              <controlPr defaultSize="0" autoFill="0" autoLine="0" autoPict="0">
                <anchor moveWithCells="1">
                  <from>
                    <xdr:col>34</xdr:col>
                    <xdr:colOff>0</xdr:colOff>
                    <xdr:row>155</xdr:row>
                    <xdr:rowOff>85725</xdr:rowOff>
                  </from>
                  <to>
                    <xdr:col>34</xdr:col>
                    <xdr:colOff>304800</xdr:colOff>
                    <xdr:row>157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86" r:id="rId330" name="Check Box 538">
              <controlPr defaultSize="0" autoFill="0" autoLine="0" autoPict="0">
                <anchor moveWithCells="1">
                  <from>
                    <xdr:col>34</xdr:col>
                    <xdr:colOff>0</xdr:colOff>
                    <xdr:row>156</xdr:row>
                    <xdr:rowOff>85725</xdr:rowOff>
                  </from>
                  <to>
                    <xdr:col>34</xdr:col>
                    <xdr:colOff>304800</xdr:colOff>
                    <xdr:row>158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87" r:id="rId331" name="Check Box 539">
              <controlPr defaultSize="0" autoFill="0" autoLine="0" autoPict="0">
                <anchor moveWithCells="1">
                  <from>
                    <xdr:col>34</xdr:col>
                    <xdr:colOff>0</xdr:colOff>
                    <xdr:row>157</xdr:row>
                    <xdr:rowOff>85725</xdr:rowOff>
                  </from>
                  <to>
                    <xdr:col>34</xdr:col>
                    <xdr:colOff>304800</xdr:colOff>
                    <xdr:row>159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88" r:id="rId332" name="Check Box 540">
              <controlPr defaultSize="0" autoFill="0" autoLine="0" autoPict="0">
                <anchor moveWithCells="1">
                  <from>
                    <xdr:col>34</xdr:col>
                    <xdr:colOff>0</xdr:colOff>
                    <xdr:row>158</xdr:row>
                    <xdr:rowOff>85725</xdr:rowOff>
                  </from>
                  <to>
                    <xdr:col>34</xdr:col>
                    <xdr:colOff>304800</xdr:colOff>
                    <xdr:row>160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89" r:id="rId333" name="Check Box 541">
              <controlPr defaultSize="0" autoFill="0" autoLine="0" autoPict="0">
                <anchor moveWithCells="1">
                  <from>
                    <xdr:col>34</xdr:col>
                    <xdr:colOff>0</xdr:colOff>
                    <xdr:row>159</xdr:row>
                    <xdr:rowOff>85725</xdr:rowOff>
                  </from>
                  <to>
                    <xdr:col>34</xdr:col>
                    <xdr:colOff>304800</xdr:colOff>
                    <xdr:row>161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90" r:id="rId334" name="Check Box 542">
              <controlPr defaultSize="0" autoFill="0" autoLine="0" autoPict="0">
                <anchor moveWithCells="1">
                  <from>
                    <xdr:col>34</xdr:col>
                    <xdr:colOff>0</xdr:colOff>
                    <xdr:row>160</xdr:row>
                    <xdr:rowOff>85725</xdr:rowOff>
                  </from>
                  <to>
                    <xdr:col>34</xdr:col>
                    <xdr:colOff>304800</xdr:colOff>
                    <xdr:row>162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91" r:id="rId335" name="Check Box 543">
              <controlPr defaultSize="0" autoFill="0" autoLine="0" autoPict="0">
                <anchor moveWithCells="1">
                  <from>
                    <xdr:col>34</xdr:col>
                    <xdr:colOff>0</xdr:colOff>
                    <xdr:row>161</xdr:row>
                    <xdr:rowOff>85725</xdr:rowOff>
                  </from>
                  <to>
                    <xdr:col>34</xdr:col>
                    <xdr:colOff>304800</xdr:colOff>
                    <xdr:row>163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92" r:id="rId336" name="Check Box 544">
              <controlPr defaultSize="0" autoFill="0" autoLine="0" autoPict="0">
                <anchor moveWithCells="1">
                  <from>
                    <xdr:col>34</xdr:col>
                    <xdr:colOff>0</xdr:colOff>
                    <xdr:row>162</xdr:row>
                    <xdr:rowOff>85725</xdr:rowOff>
                  </from>
                  <to>
                    <xdr:col>34</xdr:col>
                    <xdr:colOff>304800</xdr:colOff>
                    <xdr:row>164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93" r:id="rId337" name="Check Box 545">
              <controlPr defaultSize="0" autoFill="0" autoLine="0" autoPict="0">
                <anchor moveWithCells="1">
                  <from>
                    <xdr:col>34</xdr:col>
                    <xdr:colOff>0</xdr:colOff>
                    <xdr:row>163</xdr:row>
                    <xdr:rowOff>85725</xdr:rowOff>
                  </from>
                  <to>
                    <xdr:col>34</xdr:col>
                    <xdr:colOff>304800</xdr:colOff>
                    <xdr:row>165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94" r:id="rId338" name="Check Box 546">
              <controlPr defaultSize="0" autoFill="0" autoLine="0" autoPict="0">
                <anchor moveWithCells="1">
                  <from>
                    <xdr:col>34</xdr:col>
                    <xdr:colOff>0</xdr:colOff>
                    <xdr:row>164</xdr:row>
                    <xdr:rowOff>85725</xdr:rowOff>
                  </from>
                  <to>
                    <xdr:col>34</xdr:col>
                    <xdr:colOff>304800</xdr:colOff>
                    <xdr:row>166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95" r:id="rId339" name="Check Box 547">
              <controlPr defaultSize="0" autoFill="0" autoLine="0" autoPict="0">
                <anchor moveWithCells="1">
                  <from>
                    <xdr:col>34</xdr:col>
                    <xdr:colOff>0</xdr:colOff>
                    <xdr:row>165</xdr:row>
                    <xdr:rowOff>85725</xdr:rowOff>
                  </from>
                  <to>
                    <xdr:col>34</xdr:col>
                    <xdr:colOff>304800</xdr:colOff>
                    <xdr:row>167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96" r:id="rId340" name="Check Box 548">
              <controlPr defaultSize="0" autoFill="0" autoLine="0" autoPict="0">
                <anchor moveWithCells="1">
                  <from>
                    <xdr:col>34</xdr:col>
                    <xdr:colOff>0</xdr:colOff>
                    <xdr:row>166</xdr:row>
                    <xdr:rowOff>85725</xdr:rowOff>
                  </from>
                  <to>
                    <xdr:col>34</xdr:col>
                    <xdr:colOff>304800</xdr:colOff>
                    <xdr:row>168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97" r:id="rId341" name="Check Box 549">
              <controlPr defaultSize="0" autoFill="0" autoLine="0" autoPict="0">
                <anchor moveWithCells="1">
                  <from>
                    <xdr:col>34</xdr:col>
                    <xdr:colOff>0</xdr:colOff>
                    <xdr:row>167</xdr:row>
                    <xdr:rowOff>85725</xdr:rowOff>
                  </from>
                  <to>
                    <xdr:col>34</xdr:col>
                    <xdr:colOff>304800</xdr:colOff>
                    <xdr:row>169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98" r:id="rId342" name="Check Box 550">
              <controlPr defaultSize="0" autoFill="0" autoLine="0" autoPict="0">
                <anchor moveWithCells="1">
                  <from>
                    <xdr:col>34</xdr:col>
                    <xdr:colOff>0</xdr:colOff>
                    <xdr:row>168</xdr:row>
                    <xdr:rowOff>85725</xdr:rowOff>
                  </from>
                  <to>
                    <xdr:col>34</xdr:col>
                    <xdr:colOff>304800</xdr:colOff>
                    <xdr:row>170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99" r:id="rId343" name="Check Box 551">
              <controlPr defaultSize="0" autoFill="0" autoLine="0" autoPict="0">
                <anchor moveWithCells="1">
                  <from>
                    <xdr:col>34</xdr:col>
                    <xdr:colOff>0</xdr:colOff>
                    <xdr:row>169</xdr:row>
                    <xdr:rowOff>85725</xdr:rowOff>
                  </from>
                  <to>
                    <xdr:col>34</xdr:col>
                    <xdr:colOff>304800</xdr:colOff>
                    <xdr:row>171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00" r:id="rId344" name="Check Box 552">
              <controlPr defaultSize="0" autoFill="0" autoLine="0" autoPict="0">
                <anchor moveWithCells="1">
                  <from>
                    <xdr:col>34</xdr:col>
                    <xdr:colOff>0</xdr:colOff>
                    <xdr:row>170</xdr:row>
                    <xdr:rowOff>85725</xdr:rowOff>
                  </from>
                  <to>
                    <xdr:col>34</xdr:col>
                    <xdr:colOff>304800</xdr:colOff>
                    <xdr:row>172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01" r:id="rId345" name="Check Box 553">
              <controlPr defaultSize="0" autoFill="0" autoLine="0" autoPict="0">
                <anchor moveWithCells="1">
                  <from>
                    <xdr:col>34</xdr:col>
                    <xdr:colOff>0</xdr:colOff>
                    <xdr:row>171</xdr:row>
                    <xdr:rowOff>85725</xdr:rowOff>
                  </from>
                  <to>
                    <xdr:col>34</xdr:col>
                    <xdr:colOff>304800</xdr:colOff>
                    <xdr:row>173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02" r:id="rId346" name="Check Box 554">
              <controlPr defaultSize="0" autoFill="0" autoLine="0" autoPict="0">
                <anchor moveWithCells="1">
                  <from>
                    <xdr:col>34</xdr:col>
                    <xdr:colOff>0</xdr:colOff>
                    <xdr:row>172</xdr:row>
                    <xdr:rowOff>85725</xdr:rowOff>
                  </from>
                  <to>
                    <xdr:col>34</xdr:col>
                    <xdr:colOff>304800</xdr:colOff>
                    <xdr:row>174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03" r:id="rId347" name="Check Box 555">
              <controlPr defaultSize="0" autoFill="0" autoLine="0" autoPict="0">
                <anchor moveWithCells="1">
                  <from>
                    <xdr:col>34</xdr:col>
                    <xdr:colOff>0</xdr:colOff>
                    <xdr:row>173</xdr:row>
                    <xdr:rowOff>85725</xdr:rowOff>
                  </from>
                  <to>
                    <xdr:col>34</xdr:col>
                    <xdr:colOff>304800</xdr:colOff>
                    <xdr:row>175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04" r:id="rId348" name="Check Box 556">
              <controlPr defaultSize="0" autoFill="0" autoLine="0" autoPict="0">
                <anchor moveWithCells="1">
                  <from>
                    <xdr:col>34</xdr:col>
                    <xdr:colOff>0</xdr:colOff>
                    <xdr:row>174</xdr:row>
                    <xdr:rowOff>85725</xdr:rowOff>
                  </from>
                  <to>
                    <xdr:col>34</xdr:col>
                    <xdr:colOff>304800</xdr:colOff>
                    <xdr:row>176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05" r:id="rId349" name="Check Box 557">
              <controlPr defaultSize="0" autoFill="0" autoLine="0" autoPict="0">
                <anchor moveWithCells="1">
                  <from>
                    <xdr:col>34</xdr:col>
                    <xdr:colOff>0</xdr:colOff>
                    <xdr:row>175</xdr:row>
                    <xdr:rowOff>85725</xdr:rowOff>
                  </from>
                  <to>
                    <xdr:col>34</xdr:col>
                    <xdr:colOff>304800</xdr:colOff>
                    <xdr:row>177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06" r:id="rId350" name="Check Box 558">
              <controlPr defaultSize="0" autoFill="0" autoLine="0" autoPict="0">
                <anchor moveWithCells="1">
                  <from>
                    <xdr:col>34</xdr:col>
                    <xdr:colOff>0</xdr:colOff>
                    <xdr:row>176</xdr:row>
                    <xdr:rowOff>85725</xdr:rowOff>
                  </from>
                  <to>
                    <xdr:col>34</xdr:col>
                    <xdr:colOff>304800</xdr:colOff>
                    <xdr:row>178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07" r:id="rId351" name="Check Box 559">
              <controlPr defaultSize="0" autoFill="0" autoLine="0" autoPict="0">
                <anchor moveWithCells="1">
                  <from>
                    <xdr:col>34</xdr:col>
                    <xdr:colOff>0</xdr:colOff>
                    <xdr:row>177</xdr:row>
                    <xdr:rowOff>85725</xdr:rowOff>
                  </from>
                  <to>
                    <xdr:col>34</xdr:col>
                    <xdr:colOff>304800</xdr:colOff>
                    <xdr:row>179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08" r:id="rId352" name="Check Box 560">
              <controlPr defaultSize="0" autoFill="0" autoLine="0" autoPict="0">
                <anchor moveWithCells="1">
                  <from>
                    <xdr:col>34</xdr:col>
                    <xdr:colOff>0</xdr:colOff>
                    <xdr:row>178</xdr:row>
                    <xdr:rowOff>85725</xdr:rowOff>
                  </from>
                  <to>
                    <xdr:col>34</xdr:col>
                    <xdr:colOff>304800</xdr:colOff>
                    <xdr:row>180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09" r:id="rId353" name="Check Box 561">
              <controlPr defaultSize="0" autoFill="0" autoLine="0" autoPict="0">
                <anchor moveWithCells="1">
                  <from>
                    <xdr:col>34</xdr:col>
                    <xdr:colOff>0</xdr:colOff>
                    <xdr:row>179</xdr:row>
                    <xdr:rowOff>85725</xdr:rowOff>
                  </from>
                  <to>
                    <xdr:col>34</xdr:col>
                    <xdr:colOff>304800</xdr:colOff>
                    <xdr:row>181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10" r:id="rId354" name="Check Box 562">
              <controlPr defaultSize="0" autoFill="0" autoLine="0" autoPict="0">
                <anchor moveWithCells="1">
                  <from>
                    <xdr:col>34</xdr:col>
                    <xdr:colOff>0</xdr:colOff>
                    <xdr:row>180</xdr:row>
                    <xdr:rowOff>85725</xdr:rowOff>
                  </from>
                  <to>
                    <xdr:col>34</xdr:col>
                    <xdr:colOff>304800</xdr:colOff>
                    <xdr:row>182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11" r:id="rId355" name="Check Box 563">
              <controlPr defaultSize="0" autoFill="0" autoLine="0" autoPict="0">
                <anchor moveWithCells="1">
                  <from>
                    <xdr:col>34</xdr:col>
                    <xdr:colOff>0</xdr:colOff>
                    <xdr:row>181</xdr:row>
                    <xdr:rowOff>85725</xdr:rowOff>
                  </from>
                  <to>
                    <xdr:col>34</xdr:col>
                    <xdr:colOff>304800</xdr:colOff>
                    <xdr:row>183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12" r:id="rId356" name="Check Box 564">
              <controlPr defaultSize="0" autoFill="0" autoLine="0" autoPict="0">
                <anchor moveWithCells="1">
                  <from>
                    <xdr:col>34</xdr:col>
                    <xdr:colOff>0</xdr:colOff>
                    <xdr:row>182</xdr:row>
                    <xdr:rowOff>85725</xdr:rowOff>
                  </from>
                  <to>
                    <xdr:col>34</xdr:col>
                    <xdr:colOff>304800</xdr:colOff>
                    <xdr:row>184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13" r:id="rId357" name="Check Box 565">
              <controlPr defaultSize="0" autoFill="0" autoLine="0" autoPict="0">
                <anchor moveWithCells="1">
                  <from>
                    <xdr:col>34</xdr:col>
                    <xdr:colOff>0</xdr:colOff>
                    <xdr:row>183</xdr:row>
                    <xdr:rowOff>85725</xdr:rowOff>
                  </from>
                  <to>
                    <xdr:col>34</xdr:col>
                    <xdr:colOff>304800</xdr:colOff>
                    <xdr:row>185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14" r:id="rId358" name="Check Box 566">
              <controlPr defaultSize="0" autoFill="0" autoLine="0" autoPict="0">
                <anchor moveWithCells="1">
                  <from>
                    <xdr:col>34</xdr:col>
                    <xdr:colOff>0</xdr:colOff>
                    <xdr:row>184</xdr:row>
                    <xdr:rowOff>85725</xdr:rowOff>
                  </from>
                  <to>
                    <xdr:col>34</xdr:col>
                    <xdr:colOff>304800</xdr:colOff>
                    <xdr:row>186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15" r:id="rId359" name="Check Box 567">
              <controlPr defaultSize="0" autoFill="0" autoLine="0" autoPict="0">
                <anchor moveWithCells="1">
                  <from>
                    <xdr:col>34</xdr:col>
                    <xdr:colOff>0</xdr:colOff>
                    <xdr:row>185</xdr:row>
                    <xdr:rowOff>85725</xdr:rowOff>
                  </from>
                  <to>
                    <xdr:col>34</xdr:col>
                    <xdr:colOff>304800</xdr:colOff>
                    <xdr:row>187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16" r:id="rId360" name="Check Box 568">
              <controlPr defaultSize="0" autoFill="0" autoLine="0" autoPict="0">
                <anchor moveWithCells="1">
                  <from>
                    <xdr:col>34</xdr:col>
                    <xdr:colOff>0</xdr:colOff>
                    <xdr:row>186</xdr:row>
                    <xdr:rowOff>85725</xdr:rowOff>
                  </from>
                  <to>
                    <xdr:col>34</xdr:col>
                    <xdr:colOff>304800</xdr:colOff>
                    <xdr:row>188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17" r:id="rId361" name="Check Box 569">
              <controlPr defaultSize="0" autoFill="0" autoLine="0" autoPict="0">
                <anchor moveWithCells="1">
                  <from>
                    <xdr:col>34</xdr:col>
                    <xdr:colOff>0</xdr:colOff>
                    <xdr:row>148</xdr:row>
                    <xdr:rowOff>85725</xdr:rowOff>
                  </from>
                  <to>
                    <xdr:col>34</xdr:col>
                    <xdr:colOff>304800</xdr:colOff>
                    <xdr:row>150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18" r:id="rId362" name="Check Box 570">
              <controlPr defaultSize="0" autoFill="0" autoLine="0" autoPict="0">
                <anchor moveWithCells="1">
                  <from>
                    <xdr:col>34</xdr:col>
                    <xdr:colOff>0</xdr:colOff>
                    <xdr:row>149</xdr:row>
                    <xdr:rowOff>85725</xdr:rowOff>
                  </from>
                  <to>
                    <xdr:col>34</xdr:col>
                    <xdr:colOff>304800</xdr:colOff>
                    <xdr:row>151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19" r:id="rId363" name="Check Box 571">
              <controlPr defaultSize="0" autoFill="0" autoLine="0" autoPict="0">
                <anchor moveWithCells="1">
                  <from>
                    <xdr:col>34</xdr:col>
                    <xdr:colOff>0</xdr:colOff>
                    <xdr:row>187</xdr:row>
                    <xdr:rowOff>85725</xdr:rowOff>
                  </from>
                  <to>
                    <xdr:col>34</xdr:col>
                    <xdr:colOff>304800</xdr:colOff>
                    <xdr:row>189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20" r:id="rId364" name="Check Box 572">
              <controlPr defaultSize="0" autoFill="0" autoLine="0" autoPict="0">
                <anchor moveWithCells="1">
                  <from>
                    <xdr:col>34</xdr:col>
                    <xdr:colOff>0</xdr:colOff>
                    <xdr:row>188</xdr:row>
                    <xdr:rowOff>85725</xdr:rowOff>
                  </from>
                  <to>
                    <xdr:col>34</xdr:col>
                    <xdr:colOff>304800</xdr:colOff>
                    <xdr:row>190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21" r:id="rId365" name="Check Box 573">
              <controlPr defaultSize="0" autoFill="0" autoLine="0" autoPict="0">
                <anchor moveWithCells="1">
                  <from>
                    <xdr:col>34</xdr:col>
                    <xdr:colOff>0</xdr:colOff>
                    <xdr:row>189</xdr:row>
                    <xdr:rowOff>85725</xdr:rowOff>
                  </from>
                  <to>
                    <xdr:col>34</xdr:col>
                    <xdr:colOff>304800</xdr:colOff>
                    <xdr:row>191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22" r:id="rId366" name="Check Box 574">
              <controlPr defaultSize="0" autoFill="0" autoLine="0" autoPict="0">
                <anchor moveWithCells="1">
                  <from>
                    <xdr:col>34</xdr:col>
                    <xdr:colOff>0</xdr:colOff>
                    <xdr:row>190</xdr:row>
                    <xdr:rowOff>85725</xdr:rowOff>
                  </from>
                  <to>
                    <xdr:col>34</xdr:col>
                    <xdr:colOff>304800</xdr:colOff>
                    <xdr:row>192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23" r:id="rId367" name="Check Box 575">
              <controlPr defaultSize="0" autoFill="0" autoLine="0" autoPict="0">
                <anchor moveWithCells="1">
                  <from>
                    <xdr:col>34</xdr:col>
                    <xdr:colOff>0</xdr:colOff>
                    <xdr:row>191</xdr:row>
                    <xdr:rowOff>85725</xdr:rowOff>
                  </from>
                  <to>
                    <xdr:col>34</xdr:col>
                    <xdr:colOff>304800</xdr:colOff>
                    <xdr:row>193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24" r:id="rId368" name="Check Box 576">
              <controlPr defaultSize="0" autoFill="0" autoLine="0" autoPict="0">
                <anchor moveWithCells="1">
                  <from>
                    <xdr:col>34</xdr:col>
                    <xdr:colOff>0</xdr:colOff>
                    <xdr:row>192</xdr:row>
                    <xdr:rowOff>85725</xdr:rowOff>
                  </from>
                  <to>
                    <xdr:col>34</xdr:col>
                    <xdr:colOff>304800</xdr:colOff>
                    <xdr:row>194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25" r:id="rId369" name="Check Box 577">
              <controlPr defaultSize="0" autoFill="0" autoLine="0" autoPict="0">
                <anchor moveWithCells="1">
                  <from>
                    <xdr:col>34</xdr:col>
                    <xdr:colOff>0</xdr:colOff>
                    <xdr:row>193</xdr:row>
                    <xdr:rowOff>85725</xdr:rowOff>
                  </from>
                  <to>
                    <xdr:col>34</xdr:col>
                    <xdr:colOff>304800</xdr:colOff>
                    <xdr:row>195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26" r:id="rId370" name="Check Box 578">
              <controlPr defaultSize="0" autoFill="0" autoLine="0" autoPict="0">
                <anchor moveWithCells="1">
                  <from>
                    <xdr:col>34</xdr:col>
                    <xdr:colOff>0</xdr:colOff>
                    <xdr:row>194</xdr:row>
                    <xdr:rowOff>85725</xdr:rowOff>
                  </from>
                  <to>
                    <xdr:col>34</xdr:col>
                    <xdr:colOff>304800</xdr:colOff>
                    <xdr:row>196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27" r:id="rId371" name="Check Box 579">
              <controlPr defaultSize="0" autoFill="0" autoLine="0" autoPict="0">
                <anchor moveWithCells="1">
                  <from>
                    <xdr:col>34</xdr:col>
                    <xdr:colOff>0</xdr:colOff>
                    <xdr:row>195</xdr:row>
                    <xdr:rowOff>85725</xdr:rowOff>
                  </from>
                  <to>
                    <xdr:col>34</xdr:col>
                    <xdr:colOff>304800</xdr:colOff>
                    <xdr:row>197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28" r:id="rId372" name="Check Box 580">
              <controlPr defaultSize="0" autoFill="0" autoLine="0" autoPict="0">
                <anchor moveWithCells="1">
                  <from>
                    <xdr:col>34</xdr:col>
                    <xdr:colOff>0</xdr:colOff>
                    <xdr:row>196</xdr:row>
                    <xdr:rowOff>85725</xdr:rowOff>
                  </from>
                  <to>
                    <xdr:col>34</xdr:col>
                    <xdr:colOff>304800</xdr:colOff>
                    <xdr:row>198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29" r:id="rId373" name="Check Box 581">
              <controlPr defaultSize="0" autoFill="0" autoLine="0" autoPict="0">
                <anchor moveWithCells="1">
                  <from>
                    <xdr:col>34</xdr:col>
                    <xdr:colOff>0</xdr:colOff>
                    <xdr:row>197</xdr:row>
                    <xdr:rowOff>85725</xdr:rowOff>
                  </from>
                  <to>
                    <xdr:col>34</xdr:col>
                    <xdr:colOff>304800</xdr:colOff>
                    <xdr:row>199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30" r:id="rId374" name="Check Box 582">
              <controlPr defaultSize="0" autoFill="0" autoLine="0" autoPict="0">
                <anchor moveWithCells="1">
                  <from>
                    <xdr:col>34</xdr:col>
                    <xdr:colOff>0</xdr:colOff>
                    <xdr:row>200</xdr:row>
                    <xdr:rowOff>85725</xdr:rowOff>
                  </from>
                  <to>
                    <xdr:col>34</xdr:col>
                    <xdr:colOff>304800</xdr:colOff>
                    <xdr:row>202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31" r:id="rId375" name="Check Box 583">
              <controlPr defaultSize="0" autoFill="0" autoLine="0" autoPict="0">
                <anchor moveWithCells="1">
                  <from>
                    <xdr:col>34</xdr:col>
                    <xdr:colOff>0</xdr:colOff>
                    <xdr:row>201</xdr:row>
                    <xdr:rowOff>85725</xdr:rowOff>
                  </from>
                  <to>
                    <xdr:col>34</xdr:col>
                    <xdr:colOff>304800</xdr:colOff>
                    <xdr:row>203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32" r:id="rId376" name="Check Box 584">
              <controlPr defaultSize="0" autoFill="0" autoLine="0" autoPict="0">
                <anchor moveWithCells="1">
                  <from>
                    <xdr:col>34</xdr:col>
                    <xdr:colOff>0</xdr:colOff>
                    <xdr:row>202</xdr:row>
                    <xdr:rowOff>85725</xdr:rowOff>
                  </from>
                  <to>
                    <xdr:col>34</xdr:col>
                    <xdr:colOff>304800</xdr:colOff>
                    <xdr:row>204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33" r:id="rId377" name="Check Box 585">
              <controlPr defaultSize="0" autoFill="0" autoLine="0" autoPict="0">
                <anchor moveWithCells="1">
                  <from>
                    <xdr:col>34</xdr:col>
                    <xdr:colOff>0</xdr:colOff>
                    <xdr:row>203</xdr:row>
                    <xdr:rowOff>85725</xdr:rowOff>
                  </from>
                  <to>
                    <xdr:col>34</xdr:col>
                    <xdr:colOff>304800</xdr:colOff>
                    <xdr:row>205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34" r:id="rId378" name="Check Box 586">
              <controlPr defaultSize="0" autoFill="0" autoLine="0" autoPict="0">
                <anchor moveWithCells="1">
                  <from>
                    <xdr:col>34</xdr:col>
                    <xdr:colOff>0</xdr:colOff>
                    <xdr:row>204</xdr:row>
                    <xdr:rowOff>85725</xdr:rowOff>
                  </from>
                  <to>
                    <xdr:col>34</xdr:col>
                    <xdr:colOff>304800</xdr:colOff>
                    <xdr:row>206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35" r:id="rId379" name="Check Box 587">
              <controlPr defaultSize="0" autoFill="0" autoLine="0" autoPict="0">
                <anchor moveWithCells="1">
                  <from>
                    <xdr:col>34</xdr:col>
                    <xdr:colOff>0</xdr:colOff>
                    <xdr:row>205</xdr:row>
                    <xdr:rowOff>85725</xdr:rowOff>
                  </from>
                  <to>
                    <xdr:col>34</xdr:col>
                    <xdr:colOff>304800</xdr:colOff>
                    <xdr:row>207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36" r:id="rId380" name="Check Box 588">
              <controlPr defaultSize="0" autoFill="0" autoLine="0" autoPict="0">
                <anchor moveWithCells="1">
                  <from>
                    <xdr:col>34</xdr:col>
                    <xdr:colOff>0</xdr:colOff>
                    <xdr:row>206</xdr:row>
                    <xdr:rowOff>85725</xdr:rowOff>
                  </from>
                  <to>
                    <xdr:col>34</xdr:col>
                    <xdr:colOff>304800</xdr:colOff>
                    <xdr:row>208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37" r:id="rId381" name="Check Box 589">
              <controlPr defaultSize="0" autoFill="0" autoLine="0" autoPict="0">
                <anchor moveWithCells="1">
                  <from>
                    <xdr:col>34</xdr:col>
                    <xdr:colOff>0</xdr:colOff>
                    <xdr:row>207</xdr:row>
                    <xdr:rowOff>85725</xdr:rowOff>
                  </from>
                  <to>
                    <xdr:col>34</xdr:col>
                    <xdr:colOff>304800</xdr:colOff>
                    <xdr:row>209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38" r:id="rId382" name="Check Box 590">
              <controlPr defaultSize="0" autoFill="0" autoLine="0" autoPict="0">
                <anchor moveWithCells="1">
                  <from>
                    <xdr:col>34</xdr:col>
                    <xdr:colOff>0</xdr:colOff>
                    <xdr:row>208</xdr:row>
                    <xdr:rowOff>85725</xdr:rowOff>
                  </from>
                  <to>
                    <xdr:col>34</xdr:col>
                    <xdr:colOff>304800</xdr:colOff>
                    <xdr:row>210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39" r:id="rId383" name="Check Box 591">
              <controlPr defaultSize="0" autoFill="0" autoLine="0" autoPict="0">
                <anchor moveWithCells="1">
                  <from>
                    <xdr:col>34</xdr:col>
                    <xdr:colOff>0</xdr:colOff>
                    <xdr:row>209</xdr:row>
                    <xdr:rowOff>85725</xdr:rowOff>
                  </from>
                  <to>
                    <xdr:col>34</xdr:col>
                    <xdr:colOff>304800</xdr:colOff>
                    <xdr:row>211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40" r:id="rId384" name="Check Box 592">
              <controlPr defaultSize="0" autoFill="0" autoLine="0" autoPict="0">
                <anchor moveWithCells="1">
                  <from>
                    <xdr:col>34</xdr:col>
                    <xdr:colOff>0</xdr:colOff>
                    <xdr:row>210</xdr:row>
                    <xdr:rowOff>85725</xdr:rowOff>
                  </from>
                  <to>
                    <xdr:col>34</xdr:col>
                    <xdr:colOff>304800</xdr:colOff>
                    <xdr:row>212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41" r:id="rId385" name="Check Box 593">
              <controlPr defaultSize="0" autoFill="0" autoLine="0" autoPict="0">
                <anchor moveWithCells="1">
                  <from>
                    <xdr:col>34</xdr:col>
                    <xdr:colOff>0</xdr:colOff>
                    <xdr:row>211</xdr:row>
                    <xdr:rowOff>85725</xdr:rowOff>
                  </from>
                  <to>
                    <xdr:col>34</xdr:col>
                    <xdr:colOff>304800</xdr:colOff>
                    <xdr:row>213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42" r:id="rId386" name="Check Box 594">
              <controlPr defaultSize="0" autoFill="0" autoLine="0" autoPict="0">
                <anchor moveWithCells="1">
                  <from>
                    <xdr:col>34</xdr:col>
                    <xdr:colOff>0</xdr:colOff>
                    <xdr:row>212</xdr:row>
                    <xdr:rowOff>85725</xdr:rowOff>
                  </from>
                  <to>
                    <xdr:col>34</xdr:col>
                    <xdr:colOff>304800</xdr:colOff>
                    <xdr:row>214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43" r:id="rId387" name="Check Box 595">
              <controlPr defaultSize="0" autoFill="0" autoLine="0" autoPict="0">
                <anchor moveWithCells="1">
                  <from>
                    <xdr:col>34</xdr:col>
                    <xdr:colOff>0</xdr:colOff>
                    <xdr:row>213</xdr:row>
                    <xdr:rowOff>85725</xdr:rowOff>
                  </from>
                  <to>
                    <xdr:col>34</xdr:col>
                    <xdr:colOff>304800</xdr:colOff>
                    <xdr:row>215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44" r:id="rId388" name="Check Box 596">
              <controlPr defaultSize="0" autoFill="0" autoLine="0" autoPict="0">
                <anchor moveWithCells="1">
                  <from>
                    <xdr:col>34</xdr:col>
                    <xdr:colOff>0</xdr:colOff>
                    <xdr:row>214</xdr:row>
                    <xdr:rowOff>85725</xdr:rowOff>
                  </from>
                  <to>
                    <xdr:col>34</xdr:col>
                    <xdr:colOff>304800</xdr:colOff>
                    <xdr:row>216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45" r:id="rId389" name="Check Box 597">
              <controlPr defaultSize="0" autoFill="0" autoLine="0" autoPict="0">
                <anchor moveWithCells="1">
                  <from>
                    <xdr:col>34</xdr:col>
                    <xdr:colOff>0</xdr:colOff>
                    <xdr:row>215</xdr:row>
                    <xdr:rowOff>85725</xdr:rowOff>
                  </from>
                  <to>
                    <xdr:col>34</xdr:col>
                    <xdr:colOff>304800</xdr:colOff>
                    <xdr:row>217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46" r:id="rId390" name="Check Box 598">
              <controlPr defaultSize="0" autoFill="0" autoLine="0" autoPict="0">
                <anchor moveWithCells="1">
                  <from>
                    <xdr:col>34</xdr:col>
                    <xdr:colOff>0</xdr:colOff>
                    <xdr:row>216</xdr:row>
                    <xdr:rowOff>85725</xdr:rowOff>
                  </from>
                  <to>
                    <xdr:col>34</xdr:col>
                    <xdr:colOff>304800</xdr:colOff>
                    <xdr:row>218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47" r:id="rId391" name="Check Box 599">
              <controlPr defaultSize="0" autoFill="0" autoLine="0" autoPict="0">
                <anchor moveWithCells="1">
                  <from>
                    <xdr:col>34</xdr:col>
                    <xdr:colOff>0</xdr:colOff>
                    <xdr:row>217</xdr:row>
                    <xdr:rowOff>85725</xdr:rowOff>
                  </from>
                  <to>
                    <xdr:col>34</xdr:col>
                    <xdr:colOff>304800</xdr:colOff>
                    <xdr:row>219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48" r:id="rId392" name="Check Box 600">
              <controlPr defaultSize="0" autoFill="0" autoLine="0" autoPict="0">
                <anchor moveWithCells="1">
                  <from>
                    <xdr:col>34</xdr:col>
                    <xdr:colOff>0</xdr:colOff>
                    <xdr:row>218</xdr:row>
                    <xdr:rowOff>85725</xdr:rowOff>
                  </from>
                  <to>
                    <xdr:col>34</xdr:col>
                    <xdr:colOff>304800</xdr:colOff>
                    <xdr:row>220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49" r:id="rId393" name="Check Box 601">
              <controlPr defaultSize="0" autoFill="0" autoLine="0" autoPict="0">
                <anchor moveWithCells="1">
                  <from>
                    <xdr:col>34</xdr:col>
                    <xdr:colOff>0</xdr:colOff>
                    <xdr:row>219</xdr:row>
                    <xdr:rowOff>85725</xdr:rowOff>
                  </from>
                  <to>
                    <xdr:col>34</xdr:col>
                    <xdr:colOff>304800</xdr:colOff>
                    <xdr:row>221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50" r:id="rId394" name="Check Box 602">
              <controlPr defaultSize="0" autoFill="0" autoLine="0" autoPict="0">
                <anchor moveWithCells="1">
                  <from>
                    <xdr:col>34</xdr:col>
                    <xdr:colOff>0</xdr:colOff>
                    <xdr:row>220</xdr:row>
                    <xdr:rowOff>85725</xdr:rowOff>
                  </from>
                  <to>
                    <xdr:col>34</xdr:col>
                    <xdr:colOff>304800</xdr:colOff>
                    <xdr:row>222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51" r:id="rId395" name="Check Box 603">
              <controlPr defaultSize="0" autoFill="0" autoLine="0" autoPict="0">
                <anchor moveWithCells="1">
                  <from>
                    <xdr:col>34</xdr:col>
                    <xdr:colOff>0</xdr:colOff>
                    <xdr:row>221</xdr:row>
                    <xdr:rowOff>85725</xdr:rowOff>
                  </from>
                  <to>
                    <xdr:col>34</xdr:col>
                    <xdr:colOff>304800</xdr:colOff>
                    <xdr:row>223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52" r:id="rId396" name="Check Box 604">
              <controlPr defaultSize="0" autoFill="0" autoLine="0" autoPict="0">
                <anchor moveWithCells="1">
                  <from>
                    <xdr:col>34</xdr:col>
                    <xdr:colOff>0</xdr:colOff>
                    <xdr:row>222</xdr:row>
                    <xdr:rowOff>85725</xdr:rowOff>
                  </from>
                  <to>
                    <xdr:col>34</xdr:col>
                    <xdr:colOff>304800</xdr:colOff>
                    <xdr:row>224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53" r:id="rId397" name="Check Box 605">
              <controlPr defaultSize="0" autoFill="0" autoLine="0" autoPict="0">
                <anchor moveWithCells="1">
                  <from>
                    <xdr:col>34</xdr:col>
                    <xdr:colOff>0</xdr:colOff>
                    <xdr:row>223</xdr:row>
                    <xdr:rowOff>85725</xdr:rowOff>
                  </from>
                  <to>
                    <xdr:col>34</xdr:col>
                    <xdr:colOff>304800</xdr:colOff>
                    <xdr:row>225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54" r:id="rId398" name="Check Box 606">
              <controlPr defaultSize="0" autoFill="0" autoLine="0" autoPict="0">
                <anchor moveWithCells="1">
                  <from>
                    <xdr:col>34</xdr:col>
                    <xdr:colOff>0</xdr:colOff>
                    <xdr:row>224</xdr:row>
                    <xdr:rowOff>85725</xdr:rowOff>
                  </from>
                  <to>
                    <xdr:col>34</xdr:col>
                    <xdr:colOff>304800</xdr:colOff>
                    <xdr:row>226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55" r:id="rId399" name="Check Box 607">
              <controlPr defaultSize="0" autoFill="0" autoLine="0" autoPict="0">
                <anchor moveWithCells="1">
                  <from>
                    <xdr:col>34</xdr:col>
                    <xdr:colOff>0</xdr:colOff>
                    <xdr:row>225</xdr:row>
                    <xdr:rowOff>85725</xdr:rowOff>
                  </from>
                  <to>
                    <xdr:col>34</xdr:col>
                    <xdr:colOff>304800</xdr:colOff>
                    <xdr:row>227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56" r:id="rId400" name="Check Box 608">
              <controlPr defaultSize="0" autoFill="0" autoLine="0" autoPict="0">
                <anchor moveWithCells="1">
                  <from>
                    <xdr:col>34</xdr:col>
                    <xdr:colOff>0</xdr:colOff>
                    <xdr:row>226</xdr:row>
                    <xdr:rowOff>85725</xdr:rowOff>
                  </from>
                  <to>
                    <xdr:col>34</xdr:col>
                    <xdr:colOff>304800</xdr:colOff>
                    <xdr:row>228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57" r:id="rId401" name="Check Box 609">
              <controlPr defaultSize="0" autoFill="0" autoLine="0" autoPict="0">
                <anchor moveWithCells="1">
                  <from>
                    <xdr:col>34</xdr:col>
                    <xdr:colOff>0</xdr:colOff>
                    <xdr:row>227</xdr:row>
                    <xdr:rowOff>85725</xdr:rowOff>
                  </from>
                  <to>
                    <xdr:col>34</xdr:col>
                    <xdr:colOff>304800</xdr:colOff>
                    <xdr:row>229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58" r:id="rId402" name="Check Box 610">
              <controlPr defaultSize="0" autoFill="0" autoLine="0" autoPict="0">
                <anchor moveWithCells="1">
                  <from>
                    <xdr:col>34</xdr:col>
                    <xdr:colOff>0</xdr:colOff>
                    <xdr:row>228</xdr:row>
                    <xdr:rowOff>85725</xdr:rowOff>
                  </from>
                  <to>
                    <xdr:col>34</xdr:col>
                    <xdr:colOff>304800</xdr:colOff>
                    <xdr:row>230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59" r:id="rId403" name="Check Box 611">
              <controlPr defaultSize="0" autoFill="0" autoLine="0" autoPict="0">
                <anchor moveWithCells="1">
                  <from>
                    <xdr:col>34</xdr:col>
                    <xdr:colOff>0</xdr:colOff>
                    <xdr:row>229</xdr:row>
                    <xdr:rowOff>85725</xdr:rowOff>
                  </from>
                  <to>
                    <xdr:col>34</xdr:col>
                    <xdr:colOff>304800</xdr:colOff>
                    <xdr:row>231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60" r:id="rId404" name="Check Box 612">
              <controlPr defaultSize="0" autoFill="0" autoLine="0" autoPict="0">
                <anchor moveWithCells="1">
                  <from>
                    <xdr:col>34</xdr:col>
                    <xdr:colOff>0</xdr:colOff>
                    <xdr:row>230</xdr:row>
                    <xdr:rowOff>85725</xdr:rowOff>
                  </from>
                  <to>
                    <xdr:col>34</xdr:col>
                    <xdr:colOff>304800</xdr:colOff>
                    <xdr:row>232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61" r:id="rId405" name="Check Box 613">
              <controlPr defaultSize="0" autoFill="0" autoLine="0" autoPict="0">
                <anchor moveWithCells="1">
                  <from>
                    <xdr:col>34</xdr:col>
                    <xdr:colOff>0</xdr:colOff>
                    <xdr:row>231</xdr:row>
                    <xdr:rowOff>85725</xdr:rowOff>
                  </from>
                  <to>
                    <xdr:col>34</xdr:col>
                    <xdr:colOff>304800</xdr:colOff>
                    <xdr:row>233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62" r:id="rId406" name="Check Box 614">
              <controlPr defaultSize="0" autoFill="0" autoLine="0" autoPict="0">
                <anchor moveWithCells="1">
                  <from>
                    <xdr:col>34</xdr:col>
                    <xdr:colOff>0</xdr:colOff>
                    <xdr:row>232</xdr:row>
                    <xdr:rowOff>85725</xdr:rowOff>
                  </from>
                  <to>
                    <xdr:col>34</xdr:col>
                    <xdr:colOff>304800</xdr:colOff>
                    <xdr:row>234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63" r:id="rId407" name="Check Box 615">
              <controlPr defaultSize="0" autoFill="0" autoLine="0" autoPict="0">
                <anchor moveWithCells="1">
                  <from>
                    <xdr:col>34</xdr:col>
                    <xdr:colOff>0</xdr:colOff>
                    <xdr:row>233</xdr:row>
                    <xdr:rowOff>85725</xdr:rowOff>
                  </from>
                  <to>
                    <xdr:col>34</xdr:col>
                    <xdr:colOff>304800</xdr:colOff>
                    <xdr:row>235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64" r:id="rId408" name="Check Box 616">
              <controlPr defaultSize="0" autoFill="0" autoLine="0" autoPict="0">
                <anchor moveWithCells="1">
                  <from>
                    <xdr:col>34</xdr:col>
                    <xdr:colOff>0</xdr:colOff>
                    <xdr:row>234</xdr:row>
                    <xdr:rowOff>85725</xdr:rowOff>
                  </from>
                  <to>
                    <xdr:col>34</xdr:col>
                    <xdr:colOff>304800</xdr:colOff>
                    <xdr:row>236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65" r:id="rId409" name="Check Box 617">
              <controlPr defaultSize="0" autoFill="0" autoLine="0" autoPict="0">
                <anchor moveWithCells="1">
                  <from>
                    <xdr:col>34</xdr:col>
                    <xdr:colOff>0</xdr:colOff>
                    <xdr:row>235</xdr:row>
                    <xdr:rowOff>85725</xdr:rowOff>
                  </from>
                  <to>
                    <xdr:col>34</xdr:col>
                    <xdr:colOff>304800</xdr:colOff>
                    <xdr:row>237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66" r:id="rId410" name="Check Box 618">
              <controlPr defaultSize="0" autoFill="0" autoLine="0" autoPict="0">
                <anchor moveWithCells="1">
                  <from>
                    <xdr:col>34</xdr:col>
                    <xdr:colOff>0</xdr:colOff>
                    <xdr:row>236</xdr:row>
                    <xdr:rowOff>85725</xdr:rowOff>
                  </from>
                  <to>
                    <xdr:col>34</xdr:col>
                    <xdr:colOff>304800</xdr:colOff>
                    <xdr:row>238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67" r:id="rId411" name="Check Box 619">
              <controlPr defaultSize="0" autoFill="0" autoLine="0" autoPict="0">
                <anchor moveWithCells="1">
                  <from>
                    <xdr:col>34</xdr:col>
                    <xdr:colOff>0</xdr:colOff>
                    <xdr:row>198</xdr:row>
                    <xdr:rowOff>85725</xdr:rowOff>
                  </from>
                  <to>
                    <xdr:col>34</xdr:col>
                    <xdr:colOff>304800</xdr:colOff>
                    <xdr:row>200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68" r:id="rId412" name="Check Box 620">
              <controlPr defaultSize="0" autoFill="0" autoLine="0" autoPict="0">
                <anchor moveWithCells="1">
                  <from>
                    <xdr:col>34</xdr:col>
                    <xdr:colOff>0</xdr:colOff>
                    <xdr:row>199</xdr:row>
                    <xdr:rowOff>85725</xdr:rowOff>
                  </from>
                  <to>
                    <xdr:col>34</xdr:col>
                    <xdr:colOff>304800</xdr:colOff>
                    <xdr:row>201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69" r:id="rId413" name="Check Box 621">
              <controlPr defaultSize="0" autoFill="0" autoLine="0" autoPict="0">
                <anchor moveWithCells="1">
                  <from>
                    <xdr:col>34</xdr:col>
                    <xdr:colOff>0</xdr:colOff>
                    <xdr:row>236</xdr:row>
                    <xdr:rowOff>85725</xdr:rowOff>
                  </from>
                  <to>
                    <xdr:col>34</xdr:col>
                    <xdr:colOff>304800</xdr:colOff>
                    <xdr:row>238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70" r:id="rId414" name="Check Box 622">
              <controlPr defaultSize="0" autoFill="0" autoLine="0" autoPict="0">
                <anchor moveWithCells="1">
                  <from>
                    <xdr:col>33</xdr:col>
                    <xdr:colOff>0</xdr:colOff>
                    <xdr:row>37</xdr:row>
                    <xdr:rowOff>85725</xdr:rowOff>
                  </from>
                  <to>
                    <xdr:col>34</xdr:col>
                    <xdr:colOff>57150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71" r:id="rId415" name="Check Box 623">
              <controlPr defaultSize="0" autoFill="0" autoLine="0" autoPict="0">
                <anchor moveWithCells="1">
                  <from>
                    <xdr:col>33</xdr:col>
                    <xdr:colOff>0</xdr:colOff>
                    <xdr:row>38</xdr:row>
                    <xdr:rowOff>85725</xdr:rowOff>
                  </from>
                  <to>
                    <xdr:col>34</xdr:col>
                    <xdr:colOff>57150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72" r:id="rId416" name="Check Box 624">
              <controlPr defaultSize="0" autoFill="0" autoLine="0" autoPict="0">
                <anchor moveWithCells="1">
                  <from>
                    <xdr:col>33</xdr:col>
                    <xdr:colOff>0</xdr:colOff>
                    <xdr:row>39</xdr:row>
                    <xdr:rowOff>85725</xdr:rowOff>
                  </from>
                  <to>
                    <xdr:col>34</xdr:col>
                    <xdr:colOff>57150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73" r:id="rId417" name="Check Box 625">
              <controlPr defaultSize="0" autoFill="0" autoLine="0" autoPict="0">
                <anchor moveWithCells="1">
                  <from>
                    <xdr:col>33</xdr:col>
                    <xdr:colOff>0</xdr:colOff>
                    <xdr:row>40</xdr:row>
                    <xdr:rowOff>85725</xdr:rowOff>
                  </from>
                  <to>
                    <xdr:col>34</xdr:col>
                    <xdr:colOff>57150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74" r:id="rId418" name="Check Box 626">
              <controlPr defaultSize="0" autoFill="0" autoLine="0" autoPict="0">
                <anchor moveWithCells="1">
                  <from>
                    <xdr:col>33</xdr:col>
                    <xdr:colOff>0</xdr:colOff>
                    <xdr:row>41</xdr:row>
                    <xdr:rowOff>85725</xdr:rowOff>
                  </from>
                  <to>
                    <xdr:col>34</xdr:col>
                    <xdr:colOff>57150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75" r:id="rId419" name="Check Box 627">
              <controlPr defaultSize="0" autoFill="0" autoLine="0" autoPict="0">
                <anchor moveWithCells="1">
                  <from>
                    <xdr:col>33</xdr:col>
                    <xdr:colOff>0</xdr:colOff>
                    <xdr:row>42</xdr:row>
                    <xdr:rowOff>85725</xdr:rowOff>
                  </from>
                  <to>
                    <xdr:col>34</xdr:col>
                    <xdr:colOff>57150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76" r:id="rId420" name="Check Box 628">
              <controlPr defaultSize="0" autoFill="0" autoLine="0" autoPict="0">
                <anchor moveWithCells="1">
                  <from>
                    <xdr:col>33</xdr:col>
                    <xdr:colOff>0</xdr:colOff>
                    <xdr:row>43</xdr:row>
                    <xdr:rowOff>85725</xdr:rowOff>
                  </from>
                  <to>
                    <xdr:col>34</xdr:col>
                    <xdr:colOff>57150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77" r:id="rId421" name="Check Box 629">
              <controlPr defaultSize="0" autoFill="0" autoLine="0" autoPict="0">
                <anchor moveWithCells="1">
                  <from>
                    <xdr:col>33</xdr:col>
                    <xdr:colOff>0</xdr:colOff>
                    <xdr:row>44</xdr:row>
                    <xdr:rowOff>85725</xdr:rowOff>
                  </from>
                  <to>
                    <xdr:col>34</xdr:col>
                    <xdr:colOff>57150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78" r:id="rId422" name="Check Box 630">
              <controlPr defaultSize="0" autoFill="0" autoLine="0" autoPict="0">
                <anchor moveWithCells="1">
                  <from>
                    <xdr:col>33</xdr:col>
                    <xdr:colOff>0</xdr:colOff>
                    <xdr:row>45</xdr:row>
                    <xdr:rowOff>85725</xdr:rowOff>
                  </from>
                  <to>
                    <xdr:col>34</xdr:col>
                    <xdr:colOff>57150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79" r:id="rId423" name="Check Box 631">
              <controlPr defaultSize="0" autoFill="0" autoLine="0" autoPict="0">
                <anchor moveWithCells="1">
                  <from>
                    <xdr:col>33</xdr:col>
                    <xdr:colOff>0</xdr:colOff>
                    <xdr:row>46</xdr:row>
                    <xdr:rowOff>85725</xdr:rowOff>
                  </from>
                  <to>
                    <xdr:col>34</xdr:col>
                    <xdr:colOff>57150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80" r:id="rId424" name="Check Box 632">
              <controlPr defaultSize="0" autoFill="0" autoLine="0" autoPict="0">
                <anchor moveWithCells="1">
                  <from>
                    <xdr:col>33</xdr:col>
                    <xdr:colOff>0</xdr:colOff>
                    <xdr:row>47</xdr:row>
                    <xdr:rowOff>85725</xdr:rowOff>
                  </from>
                  <to>
                    <xdr:col>34</xdr:col>
                    <xdr:colOff>57150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81" r:id="rId425" name="Check Box 633">
              <controlPr defaultSize="0" autoFill="0" autoLine="0" autoPict="0">
                <anchor moveWithCells="1">
                  <from>
                    <xdr:col>33</xdr:col>
                    <xdr:colOff>0</xdr:colOff>
                    <xdr:row>50</xdr:row>
                    <xdr:rowOff>85725</xdr:rowOff>
                  </from>
                  <to>
                    <xdr:col>34</xdr:col>
                    <xdr:colOff>57150</xdr:colOff>
                    <xdr:row>52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82" r:id="rId426" name="Check Box 634">
              <controlPr defaultSize="0" autoFill="0" autoLine="0" autoPict="0">
                <anchor moveWithCells="1">
                  <from>
                    <xdr:col>33</xdr:col>
                    <xdr:colOff>0</xdr:colOff>
                    <xdr:row>51</xdr:row>
                    <xdr:rowOff>85725</xdr:rowOff>
                  </from>
                  <to>
                    <xdr:col>34</xdr:col>
                    <xdr:colOff>57150</xdr:colOff>
                    <xdr:row>53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83" r:id="rId427" name="Check Box 635">
              <controlPr defaultSize="0" autoFill="0" autoLine="0" autoPict="0">
                <anchor moveWithCells="1">
                  <from>
                    <xdr:col>33</xdr:col>
                    <xdr:colOff>0</xdr:colOff>
                    <xdr:row>52</xdr:row>
                    <xdr:rowOff>85725</xdr:rowOff>
                  </from>
                  <to>
                    <xdr:col>34</xdr:col>
                    <xdr:colOff>57150</xdr:colOff>
                    <xdr:row>54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84" r:id="rId428" name="Check Box 636">
              <controlPr defaultSize="0" autoFill="0" autoLine="0" autoPict="0">
                <anchor moveWithCells="1">
                  <from>
                    <xdr:col>33</xdr:col>
                    <xdr:colOff>0</xdr:colOff>
                    <xdr:row>53</xdr:row>
                    <xdr:rowOff>85725</xdr:rowOff>
                  </from>
                  <to>
                    <xdr:col>34</xdr:col>
                    <xdr:colOff>57150</xdr:colOff>
                    <xdr:row>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85" r:id="rId429" name="Check Box 637">
              <controlPr defaultSize="0" autoFill="0" autoLine="0" autoPict="0">
                <anchor moveWithCells="1">
                  <from>
                    <xdr:col>33</xdr:col>
                    <xdr:colOff>0</xdr:colOff>
                    <xdr:row>54</xdr:row>
                    <xdr:rowOff>85725</xdr:rowOff>
                  </from>
                  <to>
                    <xdr:col>34</xdr:col>
                    <xdr:colOff>57150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86" r:id="rId430" name="Check Box 638">
              <controlPr defaultSize="0" autoFill="0" autoLine="0" autoPict="0">
                <anchor moveWithCells="1">
                  <from>
                    <xdr:col>33</xdr:col>
                    <xdr:colOff>0</xdr:colOff>
                    <xdr:row>55</xdr:row>
                    <xdr:rowOff>85725</xdr:rowOff>
                  </from>
                  <to>
                    <xdr:col>34</xdr:col>
                    <xdr:colOff>57150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87" r:id="rId431" name="Check Box 639">
              <controlPr defaultSize="0" autoFill="0" autoLine="0" autoPict="0">
                <anchor moveWithCells="1">
                  <from>
                    <xdr:col>33</xdr:col>
                    <xdr:colOff>0</xdr:colOff>
                    <xdr:row>56</xdr:row>
                    <xdr:rowOff>85725</xdr:rowOff>
                  </from>
                  <to>
                    <xdr:col>34</xdr:col>
                    <xdr:colOff>57150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88" r:id="rId432" name="Check Box 640">
              <controlPr defaultSize="0" autoFill="0" autoLine="0" autoPict="0">
                <anchor moveWithCells="1">
                  <from>
                    <xdr:col>33</xdr:col>
                    <xdr:colOff>0</xdr:colOff>
                    <xdr:row>57</xdr:row>
                    <xdr:rowOff>85725</xdr:rowOff>
                  </from>
                  <to>
                    <xdr:col>34</xdr:col>
                    <xdr:colOff>57150</xdr:colOff>
                    <xdr:row>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89" r:id="rId433" name="Check Box 641">
              <controlPr defaultSize="0" autoFill="0" autoLine="0" autoPict="0">
                <anchor moveWithCells="1">
                  <from>
                    <xdr:col>33</xdr:col>
                    <xdr:colOff>0</xdr:colOff>
                    <xdr:row>58</xdr:row>
                    <xdr:rowOff>85725</xdr:rowOff>
                  </from>
                  <to>
                    <xdr:col>34</xdr:col>
                    <xdr:colOff>57150</xdr:colOff>
                    <xdr:row>60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90" r:id="rId434" name="Check Box 642">
              <controlPr defaultSize="0" autoFill="0" autoLine="0" autoPict="0">
                <anchor moveWithCells="1">
                  <from>
                    <xdr:col>33</xdr:col>
                    <xdr:colOff>0</xdr:colOff>
                    <xdr:row>59</xdr:row>
                    <xdr:rowOff>85725</xdr:rowOff>
                  </from>
                  <to>
                    <xdr:col>34</xdr:col>
                    <xdr:colOff>57150</xdr:colOff>
                    <xdr:row>61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91" r:id="rId435" name="Check Box 643">
              <controlPr defaultSize="0" autoFill="0" autoLine="0" autoPict="0">
                <anchor moveWithCells="1">
                  <from>
                    <xdr:col>33</xdr:col>
                    <xdr:colOff>0</xdr:colOff>
                    <xdr:row>60</xdr:row>
                    <xdr:rowOff>85725</xdr:rowOff>
                  </from>
                  <to>
                    <xdr:col>34</xdr:col>
                    <xdr:colOff>57150</xdr:colOff>
                    <xdr:row>62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92" r:id="rId436" name="Check Box 644">
              <controlPr defaultSize="0" autoFill="0" autoLine="0" autoPict="0">
                <anchor moveWithCells="1">
                  <from>
                    <xdr:col>33</xdr:col>
                    <xdr:colOff>0</xdr:colOff>
                    <xdr:row>61</xdr:row>
                    <xdr:rowOff>85725</xdr:rowOff>
                  </from>
                  <to>
                    <xdr:col>34</xdr:col>
                    <xdr:colOff>57150</xdr:colOff>
                    <xdr:row>63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93" r:id="rId437" name="Check Box 645">
              <controlPr defaultSize="0" autoFill="0" autoLine="0" autoPict="0">
                <anchor moveWithCells="1">
                  <from>
                    <xdr:col>33</xdr:col>
                    <xdr:colOff>0</xdr:colOff>
                    <xdr:row>62</xdr:row>
                    <xdr:rowOff>85725</xdr:rowOff>
                  </from>
                  <to>
                    <xdr:col>34</xdr:col>
                    <xdr:colOff>57150</xdr:colOff>
                    <xdr:row>64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94" r:id="rId438" name="Check Box 646">
              <controlPr defaultSize="0" autoFill="0" autoLine="0" autoPict="0">
                <anchor moveWithCells="1">
                  <from>
                    <xdr:col>33</xdr:col>
                    <xdr:colOff>0</xdr:colOff>
                    <xdr:row>63</xdr:row>
                    <xdr:rowOff>85725</xdr:rowOff>
                  </from>
                  <to>
                    <xdr:col>34</xdr:col>
                    <xdr:colOff>57150</xdr:colOff>
                    <xdr:row>65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95" r:id="rId439" name="Check Box 647">
              <controlPr defaultSize="0" autoFill="0" autoLine="0" autoPict="0">
                <anchor moveWithCells="1">
                  <from>
                    <xdr:col>33</xdr:col>
                    <xdr:colOff>0</xdr:colOff>
                    <xdr:row>64</xdr:row>
                    <xdr:rowOff>85725</xdr:rowOff>
                  </from>
                  <to>
                    <xdr:col>34</xdr:col>
                    <xdr:colOff>57150</xdr:colOff>
                    <xdr:row>66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96" r:id="rId440" name="Check Box 648">
              <controlPr defaultSize="0" autoFill="0" autoLine="0" autoPict="0">
                <anchor moveWithCells="1">
                  <from>
                    <xdr:col>33</xdr:col>
                    <xdr:colOff>0</xdr:colOff>
                    <xdr:row>65</xdr:row>
                    <xdr:rowOff>85725</xdr:rowOff>
                  </from>
                  <to>
                    <xdr:col>34</xdr:col>
                    <xdr:colOff>57150</xdr:colOff>
                    <xdr:row>67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97" r:id="rId441" name="Check Box 649">
              <controlPr defaultSize="0" autoFill="0" autoLine="0" autoPict="0">
                <anchor moveWithCells="1">
                  <from>
                    <xdr:col>33</xdr:col>
                    <xdr:colOff>0</xdr:colOff>
                    <xdr:row>66</xdr:row>
                    <xdr:rowOff>85725</xdr:rowOff>
                  </from>
                  <to>
                    <xdr:col>34</xdr:col>
                    <xdr:colOff>57150</xdr:colOff>
                    <xdr:row>68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98" r:id="rId442" name="Check Box 650">
              <controlPr defaultSize="0" autoFill="0" autoLine="0" autoPict="0">
                <anchor moveWithCells="1">
                  <from>
                    <xdr:col>33</xdr:col>
                    <xdr:colOff>0</xdr:colOff>
                    <xdr:row>67</xdr:row>
                    <xdr:rowOff>85725</xdr:rowOff>
                  </from>
                  <to>
                    <xdr:col>34</xdr:col>
                    <xdr:colOff>57150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99" r:id="rId443" name="Check Box 651">
              <controlPr defaultSize="0" autoFill="0" autoLine="0" autoPict="0">
                <anchor moveWithCells="1">
                  <from>
                    <xdr:col>33</xdr:col>
                    <xdr:colOff>0</xdr:colOff>
                    <xdr:row>68</xdr:row>
                    <xdr:rowOff>85725</xdr:rowOff>
                  </from>
                  <to>
                    <xdr:col>34</xdr:col>
                    <xdr:colOff>57150</xdr:colOff>
                    <xdr:row>70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00" r:id="rId444" name="Check Box 652">
              <controlPr defaultSize="0" autoFill="0" autoLine="0" autoPict="0">
                <anchor moveWithCells="1">
                  <from>
                    <xdr:col>33</xdr:col>
                    <xdr:colOff>0</xdr:colOff>
                    <xdr:row>69</xdr:row>
                    <xdr:rowOff>85725</xdr:rowOff>
                  </from>
                  <to>
                    <xdr:col>34</xdr:col>
                    <xdr:colOff>57150</xdr:colOff>
                    <xdr:row>71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01" r:id="rId445" name="Check Box 653">
              <controlPr defaultSize="0" autoFill="0" autoLine="0" autoPict="0">
                <anchor moveWithCells="1">
                  <from>
                    <xdr:col>33</xdr:col>
                    <xdr:colOff>0</xdr:colOff>
                    <xdr:row>70</xdr:row>
                    <xdr:rowOff>85725</xdr:rowOff>
                  </from>
                  <to>
                    <xdr:col>34</xdr:col>
                    <xdr:colOff>57150</xdr:colOff>
                    <xdr:row>72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02" r:id="rId446" name="Check Box 654">
              <controlPr defaultSize="0" autoFill="0" autoLine="0" autoPict="0">
                <anchor moveWithCells="1">
                  <from>
                    <xdr:col>33</xdr:col>
                    <xdr:colOff>0</xdr:colOff>
                    <xdr:row>71</xdr:row>
                    <xdr:rowOff>85725</xdr:rowOff>
                  </from>
                  <to>
                    <xdr:col>34</xdr:col>
                    <xdr:colOff>57150</xdr:colOff>
                    <xdr:row>73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03" r:id="rId447" name="Check Box 655">
              <controlPr defaultSize="0" autoFill="0" autoLine="0" autoPict="0">
                <anchor moveWithCells="1">
                  <from>
                    <xdr:col>33</xdr:col>
                    <xdr:colOff>0</xdr:colOff>
                    <xdr:row>72</xdr:row>
                    <xdr:rowOff>85725</xdr:rowOff>
                  </from>
                  <to>
                    <xdr:col>34</xdr:col>
                    <xdr:colOff>57150</xdr:colOff>
                    <xdr:row>74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04" r:id="rId448" name="Check Box 656">
              <controlPr defaultSize="0" autoFill="0" autoLine="0" autoPict="0">
                <anchor moveWithCells="1">
                  <from>
                    <xdr:col>33</xdr:col>
                    <xdr:colOff>0</xdr:colOff>
                    <xdr:row>73</xdr:row>
                    <xdr:rowOff>85725</xdr:rowOff>
                  </from>
                  <to>
                    <xdr:col>34</xdr:col>
                    <xdr:colOff>57150</xdr:colOff>
                    <xdr:row>75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05" r:id="rId449" name="Check Box 657">
              <controlPr defaultSize="0" autoFill="0" autoLine="0" autoPict="0">
                <anchor moveWithCells="1">
                  <from>
                    <xdr:col>33</xdr:col>
                    <xdr:colOff>0</xdr:colOff>
                    <xdr:row>74</xdr:row>
                    <xdr:rowOff>85725</xdr:rowOff>
                  </from>
                  <to>
                    <xdr:col>34</xdr:col>
                    <xdr:colOff>57150</xdr:colOff>
                    <xdr:row>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06" r:id="rId450" name="Check Box 658">
              <controlPr defaultSize="0" autoFill="0" autoLine="0" autoPict="0">
                <anchor moveWithCells="1">
                  <from>
                    <xdr:col>33</xdr:col>
                    <xdr:colOff>0</xdr:colOff>
                    <xdr:row>75</xdr:row>
                    <xdr:rowOff>85725</xdr:rowOff>
                  </from>
                  <to>
                    <xdr:col>34</xdr:col>
                    <xdr:colOff>57150</xdr:colOff>
                    <xdr:row>77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07" r:id="rId451" name="Check Box 659">
              <controlPr defaultSize="0" autoFill="0" autoLine="0" autoPict="0">
                <anchor moveWithCells="1">
                  <from>
                    <xdr:col>33</xdr:col>
                    <xdr:colOff>0</xdr:colOff>
                    <xdr:row>76</xdr:row>
                    <xdr:rowOff>85725</xdr:rowOff>
                  </from>
                  <to>
                    <xdr:col>34</xdr:col>
                    <xdr:colOff>57150</xdr:colOff>
                    <xdr:row>78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08" r:id="rId452" name="Check Box 660">
              <controlPr defaultSize="0" autoFill="0" autoLine="0" autoPict="0">
                <anchor moveWithCells="1">
                  <from>
                    <xdr:col>33</xdr:col>
                    <xdr:colOff>0</xdr:colOff>
                    <xdr:row>77</xdr:row>
                    <xdr:rowOff>85725</xdr:rowOff>
                  </from>
                  <to>
                    <xdr:col>34</xdr:col>
                    <xdr:colOff>57150</xdr:colOff>
                    <xdr:row>79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09" r:id="rId453" name="Check Box 661">
              <controlPr defaultSize="0" autoFill="0" autoLine="0" autoPict="0">
                <anchor moveWithCells="1">
                  <from>
                    <xdr:col>33</xdr:col>
                    <xdr:colOff>0</xdr:colOff>
                    <xdr:row>78</xdr:row>
                    <xdr:rowOff>85725</xdr:rowOff>
                  </from>
                  <to>
                    <xdr:col>34</xdr:col>
                    <xdr:colOff>57150</xdr:colOff>
                    <xdr:row>80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10" r:id="rId454" name="Check Box 662">
              <controlPr defaultSize="0" autoFill="0" autoLine="0" autoPict="0">
                <anchor moveWithCells="1">
                  <from>
                    <xdr:col>33</xdr:col>
                    <xdr:colOff>0</xdr:colOff>
                    <xdr:row>79</xdr:row>
                    <xdr:rowOff>85725</xdr:rowOff>
                  </from>
                  <to>
                    <xdr:col>34</xdr:col>
                    <xdr:colOff>57150</xdr:colOff>
                    <xdr:row>81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11" r:id="rId455" name="Check Box 663">
              <controlPr defaultSize="0" autoFill="0" autoLine="0" autoPict="0">
                <anchor moveWithCells="1">
                  <from>
                    <xdr:col>33</xdr:col>
                    <xdr:colOff>0</xdr:colOff>
                    <xdr:row>80</xdr:row>
                    <xdr:rowOff>85725</xdr:rowOff>
                  </from>
                  <to>
                    <xdr:col>34</xdr:col>
                    <xdr:colOff>57150</xdr:colOff>
                    <xdr:row>82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12" r:id="rId456" name="Check Box 664">
              <controlPr defaultSize="0" autoFill="0" autoLine="0" autoPict="0">
                <anchor moveWithCells="1">
                  <from>
                    <xdr:col>33</xdr:col>
                    <xdr:colOff>0</xdr:colOff>
                    <xdr:row>81</xdr:row>
                    <xdr:rowOff>85725</xdr:rowOff>
                  </from>
                  <to>
                    <xdr:col>34</xdr:col>
                    <xdr:colOff>57150</xdr:colOff>
                    <xdr:row>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13" r:id="rId457" name="Check Box 665">
              <controlPr defaultSize="0" autoFill="0" autoLine="0" autoPict="0">
                <anchor moveWithCells="1">
                  <from>
                    <xdr:col>33</xdr:col>
                    <xdr:colOff>0</xdr:colOff>
                    <xdr:row>82</xdr:row>
                    <xdr:rowOff>85725</xdr:rowOff>
                  </from>
                  <to>
                    <xdr:col>34</xdr:col>
                    <xdr:colOff>57150</xdr:colOff>
                    <xdr:row>84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14" r:id="rId458" name="Check Box 666">
              <controlPr defaultSize="0" autoFill="0" autoLine="0" autoPict="0">
                <anchor moveWithCells="1">
                  <from>
                    <xdr:col>33</xdr:col>
                    <xdr:colOff>0</xdr:colOff>
                    <xdr:row>83</xdr:row>
                    <xdr:rowOff>85725</xdr:rowOff>
                  </from>
                  <to>
                    <xdr:col>34</xdr:col>
                    <xdr:colOff>57150</xdr:colOff>
                    <xdr:row>85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15" r:id="rId459" name="Check Box 667">
              <controlPr defaultSize="0" autoFill="0" autoLine="0" autoPict="0">
                <anchor moveWithCells="1">
                  <from>
                    <xdr:col>33</xdr:col>
                    <xdr:colOff>0</xdr:colOff>
                    <xdr:row>84</xdr:row>
                    <xdr:rowOff>85725</xdr:rowOff>
                  </from>
                  <to>
                    <xdr:col>34</xdr:col>
                    <xdr:colOff>57150</xdr:colOff>
                    <xdr:row>86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16" r:id="rId460" name="Check Box 668">
              <controlPr defaultSize="0" autoFill="0" autoLine="0" autoPict="0">
                <anchor moveWithCells="1">
                  <from>
                    <xdr:col>33</xdr:col>
                    <xdr:colOff>0</xdr:colOff>
                    <xdr:row>85</xdr:row>
                    <xdr:rowOff>85725</xdr:rowOff>
                  </from>
                  <to>
                    <xdr:col>34</xdr:col>
                    <xdr:colOff>57150</xdr:colOff>
                    <xdr:row>87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17" r:id="rId461" name="Check Box 669">
              <controlPr defaultSize="0" autoFill="0" autoLine="0" autoPict="0">
                <anchor moveWithCells="1">
                  <from>
                    <xdr:col>33</xdr:col>
                    <xdr:colOff>0</xdr:colOff>
                    <xdr:row>86</xdr:row>
                    <xdr:rowOff>85725</xdr:rowOff>
                  </from>
                  <to>
                    <xdr:col>34</xdr:col>
                    <xdr:colOff>57150</xdr:colOff>
                    <xdr:row>88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18" r:id="rId462" name="Check Box 670">
              <controlPr defaultSize="0" autoFill="0" autoLine="0" autoPict="0">
                <anchor moveWithCells="1">
                  <from>
                    <xdr:col>33</xdr:col>
                    <xdr:colOff>0</xdr:colOff>
                    <xdr:row>48</xdr:row>
                    <xdr:rowOff>85725</xdr:rowOff>
                  </from>
                  <to>
                    <xdr:col>34</xdr:col>
                    <xdr:colOff>57150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19" r:id="rId463" name="Check Box 671">
              <controlPr defaultSize="0" autoFill="0" autoLine="0" autoPict="0">
                <anchor moveWithCells="1">
                  <from>
                    <xdr:col>33</xdr:col>
                    <xdr:colOff>0</xdr:colOff>
                    <xdr:row>49</xdr:row>
                    <xdr:rowOff>85725</xdr:rowOff>
                  </from>
                  <to>
                    <xdr:col>34</xdr:col>
                    <xdr:colOff>57150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20" r:id="rId464" name="Check Box 672">
              <controlPr defaultSize="0" autoFill="0" autoLine="0" autoPict="0">
                <anchor moveWithCells="1">
                  <from>
                    <xdr:col>33</xdr:col>
                    <xdr:colOff>0</xdr:colOff>
                    <xdr:row>87</xdr:row>
                    <xdr:rowOff>85725</xdr:rowOff>
                  </from>
                  <to>
                    <xdr:col>34</xdr:col>
                    <xdr:colOff>57150</xdr:colOff>
                    <xdr:row>89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21" r:id="rId465" name="Check Box 673">
              <controlPr defaultSize="0" autoFill="0" autoLine="0" autoPict="0">
                <anchor moveWithCells="1">
                  <from>
                    <xdr:col>33</xdr:col>
                    <xdr:colOff>0</xdr:colOff>
                    <xdr:row>88</xdr:row>
                    <xdr:rowOff>85725</xdr:rowOff>
                  </from>
                  <to>
                    <xdr:col>34</xdr:col>
                    <xdr:colOff>57150</xdr:colOff>
                    <xdr:row>90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22" r:id="rId466" name="Check Box 674">
              <controlPr defaultSize="0" autoFill="0" autoLine="0" autoPict="0">
                <anchor moveWithCells="1">
                  <from>
                    <xdr:col>33</xdr:col>
                    <xdr:colOff>0</xdr:colOff>
                    <xdr:row>89</xdr:row>
                    <xdr:rowOff>85725</xdr:rowOff>
                  </from>
                  <to>
                    <xdr:col>34</xdr:col>
                    <xdr:colOff>57150</xdr:colOff>
                    <xdr:row>91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23" r:id="rId467" name="Check Box 675">
              <controlPr defaultSize="0" autoFill="0" autoLine="0" autoPict="0">
                <anchor moveWithCells="1">
                  <from>
                    <xdr:col>33</xdr:col>
                    <xdr:colOff>0</xdr:colOff>
                    <xdr:row>90</xdr:row>
                    <xdr:rowOff>85725</xdr:rowOff>
                  </from>
                  <to>
                    <xdr:col>34</xdr:col>
                    <xdr:colOff>57150</xdr:colOff>
                    <xdr:row>92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24" r:id="rId468" name="Check Box 676">
              <controlPr defaultSize="0" autoFill="0" autoLine="0" autoPict="0">
                <anchor moveWithCells="1">
                  <from>
                    <xdr:col>33</xdr:col>
                    <xdr:colOff>0</xdr:colOff>
                    <xdr:row>91</xdr:row>
                    <xdr:rowOff>85725</xdr:rowOff>
                  </from>
                  <to>
                    <xdr:col>34</xdr:col>
                    <xdr:colOff>57150</xdr:colOff>
                    <xdr:row>93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25" r:id="rId469" name="Check Box 677">
              <controlPr defaultSize="0" autoFill="0" autoLine="0" autoPict="0">
                <anchor moveWithCells="1">
                  <from>
                    <xdr:col>33</xdr:col>
                    <xdr:colOff>0</xdr:colOff>
                    <xdr:row>92</xdr:row>
                    <xdr:rowOff>85725</xdr:rowOff>
                  </from>
                  <to>
                    <xdr:col>34</xdr:col>
                    <xdr:colOff>57150</xdr:colOff>
                    <xdr:row>94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26" r:id="rId470" name="Check Box 678">
              <controlPr defaultSize="0" autoFill="0" autoLine="0" autoPict="0">
                <anchor moveWithCells="1">
                  <from>
                    <xdr:col>33</xdr:col>
                    <xdr:colOff>0</xdr:colOff>
                    <xdr:row>93</xdr:row>
                    <xdr:rowOff>85725</xdr:rowOff>
                  </from>
                  <to>
                    <xdr:col>34</xdr:col>
                    <xdr:colOff>57150</xdr:colOff>
                    <xdr:row>95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27" r:id="rId471" name="Check Box 679">
              <controlPr defaultSize="0" autoFill="0" autoLine="0" autoPict="0">
                <anchor moveWithCells="1">
                  <from>
                    <xdr:col>33</xdr:col>
                    <xdr:colOff>0</xdr:colOff>
                    <xdr:row>94</xdr:row>
                    <xdr:rowOff>85725</xdr:rowOff>
                  </from>
                  <to>
                    <xdr:col>34</xdr:col>
                    <xdr:colOff>57150</xdr:colOff>
                    <xdr:row>96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28" r:id="rId472" name="Check Box 680">
              <controlPr defaultSize="0" autoFill="0" autoLine="0" autoPict="0">
                <anchor moveWithCells="1">
                  <from>
                    <xdr:col>33</xdr:col>
                    <xdr:colOff>0</xdr:colOff>
                    <xdr:row>95</xdr:row>
                    <xdr:rowOff>85725</xdr:rowOff>
                  </from>
                  <to>
                    <xdr:col>34</xdr:col>
                    <xdr:colOff>57150</xdr:colOff>
                    <xdr:row>97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29" r:id="rId473" name="Check Box 681">
              <controlPr defaultSize="0" autoFill="0" autoLine="0" autoPict="0">
                <anchor moveWithCells="1">
                  <from>
                    <xdr:col>33</xdr:col>
                    <xdr:colOff>0</xdr:colOff>
                    <xdr:row>96</xdr:row>
                    <xdr:rowOff>85725</xdr:rowOff>
                  </from>
                  <to>
                    <xdr:col>34</xdr:col>
                    <xdr:colOff>57150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30" r:id="rId474" name="Check Box 682">
              <controlPr defaultSize="0" autoFill="0" autoLine="0" autoPict="0">
                <anchor moveWithCells="1">
                  <from>
                    <xdr:col>33</xdr:col>
                    <xdr:colOff>0</xdr:colOff>
                    <xdr:row>97</xdr:row>
                    <xdr:rowOff>85725</xdr:rowOff>
                  </from>
                  <to>
                    <xdr:col>34</xdr:col>
                    <xdr:colOff>57150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31" r:id="rId475" name="Check Box 683">
              <controlPr defaultSize="0" autoFill="0" autoLine="0" autoPict="0">
                <anchor moveWithCells="1">
                  <from>
                    <xdr:col>33</xdr:col>
                    <xdr:colOff>0</xdr:colOff>
                    <xdr:row>100</xdr:row>
                    <xdr:rowOff>85725</xdr:rowOff>
                  </from>
                  <to>
                    <xdr:col>34</xdr:col>
                    <xdr:colOff>57150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32" r:id="rId476" name="Check Box 684">
              <controlPr defaultSize="0" autoFill="0" autoLine="0" autoPict="0">
                <anchor moveWithCells="1">
                  <from>
                    <xdr:col>33</xdr:col>
                    <xdr:colOff>0</xdr:colOff>
                    <xdr:row>101</xdr:row>
                    <xdr:rowOff>85725</xdr:rowOff>
                  </from>
                  <to>
                    <xdr:col>34</xdr:col>
                    <xdr:colOff>57150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33" r:id="rId477" name="Check Box 685">
              <controlPr defaultSize="0" autoFill="0" autoLine="0" autoPict="0">
                <anchor moveWithCells="1">
                  <from>
                    <xdr:col>33</xdr:col>
                    <xdr:colOff>0</xdr:colOff>
                    <xdr:row>102</xdr:row>
                    <xdr:rowOff>85725</xdr:rowOff>
                  </from>
                  <to>
                    <xdr:col>34</xdr:col>
                    <xdr:colOff>57150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34" r:id="rId478" name="Check Box 686">
              <controlPr defaultSize="0" autoFill="0" autoLine="0" autoPict="0">
                <anchor moveWithCells="1">
                  <from>
                    <xdr:col>33</xdr:col>
                    <xdr:colOff>0</xdr:colOff>
                    <xdr:row>103</xdr:row>
                    <xdr:rowOff>85725</xdr:rowOff>
                  </from>
                  <to>
                    <xdr:col>34</xdr:col>
                    <xdr:colOff>57150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35" r:id="rId479" name="Check Box 687">
              <controlPr defaultSize="0" autoFill="0" autoLine="0" autoPict="0">
                <anchor moveWithCells="1">
                  <from>
                    <xdr:col>33</xdr:col>
                    <xdr:colOff>0</xdr:colOff>
                    <xdr:row>104</xdr:row>
                    <xdr:rowOff>85725</xdr:rowOff>
                  </from>
                  <to>
                    <xdr:col>34</xdr:col>
                    <xdr:colOff>57150</xdr:colOff>
                    <xdr:row>106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36" r:id="rId480" name="Check Box 688">
              <controlPr defaultSize="0" autoFill="0" autoLine="0" autoPict="0">
                <anchor moveWithCells="1">
                  <from>
                    <xdr:col>33</xdr:col>
                    <xdr:colOff>0</xdr:colOff>
                    <xdr:row>105</xdr:row>
                    <xdr:rowOff>85725</xdr:rowOff>
                  </from>
                  <to>
                    <xdr:col>34</xdr:col>
                    <xdr:colOff>57150</xdr:colOff>
                    <xdr:row>107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37" r:id="rId481" name="Check Box 689">
              <controlPr defaultSize="0" autoFill="0" autoLine="0" autoPict="0">
                <anchor moveWithCells="1">
                  <from>
                    <xdr:col>33</xdr:col>
                    <xdr:colOff>0</xdr:colOff>
                    <xdr:row>106</xdr:row>
                    <xdr:rowOff>85725</xdr:rowOff>
                  </from>
                  <to>
                    <xdr:col>34</xdr:col>
                    <xdr:colOff>57150</xdr:colOff>
                    <xdr:row>108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38" r:id="rId482" name="Check Box 690">
              <controlPr defaultSize="0" autoFill="0" autoLine="0" autoPict="0">
                <anchor moveWithCells="1">
                  <from>
                    <xdr:col>33</xdr:col>
                    <xdr:colOff>0</xdr:colOff>
                    <xdr:row>107</xdr:row>
                    <xdr:rowOff>85725</xdr:rowOff>
                  </from>
                  <to>
                    <xdr:col>34</xdr:col>
                    <xdr:colOff>57150</xdr:colOff>
                    <xdr:row>109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39" r:id="rId483" name="Check Box 691">
              <controlPr defaultSize="0" autoFill="0" autoLine="0" autoPict="0">
                <anchor moveWithCells="1">
                  <from>
                    <xdr:col>33</xdr:col>
                    <xdr:colOff>0</xdr:colOff>
                    <xdr:row>108</xdr:row>
                    <xdr:rowOff>85725</xdr:rowOff>
                  </from>
                  <to>
                    <xdr:col>34</xdr:col>
                    <xdr:colOff>57150</xdr:colOff>
                    <xdr:row>110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40" r:id="rId484" name="Check Box 692">
              <controlPr defaultSize="0" autoFill="0" autoLine="0" autoPict="0">
                <anchor moveWithCells="1">
                  <from>
                    <xdr:col>33</xdr:col>
                    <xdr:colOff>0</xdr:colOff>
                    <xdr:row>109</xdr:row>
                    <xdr:rowOff>85725</xdr:rowOff>
                  </from>
                  <to>
                    <xdr:col>34</xdr:col>
                    <xdr:colOff>57150</xdr:colOff>
                    <xdr:row>111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41" r:id="rId485" name="Check Box 693">
              <controlPr defaultSize="0" autoFill="0" autoLine="0" autoPict="0">
                <anchor moveWithCells="1">
                  <from>
                    <xdr:col>33</xdr:col>
                    <xdr:colOff>0</xdr:colOff>
                    <xdr:row>110</xdr:row>
                    <xdr:rowOff>85725</xdr:rowOff>
                  </from>
                  <to>
                    <xdr:col>34</xdr:col>
                    <xdr:colOff>57150</xdr:colOff>
                    <xdr:row>112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42" r:id="rId486" name="Check Box 694">
              <controlPr defaultSize="0" autoFill="0" autoLine="0" autoPict="0">
                <anchor moveWithCells="1">
                  <from>
                    <xdr:col>33</xdr:col>
                    <xdr:colOff>0</xdr:colOff>
                    <xdr:row>111</xdr:row>
                    <xdr:rowOff>85725</xdr:rowOff>
                  </from>
                  <to>
                    <xdr:col>34</xdr:col>
                    <xdr:colOff>57150</xdr:colOff>
                    <xdr:row>113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43" r:id="rId487" name="Check Box 695">
              <controlPr defaultSize="0" autoFill="0" autoLine="0" autoPict="0">
                <anchor moveWithCells="1">
                  <from>
                    <xdr:col>33</xdr:col>
                    <xdr:colOff>0</xdr:colOff>
                    <xdr:row>112</xdr:row>
                    <xdr:rowOff>85725</xdr:rowOff>
                  </from>
                  <to>
                    <xdr:col>34</xdr:col>
                    <xdr:colOff>57150</xdr:colOff>
                    <xdr:row>114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44" r:id="rId488" name="Check Box 696">
              <controlPr defaultSize="0" autoFill="0" autoLine="0" autoPict="0">
                <anchor moveWithCells="1">
                  <from>
                    <xdr:col>33</xdr:col>
                    <xdr:colOff>0</xdr:colOff>
                    <xdr:row>113</xdr:row>
                    <xdr:rowOff>85725</xdr:rowOff>
                  </from>
                  <to>
                    <xdr:col>34</xdr:col>
                    <xdr:colOff>57150</xdr:colOff>
                    <xdr:row>115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45" r:id="rId489" name="Check Box 697">
              <controlPr defaultSize="0" autoFill="0" autoLine="0" autoPict="0">
                <anchor moveWithCells="1">
                  <from>
                    <xdr:col>33</xdr:col>
                    <xdr:colOff>0</xdr:colOff>
                    <xdr:row>114</xdr:row>
                    <xdr:rowOff>85725</xdr:rowOff>
                  </from>
                  <to>
                    <xdr:col>34</xdr:col>
                    <xdr:colOff>57150</xdr:colOff>
                    <xdr:row>116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46" r:id="rId490" name="Check Box 698">
              <controlPr defaultSize="0" autoFill="0" autoLine="0" autoPict="0">
                <anchor moveWithCells="1">
                  <from>
                    <xdr:col>33</xdr:col>
                    <xdr:colOff>0</xdr:colOff>
                    <xdr:row>115</xdr:row>
                    <xdr:rowOff>85725</xdr:rowOff>
                  </from>
                  <to>
                    <xdr:col>34</xdr:col>
                    <xdr:colOff>57150</xdr:colOff>
                    <xdr:row>117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47" r:id="rId491" name="Check Box 699">
              <controlPr defaultSize="0" autoFill="0" autoLine="0" autoPict="0">
                <anchor moveWithCells="1">
                  <from>
                    <xdr:col>33</xdr:col>
                    <xdr:colOff>0</xdr:colOff>
                    <xdr:row>116</xdr:row>
                    <xdr:rowOff>85725</xdr:rowOff>
                  </from>
                  <to>
                    <xdr:col>34</xdr:col>
                    <xdr:colOff>57150</xdr:colOff>
                    <xdr:row>118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48" r:id="rId492" name="Check Box 700">
              <controlPr defaultSize="0" autoFill="0" autoLine="0" autoPict="0">
                <anchor moveWithCells="1">
                  <from>
                    <xdr:col>33</xdr:col>
                    <xdr:colOff>0</xdr:colOff>
                    <xdr:row>117</xdr:row>
                    <xdr:rowOff>85725</xdr:rowOff>
                  </from>
                  <to>
                    <xdr:col>34</xdr:col>
                    <xdr:colOff>57150</xdr:colOff>
                    <xdr:row>119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49" r:id="rId493" name="Check Box 701">
              <controlPr defaultSize="0" autoFill="0" autoLine="0" autoPict="0">
                <anchor moveWithCells="1">
                  <from>
                    <xdr:col>33</xdr:col>
                    <xdr:colOff>0</xdr:colOff>
                    <xdr:row>118</xdr:row>
                    <xdr:rowOff>85725</xdr:rowOff>
                  </from>
                  <to>
                    <xdr:col>34</xdr:col>
                    <xdr:colOff>57150</xdr:colOff>
                    <xdr:row>120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50" r:id="rId494" name="Check Box 702">
              <controlPr defaultSize="0" autoFill="0" autoLine="0" autoPict="0">
                <anchor moveWithCells="1">
                  <from>
                    <xdr:col>33</xdr:col>
                    <xdr:colOff>0</xdr:colOff>
                    <xdr:row>119</xdr:row>
                    <xdr:rowOff>85725</xdr:rowOff>
                  </from>
                  <to>
                    <xdr:col>34</xdr:col>
                    <xdr:colOff>57150</xdr:colOff>
                    <xdr:row>121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51" r:id="rId495" name="Check Box 703">
              <controlPr defaultSize="0" autoFill="0" autoLine="0" autoPict="0">
                <anchor moveWithCells="1">
                  <from>
                    <xdr:col>33</xdr:col>
                    <xdr:colOff>0</xdr:colOff>
                    <xdr:row>120</xdr:row>
                    <xdr:rowOff>85725</xdr:rowOff>
                  </from>
                  <to>
                    <xdr:col>34</xdr:col>
                    <xdr:colOff>57150</xdr:colOff>
                    <xdr:row>122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52" r:id="rId496" name="Check Box 704">
              <controlPr defaultSize="0" autoFill="0" autoLine="0" autoPict="0">
                <anchor moveWithCells="1">
                  <from>
                    <xdr:col>33</xdr:col>
                    <xdr:colOff>0</xdr:colOff>
                    <xdr:row>121</xdr:row>
                    <xdr:rowOff>85725</xdr:rowOff>
                  </from>
                  <to>
                    <xdr:col>34</xdr:col>
                    <xdr:colOff>57150</xdr:colOff>
                    <xdr:row>123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53" r:id="rId497" name="Check Box 705">
              <controlPr defaultSize="0" autoFill="0" autoLine="0" autoPict="0">
                <anchor moveWithCells="1">
                  <from>
                    <xdr:col>33</xdr:col>
                    <xdr:colOff>0</xdr:colOff>
                    <xdr:row>122</xdr:row>
                    <xdr:rowOff>85725</xdr:rowOff>
                  </from>
                  <to>
                    <xdr:col>34</xdr:col>
                    <xdr:colOff>57150</xdr:colOff>
                    <xdr:row>124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54" r:id="rId498" name="Check Box 706">
              <controlPr defaultSize="0" autoFill="0" autoLine="0" autoPict="0">
                <anchor moveWithCells="1">
                  <from>
                    <xdr:col>33</xdr:col>
                    <xdr:colOff>0</xdr:colOff>
                    <xdr:row>123</xdr:row>
                    <xdr:rowOff>85725</xdr:rowOff>
                  </from>
                  <to>
                    <xdr:col>34</xdr:col>
                    <xdr:colOff>57150</xdr:colOff>
                    <xdr:row>125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55" r:id="rId499" name="Check Box 707">
              <controlPr defaultSize="0" autoFill="0" autoLine="0" autoPict="0">
                <anchor moveWithCells="1">
                  <from>
                    <xdr:col>33</xdr:col>
                    <xdr:colOff>0</xdr:colOff>
                    <xdr:row>124</xdr:row>
                    <xdr:rowOff>85725</xdr:rowOff>
                  </from>
                  <to>
                    <xdr:col>34</xdr:col>
                    <xdr:colOff>57150</xdr:colOff>
                    <xdr:row>126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56" r:id="rId500" name="Check Box 708">
              <controlPr defaultSize="0" autoFill="0" autoLine="0" autoPict="0">
                <anchor moveWithCells="1">
                  <from>
                    <xdr:col>33</xdr:col>
                    <xdr:colOff>0</xdr:colOff>
                    <xdr:row>125</xdr:row>
                    <xdr:rowOff>85725</xdr:rowOff>
                  </from>
                  <to>
                    <xdr:col>34</xdr:col>
                    <xdr:colOff>57150</xdr:colOff>
                    <xdr:row>127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57" r:id="rId501" name="Check Box 709">
              <controlPr defaultSize="0" autoFill="0" autoLine="0" autoPict="0">
                <anchor moveWithCells="1">
                  <from>
                    <xdr:col>33</xdr:col>
                    <xdr:colOff>0</xdr:colOff>
                    <xdr:row>126</xdr:row>
                    <xdr:rowOff>85725</xdr:rowOff>
                  </from>
                  <to>
                    <xdr:col>34</xdr:col>
                    <xdr:colOff>57150</xdr:colOff>
                    <xdr:row>128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58" r:id="rId502" name="Check Box 710">
              <controlPr defaultSize="0" autoFill="0" autoLine="0" autoPict="0">
                <anchor moveWithCells="1">
                  <from>
                    <xdr:col>33</xdr:col>
                    <xdr:colOff>0</xdr:colOff>
                    <xdr:row>127</xdr:row>
                    <xdr:rowOff>85725</xdr:rowOff>
                  </from>
                  <to>
                    <xdr:col>34</xdr:col>
                    <xdr:colOff>57150</xdr:colOff>
                    <xdr:row>129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59" r:id="rId503" name="Check Box 711">
              <controlPr defaultSize="0" autoFill="0" autoLine="0" autoPict="0">
                <anchor moveWithCells="1">
                  <from>
                    <xdr:col>33</xdr:col>
                    <xdr:colOff>0</xdr:colOff>
                    <xdr:row>128</xdr:row>
                    <xdr:rowOff>85725</xdr:rowOff>
                  </from>
                  <to>
                    <xdr:col>34</xdr:col>
                    <xdr:colOff>57150</xdr:colOff>
                    <xdr:row>130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60" r:id="rId504" name="Check Box 712">
              <controlPr defaultSize="0" autoFill="0" autoLine="0" autoPict="0">
                <anchor moveWithCells="1">
                  <from>
                    <xdr:col>33</xdr:col>
                    <xdr:colOff>0</xdr:colOff>
                    <xdr:row>129</xdr:row>
                    <xdr:rowOff>85725</xdr:rowOff>
                  </from>
                  <to>
                    <xdr:col>34</xdr:col>
                    <xdr:colOff>57150</xdr:colOff>
                    <xdr:row>131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61" r:id="rId505" name="Check Box 713">
              <controlPr defaultSize="0" autoFill="0" autoLine="0" autoPict="0">
                <anchor moveWithCells="1">
                  <from>
                    <xdr:col>33</xdr:col>
                    <xdr:colOff>0</xdr:colOff>
                    <xdr:row>130</xdr:row>
                    <xdr:rowOff>85725</xdr:rowOff>
                  </from>
                  <to>
                    <xdr:col>34</xdr:col>
                    <xdr:colOff>57150</xdr:colOff>
                    <xdr:row>132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62" r:id="rId506" name="Check Box 714">
              <controlPr defaultSize="0" autoFill="0" autoLine="0" autoPict="0">
                <anchor moveWithCells="1">
                  <from>
                    <xdr:col>33</xdr:col>
                    <xdr:colOff>0</xdr:colOff>
                    <xdr:row>131</xdr:row>
                    <xdr:rowOff>85725</xdr:rowOff>
                  </from>
                  <to>
                    <xdr:col>34</xdr:col>
                    <xdr:colOff>57150</xdr:colOff>
                    <xdr:row>133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63" r:id="rId507" name="Check Box 715">
              <controlPr defaultSize="0" autoFill="0" autoLine="0" autoPict="0">
                <anchor moveWithCells="1">
                  <from>
                    <xdr:col>33</xdr:col>
                    <xdr:colOff>0</xdr:colOff>
                    <xdr:row>132</xdr:row>
                    <xdr:rowOff>85725</xdr:rowOff>
                  </from>
                  <to>
                    <xdr:col>34</xdr:col>
                    <xdr:colOff>57150</xdr:colOff>
                    <xdr:row>134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64" r:id="rId508" name="Check Box 716">
              <controlPr defaultSize="0" autoFill="0" autoLine="0" autoPict="0">
                <anchor moveWithCells="1">
                  <from>
                    <xdr:col>33</xdr:col>
                    <xdr:colOff>0</xdr:colOff>
                    <xdr:row>133</xdr:row>
                    <xdr:rowOff>85725</xdr:rowOff>
                  </from>
                  <to>
                    <xdr:col>34</xdr:col>
                    <xdr:colOff>57150</xdr:colOff>
                    <xdr:row>135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65" r:id="rId509" name="Check Box 717">
              <controlPr defaultSize="0" autoFill="0" autoLine="0" autoPict="0">
                <anchor moveWithCells="1">
                  <from>
                    <xdr:col>33</xdr:col>
                    <xdr:colOff>0</xdr:colOff>
                    <xdr:row>134</xdr:row>
                    <xdr:rowOff>85725</xdr:rowOff>
                  </from>
                  <to>
                    <xdr:col>34</xdr:col>
                    <xdr:colOff>57150</xdr:colOff>
                    <xdr:row>136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66" r:id="rId510" name="Check Box 718">
              <controlPr defaultSize="0" autoFill="0" autoLine="0" autoPict="0">
                <anchor moveWithCells="1">
                  <from>
                    <xdr:col>33</xdr:col>
                    <xdr:colOff>0</xdr:colOff>
                    <xdr:row>135</xdr:row>
                    <xdr:rowOff>85725</xdr:rowOff>
                  </from>
                  <to>
                    <xdr:col>34</xdr:col>
                    <xdr:colOff>57150</xdr:colOff>
                    <xdr:row>137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67" r:id="rId511" name="Check Box 719">
              <controlPr defaultSize="0" autoFill="0" autoLine="0" autoPict="0">
                <anchor moveWithCells="1">
                  <from>
                    <xdr:col>33</xdr:col>
                    <xdr:colOff>0</xdr:colOff>
                    <xdr:row>136</xdr:row>
                    <xdr:rowOff>85725</xdr:rowOff>
                  </from>
                  <to>
                    <xdr:col>34</xdr:col>
                    <xdr:colOff>57150</xdr:colOff>
                    <xdr:row>138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68" r:id="rId512" name="Check Box 720">
              <controlPr defaultSize="0" autoFill="0" autoLine="0" autoPict="0">
                <anchor moveWithCells="1">
                  <from>
                    <xdr:col>33</xdr:col>
                    <xdr:colOff>0</xdr:colOff>
                    <xdr:row>98</xdr:row>
                    <xdr:rowOff>85725</xdr:rowOff>
                  </from>
                  <to>
                    <xdr:col>34</xdr:col>
                    <xdr:colOff>57150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69" r:id="rId513" name="Check Box 721">
              <controlPr defaultSize="0" autoFill="0" autoLine="0" autoPict="0">
                <anchor moveWithCells="1">
                  <from>
                    <xdr:col>33</xdr:col>
                    <xdr:colOff>0</xdr:colOff>
                    <xdr:row>99</xdr:row>
                    <xdr:rowOff>85725</xdr:rowOff>
                  </from>
                  <to>
                    <xdr:col>34</xdr:col>
                    <xdr:colOff>57150</xdr:colOff>
                    <xdr:row>101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70" r:id="rId514" name="Check Box 722">
              <controlPr defaultSize="0" autoFill="0" autoLine="0" autoPict="0">
                <anchor moveWithCells="1">
                  <from>
                    <xdr:col>33</xdr:col>
                    <xdr:colOff>0</xdr:colOff>
                    <xdr:row>137</xdr:row>
                    <xdr:rowOff>85725</xdr:rowOff>
                  </from>
                  <to>
                    <xdr:col>34</xdr:col>
                    <xdr:colOff>57150</xdr:colOff>
                    <xdr:row>139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71" r:id="rId515" name="Check Box 723">
              <controlPr defaultSize="0" autoFill="0" autoLine="0" autoPict="0">
                <anchor moveWithCells="1">
                  <from>
                    <xdr:col>33</xdr:col>
                    <xdr:colOff>0</xdr:colOff>
                    <xdr:row>138</xdr:row>
                    <xdr:rowOff>85725</xdr:rowOff>
                  </from>
                  <to>
                    <xdr:col>34</xdr:col>
                    <xdr:colOff>57150</xdr:colOff>
                    <xdr:row>140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72" r:id="rId516" name="Check Box 724">
              <controlPr defaultSize="0" autoFill="0" autoLine="0" autoPict="0">
                <anchor moveWithCells="1">
                  <from>
                    <xdr:col>33</xdr:col>
                    <xdr:colOff>0</xdr:colOff>
                    <xdr:row>139</xdr:row>
                    <xdr:rowOff>85725</xdr:rowOff>
                  </from>
                  <to>
                    <xdr:col>34</xdr:col>
                    <xdr:colOff>57150</xdr:colOff>
                    <xdr:row>141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73" r:id="rId517" name="Check Box 725">
              <controlPr defaultSize="0" autoFill="0" autoLine="0" autoPict="0">
                <anchor moveWithCells="1">
                  <from>
                    <xdr:col>33</xdr:col>
                    <xdr:colOff>0</xdr:colOff>
                    <xdr:row>140</xdr:row>
                    <xdr:rowOff>85725</xdr:rowOff>
                  </from>
                  <to>
                    <xdr:col>34</xdr:col>
                    <xdr:colOff>57150</xdr:colOff>
                    <xdr:row>142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74" r:id="rId518" name="Check Box 726">
              <controlPr defaultSize="0" autoFill="0" autoLine="0" autoPict="0">
                <anchor moveWithCells="1">
                  <from>
                    <xdr:col>33</xdr:col>
                    <xdr:colOff>0</xdr:colOff>
                    <xdr:row>141</xdr:row>
                    <xdr:rowOff>85725</xdr:rowOff>
                  </from>
                  <to>
                    <xdr:col>34</xdr:col>
                    <xdr:colOff>57150</xdr:colOff>
                    <xdr:row>143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75" r:id="rId519" name="Check Box 727">
              <controlPr defaultSize="0" autoFill="0" autoLine="0" autoPict="0">
                <anchor moveWithCells="1">
                  <from>
                    <xdr:col>33</xdr:col>
                    <xdr:colOff>0</xdr:colOff>
                    <xdr:row>142</xdr:row>
                    <xdr:rowOff>85725</xdr:rowOff>
                  </from>
                  <to>
                    <xdr:col>34</xdr:col>
                    <xdr:colOff>57150</xdr:colOff>
                    <xdr:row>144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76" r:id="rId520" name="Check Box 728">
              <controlPr defaultSize="0" autoFill="0" autoLine="0" autoPict="0">
                <anchor moveWithCells="1">
                  <from>
                    <xdr:col>33</xdr:col>
                    <xdr:colOff>0</xdr:colOff>
                    <xdr:row>143</xdr:row>
                    <xdr:rowOff>85725</xdr:rowOff>
                  </from>
                  <to>
                    <xdr:col>34</xdr:col>
                    <xdr:colOff>57150</xdr:colOff>
                    <xdr:row>145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77" r:id="rId521" name="Check Box 729">
              <controlPr defaultSize="0" autoFill="0" autoLine="0" autoPict="0">
                <anchor moveWithCells="1">
                  <from>
                    <xdr:col>33</xdr:col>
                    <xdr:colOff>0</xdr:colOff>
                    <xdr:row>144</xdr:row>
                    <xdr:rowOff>85725</xdr:rowOff>
                  </from>
                  <to>
                    <xdr:col>34</xdr:col>
                    <xdr:colOff>57150</xdr:colOff>
                    <xdr:row>146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78" r:id="rId522" name="Check Box 730">
              <controlPr defaultSize="0" autoFill="0" autoLine="0" autoPict="0">
                <anchor moveWithCells="1">
                  <from>
                    <xdr:col>33</xdr:col>
                    <xdr:colOff>0</xdr:colOff>
                    <xdr:row>145</xdr:row>
                    <xdr:rowOff>85725</xdr:rowOff>
                  </from>
                  <to>
                    <xdr:col>34</xdr:col>
                    <xdr:colOff>57150</xdr:colOff>
                    <xdr:row>147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79" r:id="rId523" name="Check Box 731">
              <controlPr defaultSize="0" autoFill="0" autoLine="0" autoPict="0">
                <anchor moveWithCells="1">
                  <from>
                    <xdr:col>33</xdr:col>
                    <xdr:colOff>0</xdr:colOff>
                    <xdr:row>146</xdr:row>
                    <xdr:rowOff>85725</xdr:rowOff>
                  </from>
                  <to>
                    <xdr:col>34</xdr:col>
                    <xdr:colOff>57150</xdr:colOff>
                    <xdr:row>148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80" r:id="rId524" name="Check Box 732">
              <controlPr defaultSize="0" autoFill="0" autoLine="0" autoPict="0">
                <anchor moveWithCells="1">
                  <from>
                    <xdr:col>33</xdr:col>
                    <xdr:colOff>0</xdr:colOff>
                    <xdr:row>147</xdr:row>
                    <xdr:rowOff>85725</xdr:rowOff>
                  </from>
                  <to>
                    <xdr:col>34</xdr:col>
                    <xdr:colOff>57150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81" r:id="rId525" name="Check Box 733">
              <controlPr defaultSize="0" autoFill="0" autoLine="0" autoPict="0">
                <anchor moveWithCells="1">
                  <from>
                    <xdr:col>33</xdr:col>
                    <xdr:colOff>0</xdr:colOff>
                    <xdr:row>150</xdr:row>
                    <xdr:rowOff>85725</xdr:rowOff>
                  </from>
                  <to>
                    <xdr:col>34</xdr:col>
                    <xdr:colOff>57150</xdr:colOff>
                    <xdr:row>152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82" r:id="rId526" name="Check Box 734">
              <controlPr defaultSize="0" autoFill="0" autoLine="0" autoPict="0">
                <anchor moveWithCells="1">
                  <from>
                    <xdr:col>33</xdr:col>
                    <xdr:colOff>0</xdr:colOff>
                    <xdr:row>151</xdr:row>
                    <xdr:rowOff>85725</xdr:rowOff>
                  </from>
                  <to>
                    <xdr:col>34</xdr:col>
                    <xdr:colOff>57150</xdr:colOff>
                    <xdr:row>153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83" r:id="rId527" name="Check Box 735">
              <controlPr defaultSize="0" autoFill="0" autoLine="0" autoPict="0">
                <anchor moveWithCells="1">
                  <from>
                    <xdr:col>33</xdr:col>
                    <xdr:colOff>0</xdr:colOff>
                    <xdr:row>152</xdr:row>
                    <xdr:rowOff>85725</xdr:rowOff>
                  </from>
                  <to>
                    <xdr:col>34</xdr:col>
                    <xdr:colOff>57150</xdr:colOff>
                    <xdr:row>154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84" r:id="rId528" name="Check Box 736">
              <controlPr defaultSize="0" autoFill="0" autoLine="0" autoPict="0">
                <anchor moveWithCells="1">
                  <from>
                    <xdr:col>33</xdr:col>
                    <xdr:colOff>0</xdr:colOff>
                    <xdr:row>153</xdr:row>
                    <xdr:rowOff>85725</xdr:rowOff>
                  </from>
                  <to>
                    <xdr:col>34</xdr:col>
                    <xdr:colOff>57150</xdr:colOff>
                    <xdr:row>155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85" r:id="rId529" name="Check Box 737">
              <controlPr defaultSize="0" autoFill="0" autoLine="0" autoPict="0">
                <anchor moveWithCells="1">
                  <from>
                    <xdr:col>33</xdr:col>
                    <xdr:colOff>0</xdr:colOff>
                    <xdr:row>154</xdr:row>
                    <xdr:rowOff>85725</xdr:rowOff>
                  </from>
                  <to>
                    <xdr:col>34</xdr:col>
                    <xdr:colOff>57150</xdr:colOff>
                    <xdr:row>156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86" r:id="rId530" name="Check Box 738">
              <controlPr defaultSize="0" autoFill="0" autoLine="0" autoPict="0">
                <anchor moveWithCells="1">
                  <from>
                    <xdr:col>33</xdr:col>
                    <xdr:colOff>0</xdr:colOff>
                    <xdr:row>155</xdr:row>
                    <xdr:rowOff>85725</xdr:rowOff>
                  </from>
                  <to>
                    <xdr:col>34</xdr:col>
                    <xdr:colOff>57150</xdr:colOff>
                    <xdr:row>157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87" r:id="rId531" name="Check Box 739">
              <controlPr defaultSize="0" autoFill="0" autoLine="0" autoPict="0">
                <anchor moveWithCells="1">
                  <from>
                    <xdr:col>33</xdr:col>
                    <xdr:colOff>0</xdr:colOff>
                    <xdr:row>156</xdr:row>
                    <xdr:rowOff>85725</xdr:rowOff>
                  </from>
                  <to>
                    <xdr:col>34</xdr:col>
                    <xdr:colOff>57150</xdr:colOff>
                    <xdr:row>158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88" r:id="rId532" name="Check Box 740">
              <controlPr defaultSize="0" autoFill="0" autoLine="0" autoPict="0">
                <anchor moveWithCells="1">
                  <from>
                    <xdr:col>33</xdr:col>
                    <xdr:colOff>0</xdr:colOff>
                    <xdr:row>157</xdr:row>
                    <xdr:rowOff>85725</xdr:rowOff>
                  </from>
                  <to>
                    <xdr:col>34</xdr:col>
                    <xdr:colOff>57150</xdr:colOff>
                    <xdr:row>159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89" r:id="rId533" name="Check Box 741">
              <controlPr defaultSize="0" autoFill="0" autoLine="0" autoPict="0">
                <anchor moveWithCells="1">
                  <from>
                    <xdr:col>33</xdr:col>
                    <xdr:colOff>0</xdr:colOff>
                    <xdr:row>158</xdr:row>
                    <xdr:rowOff>85725</xdr:rowOff>
                  </from>
                  <to>
                    <xdr:col>34</xdr:col>
                    <xdr:colOff>57150</xdr:colOff>
                    <xdr:row>160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90" r:id="rId534" name="Check Box 742">
              <controlPr defaultSize="0" autoFill="0" autoLine="0" autoPict="0">
                <anchor moveWithCells="1">
                  <from>
                    <xdr:col>33</xdr:col>
                    <xdr:colOff>0</xdr:colOff>
                    <xdr:row>159</xdr:row>
                    <xdr:rowOff>85725</xdr:rowOff>
                  </from>
                  <to>
                    <xdr:col>34</xdr:col>
                    <xdr:colOff>57150</xdr:colOff>
                    <xdr:row>161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91" r:id="rId535" name="Check Box 743">
              <controlPr defaultSize="0" autoFill="0" autoLine="0" autoPict="0">
                <anchor moveWithCells="1">
                  <from>
                    <xdr:col>33</xdr:col>
                    <xdr:colOff>0</xdr:colOff>
                    <xdr:row>160</xdr:row>
                    <xdr:rowOff>85725</xdr:rowOff>
                  </from>
                  <to>
                    <xdr:col>34</xdr:col>
                    <xdr:colOff>57150</xdr:colOff>
                    <xdr:row>162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92" r:id="rId536" name="Check Box 744">
              <controlPr defaultSize="0" autoFill="0" autoLine="0" autoPict="0">
                <anchor moveWithCells="1">
                  <from>
                    <xdr:col>33</xdr:col>
                    <xdr:colOff>0</xdr:colOff>
                    <xdr:row>161</xdr:row>
                    <xdr:rowOff>85725</xdr:rowOff>
                  </from>
                  <to>
                    <xdr:col>34</xdr:col>
                    <xdr:colOff>57150</xdr:colOff>
                    <xdr:row>163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93" r:id="rId537" name="Check Box 745">
              <controlPr defaultSize="0" autoFill="0" autoLine="0" autoPict="0">
                <anchor moveWithCells="1">
                  <from>
                    <xdr:col>33</xdr:col>
                    <xdr:colOff>0</xdr:colOff>
                    <xdr:row>162</xdr:row>
                    <xdr:rowOff>85725</xdr:rowOff>
                  </from>
                  <to>
                    <xdr:col>34</xdr:col>
                    <xdr:colOff>57150</xdr:colOff>
                    <xdr:row>164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94" r:id="rId538" name="Check Box 746">
              <controlPr defaultSize="0" autoFill="0" autoLine="0" autoPict="0">
                <anchor moveWithCells="1">
                  <from>
                    <xdr:col>33</xdr:col>
                    <xdr:colOff>0</xdr:colOff>
                    <xdr:row>163</xdr:row>
                    <xdr:rowOff>85725</xdr:rowOff>
                  </from>
                  <to>
                    <xdr:col>34</xdr:col>
                    <xdr:colOff>57150</xdr:colOff>
                    <xdr:row>165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95" r:id="rId539" name="Check Box 747">
              <controlPr defaultSize="0" autoFill="0" autoLine="0" autoPict="0">
                <anchor moveWithCells="1">
                  <from>
                    <xdr:col>33</xdr:col>
                    <xdr:colOff>0</xdr:colOff>
                    <xdr:row>164</xdr:row>
                    <xdr:rowOff>85725</xdr:rowOff>
                  </from>
                  <to>
                    <xdr:col>34</xdr:col>
                    <xdr:colOff>57150</xdr:colOff>
                    <xdr:row>166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96" r:id="rId540" name="Check Box 748">
              <controlPr defaultSize="0" autoFill="0" autoLine="0" autoPict="0">
                <anchor moveWithCells="1">
                  <from>
                    <xdr:col>33</xdr:col>
                    <xdr:colOff>0</xdr:colOff>
                    <xdr:row>165</xdr:row>
                    <xdr:rowOff>85725</xdr:rowOff>
                  </from>
                  <to>
                    <xdr:col>34</xdr:col>
                    <xdr:colOff>57150</xdr:colOff>
                    <xdr:row>167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97" r:id="rId541" name="Check Box 749">
              <controlPr defaultSize="0" autoFill="0" autoLine="0" autoPict="0">
                <anchor moveWithCells="1">
                  <from>
                    <xdr:col>33</xdr:col>
                    <xdr:colOff>0</xdr:colOff>
                    <xdr:row>166</xdr:row>
                    <xdr:rowOff>85725</xdr:rowOff>
                  </from>
                  <to>
                    <xdr:col>34</xdr:col>
                    <xdr:colOff>57150</xdr:colOff>
                    <xdr:row>168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98" r:id="rId542" name="Check Box 750">
              <controlPr defaultSize="0" autoFill="0" autoLine="0" autoPict="0">
                <anchor moveWithCells="1">
                  <from>
                    <xdr:col>33</xdr:col>
                    <xdr:colOff>0</xdr:colOff>
                    <xdr:row>167</xdr:row>
                    <xdr:rowOff>85725</xdr:rowOff>
                  </from>
                  <to>
                    <xdr:col>34</xdr:col>
                    <xdr:colOff>57150</xdr:colOff>
                    <xdr:row>169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99" r:id="rId543" name="Check Box 751">
              <controlPr defaultSize="0" autoFill="0" autoLine="0" autoPict="0">
                <anchor moveWithCells="1">
                  <from>
                    <xdr:col>33</xdr:col>
                    <xdr:colOff>0</xdr:colOff>
                    <xdr:row>168</xdr:row>
                    <xdr:rowOff>85725</xdr:rowOff>
                  </from>
                  <to>
                    <xdr:col>34</xdr:col>
                    <xdr:colOff>57150</xdr:colOff>
                    <xdr:row>170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00" r:id="rId544" name="Check Box 752">
              <controlPr defaultSize="0" autoFill="0" autoLine="0" autoPict="0">
                <anchor moveWithCells="1">
                  <from>
                    <xdr:col>33</xdr:col>
                    <xdr:colOff>0</xdr:colOff>
                    <xdr:row>169</xdr:row>
                    <xdr:rowOff>85725</xdr:rowOff>
                  </from>
                  <to>
                    <xdr:col>34</xdr:col>
                    <xdr:colOff>57150</xdr:colOff>
                    <xdr:row>171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01" r:id="rId545" name="Check Box 753">
              <controlPr defaultSize="0" autoFill="0" autoLine="0" autoPict="0">
                <anchor moveWithCells="1">
                  <from>
                    <xdr:col>33</xdr:col>
                    <xdr:colOff>0</xdr:colOff>
                    <xdr:row>170</xdr:row>
                    <xdr:rowOff>85725</xdr:rowOff>
                  </from>
                  <to>
                    <xdr:col>34</xdr:col>
                    <xdr:colOff>57150</xdr:colOff>
                    <xdr:row>172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02" r:id="rId546" name="Check Box 754">
              <controlPr defaultSize="0" autoFill="0" autoLine="0" autoPict="0">
                <anchor moveWithCells="1">
                  <from>
                    <xdr:col>33</xdr:col>
                    <xdr:colOff>0</xdr:colOff>
                    <xdr:row>171</xdr:row>
                    <xdr:rowOff>85725</xdr:rowOff>
                  </from>
                  <to>
                    <xdr:col>34</xdr:col>
                    <xdr:colOff>57150</xdr:colOff>
                    <xdr:row>173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03" r:id="rId547" name="Check Box 755">
              <controlPr defaultSize="0" autoFill="0" autoLine="0" autoPict="0">
                <anchor moveWithCells="1">
                  <from>
                    <xdr:col>33</xdr:col>
                    <xdr:colOff>0</xdr:colOff>
                    <xdr:row>172</xdr:row>
                    <xdr:rowOff>85725</xdr:rowOff>
                  </from>
                  <to>
                    <xdr:col>34</xdr:col>
                    <xdr:colOff>57150</xdr:colOff>
                    <xdr:row>174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04" r:id="rId548" name="Check Box 756">
              <controlPr defaultSize="0" autoFill="0" autoLine="0" autoPict="0">
                <anchor moveWithCells="1">
                  <from>
                    <xdr:col>33</xdr:col>
                    <xdr:colOff>0</xdr:colOff>
                    <xdr:row>173</xdr:row>
                    <xdr:rowOff>85725</xdr:rowOff>
                  </from>
                  <to>
                    <xdr:col>34</xdr:col>
                    <xdr:colOff>57150</xdr:colOff>
                    <xdr:row>175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05" r:id="rId549" name="Check Box 757">
              <controlPr defaultSize="0" autoFill="0" autoLine="0" autoPict="0">
                <anchor moveWithCells="1">
                  <from>
                    <xdr:col>33</xdr:col>
                    <xdr:colOff>0</xdr:colOff>
                    <xdr:row>174</xdr:row>
                    <xdr:rowOff>85725</xdr:rowOff>
                  </from>
                  <to>
                    <xdr:col>34</xdr:col>
                    <xdr:colOff>57150</xdr:colOff>
                    <xdr:row>176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06" r:id="rId550" name="Check Box 758">
              <controlPr defaultSize="0" autoFill="0" autoLine="0" autoPict="0">
                <anchor moveWithCells="1">
                  <from>
                    <xdr:col>33</xdr:col>
                    <xdr:colOff>0</xdr:colOff>
                    <xdr:row>175</xdr:row>
                    <xdr:rowOff>85725</xdr:rowOff>
                  </from>
                  <to>
                    <xdr:col>34</xdr:col>
                    <xdr:colOff>57150</xdr:colOff>
                    <xdr:row>177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07" r:id="rId551" name="Check Box 759">
              <controlPr defaultSize="0" autoFill="0" autoLine="0" autoPict="0">
                <anchor moveWithCells="1">
                  <from>
                    <xdr:col>33</xdr:col>
                    <xdr:colOff>0</xdr:colOff>
                    <xdr:row>176</xdr:row>
                    <xdr:rowOff>85725</xdr:rowOff>
                  </from>
                  <to>
                    <xdr:col>34</xdr:col>
                    <xdr:colOff>57150</xdr:colOff>
                    <xdr:row>178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08" r:id="rId552" name="Check Box 760">
              <controlPr defaultSize="0" autoFill="0" autoLine="0" autoPict="0">
                <anchor moveWithCells="1">
                  <from>
                    <xdr:col>33</xdr:col>
                    <xdr:colOff>0</xdr:colOff>
                    <xdr:row>177</xdr:row>
                    <xdr:rowOff>85725</xdr:rowOff>
                  </from>
                  <to>
                    <xdr:col>34</xdr:col>
                    <xdr:colOff>57150</xdr:colOff>
                    <xdr:row>179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09" r:id="rId553" name="Check Box 761">
              <controlPr defaultSize="0" autoFill="0" autoLine="0" autoPict="0">
                <anchor moveWithCells="1">
                  <from>
                    <xdr:col>33</xdr:col>
                    <xdr:colOff>0</xdr:colOff>
                    <xdr:row>178</xdr:row>
                    <xdr:rowOff>85725</xdr:rowOff>
                  </from>
                  <to>
                    <xdr:col>34</xdr:col>
                    <xdr:colOff>57150</xdr:colOff>
                    <xdr:row>180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10" r:id="rId554" name="Check Box 762">
              <controlPr defaultSize="0" autoFill="0" autoLine="0" autoPict="0">
                <anchor moveWithCells="1">
                  <from>
                    <xdr:col>33</xdr:col>
                    <xdr:colOff>0</xdr:colOff>
                    <xdr:row>179</xdr:row>
                    <xdr:rowOff>85725</xdr:rowOff>
                  </from>
                  <to>
                    <xdr:col>34</xdr:col>
                    <xdr:colOff>57150</xdr:colOff>
                    <xdr:row>181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11" r:id="rId555" name="Check Box 763">
              <controlPr defaultSize="0" autoFill="0" autoLine="0" autoPict="0">
                <anchor moveWithCells="1">
                  <from>
                    <xdr:col>33</xdr:col>
                    <xdr:colOff>0</xdr:colOff>
                    <xdr:row>180</xdr:row>
                    <xdr:rowOff>85725</xdr:rowOff>
                  </from>
                  <to>
                    <xdr:col>34</xdr:col>
                    <xdr:colOff>57150</xdr:colOff>
                    <xdr:row>182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12" r:id="rId556" name="Check Box 764">
              <controlPr defaultSize="0" autoFill="0" autoLine="0" autoPict="0">
                <anchor moveWithCells="1">
                  <from>
                    <xdr:col>33</xdr:col>
                    <xdr:colOff>0</xdr:colOff>
                    <xdr:row>181</xdr:row>
                    <xdr:rowOff>85725</xdr:rowOff>
                  </from>
                  <to>
                    <xdr:col>34</xdr:col>
                    <xdr:colOff>57150</xdr:colOff>
                    <xdr:row>183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13" r:id="rId557" name="Check Box 765">
              <controlPr defaultSize="0" autoFill="0" autoLine="0" autoPict="0">
                <anchor moveWithCells="1">
                  <from>
                    <xdr:col>33</xdr:col>
                    <xdr:colOff>0</xdr:colOff>
                    <xdr:row>182</xdr:row>
                    <xdr:rowOff>85725</xdr:rowOff>
                  </from>
                  <to>
                    <xdr:col>34</xdr:col>
                    <xdr:colOff>57150</xdr:colOff>
                    <xdr:row>184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14" r:id="rId558" name="Check Box 766">
              <controlPr defaultSize="0" autoFill="0" autoLine="0" autoPict="0">
                <anchor moveWithCells="1">
                  <from>
                    <xdr:col>33</xdr:col>
                    <xdr:colOff>0</xdr:colOff>
                    <xdr:row>183</xdr:row>
                    <xdr:rowOff>85725</xdr:rowOff>
                  </from>
                  <to>
                    <xdr:col>34</xdr:col>
                    <xdr:colOff>57150</xdr:colOff>
                    <xdr:row>185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15" r:id="rId559" name="Check Box 767">
              <controlPr defaultSize="0" autoFill="0" autoLine="0" autoPict="0">
                <anchor moveWithCells="1">
                  <from>
                    <xdr:col>33</xdr:col>
                    <xdr:colOff>0</xdr:colOff>
                    <xdr:row>184</xdr:row>
                    <xdr:rowOff>85725</xdr:rowOff>
                  </from>
                  <to>
                    <xdr:col>34</xdr:col>
                    <xdr:colOff>57150</xdr:colOff>
                    <xdr:row>186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16" r:id="rId560" name="Check Box 768">
              <controlPr defaultSize="0" autoFill="0" autoLine="0" autoPict="0">
                <anchor moveWithCells="1">
                  <from>
                    <xdr:col>33</xdr:col>
                    <xdr:colOff>0</xdr:colOff>
                    <xdr:row>185</xdr:row>
                    <xdr:rowOff>85725</xdr:rowOff>
                  </from>
                  <to>
                    <xdr:col>34</xdr:col>
                    <xdr:colOff>57150</xdr:colOff>
                    <xdr:row>187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17" r:id="rId561" name="Check Box 769">
              <controlPr defaultSize="0" autoFill="0" autoLine="0" autoPict="0">
                <anchor moveWithCells="1">
                  <from>
                    <xdr:col>33</xdr:col>
                    <xdr:colOff>0</xdr:colOff>
                    <xdr:row>186</xdr:row>
                    <xdr:rowOff>85725</xdr:rowOff>
                  </from>
                  <to>
                    <xdr:col>34</xdr:col>
                    <xdr:colOff>57150</xdr:colOff>
                    <xdr:row>188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18" r:id="rId562" name="Check Box 770">
              <controlPr defaultSize="0" autoFill="0" autoLine="0" autoPict="0">
                <anchor moveWithCells="1">
                  <from>
                    <xdr:col>33</xdr:col>
                    <xdr:colOff>0</xdr:colOff>
                    <xdr:row>148</xdr:row>
                    <xdr:rowOff>85725</xdr:rowOff>
                  </from>
                  <to>
                    <xdr:col>34</xdr:col>
                    <xdr:colOff>57150</xdr:colOff>
                    <xdr:row>150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19" r:id="rId563" name="Check Box 771">
              <controlPr defaultSize="0" autoFill="0" autoLine="0" autoPict="0">
                <anchor moveWithCells="1">
                  <from>
                    <xdr:col>33</xdr:col>
                    <xdr:colOff>0</xdr:colOff>
                    <xdr:row>149</xdr:row>
                    <xdr:rowOff>85725</xdr:rowOff>
                  </from>
                  <to>
                    <xdr:col>34</xdr:col>
                    <xdr:colOff>57150</xdr:colOff>
                    <xdr:row>151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20" r:id="rId564" name="Check Box 772">
              <controlPr defaultSize="0" autoFill="0" autoLine="0" autoPict="0">
                <anchor moveWithCells="1">
                  <from>
                    <xdr:col>33</xdr:col>
                    <xdr:colOff>0</xdr:colOff>
                    <xdr:row>187</xdr:row>
                    <xdr:rowOff>85725</xdr:rowOff>
                  </from>
                  <to>
                    <xdr:col>34</xdr:col>
                    <xdr:colOff>57150</xdr:colOff>
                    <xdr:row>189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21" r:id="rId565" name="Check Box 773">
              <controlPr defaultSize="0" autoFill="0" autoLine="0" autoPict="0">
                <anchor moveWithCells="1">
                  <from>
                    <xdr:col>33</xdr:col>
                    <xdr:colOff>0</xdr:colOff>
                    <xdr:row>188</xdr:row>
                    <xdr:rowOff>85725</xdr:rowOff>
                  </from>
                  <to>
                    <xdr:col>34</xdr:col>
                    <xdr:colOff>57150</xdr:colOff>
                    <xdr:row>190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22" r:id="rId566" name="Check Box 774">
              <controlPr defaultSize="0" autoFill="0" autoLine="0" autoPict="0">
                <anchor moveWithCells="1">
                  <from>
                    <xdr:col>33</xdr:col>
                    <xdr:colOff>0</xdr:colOff>
                    <xdr:row>189</xdr:row>
                    <xdr:rowOff>85725</xdr:rowOff>
                  </from>
                  <to>
                    <xdr:col>34</xdr:col>
                    <xdr:colOff>57150</xdr:colOff>
                    <xdr:row>191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23" r:id="rId567" name="Check Box 775">
              <controlPr defaultSize="0" autoFill="0" autoLine="0" autoPict="0">
                <anchor moveWithCells="1">
                  <from>
                    <xdr:col>33</xdr:col>
                    <xdr:colOff>0</xdr:colOff>
                    <xdr:row>190</xdr:row>
                    <xdr:rowOff>85725</xdr:rowOff>
                  </from>
                  <to>
                    <xdr:col>34</xdr:col>
                    <xdr:colOff>57150</xdr:colOff>
                    <xdr:row>192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24" r:id="rId568" name="Check Box 776">
              <controlPr defaultSize="0" autoFill="0" autoLine="0" autoPict="0">
                <anchor moveWithCells="1">
                  <from>
                    <xdr:col>33</xdr:col>
                    <xdr:colOff>0</xdr:colOff>
                    <xdr:row>191</xdr:row>
                    <xdr:rowOff>85725</xdr:rowOff>
                  </from>
                  <to>
                    <xdr:col>34</xdr:col>
                    <xdr:colOff>57150</xdr:colOff>
                    <xdr:row>193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25" r:id="rId569" name="Check Box 777">
              <controlPr defaultSize="0" autoFill="0" autoLine="0" autoPict="0">
                <anchor moveWithCells="1">
                  <from>
                    <xdr:col>33</xdr:col>
                    <xdr:colOff>0</xdr:colOff>
                    <xdr:row>192</xdr:row>
                    <xdr:rowOff>85725</xdr:rowOff>
                  </from>
                  <to>
                    <xdr:col>34</xdr:col>
                    <xdr:colOff>57150</xdr:colOff>
                    <xdr:row>194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26" r:id="rId570" name="Check Box 778">
              <controlPr defaultSize="0" autoFill="0" autoLine="0" autoPict="0">
                <anchor moveWithCells="1">
                  <from>
                    <xdr:col>33</xdr:col>
                    <xdr:colOff>0</xdr:colOff>
                    <xdr:row>193</xdr:row>
                    <xdr:rowOff>85725</xdr:rowOff>
                  </from>
                  <to>
                    <xdr:col>34</xdr:col>
                    <xdr:colOff>57150</xdr:colOff>
                    <xdr:row>195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27" r:id="rId571" name="Check Box 779">
              <controlPr defaultSize="0" autoFill="0" autoLine="0" autoPict="0">
                <anchor moveWithCells="1">
                  <from>
                    <xdr:col>33</xdr:col>
                    <xdr:colOff>0</xdr:colOff>
                    <xdr:row>194</xdr:row>
                    <xdr:rowOff>85725</xdr:rowOff>
                  </from>
                  <to>
                    <xdr:col>34</xdr:col>
                    <xdr:colOff>57150</xdr:colOff>
                    <xdr:row>196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28" r:id="rId572" name="Check Box 780">
              <controlPr defaultSize="0" autoFill="0" autoLine="0" autoPict="0">
                <anchor moveWithCells="1">
                  <from>
                    <xdr:col>33</xdr:col>
                    <xdr:colOff>0</xdr:colOff>
                    <xdr:row>195</xdr:row>
                    <xdr:rowOff>85725</xdr:rowOff>
                  </from>
                  <to>
                    <xdr:col>34</xdr:col>
                    <xdr:colOff>57150</xdr:colOff>
                    <xdr:row>197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29" r:id="rId573" name="Check Box 781">
              <controlPr defaultSize="0" autoFill="0" autoLine="0" autoPict="0">
                <anchor moveWithCells="1">
                  <from>
                    <xdr:col>33</xdr:col>
                    <xdr:colOff>0</xdr:colOff>
                    <xdr:row>196</xdr:row>
                    <xdr:rowOff>85725</xdr:rowOff>
                  </from>
                  <to>
                    <xdr:col>34</xdr:col>
                    <xdr:colOff>57150</xdr:colOff>
                    <xdr:row>198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30" r:id="rId574" name="Check Box 782">
              <controlPr defaultSize="0" autoFill="0" autoLine="0" autoPict="0">
                <anchor moveWithCells="1">
                  <from>
                    <xdr:col>33</xdr:col>
                    <xdr:colOff>0</xdr:colOff>
                    <xdr:row>197</xdr:row>
                    <xdr:rowOff>85725</xdr:rowOff>
                  </from>
                  <to>
                    <xdr:col>34</xdr:col>
                    <xdr:colOff>57150</xdr:colOff>
                    <xdr:row>199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31" r:id="rId575" name="Check Box 783">
              <controlPr defaultSize="0" autoFill="0" autoLine="0" autoPict="0">
                <anchor moveWithCells="1">
                  <from>
                    <xdr:col>33</xdr:col>
                    <xdr:colOff>0</xdr:colOff>
                    <xdr:row>200</xdr:row>
                    <xdr:rowOff>85725</xdr:rowOff>
                  </from>
                  <to>
                    <xdr:col>34</xdr:col>
                    <xdr:colOff>57150</xdr:colOff>
                    <xdr:row>202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32" r:id="rId576" name="Check Box 784">
              <controlPr defaultSize="0" autoFill="0" autoLine="0" autoPict="0">
                <anchor moveWithCells="1">
                  <from>
                    <xdr:col>33</xdr:col>
                    <xdr:colOff>0</xdr:colOff>
                    <xdr:row>201</xdr:row>
                    <xdr:rowOff>85725</xdr:rowOff>
                  </from>
                  <to>
                    <xdr:col>34</xdr:col>
                    <xdr:colOff>57150</xdr:colOff>
                    <xdr:row>203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33" r:id="rId577" name="Check Box 785">
              <controlPr defaultSize="0" autoFill="0" autoLine="0" autoPict="0">
                <anchor moveWithCells="1">
                  <from>
                    <xdr:col>33</xdr:col>
                    <xdr:colOff>0</xdr:colOff>
                    <xdr:row>202</xdr:row>
                    <xdr:rowOff>85725</xdr:rowOff>
                  </from>
                  <to>
                    <xdr:col>34</xdr:col>
                    <xdr:colOff>57150</xdr:colOff>
                    <xdr:row>204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34" r:id="rId578" name="Check Box 786">
              <controlPr defaultSize="0" autoFill="0" autoLine="0" autoPict="0">
                <anchor moveWithCells="1">
                  <from>
                    <xdr:col>33</xdr:col>
                    <xdr:colOff>0</xdr:colOff>
                    <xdr:row>203</xdr:row>
                    <xdr:rowOff>85725</xdr:rowOff>
                  </from>
                  <to>
                    <xdr:col>34</xdr:col>
                    <xdr:colOff>57150</xdr:colOff>
                    <xdr:row>205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35" r:id="rId579" name="Check Box 787">
              <controlPr defaultSize="0" autoFill="0" autoLine="0" autoPict="0">
                <anchor moveWithCells="1">
                  <from>
                    <xdr:col>33</xdr:col>
                    <xdr:colOff>0</xdr:colOff>
                    <xdr:row>204</xdr:row>
                    <xdr:rowOff>85725</xdr:rowOff>
                  </from>
                  <to>
                    <xdr:col>34</xdr:col>
                    <xdr:colOff>57150</xdr:colOff>
                    <xdr:row>206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36" r:id="rId580" name="Check Box 788">
              <controlPr defaultSize="0" autoFill="0" autoLine="0" autoPict="0">
                <anchor moveWithCells="1">
                  <from>
                    <xdr:col>33</xdr:col>
                    <xdr:colOff>0</xdr:colOff>
                    <xdr:row>205</xdr:row>
                    <xdr:rowOff>85725</xdr:rowOff>
                  </from>
                  <to>
                    <xdr:col>34</xdr:col>
                    <xdr:colOff>57150</xdr:colOff>
                    <xdr:row>207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37" r:id="rId581" name="Check Box 789">
              <controlPr defaultSize="0" autoFill="0" autoLine="0" autoPict="0">
                <anchor moveWithCells="1">
                  <from>
                    <xdr:col>33</xdr:col>
                    <xdr:colOff>0</xdr:colOff>
                    <xdr:row>206</xdr:row>
                    <xdr:rowOff>85725</xdr:rowOff>
                  </from>
                  <to>
                    <xdr:col>34</xdr:col>
                    <xdr:colOff>57150</xdr:colOff>
                    <xdr:row>208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38" r:id="rId582" name="Check Box 790">
              <controlPr defaultSize="0" autoFill="0" autoLine="0" autoPict="0">
                <anchor moveWithCells="1">
                  <from>
                    <xdr:col>33</xdr:col>
                    <xdr:colOff>0</xdr:colOff>
                    <xdr:row>207</xdr:row>
                    <xdr:rowOff>85725</xdr:rowOff>
                  </from>
                  <to>
                    <xdr:col>34</xdr:col>
                    <xdr:colOff>57150</xdr:colOff>
                    <xdr:row>209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39" r:id="rId583" name="Check Box 791">
              <controlPr defaultSize="0" autoFill="0" autoLine="0" autoPict="0">
                <anchor moveWithCells="1">
                  <from>
                    <xdr:col>33</xdr:col>
                    <xdr:colOff>0</xdr:colOff>
                    <xdr:row>208</xdr:row>
                    <xdr:rowOff>85725</xdr:rowOff>
                  </from>
                  <to>
                    <xdr:col>34</xdr:col>
                    <xdr:colOff>57150</xdr:colOff>
                    <xdr:row>210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40" r:id="rId584" name="Check Box 792">
              <controlPr defaultSize="0" autoFill="0" autoLine="0" autoPict="0">
                <anchor moveWithCells="1">
                  <from>
                    <xdr:col>33</xdr:col>
                    <xdr:colOff>0</xdr:colOff>
                    <xdr:row>209</xdr:row>
                    <xdr:rowOff>85725</xdr:rowOff>
                  </from>
                  <to>
                    <xdr:col>34</xdr:col>
                    <xdr:colOff>57150</xdr:colOff>
                    <xdr:row>211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41" r:id="rId585" name="Check Box 793">
              <controlPr defaultSize="0" autoFill="0" autoLine="0" autoPict="0">
                <anchor moveWithCells="1">
                  <from>
                    <xdr:col>33</xdr:col>
                    <xdr:colOff>0</xdr:colOff>
                    <xdr:row>210</xdr:row>
                    <xdr:rowOff>85725</xdr:rowOff>
                  </from>
                  <to>
                    <xdr:col>34</xdr:col>
                    <xdr:colOff>57150</xdr:colOff>
                    <xdr:row>212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42" r:id="rId586" name="Check Box 794">
              <controlPr defaultSize="0" autoFill="0" autoLine="0" autoPict="0">
                <anchor moveWithCells="1">
                  <from>
                    <xdr:col>33</xdr:col>
                    <xdr:colOff>0</xdr:colOff>
                    <xdr:row>211</xdr:row>
                    <xdr:rowOff>85725</xdr:rowOff>
                  </from>
                  <to>
                    <xdr:col>34</xdr:col>
                    <xdr:colOff>57150</xdr:colOff>
                    <xdr:row>213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43" r:id="rId587" name="Check Box 795">
              <controlPr defaultSize="0" autoFill="0" autoLine="0" autoPict="0">
                <anchor moveWithCells="1">
                  <from>
                    <xdr:col>33</xdr:col>
                    <xdr:colOff>0</xdr:colOff>
                    <xdr:row>212</xdr:row>
                    <xdr:rowOff>85725</xdr:rowOff>
                  </from>
                  <to>
                    <xdr:col>34</xdr:col>
                    <xdr:colOff>57150</xdr:colOff>
                    <xdr:row>214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44" r:id="rId588" name="Check Box 796">
              <controlPr defaultSize="0" autoFill="0" autoLine="0" autoPict="0">
                <anchor moveWithCells="1">
                  <from>
                    <xdr:col>33</xdr:col>
                    <xdr:colOff>0</xdr:colOff>
                    <xdr:row>213</xdr:row>
                    <xdr:rowOff>85725</xdr:rowOff>
                  </from>
                  <to>
                    <xdr:col>34</xdr:col>
                    <xdr:colOff>57150</xdr:colOff>
                    <xdr:row>215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45" r:id="rId589" name="Check Box 797">
              <controlPr defaultSize="0" autoFill="0" autoLine="0" autoPict="0">
                <anchor moveWithCells="1">
                  <from>
                    <xdr:col>33</xdr:col>
                    <xdr:colOff>0</xdr:colOff>
                    <xdr:row>214</xdr:row>
                    <xdr:rowOff>85725</xdr:rowOff>
                  </from>
                  <to>
                    <xdr:col>34</xdr:col>
                    <xdr:colOff>57150</xdr:colOff>
                    <xdr:row>216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46" r:id="rId590" name="Check Box 798">
              <controlPr defaultSize="0" autoFill="0" autoLine="0" autoPict="0">
                <anchor moveWithCells="1">
                  <from>
                    <xdr:col>33</xdr:col>
                    <xdr:colOff>0</xdr:colOff>
                    <xdr:row>215</xdr:row>
                    <xdr:rowOff>85725</xdr:rowOff>
                  </from>
                  <to>
                    <xdr:col>34</xdr:col>
                    <xdr:colOff>57150</xdr:colOff>
                    <xdr:row>217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47" r:id="rId591" name="Check Box 799">
              <controlPr defaultSize="0" autoFill="0" autoLine="0" autoPict="0">
                <anchor moveWithCells="1">
                  <from>
                    <xdr:col>33</xdr:col>
                    <xdr:colOff>0</xdr:colOff>
                    <xdr:row>216</xdr:row>
                    <xdr:rowOff>85725</xdr:rowOff>
                  </from>
                  <to>
                    <xdr:col>34</xdr:col>
                    <xdr:colOff>57150</xdr:colOff>
                    <xdr:row>218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48" r:id="rId592" name="Check Box 800">
              <controlPr defaultSize="0" autoFill="0" autoLine="0" autoPict="0">
                <anchor moveWithCells="1">
                  <from>
                    <xdr:col>33</xdr:col>
                    <xdr:colOff>0</xdr:colOff>
                    <xdr:row>217</xdr:row>
                    <xdr:rowOff>85725</xdr:rowOff>
                  </from>
                  <to>
                    <xdr:col>34</xdr:col>
                    <xdr:colOff>57150</xdr:colOff>
                    <xdr:row>219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49" r:id="rId593" name="Check Box 801">
              <controlPr defaultSize="0" autoFill="0" autoLine="0" autoPict="0">
                <anchor moveWithCells="1">
                  <from>
                    <xdr:col>33</xdr:col>
                    <xdr:colOff>0</xdr:colOff>
                    <xdr:row>218</xdr:row>
                    <xdr:rowOff>85725</xdr:rowOff>
                  </from>
                  <to>
                    <xdr:col>34</xdr:col>
                    <xdr:colOff>57150</xdr:colOff>
                    <xdr:row>220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50" r:id="rId594" name="Check Box 802">
              <controlPr defaultSize="0" autoFill="0" autoLine="0" autoPict="0">
                <anchor moveWithCells="1">
                  <from>
                    <xdr:col>33</xdr:col>
                    <xdr:colOff>0</xdr:colOff>
                    <xdr:row>219</xdr:row>
                    <xdr:rowOff>85725</xdr:rowOff>
                  </from>
                  <to>
                    <xdr:col>34</xdr:col>
                    <xdr:colOff>57150</xdr:colOff>
                    <xdr:row>221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51" r:id="rId595" name="Check Box 803">
              <controlPr defaultSize="0" autoFill="0" autoLine="0" autoPict="0">
                <anchor moveWithCells="1">
                  <from>
                    <xdr:col>33</xdr:col>
                    <xdr:colOff>0</xdr:colOff>
                    <xdr:row>220</xdr:row>
                    <xdr:rowOff>85725</xdr:rowOff>
                  </from>
                  <to>
                    <xdr:col>34</xdr:col>
                    <xdr:colOff>57150</xdr:colOff>
                    <xdr:row>222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52" r:id="rId596" name="Check Box 804">
              <controlPr defaultSize="0" autoFill="0" autoLine="0" autoPict="0">
                <anchor moveWithCells="1">
                  <from>
                    <xdr:col>33</xdr:col>
                    <xdr:colOff>0</xdr:colOff>
                    <xdr:row>221</xdr:row>
                    <xdr:rowOff>85725</xdr:rowOff>
                  </from>
                  <to>
                    <xdr:col>34</xdr:col>
                    <xdr:colOff>57150</xdr:colOff>
                    <xdr:row>223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53" r:id="rId597" name="Check Box 805">
              <controlPr defaultSize="0" autoFill="0" autoLine="0" autoPict="0">
                <anchor moveWithCells="1">
                  <from>
                    <xdr:col>33</xdr:col>
                    <xdr:colOff>0</xdr:colOff>
                    <xdr:row>222</xdr:row>
                    <xdr:rowOff>85725</xdr:rowOff>
                  </from>
                  <to>
                    <xdr:col>34</xdr:col>
                    <xdr:colOff>57150</xdr:colOff>
                    <xdr:row>224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54" r:id="rId598" name="Check Box 806">
              <controlPr defaultSize="0" autoFill="0" autoLine="0" autoPict="0">
                <anchor moveWithCells="1">
                  <from>
                    <xdr:col>33</xdr:col>
                    <xdr:colOff>0</xdr:colOff>
                    <xdr:row>223</xdr:row>
                    <xdr:rowOff>85725</xdr:rowOff>
                  </from>
                  <to>
                    <xdr:col>34</xdr:col>
                    <xdr:colOff>57150</xdr:colOff>
                    <xdr:row>225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55" r:id="rId599" name="Check Box 807">
              <controlPr defaultSize="0" autoFill="0" autoLine="0" autoPict="0">
                <anchor moveWithCells="1">
                  <from>
                    <xdr:col>33</xdr:col>
                    <xdr:colOff>0</xdr:colOff>
                    <xdr:row>224</xdr:row>
                    <xdr:rowOff>85725</xdr:rowOff>
                  </from>
                  <to>
                    <xdr:col>34</xdr:col>
                    <xdr:colOff>57150</xdr:colOff>
                    <xdr:row>226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56" r:id="rId600" name="Check Box 808">
              <controlPr defaultSize="0" autoFill="0" autoLine="0" autoPict="0">
                <anchor moveWithCells="1">
                  <from>
                    <xdr:col>33</xdr:col>
                    <xdr:colOff>0</xdr:colOff>
                    <xdr:row>225</xdr:row>
                    <xdr:rowOff>85725</xdr:rowOff>
                  </from>
                  <to>
                    <xdr:col>34</xdr:col>
                    <xdr:colOff>57150</xdr:colOff>
                    <xdr:row>227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57" r:id="rId601" name="Check Box 809">
              <controlPr defaultSize="0" autoFill="0" autoLine="0" autoPict="0">
                <anchor moveWithCells="1">
                  <from>
                    <xdr:col>33</xdr:col>
                    <xdr:colOff>0</xdr:colOff>
                    <xdr:row>226</xdr:row>
                    <xdr:rowOff>85725</xdr:rowOff>
                  </from>
                  <to>
                    <xdr:col>34</xdr:col>
                    <xdr:colOff>57150</xdr:colOff>
                    <xdr:row>228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58" r:id="rId602" name="Check Box 810">
              <controlPr defaultSize="0" autoFill="0" autoLine="0" autoPict="0">
                <anchor moveWithCells="1">
                  <from>
                    <xdr:col>33</xdr:col>
                    <xdr:colOff>0</xdr:colOff>
                    <xdr:row>227</xdr:row>
                    <xdr:rowOff>85725</xdr:rowOff>
                  </from>
                  <to>
                    <xdr:col>34</xdr:col>
                    <xdr:colOff>57150</xdr:colOff>
                    <xdr:row>229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59" r:id="rId603" name="Check Box 811">
              <controlPr defaultSize="0" autoFill="0" autoLine="0" autoPict="0">
                <anchor moveWithCells="1">
                  <from>
                    <xdr:col>33</xdr:col>
                    <xdr:colOff>0</xdr:colOff>
                    <xdr:row>228</xdr:row>
                    <xdr:rowOff>85725</xdr:rowOff>
                  </from>
                  <to>
                    <xdr:col>34</xdr:col>
                    <xdr:colOff>57150</xdr:colOff>
                    <xdr:row>230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60" r:id="rId604" name="Check Box 812">
              <controlPr defaultSize="0" autoFill="0" autoLine="0" autoPict="0">
                <anchor moveWithCells="1">
                  <from>
                    <xdr:col>33</xdr:col>
                    <xdr:colOff>0</xdr:colOff>
                    <xdr:row>229</xdr:row>
                    <xdr:rowOff>85725</xdr:rowOff>
                  </from>
                  <to>
                    <xdr:col>34</xdr:col>
                    <xdr:colOff>57150</xdr:colOff>
                    <xdr:row>231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61" r:id="rId605" name="Check Box 813">
              <controlPr defaultSize="0" autoFill="0" autoLine="0" autoPict="0">
                <anchor moveWithCells="1">
                  <from>
                    <xdr:col>33</xdr:col>
                    <xdr:colOff>0</xdr:colOff>
                    <xdr:row>230</xdr:row>
                    <xdr:rowOff>85725</xdr:rowOff>
                  </from>
                  <to>
                    <xdr:col>34</xdr:col>
                    <xdr:colOff>57150</xdr:colOff>
                    <xdr:row>232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62" r:id="rId606" name="Check Box 814">
              <controlPr defaultSize="0" autoFill="0" autoLine="0" autoPict="0">
                <anchor moveWithCells="1">
                  <from>
                    <xdr:col>33</xdr:col>
                    <xdr:colOff>0</xdr:colOff>
                    <xdr:row>231</xdr:row>
                    <xdr:rowOff>85725</xdr:rowOff>
                  </from>
                  <to>
                    <xdr:col>34</xdr:col>
                    <xdr:colOff>57150</xdr:colOff>
                    <xdr:row>233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63" r:id="rId607" name="Check Box 815">
              <controlPr defaultSize="0" autoFill="0" autoLine="0" autoPict="0">
                <anchor moveWithCells="1">
                  <from>
                    <xdr:col>33</xdr:col>
                    <xdr:colOff>0</xdr:colOff>
                    <xdr:row>232</xdr:row>
                    <xdr:rowOff>85725</xdr:rowOff>
                  </from>
                  <to>
                    <xdr:col>34</xdr:col>
                    <xdr:colOff>57150</xdr:colOff>
                    <xdr:row>234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64" r:id="rId608" name="Check Box 816">
              <controlPr defaultSize="0" autoFill="0" autoLine="0" autoPict="0">
                <anchor moveWithCells="1">
                  <from>
                    <xdr:col>33</xdr:col>
                    <xdr:colOff>0</xdr:colOff>
                    <xdr:row>233</xdr:row>
                    <xdr:rowOff>85725</xdr:rowOff>
                  </from>
                  <to>
                    <xdr:col>34</xdr:col>
                    <xdr:colOff>57150</xdr:colOff>
                    <xdr:row>235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65" r:id="rId609" name="Check Box 817">
              <controlPr defaultSize="0" autoFill="0" autoLine="0" autoPict="0">
                <anchor moveWithCells="1">
                  <from>
                    <xdr:col>33</xdr:col>
                    <xdr:colOff>0</xdr:colOff>
                    <xdr:row>234</xdr:row>
                    <xdr:rowOff>85725</xdr:rowOff>
                  </from>
                  <to>
                    <xdr:col>34</xdr:col>
                    <xdr:colOff>57150</xdr:colOff>
                    <xdr:row>236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66" r:id="rId610" name="Check Box 818">
              <controlPr defaultSize="0" autoFill="0" autoLine="0" autoPict="0">
                <anchor moveWithCells="1">
                  <from>
                    <xdr:col>33</xdr:col>
                    <xdr:colOff>0</xdr:colOff>
                    <xdr:row>235</xdr:row>
                    <xdr:rowOff>85725</xdr:rowOff>
                  </from>
                  <to>
                    <xdr:col>34</xdr:col>
                    <xdr:colOff>57150</xdr:colOff>
                    <xdr:row>237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67" r:id="rId611" name="Check Box 819">
              <controlPr defaultSize="0" autoFill="0" autoLine="0" autoPict="0">
                <anchor moveWithCells="1">
                  <from>
                    <xdr:col>33</xdr:col>
                    <xdr:colOff>0</xdr:colOff>
                    <xdr:row>236</xdr:row>
                    <xdr:rowOff>85725</xdr:rowOff>
                  </from>
                  <to>
                    <xdr:col>34</xdr:col>
                    <xdr:colOff>57150</xdr:colOff>
                    <xdr:row>238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68" r:id="rId612" name="Check Box 820">
              <controlPr defaultSize="0" autoFill="0" autoLine="0" autoPict="0">
                <anchor moveWithCells="1">
                  <from>
                    <xdr:col>33</xdr:col>
                    <xdr:colOff>0</xdr:colOff>
                    <xdr:row>198</xdr:row>
                    <xdr:rowOff>85725</xdr:rowOff>
                  </from>
                  <to>
                    <xdr:col>34</xdr:col>
                    <xdr:colOff>57150</xdr:colOff>
                    <xdr:row>200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69" r:id="rId613" name="Check Box 821">
              <controlPr defaultSize="0" autoFill="0" autoLine="0" autoPict="0">
                <anchor moveWithCells="1">
                  <from>
                    <xdr:col>33</xdr:col>
                    <xdr:colOff>0</xdr:colOff>
                    <xdr:row>199</xdr:row>
                    <xdr:rowOff>85725</xdr:rowOff>
                  </from>
                  <to>
                    <xdr:col>34</xdr:col>
                    <xdr:colOff>57150</xdr:colOff>
                    <xdr:row>201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70" r:id="rId614" name="Check Box 822">
              <controlPr defaultSize="0" autoFill="0" autoLine="0" autoPict="0">
                <anchor moveWithCells="1">
                  <from>
                    <xdr:col>33</xdr:col>
                    <xdr:colOff>0</xdr:colOff>
                    <xdr:row>236</xdr:row>
                    <xdr:rowOff>85725</xdr:rowOff>
                  </from>
                  <to>
                    <xdr:col>34</xdr:col>
                    <xdr:colOff>57150</xdr:colOff>
                    <xdr:row>238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71" r:id="rId615" name="Check Box 823">
              <controlPr defaultSize="0" autoFill="0" autoLine="0" autoPict="0">
                <anchor moveWithCells="1">
                  <from>
                    <xdr:col>14</xdr:col>
                    <xdr:colOff>0</xdr:colOff>
                    <xdr:row>30</xdr:row>
                    <xdr:rowOff>133350</xdr:rowOff>
                  </from>
                  <to>
                    <xdr:col>14</xdr:col>
                    <xdr:colOff>304800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74" r:id="rId616" name="Check Box 826">
              <controlPr defaultSize="0" autoFill="0" autoLine="0" autoPict="0">
                <anchor moveWithCells="1">
                  <from>
                    <xdr:col>14</xdr:col>
                    <xdr:colOff>0</xdr:colOff>
                    <xdr:row>29</xdr:row>
                    <xdr:rowOff>114300</xdr:rowOff>
                  </from>
                  <to>
                    <xdr:col>14</xdr:col>
                    <xdr:colOff>304800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75" r:id="rId617" name="Check Box 827">
              <controlPr defaultSize="0" autoFill="0" autoLine="0" autoPict="0">
                <anchor moveWithCells="1">
                  <from>
                    <xdr:col>14</xdr:col>
                    <xdr:colOff>0</xdr:colOff>
                    <xdr:row>28</xdr:row>
                    <xdr:rowOff>114300</xdr:rowOff>
                  </from>
                  <to>
                    <xdr:col>14</xdr:col>
                    <xdr:colOff>304800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76" r:id="rId618" name="Check Box 828">
              <controlPr defaultSize="0" autoFill="0" autoLine="0" autoPict="0">
                <anchor moveWithCells="1">
                  <from>
                    <xdr:col>14</xdr:col>
                    <xdr:colOff>0</xdr:colOff>
                    <xdr:row>27</xdr:row>
                    <xdr:rowOff>114300</xdr:rowOff>
                  </from>
                  <to>
                    <xdr:col>14</xdr:col>
                    <xdr:colOff>304800</xdr:colOff>
                    <xdr:row>29</xdr:row>
                    <xdr:rowOff>9525</xdr:rowOff>
                  </to>
                </anchor>
              </controlPr>
            </control>
          </mc:Choice>
        </mc:AlternateContent>
      </controls>
    </mc:Choice>
  </mc:AlternateContent>
  <tableParts count="1">
    <tablePart r:id="rId61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TOT</vt:lpstr>
      <vt:lpstr>Start</vt:lpstr>
      <vt:lpstr>Name</vt:lpstr>
      <vt:lpstr>Baza</vt:lpstr>
      <vt:lpstr>Data</vt:lpstr>
      <vt:lpstr>TOT1</vt:lpstr>
      <vt:lpstr>Report</vt:lpstr>
      <vt:lpstr>SETKA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2021-01-02T08:09:01Z</dcterms:modified>
</cp:coreProperties>
</file>